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ml.chartshap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450" tabRatio="782" activeTab="12"/>
  </bookViews>
  <sheets>
    <sheet name="Report - Tables &amp; Figures &gt;&gt;" sheetId="56" r:id="rId1"/>
    <sheet name="CONE Summary - Gas" sheetId="171" r:id="rId2"/>
    <sheet name="Capital Costs - Gas" sheetId="88" r:id="rId3"/>
    <sheet name="O&amp;M Costs - Gas" sheetId="89" r:id="rId4"/>
    <sheet name="CONE Summary - BESS" sheetId="166" r:id="rId5"/>
    <sheet name="Capital Costs - BESS" sheetId="168" r:id="rId6"/>
    <sheet name="O&amp;M Costs - BESS" sheetId="167" r:id="rId7"/>
    <sheet name="Input - Tables &amp; Figures &gt;&gt;" sheetId="115" r:id="rId8"/>
    <sheet name="Summary Table (kW-yr)" sheetId="75" r:id="rId9"/>
    <sheet name="CT CONE Results" sheetId="68" r:id="rId10"/>
    <sheet name="CC CONE Results" sheetId="67" r:id="rId11"/>
    <sheet name="BESS CONE Results" sheetId="145" r:id="rId12"/>
    <sheet name="CONE_Calculations" sheetId="3" r:id="rId13"/>
    <sheet name="Construction Costs" sheetId="4" r:id="rId14"/>
    <sheet name="Escalation Calculations&gt;&gt;" sheetId="102" r:id="rId15"/>
    <sheet name="Capital Costs_Nominal$" sheetId="57" r:id="rId16"/>
    <sheet name="BESS_Capital Costs_Nominal$" sheetId="144" r:id="rId17"/>
    <sheet name="Capital Cost Escalation" sheetId="65" r:id="rId18"/>
    <sheet name="Capital Costs" sheetId="60" r:id="rId19"/>
    <sheet name="BESS_Capital Costs" sheetId="143" r:id="rId20"/>
    <sheet name="O&amp;M Costs_2026$" sheetId="64" r:id="rId21"/>
    <sheet name="BESS_O&amp;M Costs_2026$" sheetId="142" r:id="rId22"/>
    <sheet name="Annual FOM" sheetId="76" r:id="rId23"/>
    <sheet name="Raw Data&gt;&gt;&gt;" sheetId="93" r:id="rId24"/>
    <sheet name="Property Tax for appendix" sheetId="80" r:id="rId25"/>
    <sheet name="Additional Estimates" sheetId="81" r:id="rId26"/>
    <sheet name="Tax_depreciation" sheetId="2" r:id="rId27"/>
    <sheet name="ATB 2021 Utility-Scale BESS" sheetId="164" r:id="rId28"/>
    <sheet name="From S&amp;L&gt;&gt;" sheetId="100" r:id="rId29"/>
    <sheet name="Capital Costs Data BESS" sheetId="139" r:id="rId30"/>
    <sheet name="O&amp;M Costs BESS" sheetId="141" r:id="rId31"/>
    <sheet name="Cost Assumptions BESS" sheetId="140" r:id="rId32"/>
    <sheet name="Capital Costs Data" sheetId="97" r:id="rId33"/>
    <sheet name="Cost Assumptions" sheetId="99" r:id="rId34"/>
    <sheet name="O&amp;M Costs" sheetId="98" r:id="rId35"/>
    <sheet name="Capital Drawdown Schedule" sheetId="96" r:id="rId36"/>
  </sheets>
  <externalReferences>
    <externalReference r:id="rId37"/>
    <externalReference r:id="rId38"/>
    <externalReference r:id="rId39"/>
    <externalReference r:id="rId40"/>
    <externalReference r:id="rId41"/>
  </externalReferences>
  <definedNames>
    <definedName name="_xlnm._FilterDatabase" localSheetId="16" hidden="1">'BESS_Capital Costs_Nominal$'!$A$18:$Q$43</definedName>
    <definedName name="_xlnm._FilterDatabase" localSheetId="5" hidden="1">'Capital Costs - BESS'!$A$10:$H$31</definedName>
    <definedName name="_xlnm._FilterDatabase" localSheetId="2" hidden="1">'Capital Costs - Gas'!$A$10:$L$41</definedName>
    <definedName name="_xlnm._FilterDatabase" localSheetId="15" hidden="1">'Capital Costs_Nominal$'!$A$18:$U$54</definedName>
    <definedName name="AccessDatabase" hidden="1">"D:\TU\Data.mdb"</definedName>
    <definedName name="ANNUITY" localSheetId="19">#REF!</definedName>
    <definedName name="ANNUITY" localSheetId="16">#REF!</definedName>
    <definedName name="ANNUITY" localSheetId="21">#REF!</definedName>
    <definedName name="ANNUITY" localSheetId="5">#REF!</definedName>
    <definedName name="ANNUITY" localSheetId="2">#REF!</definedName>
    <definedName name="ANNUITY" localSheetId="32">#REF!</definedName>
    <definedName name="ANNUITY" localSheetId="29">#REF!</definedName>
    <definedName name="ANNUITY" localSheetId="15">#REF!</definedName>
    <definedName name="ANNUITY" localSheetId="35">#REF!</definedName>
    <definedName name="ANNUITY" localSheetId="4">#REF!</definedName>
    <definedName name="ANNUITY" localSheetId="1">#REF!</definedName>
    <definedName name="ANNUITY" localSheetId="33">#REF!</definedName>
    <definedName name="ANNUITY" localSheetId="31">#REF!</definedName>
    <definedName name="ANNUITY" localSheetId="7">#REF!</definedName>
    <definedName name="ANNUITY" localSheetId="34">#REF!</definedName>
    <definedName name="ANNUITY" localSheetId="6">#REF!</definedName>
    <definedName name="ANNUITY" localSheetId="3">#REF!</definedName>
    <definedName name="ANNUITY" localSheetId="30">#REF!</definedName>
    <definedName name="ANNUITY" localSheetId="20">#REF!</definedName>
    <definedName name="ANNUITY">#REF!</definedName>
    <definedName name="areas" localSheetId="5">[1]CONE_Calculations!$E$7:$I$7</definedName>
    <definedName name="areas" localSheetId="32">#REF!</definedName>
    <definedName name="areas" localSheetId="29">#REF!</definedName>
    <definedName name="areas" localSheetId="35">#REF!</definedName>
    <definedName name="areas" localSheetId="33">#REF!</definedName>
    <definedName name="areas" localSheetId="31">[2]CONE_Calculations!$E$6:$I$6</definedName>
    <definedName name="areas" localSheetId="34">#REF!</definedName>
    <definedName name="areas" localSheetId="6">[1]CONE_Calculations!$E$7:$I$7</definedName>
    <definedName name="areas" localSheetId="30">[2]CONE_Calculations!$E$6:$I$6</definedName>
    <definedName name="areas">CONE_Calculations!$E$7:$I$7</definedName>
    <definedName name="ATWACC" localSheetId="19">#REF!</definedName>
    <definedName name="ATWACC" localSheetId="16">#REF!</definedName>
    <definedName name="ATWACC" localSheetId="21">#REF!</definedName>
    <definedName name="ATWACC" localSheetId="5">#REF!</definedName>
    <definedName name="ATWACC" localSheetId="2">#REF!</definedName>
    <definedName name="ATWACC" localSheetId="32">#REF!</definedName>
    <definedName name="ATWACC" localSheetId="29">#REF!</definedName>
    <definedName name="ATWACC" localSheetId="15">#REF!</definedName>
    <definedName name="ATWACC" localSheetId="35">#REF!</definedName>
    <definedName name="ATWACC" localSheetId="4">#REF!</definedName>
    <definedName name="ATWACC" localSheetId="1">#REF!</definedName>
    <definedName name="ATWACC" localSheetId="12">CONE_Calculations!$D$33</definedName>
    <definedName name="ATWACC" localSheetId="33">#REF!</definedName>
    <definedName name="ATWACC" localSheetId="31">#REF!</definedName>
    <definedName name="ATWACC" localSheetId="7">#REF!</definedName>
    <definedName name="ATWACC" localSheetId="34">#REF!</definedName>
    <definedName name="ATWACC" localSheetId="6">#REF!</definedName>
    <definedName name="ATWACC" localSheetId="3">#REF!</definedName>
    <definedName name="ATWACC" localSheetId="30">#REF!</definedName>
    <definedName name="ATWACC" localSheetId="20">#REF!</definedName>
    <definedName name="ATWACC">#REF!</definedName>
    <definedName name="cap" localSheetId="19">#REF!</definedName>
    <definedName name="cap" localSheetId="16">#REF!</definedName>
    <definedName name="cap" localSheetId="21">#REF!</definedName>
    <definedName name="cap" localSheetId="5">#REF!</definedName>
    <definedName name="cap" localSheetId="4">#REF!</definedName>
    <definedName name="cap" localSheetId="1">#REF!</definedName>
    <definedName name="cap" localSheetId="7">#REF!</definedName>
    <definedName name="cap" localSheetId="6">#REF!</definedName>
    <definedName name="cap">#REF!</definedName>
    <definedName name="Capacity_Factor" localSheetId="19">#REF!</definedName>
    <definedName name="Capacity_Factor" localSheetId="16">#REF!</definedName>
    <definedName name="Capacity_Factor" localSheetId="21">#REF!</definedName>
    <definedName name="Capacity_Factor" localSheetId="5">#REF!</definedName>
    <definedName name="Capacity_Factor" localSheetId="2">#REF!</definedName>
    <definedName name="Capacity_Factor" localSheetId="32">#REF!</definedName>
    <definedName name="Capacity_Factor" localSheetId="29">#REF!</definedName>
    <definedName name="Capacity_Factor" localSheetId="15">#REF!</definedName>
    <definedName name="Capacity_Factor" localSheetId="35">#REF!</definedName>
    <definedName name="Capacity_Factor" localSheetId="4">#REF!</definedName>
    <definedName name="Capacity_Factor" localSheetId="1">#REF!</definedName>
    <definedName name="Capacity_Factor" localSheetId="33">#REF!</definedName>
    <definedName name="Capacity_Factor" localSheetId="31">#REF!</definedName>
    <definedName name="Capacity_Factor" localSheetId="7">#REF!</definedName>
    <definedName name="Capacity_Factor" localSheetId="34">#REF!</definedName>
    <definedName name="Capacity_Factor" localSheetId="6">#REF!</definedName>
    <definedName name="Capacity_Factor" localSheetId="3">#REF!</definedName>
    <definedName name="Capacity_Factor" localSheetId="30">#REF!</definedName>
    <definedName name="Capacity_Factor" localSheetId="20">#REF!</definedName>
    <definedName name="Capacity_Factor">#REF!</definedName>
    <definedName name="Case" localSheetId="19">#REF!</definedName>
    <definedName name="Case" localSheetId="16">#REF!</definedName>
    <definedName name="Case" localSheetId="21">#REF!</definedName>
    <definedName name="Case" localSheetId="5">#REF!</definedName>
    <definedName name="Case" localSheetId="2">#REF!</definedName>
    <definedName name="Case" localSheetId="32">#REF!</definedName>
    <definedName name="Case" localSheetId="29">#REF!</definedName>
    <definedName name="Case" localSheetId="15">#REF!</definedName>
    <definedName name="Case" localSheetId="35">#REF!</definedName>
    <definedName name="Case" localSheetId="4">#REF!</definedName>
    <definedName name="Case" localSheetId="1">#REF!</definedName>
    <definedName name="Case" localSheetId="33">#REF!</definedName>
    <definedName name="Case" localSheetId="31">#REF!</definedName>
    <definedName name="Case" localSheetId="7">#REF!</definedName>
    <definedName name="Case" localSheetId="34">#REF!</definedName>
    <definedName name="Case" localSheetId="6">#REF!</definedName>
    <definedName name="Case" localSheetId="3">#REF!</definedName>
    <definedName name="Case" localSheetId="30">#REF!</definedName>
    <definedName name="Case" localSheetId="20">#REF!</definedName>
    <definedName name="Case">#REF!</definedName>
    <definedName name="Case1" localSheetId="19">#REF!</definedName>
    <definedName name="Case1" localSheetId="16">#REF!</definedName>
    <definedName name="Case1" localSheetId="21">#REF!</definedName>
    <definedName name="Case1" localSheetId="5">#REF!</definedName>
    <definedName name="Case1" localSheetId="2">#REF!</definedName>
    <definedName name="Case1" localSheetId="32">#REF!</definedName>
    <definedName name="Case1" localSheetId="29">#REF!</definedName>
    <definedName name="Case1" localSheetId="15">#REF!</definedName>
    <definedName name="Case1" localSheetId="35">#REF!</definedName>
    <definedName name="Case1" localSheetId="4">#REF!</definedName>
    <definedName name="Case1" localSheetId="1">#REF!</definedName>
    <definedName name="Case1" localSheetId="33">#REF!</definedName>
    <definedName name="Case1" localSheetId="31">#REF!</definedName>
    <definedName name="Case1" localSheetId="7">#REF!</definedName>
    <definedName name="Case1" localSheetId="34">#REF!</definedName>
    <definedName name="Case1" localSheetId="6">#REF!</definedName>
    <definedName name="Case1" localSheetId="3">#REF!</definedName>
    <definedName name="Case1" localSheetId="30">#REF!</definedName>
    <definedName name="Case1" localSheetId="20">#REF!</definedName>
    <definedName name="Case1">#REF!</definedName>
    <definedName name="CF" localSheetId="19">#REF!</definedName>
    <definedName name="CF" localSheetId="16">#REF!</definedName>
    <definedName name="CF" localSheetId="21">#REF!</definedName>
    <definedName name="CF" localSheetId="5">#REF!</definedName>
    <definedName name="CF" localSheetId="2">#REF!</definedName>
    <definedName name="CF" localSheetId="32">#REF!</definedName>
    <definedName name="CF" localSheetId="29">#REF!</definedName>
    <definedName name="CF" localSheetId="15">#REF!</definedName>
    <definedName name="CF" localSheetId="35">#REF!</definedName>
    <definedName name="CF" localSheetId="4">#REF!</definedName>
    <definedName name="CF" localSheetId="1">#REF!</definedName>
    <definedName name="CF" localSheetId="33">#REF!</definedName>
    <definedName name="CF" localSheetId="31">#REF!</definedName>
    <definedName name="CF" localSheetId="7">#REF!</definedName>
    <definedName name="CF" localSheetId="34">#REF!</definedName>
    <definedName name="CF" localSheetId="6">#REF!</definedName>
    <definedName name="CF" localSheetId="3">#REF!</definedName>
    <definedName name="CF" localSheetId="30">#REF!</definedName>
    <definedName name="CF" localSheetId="20">#REF!</definedName>
    <definedName name="CF">#REF!</definedName>
    <definedName name="CIQWBGuid" hidden="1">"6df3e850-8dab-470e-b8f1-07d8a1fa8102"</definedName>
    <definedName name="City_Tax" localSheetId="19">#REF!</definedName>
    <definedName name="City_Tax" localSheetId="16">#REF!</definedName>
    <definedName name="City_Tax" localSheetId="21">#REF!</definedName>
    <definedName name="City_Tax" localSheetId="5">#REF!</definedName>
    <definedName name="City_Tax" localSheetId="2">#REF!</definedName>
    <definedName name="City_Tax" localSheetId="32">#REF!</definedName>
    <definedName name="City_Tax" localSheetId="29">#REF!</definedName>
    <definedName name="City_Tax" localSheetId="15">#REF!</definedName>
    <definedName name="City_Tax" localSheetId="35">#REF!</definedName>
    <definedName name="City_Tax" localSheetId="4">#REF!</definedName>
    <definedName name="City_Tax" localSheetId="1">#REF!</definedName>
    <definedName name="City_Tax" localSheetId="33">#REF!</definedName>
    <definedName name="City_Tax" localSheetId="31">#REF!</definedName>
    <definedName name="City_Tax" localSheetId="7">#REF!</definedName>
    <definedName name="City_Tax" localSheetId="34">#REF!</definedName>
    <definedName name="City_Tax" localSheetId="6">#REF!</definedName>
    <definedName name="City_Tax" localSheetId="3">#REF!</definedName>
    <definedName name="City_Tax" localSheetId="30">#REF!</definedName>
    <definedName name="City_Tax" localSheetId="20">#REF!</definedName>
    <definedName name="City_Tax">#REF!</definedName>
    <definedName name="CL" localSheetId="19">SUMIF(#REF!,"CL",#REF!)</definedName>
    <definedName name="CL" localSheetId="16">SUMIF('BESS_Capital Costs_Nominal$'!#REF!,"CL",'BESS_Capital Costs_Nominal$'!#REF!)</definedName>
    <definedName name="CL" localSheetId="21">SUMIF(#REF!,"CL",#REF!)</definedName>
    <definedName name="CL" localSheetId="5">SUMIF('Capital Costs - BESS'!#REF!,"CL",'Capital Costs - BESS'!#REF!)</definedName>
    <definedName name="CL" localSheetId="2">SUMIF('Capital Costs - Gas'!#REF!,"CL",'Capital Costs - Gas'!#REF!)</definedName>
    <definedName name="CL" localSheetId="32">SUMIF(#REF!,"CL",#REF!)</definedName>
    <definedName name="CL" localSheetId="29">SUMIF(#REF!,"CL",#REF!)</definedName>
    <definedName name="CL" localSheetId="15">SUMIF('Capital Costs_Nominal$'!#REF!,"CL",'Capital Costs_Nominal$'!#REF!)</definedName>
    <definedName name="CL" localSheetId="35">SUMIF(#REF!,"CL",#REF!)</definedName>
    <definedName name="CL" localSheetId="4">SUMIF(#REF!,"CL",#REF!)</definedName>
    <definedName name="CL" localSheetId="1">SUMIF(#REF!,"CL",#REF!)</definedName>
    <definedName name="CL" localSheetId="33">SUMIF(#REF!,"CL",#REF!)</definedName>
    <definedName name="CL" localSheetId="31">SUMIF(#REF!,"CL",#REF!)</definedName>
    <definedName name="CL" localSheetId="7">SUMIF(#REF!,"CL",#REF!)</definedName>
    <definedName name="CL" localSheetId="34">SUMIF(#REF!,"CL",#REF!)</definedName>
    <definedName name="CL" localSheetId="6">SUMIF(#REF!,"CL",#REF!)</definedName>
    <definedName name="CL" localSheetId="3">SUMIF(#REF!,"CL",#REF!)</definedName>
    <definedName name="CL" localSheetId="30">SUMIF(#REF!,"CL",#REF!)</definedName>
    <definedName name="CL">SUMIF(#REF!,"CL",#REF!)</definedName>
    <definedName name="COD" localSheetId="19">#REF!</definedName>
    <definedName name="COD" localSheetId="16">#REF!</definedName>
    <definedName name="COD" localSheetId="21">#REF!</definedName>
    <definedName name="COD" localSheetId="5">#REF!</definedName>
    <definedName name="COD" localSheetId="2">#REF!</definedName>
    <definedName name="COD" localSheetId="32">#REF!</definedName>
    <definedName name="COD" localSheetId="29">#REF!</definedName>
    <definedName name="COD" localSheetId="15">#REF!</definedName>
    <definedName name="COD" localSheetId="35">#REF!</definedName>
    <definedName name="COD" localSheetId="4">#REF!</definedName>
    <definedName name="COD" localSheetId="1">#REF!</definedName>
    <definedName name="COD" localSheetId="33">#REF!</definedName>
    <definedName name="COD" localSheetId="31">#REF!</definedName>
    <definedName name="COD" localSheetId="7">#REF!</definedName>
    <definedName name="COD" localSheetId="34">#REF!</definedName>
    <definedName name="COD" localSheetId="6">#REF!</definedName>
    <definedName name="COD" localSheetId="3">#REF!</definedName>
    <definedName name="COD" localSheetId="30">#REF!</definedName>
    <definedName name="COD" localSheetId="20">#REF!</definedName>
    <definedName name="COD">#REF!</definedName>
    <definedName name="CONS" localSheetId="19">SUMIF(#REF!,"CONS",#REF!)</definedName>
    <definedName name="CONS" localSheetId="16">SUMIF('BESS_Capital Costs_Nominal$'!#REF!,"CONS",'BESS_Capital Costs_Nominal$'!$M$17:$M$995)</definedName>
    <definedName name="CONS" localSheetId="21">SUMIF(#REF!,"CONS",#REF!)</definedName>
    <definedName name="CONS" localSheetId="5">SUMIF('Capital Costs - BESS'!#REF!,"CONS",'Capital Costs - BESS'!#REF!)</definedName>
    <definedName name="CONS" localSheetId="2">SUMIF('Capital Costs - Gas'!#REF!,"CONS",'Capital Costs - Gas'!#REF!)</definedName>
    <definedName name="CONS" localSheetId="32">SUMIF(#REF!,"CONS",#REF!)</definedName>
    <definedName name="CONS" localSheetId="29">SUMIF(#REF!,"CONS",#REF!)</definedName>
    <definedName name="CONS" localSheetId="15">SUMIF('Capital Costs_Nominal$'!#REF!,"CONS",'Capital Costs_Nominal$'!$Q$17:$Q$1005)</definedName>
    <definedName name="CONS" localSheetId="35">SUMIF(#REF!,"CONS",#REF!)</definedName>
    <definedName name="CONS" localSheetId="4">SUMIF(#REF!,"CONS",#REF!)</definedName>
    <definedName name="CONS" localSheetId="1">SUMIF(#REF!,"CONS",#REF!)</definedName>
    <definedName name="CONS" localSheetId="33">SUMIF(#REF!,"CONS",#REF!)</definedName>
    <definedName name="CONS" localSheetId="31">SUMIF(#REF!,"CONS",#REF!)</definedName>
    <definedName name="CONS" localSheetId="7">SUMIF(#REF!,"CONS",#REF!)</definedName>
    <definedName name="CONS" localSheetId="34">SUMIF(#REF!,"CONS",#REF!)</definedName>
    <definedName name="CONS" localSheetId="6">SUMIF(#REF!,"CONS",#REF!)</definedName>
    <definedName name="CONS" localSheetId="3">SUMIF(#REF!,"CONS",#REF!)</definedName>
    <definedName name="CONS" localSheetId="30">SUMIF(#REF!,"CONS",#REF!)</definedName>
    <definedName name="CONS">SUMIF(#REF!,"CONS",#REF!)</definedName>
    <definedName name="costofdebt" localSheetId="19">#REF!</definedName>
    <definedName name="costofdebt" localSheetId="16">#REF!</definedName>
    <definedName name="costofdebt" localSheetId="21">#REF!</definedName>
    <definedName name="costofdebt" localSheetId="5">#REF!</definedName>
    <definedName name="costofdebt" localSheetId="2">#REF!</definedName>
    <definedName name="costofdebt" localSheetId="32">#REF!</definedName>
    <definedName name="costofdebt" localSheetId="29">#REF!</definedName>
    <definedName name="costofdebt" localSheetId="15">#REF!</definedName>
    <definedName name="costofdebt" localSheetId="35">#REF!</definedName>
    <definedName name="costofdebt" localSheetId="4">#REF!</definedName>
    <definedName name="costofdebt" localSheetId="1">#REF!</definedName>
    <definedName name="costofdebt" localSheetId="33">#REF!</definedName>
    <definedName name="costofdebt" localSheetId="31">#REF!</definedName>
    <definedName name="costofdebt" localSheetId="7">#REF!</definedName>
    <definedName name="costofdebt" localSheetId="34">#REF!</definedName>
    <definedName name="costofdebt" localSheetId="6">#REF!</definedName>
    <definedName name="costofdebt" localSheetId="3">#REF!</definedName>
    <definedName name="costofdebt" localSheetId="30">#REF!</definedName>
    <definedName name="costofdebt" localSheetId="20">#REF!</definedName>
    <definedName name="costofdebt">#REF!</definedName>
    <definedName name="costofdebt_ee" localSheetId="19">#REF!</definedName>
    <definedName name="costofdebt_ee" localSheetId="16">#REF!</definedName>
    <definedName name="costofdebt_ee" localSheetId="21">#REF!</definedName>
    <definedName name="costofdebt_ee" localSheetId="5">#REF!</definedName>
    <definedName name="costofdebt_ee" localSheetId="2">#REF!</definedName>
    <definedName name="costofdebt_ee" localSheetId="32">#REF!</definedName>
    <definedName name="costofdebt_ee" localSheetId="29">#REF!</definedName>
    <definedName name="costofdebt_ee" localSheetId="15">#REF!</definedName>
    <definedName name="costofdebt_ee" localSheetId="35">#REF!</definedName>
    <definedName name="costofdebt_ee" localSheetId="4">#REF!</definedName>
    <definedName name="costofdebt_ee" localSheetId="1">#REF!</definedName>
    <definedName name="costofdebt_ee" localSheetId="33">#REF!</definedName>
    <definedName name="costofdebt_ee" localSheetId="31">#REF!</definedName>
    <definedName name="costofdebt_ee" localSheetId="7">#REF!</definedName>
    <definedName name="costofdebt_ee" localSheetId="34">#REF!</definedName>
    <definedName name="costofdebt_ee" localSheetId="6">#REF!</definedName>
    <definedName name="costofdebt_ee" localSheetId="3">#REF!</definedName>
    <definedName name="costofdebt_ee" localSheetId="30">#REF!</definedName>
    <definedName name="costofdebt_ee" localSheetId="20">#REF!</definedName>
    <definedName name="costofdebt_ee">#REF!</definedName>
    <definedName name="CP" localSheetId="19">#REF!</definedName>
    <definedName name="CP" localSheetId="16">#REF!</definedName>
    <definedName name="CP" localSheetId="21">#REF!</definedName>
    <definedName name="CP" localSheetId="5">#REF!</definedName>
    <definedName name="CP" localSheetId="2">#REF!</definedName>
    <definedName name="CP" localSheetId="32">#REF!</definedName>
    <definedName name="CP" localSheetId="29">#REF!</definedName>
    <definedName name="CP" localSheetId="15">#REF!</definedName>
    <definedName name="CP" localSheetId="35">#REF!</definedName>
    <definedName name="CP" localSheetId="4">#REF!</definedName>
    <definedName name="CP" localSheetId="1">#REF!</definedName>
    <definedName name="CP" localSheetId="33">#REF!</definedName>
    <definedName name="CP" localSheetId="31">#REF!</definedName>
    <definedName name="CP" localSheetId="7">#REF!</definedName>
    <definedName name="CP" localSheetId="34">#REF!</definedName>
    <definedName name="CP" localSheetId="6">#REF!</definedName>
    <definedName name="CP" localSheetId="3">#REF!</definedName>
    <definedName name="CP" localSheetId="30">#REF!</definedName>
    <definedName name="CP" localSheetId="20">#REF!</definedName>
    <definedName name="CP">#REF!</definedName>
    <definedName name="cpi" localSheetId="19">#REF!</definedName>
    <definedName name="cpi" localSheetId="16">#REF!</definedName>
    <definedName name="cpi" localSheetId="21">#REF!</definedName>
    <definedName name="cpi" localSheetId="5">#REF!</definedName>
    <definedName name="cpi" localSheetId="2">#REF!</definedName>
    <definedName name="cpi" localSheetId="32">#REF!</definedName>
    <definedName name="cpi" localSheetId="29">#REF!</definedName>
    <definedName name="cpi" localSheetId="15">#REF!</definedName>
    <definedName name="cpi" localSheetId="35">#REF!</definedName>
    <definedName name="cpi" localSheetId="4">#REF!</definedName>
    <definedName name="cpi" localSheetId="1">#REF!</definedName>
    <definedName name="cpi" localSheetId="33">#REF!</definedName>
    <definedName name="cpi" localSheetId="31">#REF!</definedName>
    <definedName name="cpi" localSheetId="7">#REF!</definedName>
    <definedName name="cpi" localSheetId="34">#REF!</definedName>
    <definedName name="cpi" localSheetId="6">#REF!</definedName>
    <definedName name="cpi" localSheetId="3">#REF!</definedName>
    <definedName name="cpi" localSheetId="30">#REF!</definedName>
    <definedName name="cpi" localSheetId="20">#REF!</definedName>
    <definedName name="cpi">#REF!</definedName>
    <definedName name="customer_invest">'[3]DR &amp; EE Inputs'!$L$156</definedName>
    <definedName name="custr" localSheetId="19">#REF!</definedName>
    <definedName name="custr" localSheetId="16">#REF!</definedName>
    <definedName name="custr" localSheetId="21">#REF!</definedName>
    <definedName name="custr" localSheetId="5">#REF!</definedName>
    <definedName name="custr" localSheetId="2">#REF!</definedName>
    <definedName name="custr" localSheetId="32">#REF!</definedName>
    <definedName name="custr" localSheetId="29">#REF!</definedName>
    <definedName name="custr" localSheetId="15">#REF!</definedName>
    <definedName name="custr" localSheetId="35">#REF!</definedName>
    <definedName name="custr" localSheetId="4">#REF!</definedName>
    <definedName name="custr" localSheetId="1">#REF!</definedName>
    <definedName name="custr" localSheetId="33">#REF!</definedName>
    <definedName name="custr" localSheetId="31">#REF!</definedName>
    <definedName name="custr" localSheetId="7">#REF!</definedName>
    <definedName name="custr" localSheetId="34">#REF!</definedName>
    <definedName name="custr" localSheetId="6">#REF!</definedName>
    <definedName name="custr" localSheetId="3">#REF!</definedName>
    <definedName name="custr" localSheetId="30">#REF!</definedName>
    <definedName name="custr" localSheetId="20">#REF!</definedName>
    <definedName name="custr">#REF!</definedName>
    <definedName name="custr_IN_OUT" localSheetId="19">#REF!</definedName>
    <definedName name="custr_IN_OUT" localSheetId="16">#REF!</definedName>
    <definedName name="custr_IN_OUT" localSheetId="21">#REF!</definedName>
    <definedName name="custr_IN_OUT" localSheetId="5">#REF!</definedName>
    <definedName name="custr_IN_OUT" localSheetId="2">#REF!</definedName>
    <definedName name="custr_IN_OUT" localSheetId="32">#REF!</definedName>
    <definedName name="custr_IN_OUT" localSheetId="29">#REF!</definedName>
    <definedName name="custr_IN_OUT" localSheetId="15">#REF!</definedName>
    <definedName name="custr_IN_OUT" localSheetId="35">#REF!</definedName>
    <definedName name="custr_IN_OUT" localSheetId="4">#REF!</definedName>
    <definedName name="custr_IN_OUT" localSheetId="1">#REF!</definedName>
    <definedName name="custr_IN_OUT" localSheetId="33">#REF!</definedName>
    <definedName name="custr_IN_OUT" localSheetId="31">#REF!</definedName>
    <definedName name="custr_IN_OUT" localSheetId="7">#REF!</definedName>
    <definedName name="custr_IN_OUT" localSheetId="34">#REF!</definedName>
    <definedName name="custr_IN_OUT" localSheetId="6">#REF!</definedName>
    <definedName name="custr_IN_OUT" localSheetId="3">#REF!</definedName>
    <definedName name="custr_IN_OUT" localSheetId="30">#REF!</definedName>
    <definedName name="custr_IN_OUT" localSheetId="20">#REF!</definedName>
    <definedName name="custr_IN_OUT">#REF!</definedName>
    <definedName name="Debt_Frac" localSheetId="19">#REF!</definedName>
    <definedName name="Debt_Frac" localSheetId="16">#REF!</definedName>
    <definedName name="Debt_Frac" localSheetId="21">#REF!</definedName>
    <definedName name="Debt_Frac" localSheetId="5">#REF!</definedName>
    <definedName name="Debt_Frac" localSheetId="2">#REF!</definedName>
    <definedName name="Debt_Frac" localSheetId="32">#REF!</definedName>
    <definedName name="Debt_Frac" localSheetId="29">#REF!</definedName>
    <definedName name="Debt_Frac" localSheetId="15">#REF!</definedName>
    <definedName name="Debt_Frac" localSheetId="35">#REF!</definedName>
    <definedName name="Debt_Frac" localSheetId="4">#REF!</definedName>
    <definedName name="Debt_Frac" localSheetId="1">#REF!</definedName>
    <definedName name="Debt_Frac" localSheetId="33">#REF!</definedName>
    <definedName name="Debt_Frac" localSheetId="31">#REF!</definedName>
    <definedName name="Debt_Frac" localSheetId="7">#REF!</definedName>
    <definedName name="Debt_Frac" localSheetId="34">#REF!</definedName>
    <definedName name="Debt_Frac" localSheetId="6">#REF!</definedName>
    <definedName name="Debt_Frac" localSheetId="3">#REF!</definedName>
    <definedName name="Debt_Frac" localSheetId="30">#REF!</definedName>
    <definedName name="Debt_Frac" localSheetId="20">#REF!</definedName>
    <definedName name="Debt_Frac">#REF!</definedName>
    <definedName name="Debt_Fraction" localSheetId="12">CONE_Calculations!$D$24</definedName>
    <definedName name="Debt_Rate" localSheetId="12">CONE_Calculations!$D$25</definedName>
    <definedName name="debtratio" localSheetId="19">#REF!</definedName>
    <definedName name="debtratio" localSheetId="16">#REF!</definedName>
    <definedName name="debtratio" localSheetId="21">#REF!</definedName>
    <definedName name="debtratio" localSheetId="5">#REF!</definedName>
    <definedName name="debtratio" localSheetId="2">#REF!</definedName>
    <definedName name="debtratio" localSheetId="32">#REF!</definedName>
    <definedName name="debtratio" localSheetId="29">#REF!</definedName>
    <definedName name="debtratio" localSheetId="15">#REF!</definedName>
    <definedName name="debtratio" localSheetId="35">#REF!</definedName>
    <definedName name="debtratio" localSheetId="4">#REF!</definedName>
    <definedName name="debtratio" localSheetId="1">#REF!</definedName>
    <definedName name="debtratio" localSheetId="33">#REF!</definedName>
    <definedName name="debtratio" localSheetId="31">#REF!</definedName>
    <definedName name="debtratio" localSheetId="7">#REF!</definedName>
    <definedName name="debtratio" localSheetId="34">#REF!</definedName>
    <definedName name="debtratio" localSheetId="6">#REF!</definedName>
    <definedName name="debtratio" localSheetId="3">#REF!</definedName>
    <definedName name="debtratio" localSheetId="30">#REF!</definedName>
    <definedName name="debtratio" localSheetId="20">#REF!</definedName>
    <definedName name="debtratio">#REF!</definedName>
    <definedName name="debtratio_ee" localSheetId="19">#REF!</definedName>
    <definedName name="debtratio_ee" localSheetId="16">#REF!</definedName>
    <definedName name="debtratio_ee" localSheetId="21">#REF!</definedName>
    <definedName name="debtratio_ee" localSheetId="5">#REF!</definedName>
    <definedName name="debtratio_ee" localSheetId="2">#REF!</definedName>
    <definedName name="debtratio_ee" localSheetId="32">#REF!</definedName>
    <definedName name="debtratio_ee" localSheetId="29">#REF!</definedName>
    <definedName name="debtratio_ee" localSheetId="15">#REF!</definedName>
    <definedName name="debtratio_ee" localSheetId="35">#REF!</definedName>
    <definedName name="debtratio_ee" localSheetId="4">#REF!</definedName>
    <definedName name="debtratio_ee" localSheetId="1">#REF!</definedName>
    <definedName name="debtratio_ee" localSheetId="33">#REF!</definedName>
    <definedName name="debtratio_ee" localSheetId="31">#REF!</definedName>
    <definedName name="debtratio_ee" localSheetId="7">#REF!</definedName>
    <definedName name="debtratio_ee" localSheetId="34">#REF!</definedName>
    <definedName name="debtratio_ee" localSheetId="6">#REF!</definedName>
    <definedName name="debtratio_ee" localSheetId="3">#REF!</definedName>
    <definedName name="debtratio_ee" localSheetId="30">#REF!</definedName>
    <definedName name="debtratio_ee" localSheetId="20">#REF!</definedName>
    <definedName name="debtratio_ee">#REF!</definedName>
    <definedName name="Dep_Cost" localSheetId="19">#REF!</definedName>
    <definedName name="Dep_Cost" localSheetId="16">#REF!</definedName>
    <definedName name="Dep_Cost" localSheetId="21">#REF!</definedName>
    <definedName name="Dep_Cost" localSheetId="5">#REF!</definedName>
    <definedName name="Dep_Cost" localSheetId="2">#REF!</definedName>
    <definedName name="Dep_Cost" localSheetId="32">#REF!</definedName>
    <definedName name="Dep_Cost" localSheetId="29">#REF!</definedName>
    <definedName name="Dep_Cost" localSheetId="15">#REF!</definedName>
    <definedName name="Dep_Cost" localSheetId="35">#REF!</definedName>
    <definedName name="Dep_Cost" localSheetId="4">#REF!</definedName>
    <definedName name="Dep_Cost" localSheetId="1">#REF!</definedName>
    <definedName name="Dep_Cost" localSheetId="33">#REF!</definedName>
    <definedName name="Dep_Cost" localSheetId="31">#REF!</definedName>
    <definedName name="Dep_Cost" localSheetId="7">#REF!</definedName>
    <definedName name="Dep_Cost" localSheetId="34">#REF!</definedName>
    <definedName name="Dep_Cost" localSheetId="6">#REF!</definedName>
    <definedName name="Dep_Cost" localSheetId="3">#REF!</definedName>
    <definedName name="Dep_Cost" localSheetId="30">#REF!</definedName>
    <definedName name="Dep_Cost" localSheetId="20">#REF!</definedName>
    <definedName name="Dep_Cost">#REF!</definedName>
    <definedName name="Depreciable_Cost" localSheetId="5">[1]CONE_Calculations!$D$17</definedName>
    <definedName name="Depreciable_Cost" localSheetId="32">#REF!</definedName>
    <definedName name="Depreciable_Cost" localSheetId="29">#REF!</definedName>
    <definedName name="Depreciable_Cost" localSheetId="35">#REF!</definedName>
    <definedName name="Depreciable_Cost" localSheetId="33">#REF!</definedName>
    <definedName name="Depreciable_Cost" localSheetId="31">[2]CONE_Calculations!$D$16</definedName>
    <definedName name="Depreciable_Cost" localSheetId="34">#REF!</definedName>
    <definedName name="Depreciable_Cost" localSheetId="6">[1]CONE_Calculations!$D$17</definedName>
    <definedName name="Depreciable_Cost" localSheetId="30">[2]CONE_Calculations!$D$16</definedName>
    <definedName name="Depreciable_Cost">CONE_Calculations!$D$17</definedName>
    <definedName name="DR_Hours">'[3]Top 200 Hours'!$A$4:$B$203</definedName>
    <definedName name="DR_Hours_Result">'[3]DR &amp; EE Inputs'!$M$166</definedName>
    <definedName name="DR_ONPEAK_HOURS">'[3]DR &amp; EE Inputs'!$L$166</definedName>
    <definedName name="E" localSheetId="19">SUMIF(#REF!,"E",#REF!)</definedName>
    <definedName name="E" localSheetId="16">SUMIF('BESS_Capital Costs_Nominal$'!#REF!,"E",'BESS_Capital Costs_Nominal$'!#REF!)</definedName>
    <definedName name="E" localSheetId="21">SUMIF(#REF!,"E",#REF!)</definedName>
    <definedName name="E" localSheetId="5">SUMIF('Capital Costs - BESS'!#REF!,"E",'Capital Costs - BESS'!#REF!)</definedName>
    <definedName name="E" localSheetId="2">SUMIF('Capital Costs - Gas'!#REF!,"E",'Capital Costs - Gas'!$J$9:$J$991)</definedName>
    <definedName name="E" localSheetId="32">SUMIF(#REF!,"E",#REF!)</definedName>
    <definedName name="E" localSheetId="29">SUMIF(#REF!,"E",#REF!)</definedName>
    <definedName name="E" localSheetId="15">SUMIF('Capital Costs_Nominal$'!#REF!,"E",'Capital Costs_Nominal$'!$M$17:$M$1005)</definedName>
    <definedName name="E" localSheetId="35">SUMIF(#REF!,"E",#REF!)</definedName>
    <definedName name="E" localSheetId="4">SUMIF(#REF!,"E",#REF!)</definedName>
    <definedName name="E" localSheetId="1">SUMIF(#REF!,"E",#REF!)</definedName>
    <definedName name="E" localSheetId="33">SUMIF(#REF!,"E",#REF!)</definedName>
    <definedName name="E" localSheetId="31">SUMIF(#REF!,"E",#REF!)</definedName>
    <definedName name="E" localSheetId="7">SUMIF(#REF!,"E",#REF!)</definedName>
    <definedName name="E" localSheetId="34">SUMIF(#REF!,"E",#REF!)</definedName>
    <definedName name="E" localSheetId="6">SUMIF(#REF!,"E",#REF!)</definedName>
    <definedName name="E" localSheetId="3">SUMIF(#REF!,"E",#REF!)</definedName>
    <definedName name="E" localSheetId="30">SUMIF(#REF!,"E",#REF!)</definedName>
    <definedName name="E">SUMIF(#REF!,"E",#REF!)</definedName>
    <definedName name="E_P" localSheetId="19">#REF!</definedName>
    <definedName name="E_P" localSheetId="16">#REF!</definedName>
    <definedName name="E_P" localSheetId="21">#REF!</definedName>
    <definedName name="E_P" localSheetId="5">#REF!</definedName>
    <definedName name="E_P" localSheetId="2">#REF!</definedName>
    <definedName name="E_P" localSheetId="32">#REF!</definedName>
    <definedName name="E_P" localSheetId="29">#REF!</definedName>
    <definedName name="E_P" localSheetId="15">#REF!</definedName>
    <definedName name="E_P" localSheetId="35">#REF!</definedName>
    <definedName name="E_P" localSheetId="4">#REF!</definedName>
    <definedName name="E_P" localSheetId="1">#REF!</definedName>
    <definedName name="E_P" localSheetId="33">#REF!</definedName>
    <definedName name="E_P" localSheetId="31">#REF!</definedName>
    <definedName name="E_P" localSheetId="7">#REF!</definedName>
    <definedName name="E_P" localSheetId="34">#REF!</definedName>
    <definedName name="E_P" localSheetId="6">#REF!</definedName>
    <definedName name="E_P" localSheetId="3">#REF!</definedName>
    <definedName name="E_P" localSheetId="30">#REF!</definedName>
    <definedName name="E_P" localSheetId="20">#REF!</definedName>
    <definedName name="E_P">#REF!</definedName>
    <definedName name="EAS" localSheetId="19">#REF!</definedName>
    <definedName name="EAS" localSheetId="16">#REF!</definedName>
    <definedName name="EAS" localSheetId="21">#REF!</definedName>
    <definedName name="EAS" localSheetId="5">#REF!</definedName>
    <definedName name="EAS" localSheetId="2">#REF!</definedName>
    <definedName name="EAS" localSheetId="32">#REF!</definedName>
    <definedName name="EAS" localSheetId="29">#REF!</definedName>
    <definedName name="EAS" localSheetId="15">#REF!</definedName>
    <definedName name="EAS" localSheetId="35">#REF!</definedName>
    <definedName name="EAS" localSheetId="4">#REF!</definedName>
    <definedName name="EAS" localSheetId="1">#REF!</definedName>
    <definedName name="EAS" localSheetId="33">#REF!</definedName>
    <definedName name="EAS" localSheetId="31">#REF!</definedName>
    <definedName name="EAS" localSheetId="7">#REF!</definedName>
    <definedName name="EAS" localSheetId="34">#REF!</definedName>
    <definedName name="EAS" localSheetId="6">#REF!</definedName>
    <definedName name="EAS" localSheetId="3">#REF!</definedName>
    <definedName name="EAS" localSheetId="30">#REF!</definedName>
    <definedName name="EAS" localSheetId="20">#REF!</definedName>
    <definedName name="EAS">#REF!</definedName>
    <definedName name="EAS_Margin" localSheetId="32">'[4]CONE Calcs'!$D$30</definedName>
    <definedName name="EAS_Margin" localSheetId="29">'[4]CONE Calcs'!$D$30</definedName>
    <definedName name="EAS_Margin" localSheetId="35">'[4]CONE Calcs'!$D$30</definedName>
    <definedName name="EAS_Margin" localSheetId="33">'[4]CONE Calcs'!$D$30</definedName>
    <definedName name="EAS_Margin" localSheetId="31">'[4]CONE Calcs'!$D$30</definedName>
    <definedName name="EAS_Margin" localSheetId="34">'[4]CONE Calcs'!$D$30</definedName>
    <definedName name="EAS_Margin" localSheetId="30">'[4]CONE Calcs'!$D$30</definedName>
    <definedName name="EAS_Margin">'[4]CONE Calcs'!$D$30</definedName>
    <definedName name="Economic_Life" localSheetId="12">CONE_Calculations!$D$23</definedName>
    <definedName name="EE" localSheetId="19">SUMIF(#REF!,"E",#REF!)</definedName>
    <definedName name="EE" localSheetId="16">SUMIF('BESS_Capital Costs_Nominal$'!#REF!,"E",'BESS_Capital Costs_Nominal$'!#REF!)</definedName>
    <definedName name="EE" localSheetId="21">SUMIF(#REF!,"E",#REF!)</definedName>
    <definedName name="EE" localSheetId="5">SUMIF('Capital Costs - BESS'!#REF!,"E",'Capital Costs - BESS'!#REF!)</definedName>
    <definedName name="EE" localSheetId="2">SUMIF('Capital Costs - Gas'!#REF!,"E",'Capital Costs - Gas'!$J$9:$J$994)</definedName>
    <definedName name="EE" localSheetId="32">SUMIF(#REF!,"E",#REF!)</definedName>
    <definedName name="EE" localSheetId="29">SUMIF(#REF!,"E",#REF!)</definedName>
    <definedName name="EE" localSheetId="15">SUMIF('Capital Costs_Nominal$'!#REF!,"E",'Capital Costs_Nominal$'!$M$17:$M$1008)</definedName>
    <definedName name="EE" localSheetId="35">SUMIF(#REF!,"E",#REF!)</definedName>
    <definedName name="EE" localSheetId="4">SUMIF(#REF!,"E",#REF!)</definedName>
    <definedName name="EE" localSheetId="1">SUMIF(#REF!,"E",#REF!)</definedName>
    <definedName name="EE" localSheetId="33">SUMIF(#REF!,"E",#REF!)</definedName>
    <definedName name="EE" localSheetId="31">SUMIF(#REF!,"E",#REF!)</definedName>
    <definedName name="EE" localSheetId="7">SUMIF(#REF!,"E",#REF!)</definedName>
    <definedName name="EE" localSheetId="34">SUMIF(#REF!,"E",#REF!)</definedName>
    <definedName name="EE" localSheetId="6">SUMIF(#REF!,"E",#REF!)</definedName>
    <definedName name="EE" localSheetId="3">SUMIF(#REF!,"E",#REF!)</definedName>
    <definedName name="EE" localSheetId="30">SUMIF(#REF!,"E",#REF!)</definedName>
    <definedName name="EE">SUMIF(#REF!,"E",#REF!)</definedName>
    <definedName name="EEE" localSheetId="19">SUMIF(#REF!,"E",#REF!)</definedName>
    <definedName name="EEE" localSheetId="16">SUMIF('BESS_Capital Costs_Nominal$'!#REF!,"E",'BESS_Capital Costs_Nominal$'!#REF!)</definedName>
    <definedName name="EEE" localSheetId="21">SUMIF(#REF!,"E",#REF!)</definedName>
    <definedName name="EEE" localSheetId="5">SUMIF('Capital Costs - BESS'!#REF!,"E",'Capital Costs - BESS'!#REF!)</definedName>
    <definedName name="EEE" localSheetId="2">SUMIF('Capital Costs - Gas'!#REF!,"E",'Capital Costs - Gas'!$J$9:$J$994)</definedName>
    <definedName name="EEE" localSheetId="32">SUMIF(#REF!,"E",#REF!)</definedName>
    <definedName name="EEE" localSheetId="15">SUMIF('Capital Costs_Nominal$'!#REF!,"E",'Capital Costs_Nominal$'!$M$17:$M$1008)</definedName>
    <definedName name="EEE" localSheetId="35">SUMIF(#REF!,"E",#REF!)</definedName>
    <definedName name="EEE" localSheetId="4">SUMIF(#REF!,"E",#REF!)</definedName>
    <definedName name="EEE" localSheetId="1">SUMIF(#REF!,"E",#REF!)</definedName>
    <definedName name="EEE" localSheetId="33">SUMIF(#REF!,"E",#REF!)</definedName>
    <definedName name="EEE" localSheetId="31">SUMIF(#REF!,"E",#REF!)</definedName>
    <definedName name="EEE" localSheetId="7">SUMIF(#REF!,"E",#REF!)</definedName>
    <definedName name="EEE" localSheetId="34">SUMIF(#REF!,"E",#REF!)</definedName>
    <definedName name="EEE" localSheetId="6">SUMIF(#REF!,"E",#REF!)</definedName>
    <definedName name="EEE" localSheetId="3">SUMIF(#REF!,"E",#REF!)</definedName>
    <definedName name="EEE" localSheetId="30">SUMIF(#REF!,"E",#REF!)</definedName>
    <definedName name="EEE">SUMIF(#REF!,"E",#REF!)</definedName>
    <definedName name="efftaxrate_ee" localSheetId="19">#REF!</definedName>
    <definedName name="efftaxrate_ee" localSheetId="16">#REF!</definedName>
    <definedName name="efftaxrate_ee" localSheetId="21">#REF!</definedName>
    <definedName name="efftaxrate_ee" localSheetId="5">#REF!</definedName>
    <definedName name="efftaxrate_ee" localSheetId="2">#REF!</definedName>
    <definedName name="efftaxrate_ee" localSheetId="32">#REF!</definedName>
    <definedName name="efftaxrate_ee" localSheetId="29">#REF!</definedName>
    <definedName name="efftaxrate_ee" localSheetId="15">#REF!</definedName>
    <definedName name="efftaxrate_ee" localSheetId="35">#REF!</definedName>
    <definedName name="efftaxrate_ee" localSheetId="4">#REF!</definedName>
    <definedName name="efftaxrate_ee" localSheetId="1">#REF!</definedName>
    <definedName name="efftaxrate_ee" localSheetId="33">#REF!</definedName>
    <definedName name="efftaxrate_ee" localSheetId="31">#REF!</definedName>
    <definedName name="efftaxrate_ee" localSheetId="7">#REF!</definedName>
    <definedName name="efftaxrate_ee" localSheetId="34">#REF!</definedName>
    <definedName name="efftaxrate_ee" localSheetId="6">#REF!</definedName>
    <definedName name="efftaxrate_ee" localSheetId="3">#REF!</definedName>
    <definedName name="efftaxrate_ee" localSheetId="30">#REF!</definedName>
    <definedName name="efftaxrate_ee" localSheetId="20">#REF!</definedName>
    <definedName name="efftaxrate_ee">#REF!</definedName>
    <definedName name="entity">'[3]DR &amp; EE Inputs'!$L$109</definedName>
    <definedName name="EP" localSheetId="19">#REF!</definedName>
    <definedName name="EP" localSheetId="16">#REF!</definedName>
    <definedName name="EP" localSheetId="21">#REF!</definedName>
    <definedName name="EP" localSheetId="5">#REF!</definedName>
    <definedName name="EP" localSheetId="2">#REF!</definedName>
    <definedName name="EP" localSheetId="32">#REF!</definedName>
    <definedName name="EP" localSheetId="29">#REF!</definedName>
    <definedName name="EP" localSheetId="15">#REF!</definedName>
    <definedName name="EP" localSheetId="35">#REF!</definedName>
    <definedName name="EP" localSheetId="4">#REF!</definedName>
    <definedName name="EP" localSheetId="1">#REF!</definedName>
    <definedName name="EP" localSheetId="33">#REF!</definedName>
    <definedName name="EP" localSheetId="31">#REF!</definedName>
    <definedName name="EP" localSheetId="7">#REF!</definedName>
    <definedName name="EP" localSheetId="34">#REF!</definedName>
    <definedName name="EP" localSheetId="6">#REF!</definedName>
    <definedName name="EP" localSheetId="3">#REF!</definedName>
    <definedName name="EP" localSheetId="30">#REF!</definedName>
    <definedName name="EP" localSheetId="20">#REF!</definedName>
    <definedName name="EP">#REF!</definedName>
    <definedName name="EQ_Frac" localSheetId="19">#REF!</definedName>
    <definedName name="EQ_Frac" localSheetId="16">#REF!</definedName>
    <definedName name="EQ_Frac" localSheetId="21">#REF!</definedName>
    <definedName name="EQ_Frac" localSheetId="5">#REF!</definedName>
    <definedName name="EQ_Frac" localSheetId="2">#REF!</definedName>
    <definedName name="EQ_Frac" localSheetId="32">#REF!</definedName>
    <definedName name="EQ_Frac" localSheetId="29">#REF!</definedName>
    <definedName name="EQ_Frac" localSheetId="15">#REF!</definedName>
    <definedName name="EQ_Frac" localSheetId="35">#REF!</definedName>
    <definedName name="EQ_Frac" localSheetId="4">#REF!</definedName>
    <definedName name="EQ_Frac" localSheetId="1">#REF!</definedName>
    <definedName name="EQ_Frac" localSheetId="33">#REF!</definedName>
    <definedName name="EQ_Frac" localSheetId="31">#REF!</definedName>
    <definedName name="EQ_Frac" localSheetId="7">#REF!</definedName>
    <definedName name="EQ_Frac" localSheetId="34">#REF!</definedName>
    <definedName name="EQ_Frac" localSheetId="6">#REF!</definedName>
    <definedName name="EQ_Frac" localSheetId="3">#REF!</definedName>
    <definedName name="EQ_Frac" localSheetId="30">#REF!</definedName>
    <definedName name="EQ_Frac" localSheetId="20">#REF!</definedName>
    <definedName name="EQ_Frac">#REF!</definedName>
    <definedName name="Equity_Period" localSheetId="19">#REF!</definedName>
    <definedName name="Equity_Period" localSheetId="16">#REF!</definedName>
    <definedName name="Equity_Period" localSheetId="21">#REF!</definedName>
    <definedName name="Equity_Period" localSheetId="5">#REF!</definedName>
    <definedName name="Equity_Period" localSheetId="2">#REF!</definedName>
    <definedName name="Equity_Period" localSheetId="32">#REF!</definedName>
    <definedName name="Equity_Period" localSheetId="29">#REF!</definedName>
    <definedName name="Equity_Period" localSheetId="15">#REF!</definedName>
    <definedName name="Equity_Period" localSheetId="35">#REF!</definedName>
    <definedName name="Equity_Period" localSheetId="4">#REF!</definedName>
    <definedName name="Equity_Period" localSheetId="1">#REF!</definedName>
    <definedName name="Equity_Period" localSheetId="33">#REF!</definedName>
    <definedName name="Equity_Period" localSheetId="31">#REF!</definedName>
    <definedName name="Equity_Period" localSheetId="7">#REF!</definedName>
    <definedName name="Equity_Period" localSheetId="34">#REF!</definedName>
    <definedName name="Equity_Period" localSheetId="6">#REF!</definedName>
    <definedName name="Equity_Period" localSheetId="3">#REF!</definedName>
    <definedName name="Equity_Period" localSheetId="30">#REF!</definedName>
    <definedName name="Equity_Period" localSheetId="20">#REF!</definedName>
    <definedName name="Equity_Period">#REF!</definedName>
    <definedName name="Equity_Rate" localSheetId="12">CONE_Calculations!$D$26</definedName>
    <definedName name="Escalation_Rate" localSheetId="5">[1]CONE_Calculations!$E$8</definedName>
    <definedName name="Escalation_Rate" localSheetId="32">#REF!</definedName>
    <definedName name="Escalation_Rate" localSheetId="29">#REF!</definedName>
    <definedName name="Escalation_Rate" localSheetId="35">#REF!</definedName>
    <definedName name="Escalation_Rate" localSheetId="33">#REF!</definedName>
    <definedName name="Escalation_Rate" localSheetId="31">[2]CONE_Calculations!$E$7</definedName>
    <definedName name="Escalation_Rate" localSheetId="34">#REF!</definedName>
    <definedName name="Escalation_Rate" localSheetId="6">[1]CONE_Calculations!$E$8</definedName>
    <definedName name="Escalation_Rate" localSheetId="30">[2]CONE_Calculations!$E$7</definedName>
    <definedName name="Escalation_Rate">CONE_Calculations!$E$8</definedName>
    <definedName name="Eval_Period" localSheetId="19">#REF!</definedName>
    <definedName name="Eval_Period" localSheetId="16">#REF!</definedName>
    <definedName name="Eval_Period" localSheetId="21">#REF!</definedName>
    <definedName name="Eval_Period" localSheetId="5">#REF!</definedName>
    <definedName name="Eval_Period" localSheetId="2">#REF!</definedName>
    <definedName name="Eval_Period" localSheetId="32">#REF!</definedName>
    <definedName name="Eval_Period" localSheetId="29">#REF!</definedName>
    <definedName name="Eval_Period" localSheetId="15">#REF!</definedName>
    <definedName name="Eval_Period" localSheetId="35">#REF!</definedName>
    <definedName name="Eval_Period" localSheetId="4">#REF!</definedName>
    <definedName name="Eval_Period" localSheetId="1">#REF!</definedName>
    <definedName name="Eval_Period" localSheetId="33">#REF!</definedName>
    <definedName name="Eval_Period" localSheetId="31">#REF!</definedName>
    <definedName name="Eval_Period" localSheetId="7">#REF!</definedName>
    <definedName name="Eval_Period" localSheetId="34">#REF!</definedName>
    <definedName name="Eval_Period" localSheetId="6">#REF!</definedName>
    <definedName name="Eval_Period" localSheetId="3">#REF!</definedName>
    <definedName name="Eval_Period" localSheetId="30">#REF!</definedName>
    <definedName name="Eval_Period" localSheetId="20">#REF!</definedName>
    <definedName name="Eval_Period">#REF!</definedName>
    <definedName name="EvalPeriod" localSheetId="19">#REF!</definedName>
    <definedName name="EvalPeriod" localSheetId="16">#REF!</definedName>
    <definedName name="EvalPeriod" localSheetId="21">#REF!</definedName>
    <definedName name="EvalPeriod" localSheetId="5">#REF!</definedName>
    <definedName name="EvalPeriod" localSheetId="2">#REF!</definedName>
    <definedName name="EvalPeriod" localSheetId="32">#REF!</definedName>
    <definedName name="EvalPeriod" localSheetId="29">#REF!</definedName>
    <definedName name="EvalPeriod" localSheetId="15">#REF!</definedName>
    <definedName name="EvalPeriod" localSheetId="35">#REF!</definedName>
    <definedName name="EvalPeriod" localSheetId="4">#REF!</definedName>
    <definedName name="EvalPeriod" localSheetId="1">#REF!</definedName>
    <definedName name="EvalPeriod" localSheetId="33">#REF!</definedName>
    <definedName name="EvalPeriod" localSheetId="31">#REF!</definedName>
    <definedName name="EvalPeriod" localSheetId="7">#REF!</definedName>
    <definedName name="EvalPeriod" localSheetId="34">#REF!</definedName>
    <definedName name="EvalPeriod" localSheetId="6">#REF!</definedName>
    <definedName name="EvalPeriod" localSheetId="3">#REF!</definedName>
    <definedName name="EvalPeriod" localSheetId="30">#REF!</definedName>
    <definedName name="EvalPeriod" localSheetId="20">#REF!</definedName>
    <definedName name="EvalPeriod">#REF!</definedName>
    <definedName name="f" localSheetId="19">#REF!</definedName>
    <definedName name="f" localSheetId="16">#REF!</definedName>
    <definedName name="f" localSheetId="21">#REF!</definedName>
    <definedName name="f" localSheetId="5">#REF!</definedName>
    <definedName name="f" localSheetId="2">#REF!</definedName>
    <definedName name="f" localSheetId="32">#REF!</definedName>
    <definedName name="f" localSheetId="29">#REF!</definedName>
    <definedName name="f" localSheetId="15">#REF!</definedName>
    <definedName name="f" localSheetId="35">#REF!</definedName>
    <definedName name="f" localSheetId="4">#REF!</definedName>
    <definedName name="f" localSheetId="1">#REF!</definedName>
    <definedName name="f" localSheetId="33">#REF!</definedName>
    <definedName name="f" localSheetId="31">#REF!</definedName>
    <definedName name="f" localSheetId="7">#REF!</definedName>
    <definedName name="f" localSheetId="34">#REF!</definedName>
    <definedName name="f" localSheetId="6">#REF!</definedName>
    <definedName name="f" localSheetId="3">#REF!</definedName>
    <definedName name="f" localSheetId="30">#REF!</definedName>
    <definedName name="f" localSheetId="20">#REF!</definedName>
    <definedName name="f">#REF!</definedName>
    <definedName name="Fed_Tax" localSheetId="19">#REF!</definedName>
    <definedName name="Fed_Tax" localSheetId="16">#REF!</definedName>
    <definedName name="Fed_Tax" localSheetId="21">#REF!</definedName>
    <definedName name="Fed_Tax" localSheetId="5">#REF!</definedName>
    <definedName name="Fed_Tax" localSheetId="2">#REF!</definedName>
    <definedName name="Fed_Tax" localSheetId="32">#REF!</definedName>
    <definedName name="Fed_Tax" localSheetId="29">#REF!</definedName>
    <definedName name="Fed_Tax" localSheetId="15">#REF!</definedName>
    <definedName name="Fed_Tax" localSheetId="35">#REF!</definedName>
    <definedName name="Fed_Tax" localSheetId="4">#REF!</definedName>
    <definedName name="Fed_Tax" localSheetId="1">#REF!</definedName>
    <definedName name="Fed_Tax" localSheetId="33">#REF!</definedName>
    <definedName name="Fed_Tax" localSheetId="31">#REF!</definedName>
    <definedName name="Fed_Tax" localSheetId="7">#REF!</definedName>
    <definedName name="Fed_Tax" localSheetId="34">#REF!</definedName>
    <definedName name="Fed_Tax" localSheetId="6">#REF!</definedName>
    <definedName name="Fed_Tax" localSheetId="3">#REF!</definedName>
    <definedName name="Fed_Tax" localSheetId="30">#REF!</definedName>
    <definedName name="Fed_Tax" localSheetId="20">#REF!</definedName>
    <definedName name="Fed_Tax">#REF!</definedName>
    <definedName name="FF" localSheetId="19">SUMIF(#REF!,"FR",#REF!)</definedName>
    <definedName name="FF" localSheetId="16">SUMIF('BESS_Capital Costs_Nominal$'!#REF!,"FR",'BESS_Capital Costs_Nominal$'!#REF!)</definedName>
    <definedName name="FF" localSheetId="21">SUMIF(#REF!,"FR",#REF!)</definedName>
    <definedName name="FF" localSheetId="5">SUMIF('Capital Costs - BESS'!#REF!,"FR",'Capital Costs - BESS'!#REF!)</definedName>
    <definedName name="FF" localSheetId="2">SUMIF('Capital Costs - Gas'!#REF!,"FR",'Capital Costs - Gas'!$J$9:$J$994)</definedName>
    <definedName name="FF" localSheetId="32">SUMIF(#REF!,"FR",#REF!)</definedName>
    <definedName name="FF" localSheetId="15">SUMIF('Capital Costs_Nominal$'!#REF!,"FR",'Capital Costs_Nominal$'!$M$17:$M$1008)</definedName>
    <definedName name="FF" localSheetId="35">SUMIF(#REF!,"FR",#REF!)</definedName>
    <definedName name="FF" localSheetId="4">SUMIF(#REF!,"FR",#REF!)</definedName>
    <definedName name="FF" localSheetId="1">SUMIF(#REF!,"FR",#REF!)</definedName>
    <definedName name="FF" localSheetId="33">SUMIF(#REF!,"FR",#REF!)</definedName>
    <definedName name="FF" localSheetId="31">SUMIF(#REF!,"FR",#REF!)</definedName>
    <definedName name="FF" localSheetId="7">SUMIF(#REF!,"FR",#REF!)</definedName>
    <definedName name="FF" localSheetId="34">SUMIF(#REF!,"FR",#REF!)</definedName>
    <definedName name="FF" localSheetId="6">SUMIF(#REF!,"FR",#REF!)</definedName>
    <definedName name="FF" localSheetId="3">SUMIF(#REF!,"FR",#REF!)</definedName>
    <definedName name="FF" localSheetId="30">SUMIF(#REF!,"FR",#REF!)</definedName>
    <definedName name="FF">SUMIF(#REF!,"FR",#REF!)</definedName>
    <definedName name="FFFF" localSheetId="19">SUMIF(#REF!,"FR",#REF!)</definedName>
    <definedName name="FFFF" localSheetId="16">SUMIF('BESS_Capital Costs_Nominal$'!#REF!,"FR",'BESS_Capital Costs_Nominal$'!#REF!)</definedName>
    <definedName name="FFFF" localSheetId="21">SUMIF(#REF!,"FR",#REF!)</definedName>
    <definedName name="FFFF" localSheetId="5">SUMIF('Capital Costs - BESS'!#REF!,"FR",'Capital Costs - BESS'!#REF!)</definedName>
    <definedName name="FFFF" localSheetId="2">SUMIF('Capital Costs - Gas'!#REF!,"FR",'Capital Costs - Gas'!$J$9:$J$994)</definedName>
    <definedName name="FFFF" localSheetId="32">SUMIF(#REF!,"FR",#REF!)</definedName>
    <definedName name="FFFF" localSheetId="15">SUMIF('Capital Costs_Nominal$'!#REF!,"FR",'Capital Costs_Nominal$'!$M$17:$M$1008)</definedName>
    <definedName name="FFFF" localSheetId="35">SUMIF(#REF!,"FR",#REF!)</definedName>
    <definedName name="FFFF" localSheetId="4">SUMIF(#REF!,"FR",#REF!)</definedName>
    <definedName name="FFFF" localSheetId="1">SUMIF(#REF!,"FR",#REF!)</definedName>
    <definedName name="FFFF" localSheetId="33">SUMIF(#REF!,"FR",#REF!)</definedName>
    <definedName name="FFFF" localSheetId="31">SUMIF(#REF!,"FR",#REF!)</definedName>
    <definedName name="FFFF" localSheetId="7">SUMIF(#REF!,"FR",#REF!)</definedName>
    <definedName name="FFFF" localSheetId="34">SUMIF(#REF!,"FR",#REF!)</definedName>
    <definedName name="FFFF" localSheetId="6">SUMIF(#REF!,"FR",#REF!)</definedName>
    <definedName name="FFFF" localSheetId="3">SUMIF(#REF!,"FR",#REF!)</definedName>
    <definedName name="FFFF" localSheetId="30">SUMIF(#REF!,"FR",#REF!)</definedName>
    <definedName name="FFFF">SUMIF(#REF!,"FR",#REF!)</definedName>
    <definedName name="FR" localSheetId="19">SUMIF(#REF!,"FR",#REF!)</definedName>
    <definedName name="FR" localSheetId="16">SUMIF('BESS_Capital Costs_Nominal$'!#REF!,"FR",'BESS_Capital Costs_Nominal$'!#REF!)</definedName>
    <definedName name="FR" localSheetId="21">SUMIF(#REF!,"FR",#REF!)</definedName>
    <definedName name="FR" localSheetId="5">SUMIF('Capital Costs - BESS'!#REF!,"FR",'Capital Costs - BESS'!#REF!)</definedName>
    <definedName name="FR" localSheetId="2">SUMIF('Capital Costs - Gas'!#REF!,"FR",'Capital Costs - Gas'!$J$9:$J$991)</definedName>
    <definedName name="FR" localSheetId="32">SUMIF(#REF!,"FR",#REF!)</definedName>
    <definedName name="FR" localSheetId="15">SUMIF('Capital Costs_Nominal$'!#REF!,"FR",'Capital Costs_Nominal$'!$M$17:$M$1005)</definedName>
    <definedName name="FR" localSheetId="35">SUMIF(#REF!,"FR",#REF!)</definedName>
    <definedName name="FR" localSheetId="4">SUMIF(#REF!,"FR",#REF!)</definedName>
    <definedName name="FR" localSheetId="1">SUMIF(#REF!,"FR",#REF!)</definedName>
    <definedName name="FR" localSheetId="33">SUMIF(#REF!,"FR",#REF!)</definedName>
    <definedName name="FR" localSheetId="31">SUMIF(#REF!,"FR",#REF!)</definedName>
    <definedName name="FR" localSheetId="7">SUMIF(#REF!,"FR",#REF!)</definedName>
    <definedName name="FR" localSheetId="34">SUMIF(#REF!,"FR",#REF!)</definedName>
    <definedName name="FR" localSheetId="6">SUMIF(#REF!,"FR",#REF!)</definedName>
    <definedName name="FR" localSheetId="3">SUMIF(#REF!,"FR",#REF!)</definedName>
    <definedName name="FR" localSheetId="30">SUMIF(#REF!,"FR",#REF!)</definedName>
    <definedName name="FR">SUMIF(#REF!,"FR",#REF!)</definedName>
    <definedName name="FRPerc">0.045</definedName>
    <definedName name="fuel" localSheetId="19">CONE_Calculations!#REF!</definedName>
    <definedName name="fuel" localSheetId="16">CONE_Calculations!#REF!</definedName>
    <definedName name="fuel" localSheetId="21">CONE_Calculations!#REF!</definedName>
    <definedName name="fuel" localSheetId="5">[1]CONE_Calculations!#REF!</definedName>
    <definedName name="fuel" localSheetId="2">CONE_Calculations!#REF!</definedName>
    <definedName name="fuel" localSheetId="32">#REF!</definedName>
    <definedName name="fuel" localSheetId="29">#REF!</definedName>
    <definedName name="fuel" localSheetId="35">#REF!</definedName>
    <definedName name="fuel" localSheetId="4">CONE_Calculations!#REF!</definedName>
    <definedName name="fuel" localSheetId="1">CONE_Calculations!#REF!</definedName>
    <definedName name="fuel" localSheetId="33">#REF!</definedName>
    <definedName name="fuel" localSheetId="31">[2]CONE_Calculations!#REF!</definedName>
    <definedName name="fuel" localSheetId="7">CONE_Calculations!#REF!</definedName>
    <definedName name="fuel" localSheetId="34">#REF!</definedName>
    <definedName name="fuel" localSheetId="6">[1]CONE_Calculations!#REF!</definedName>
    <definedName name="fuel" localSheetId="3">CONE_Calculations!#REF!</definedName>
    <definedName name="fuel" localSheetId="30">[2]CONE_Calculations!#REF!</definedName>
    <definedName name="fuel">CONE_Calculations!#REF!</definedName>
    <definedName name="Fuel1" localSheetId="19">#REF!</definedName>
    <definedName name="Fuel1" localSheetId="16">#REF!</definedName>
    <definedName name="Fuel1" localSheetId="21">#REF!</definedName>
    <definedName name="Fuel1" localSheetId="5">#REF!</definedName>
    <definedName name="Fuel1" localSheetId="2">#REF!</definedName>
    <definedName name="Fuel1" localSheetId="32">#REF!</definedName>
    <definedName name="Fuel1" localSheetId="29">#REF!</definedName>
    <definedName name="Fuel1" localSheetId="15">#REF!</definedName>
    <definedName name="Fuel1" localSheetId="35">#REF!</definedName>
    <definedName name="Fuel1" localSheetId="4">#REF!</definedName>
    <definedName name="Fuel1" localSheetId="1">#REF!</definedName>
    <definedName name="Fuel1" localSheetId="33">#REF!</definedName>
    <definedName name="Fuel1" localSheetId="31">#REF!</definedName>
    <definedName name="Fuel1" localSheetId="7">#REF!</definedName>
    <definedName name="Fuel1" localSheetId="34">#REF!</definedName>
    <definedName name="Fuel1" localSheetId="6">#REF!</definedName>
    <definedName name="Fuel1" localSheetId="3">#REF!</definedName>
    <definedName name="Fuel1" localSheetId="30">#REF!</definedName>
    <definedName name="Fuel1" localSheetId="20">#REF!</definedName>
    <definedName name="Fuel1">#REF!</definedName>
    <definedName name="generationinputsheet" localSheetId="19">#REF!</definedName>
    <definedName name="generationinputsheet" localSheetId="16">#REF!</definedName>
    <definedName name="generationinputsheet" localSheetId="21">#REF!</definedName>
    <definedName name="generationinputsheet" localSheetId="5">#REF!</definedName>
    <definedName name="generationinputsheet" localSheetId="2">#REF!</definedName>
    <definedName name="generationinputsheet" localSheetId="32">#REF!</definedName>
    <definedName name="generationinputsheet" localSheetId="29">#REF!</definedName>
    <definedName name="generationinputsheet" localSheetId="15">#REF!</definedName>
    <definedName name="generationinputsheet" localSheetId="35">#REF!</definedName>
    <definedName name="generationinputsheet" localSheetId="4">#REF!</definedName>
    <definedName name="generationinputsheet" localSheetId="1">#REF!</definedName>
    <definedName name="generationinputsheet" localSheetId="33">#REF!</definedName>
    <definedName name="generationinputsheet" localSheetId="31">#REF!</definedName>
    <definedName name="generationinputsheet" localSheetId="7">#REF!</definedName>
    <definedName name="generationinputsheet" localSheetId="34">#REF!</definedName>
    <definedName name="generationinputsheet" localSheetId="6">#REF!</definedName>
    <definedName name="generationinputsheet" localSheetId="3">#REF!</definedName>
    <definedName name="generationinputsheet" localSheetId="30">#REF!</definedName>
    <definedName name="generationinputsheet" localSheetId="20">#REF!</definedName>
    <definedName name="generationinputsheet">#REF!</definedName>
    <definedName name="HTML_CodePage" hidden="1">1252</definedName>
    <definedName name="HTML_Control" localSheetId="5" hidden="1">{"'Sheet1'!$A$1:$R$155"}</definedName>
    <definedName name="HTML_Control" localSheetId="32" hidden="1">{"'Sheet1'!$A$1:$R$155"}</definedName>
    <definedName name="HTML_Control" localSheetId="29" hidden="1">{"'Sheet1'!$A$1:$R$155"}</definedName>
    <definedName name="HTML_Control" localSheetId="35" hidden="1">{"'Sheet1'!$A$1:$R$155"}</definedName>
    <definedName name="HTML_Control" localSheetId="33" hidden="1">{"'Sheet1'!$A$1:$R$155"}</definedName>
    <definedName name="HTML_Control" localSheetId="31" hidden="1">{"'Sheet1'!$A$1:$R$155"}</definedName>
    <definedName name="HTML_Control" localSheetId="34" hidden="1">{"'Sheet1'!$A$1:$R$155"}</definedName>
    <definedName name="HTML_Control" localSheetId="6" hidden="1">{"'Sheet1'!$A$1:$R$155"}</definedName>
    <definedName name="HTML_Control" localSheetId="30" hidden="1">{"'Sheet1'!$A$1:$R$155"}</definedName>
    <definedName name="HTML_Control" localSheetId="26" hidden="1">{"'Sheet1'!$A$1:$R$155"}</definedName>
    <definedName name="HTML_Control" hidden="1">{"'Sheet1'!$A$1:$R$155"}</definedName>
    <definedName name="HTML_Control_Ori" localSheetId="5" hidden="1">{"'Sheet1'!$A$14:$K$113"}</definedName>
    <definedName name="HTML_Control_Ori" localSheetId="32" hidden="1">{"'Sheet1'!$A$14:$K$113"}</definedName>
    <definedName name="HTML_Control_Ori" localSheetId="29" hidden="1">{"'Sheet1'!$A$14:$K$113"}</definedName>
    <definedName name="HTML_Control_Ori" localSheetId="35" hidden="1">{"'Sheet1'!$A$14:$K$113"}</definedName>
    <definedName name="HTML_Control_Ori" localSheetId="33" hidden="1">{"'Sheet1'!$A$14:$K$113"}</definedName>
    <definedName name="HTML_Control_Ori" localSheetId="31" hidden="1">{"'Sheet1'!$A$14:$K$113"}</definedName>
    <definedName name="HTML_Control_Ori" localSheetId="34" hidden="1">{"'Sheet1'!$A$14:$K$113"}</definedName>
    <definedName name="HTML_Control_Ori" localSheetId="6" hidden="1">{"'Sheet1'!$A$14:$K$113"}</definedName>
    <definedName name="HTML_Control_Ori" localSheetId="30" hidden="1">{"'Sheet1'!$A$14:$K$113"}</definedName>
    <definedName name="HTML_Control_Ori" localSheetId="26" hidden="1">{"'Sheet1'!$A$14:$K$113"}</definedName>
    <definedName name="HTML_Control_Ori" hidden="1">{"'Sheet1'!$A$14:$K$113"}</definedName>
    <definedName name="HTML_Description" hidden="1">""</definedName>
    <definedName name="HTML_Email" hidden="1">""</definedName>
    <definedName name="HTML_Header" hidden="1">""</definedName>
    <definedName name="HTML_LastUpdate" hidden="1">"11/02/2001"</definedName>
    <definedName name="HTML_LineAfter" hidden="1">TRUE</definedName>
    <definedName name="HTML_LineBefore" hidden="1">FALSE</definedName>
    <definedName name="HTML_Name" hidden="1">"BLynch"</definedName>
    <definedName name="HTML_OBDlg2" hidden="1">TRUE</definedName>
    <definedName name="HTML_OBDlg4" hidden="1">TRUE</definedName>
    <definedName name="HTML_OS" hidden="1">0</definedName>
    <definedName name="HTML_PathFile" hidden="1">"I:\SIS Applications\MyHTML-SIS-110201.htm"</definedName>
    <definedName name="HTML_PathFileMac" hidden="1">"Bob's G4:Desktop Folder:MyHTML.html"</definedName>
    <definedName name="HTML_Title" hidden="1">"Interconnection Study Status"</definedName>
    <definedName name="HTMLcontrol" localSheetId="5" hidden="1">{"'Sheet1'!$A$1:$R$155"}</definedName>
    <definedName name="HTMLcontrol" localSheetId="32" hidden="1">{"'Sheet1'!$A$1:$R$155"}</definedName>
    <definedName name="HTMLcontrol" localSheetId="29" hidden="1">{"'Sheet1'!$A$1:$R$155"}</definedName>
    <definedName name="HTMLcontrol" localSheetId="35" hidden="1">{"'Sheet1'!$A$1:$R$155"}</definedName>
    <definedName name="HTMLcontrol" localSheetId="33" hidden="1">{"'Sheet1'!$A$1:$R$155"}</definedName>
    <definedName name="HTMLcontrol" localSheetId="31" hidden="1">{"'Sheet1'!$A$1:$R$155"}</definedName>
    <definedName name="HTMLcontrol" localSheetId="34" hidden="1">{"'Sheet1'!$A$1:$R$155"}</definedName>
    <definedName name="HTMLcontrol" localSheetId="6" hidden="1">{"'Sheet1'!$A$1:$R$155"}</definedName>
    <definedName name="HTMLcontrol" localSheetId="30" hidden="1">{"'Sheet1'!$A$1:$R$155"}</definedName>
    <definedName name="HTMLcontrol" hidden="1">{"'Sheet1'!$A$1:$R$155"}</definedName>
    <definedName name="HTMLControlOri" localSheetId="5" hidden="1">{"'Sheet1'!$A$14:$K$113"}</definedName>
    <definedName name="HTMLControlOri" localSheetId="32" hidden="1">{"'Sheet1'!$A$14:$K$113"}</definedName>
    <definedName name="HTMLControlOri" localSheetId="29" hidden="1">{"'Sheet1'!$A$14:$K$113"}</definedName>
    <definedName name="HTMLControlOri" localSheetId="35" hidden="1">{"'Sheet1'!$A$14:$K$113"}</definedName>
    <definedName name="HTMLControlOri" localSheetId="33" hidden="1">{"'Sheet1'!$A$14:$K$113"}</definedName>
    <definedName name="HTMLControlOri" localSheetId="31" hidden="1">{"'Sheet1'!$A$14:$K$113"}</definedName>
    <definedName name="HTMLControlOri" localSheetId="34" hidden="1">{"'Sheet1'!$A$14:$K$113"}</definedName>
    <definedName name="HTMLControlOri" localSheetId="6" hidden="1">{"'Sheet1'!$A$14:$K$113"}</definedName>
    <definedName name="HTMLControlOri" localSheetId="30" hidden="1">{"'Sheet1'!$A$14:$K$113"}</definedName>
    <definedName name="HTMLControlOri" hidden="1">{"'Sheet1'!$A$14:$K$113"}</definedName>
    <definedName name="i_at" localSheetId="19">#REF!</definedName>
    <definedName name="i_at" localSheetId="16">#REF!</definedName>
    <definedName name="i_at" localSheetId="21">#REF!</definedName>
    <definedName name="i_at" localSheetId="5">#REF!</definedName>
    <definedName name="i_at" localSheetId="2">#REF!</definedName>
    <definedName name="i_at" localSheetId="32">#REF!</definedName>
    <definedName name="i_at" localSheetId="29">#REF!</definedName>
    <definedName name="i_at" localSheetId="15">#REF!</definedName>
    <definedName name="i_at" localSheetId="35">#REF!</definedName>
    <definedName name="i_at" localSheetId="4">#REF!</definedName>
    <definedName name="i_at" localSheetId="1">#REF!</definedName>
    <definedName name="i_at" localSheetId="33">#REF!</definedName>
    <definedName name="i_at" localSheetId="31">#REF!</definedName>
    <definedName name="i_at" localSheetId="7">#REF!</definedName>
    <definedName name="i_at" localSheetId="34">#REF!</definedName>
    <definedName name="i_at" localSheetId="6">#REF!</definedName>
    <definedName name="i_at" localSheetId="3">#REF!</definedName>
    <definedName name="i_at" localSheetId="30">#REF!</definedName>
    <definedName name="i_at" localSheetId="20">#REF!</definedName>
    <definedName name="i_at">#REF!</definedName>
    <definedName name="iat" localSheetId="19">#REF!</definedName>
    <definedName name="iat" localSheetId="16">#REF!</definedName>
    <definedName name="iat" localSheetId="21">#REF!</definedName>
    <definedName name="iat" localSheetId="5">#REF!</definedName>
    <definedName name="iat" localSheetId="2">#REF!</definedName>
    <definedName name="iat" localSheetId="32">#REF!</definedName>
    <definedName name="iat" localSheetId="29">#REF!</definedName>
    <definedName name="iat" localSheetId="15">#REF!</definedName>
    <definedName name="iat" localSheetId="35">#REF!</definedName>
    <definedName name="iat" localSheetId="4">#REF!</definedName>
    <definedName name="iat" localSheetId="1">#REF!</definedName>
    <definedName name="iat" localSheetId="33">#REF!</definedName>
    <definedName name="iat" localSheetId="31">#REF!</definedName>
    <definedName name="iat" localSheetId="7">#REF!</definedName>
    <definedName name="iat" localSheetId="34">#REF!</definedName>
    <definedName name="iat" localSheetId="6">#REF!</definedName>
    <definedName name="iat" localSheetId="3">#REF!</definedName>
    <definedName name="iat" localSheetId="30">#REF!</definedName>
    <definedName name="iat" localSheetId="20">#REF!</definedName>
    <definedName name="iat">#REF!</definedName>
    <definedName name="incentives_invest">'[3]DR &amp; EE Inputs'!$L$154</definedName>
    <definedName name="Inflation" localSheetId="19">#REF!</definedName>
    <definedName name="Inflation" localSheetId="16">#REF!</definedName>
    <definedName name="Inflation" localSheetId="21">#REF!</definedName>
    <definedName name="Inflation" localSheetId="5">#REF!</definedName>
    <definedName name="Inflation" localSheetId="2">#REF!</definedName>
    <definedName name="Inflation" localSheetId="32">#REF!</definedName>
    <definedName name="Inflation" localSheetId="29">#REF!</definedName>
    <definedName name="Inflation" localSheetId="15">#REF!</definedName>
    <definedName name="Inflation" localSheetId="35">#REF!</definedName>
    <definedName name="Inflation" localSheetId="4">#REF!</definedName>
    <definedName name="Inflation" localSheetId="1">#REF!</definedName>
    <definedName name="Inflation" localSheetId="12">CONE_Calculations!$D$32</definedName>
    <definedName name="Inflation" localSheetId="33">#REF!</definedName>
    <definedName name="Inflation" localSheetId="31">#REF!</definedName>
    <definedName name="Inflation" localSheetId="7">#REF!</definedName>
    <definedName name="Inflation" localSheetId="34">#REF!</definedName>
    <definedName name="Inflation" localSheetId="6">#REF!</definedName>
    <definedName name="Inflation" localSheetId="3">#REF!</definedName>
    <definedName name="Inflation" localSheetId="30">#REF!</definedName>
    <definedName name="Inflation" localSheetId="20">#REF!</definedName>
    <definedName name="Inflation">#REF!</definedName>
    <definedName name="inputsheet" localSheetId="19">#REF!</definedName>
    <definedName name="inputsheet" localSheetId="16">#REF!</definedName>
    <definedName name="inputsheet" localSheetId="21">#REF!</definedName>
    <definedName name="inputsheet" localSheetId="5">#REF!</definedName>
    <definedName name="inputsheet" localSheetId="2">#REF!</definedName>
    <definedName name="inputsheet" localSheetId="32">#REF!</definedName>
    <definedName name="inputsheet" localSheetId="29">#REF!</definedName>
    <definedName name="inputsheet" localSheetId="15">#REF!</definedName>
    <definedName name="inputsheet" localSheetId="35">#REF!</definedName>
    <definedName name="inputsheet" localSheetId="4">#REF!</definedName>
    <definedName name="inputsheet" localSheetId="1">#REF!</definedName>
    <definedName name="inputsheet" localSheetId="33">#REF!</definedName>
    <definedName name="inputsheet" localSheetId="31">#REF!</definedName>
    <definedName name="inputsheet" localSheetId="7">#REF!</definedName>
    <definedName name="inputsheet" localSheetId="34">#REF!</definedName>
    <definedName name="inputsheet" localSheetId="6">#REF!</definedName>
    <definedName name="inputsheet" localSheetId="3">#REF!</definedName>
    <definedName name="inputsheet" localSheetId="30">#REF!</definedName>
    <definedName name="inputsheet" localSheetId="20">#REF!</definedName>
    <definedName name="inputsheet">#REF!</definedName>
    <definedName name="Ins_Rate" localSheetId="19">#REF!</definedName>
    <definedName name="Ins_Rate" localSheetId="16">#REF!</definedName>
    <definedName name="Ins_Rate" localSheetId="21">#REF!</definedName>
    <definedName name="Ins_Rate" localSheetId="5">#REF!</definedName>
    <definedName name="Ins_Rate" localSheetId="2">#REF!</definedName>
    <definedName name="Ins_Rate" localSheetId="32">#REF!</definedName>
    <definedName name="Ins_Rate" localSheetId="29">#REF!</definedName>
    <definedName name="Ins_Rate" localSheetId="15">#REF!</definedName>
    <definedName name="Ins_Rate" localSheetId="35">#REF!</definedName>
    <definedName name="Ins_Rate" localSheetId="4">#REF!</definedName>
    <definedName name="Ins_Rate" localSheetId="1">#REF!</definedName>
    <definedName name="Ins_Rate" localSheetId="33">#REF!</definedName>
    <definedName name="Ins_Rate" localSheetId="31">#REF!</definedName>
    <definedName name="Ins_Rate" localSheetId="7">#REF!</definedName>
    <definedName name="Ins_Rate" localSheetId="34">#REF!</definedName>
    <definedName name="Ins_Rate" localSheetId="6">#REF!</definedName>
    <definedName name="Ins_Rate" localSheetId="3">#REF!</definedName>
    <definedName name="Ins_Rate" localSheetId="30">#REF!</definedName>
    <definedName name="Ins_Rate" localSheetId="20">#REF!</definedName>
    <definedName name="Ins_Rate">#REF!</definedName>
    <definedName name="INS_remove" localSheetId="19">#REF!</definedName>
    <definedName name="INS_remove" localSheetId="16">#REF!</definedName>
    <definedName name="INS_remove" localSheetId="21">#REF!</definedName>
    <definedName name="INS_remove" localSheetId="5">#REF!</definedName>
    <definedName name="INS_remove" localSheetId="2">#REF!</definedName>
    <definedName name="INS_remove" localSheetId="32">#REF!</definedName>
    <definedName name="INS_remove" localSheetId="29">#REF!</definedName>
    <definedName name="INS_remove" localSheetId="15">#REF!</definedName>
    <definedName name="INS_remove" localSheetId="35">#REF!</definedName>
    <definedName name="INS_remove" localSheetId="4">#REF!</definedName>
    <definedName name="INS_remove" localSheetId="1">#REF!</definedName>
    <definedName name="INS_remove" localSheetId="33">#REF!</definedName>
    <definedName name="INS_remove" localSheetId="31">#REF!</definedName>
    <definedName name="INS_remove" localSheetId="7">#REF!</definedName>
    <definedName name="INS_remove" localSheetId="34">#REF!</definedName>
    <definedName name="INS_remove" localSheetId="6">#REF!</definedName>
    <definedName name="INS_remove" localSheetId="3">#REF!</definedName>
    <definedName name="INS_remove" localSheetId="30">#REF!</definedName>
    <definedName name="INS_remove" localSheetId="20">#REF!</definedName>
    <definedName name="INS_remove">#REF!</definedName>
    <definedName name="Installed_Cost" localSheetId="5">[1]CONE_Calculations!$D$16</definedName>
    <definedName name="Installed_Cost" localSheetId="32">#REF!</definedName>
    <definedName name="Installed_Cost" localSheetId="29">#REF!</definedName>
    <definedName name="Installed_Cost" localSheetId="35">#REF!</definedName>
    <definedName name="Installed_Cost" localSheetId="33">#REF!</definedName>
    <definedName name="Installed_Cost" localSheetId="31">[2]CONE_Calculations!$D$15</definedName>
    <definedName name="Installed_Cost" localSheetId="34">#REF!</definedName>
    <definedName name="Installed_Cost" localSheetId="6">[1]CONE_Calculations!$D$16</definedName>
    <definedName name="Installed_Cost" localSheetId="30">[2]CONE_Calculations!$D$15</definedName>
    <definedName name="Installed_Cost">CONE_Calculations!$D$16</definedName>
    <definedName name="InstalledCost" localSheetId="19">#REF!</definedName>
    <definedName name="InstalledCost" localSheetId="16">#REF!</definedName>
    <definedName name="InstalledCost" localSheetId="21">#REF!</definedName>
    <definedName name="InstalledCost" localSheetId="5">#REF!</definedName>
    <definedName name="InstalledCost" localSheetId="2">#REF!</definedName>
    <definedName name="InstalledCost" localSheetId="32">#REF!</definedName>
    <definedName name="InstalledCost" localSheetId="29">#REF!</definedName>
    <definedName name="InstalledCost" localSheetId="15">#REF!</definedName>
    <definedName name="InstalledCost" localSheetId="35">#REF!</definedName>
    <definedName name="InstalledCost" localSheetId="4">#REF!</definedName>
    <definedName name="InstalledCost" localSheetId="1">#REF!</definedName>
    <definedName name="InstalledCost" localSheetId="33">#REF!</definedName>
    <definedName name="InstalledCost" localSheetId="31">#REF!</definedName>
    <definedName name="InstalledCost" localSheetId="7">#REF!</definedName>
    <definedName name="InstalledCost" localSheetId="34">#REF!</definedName>
    <definedName name="InstalledCost" localSheetId="6">#REF!</definedName>
    <definedName name="InstalledCost" localSheetId="3">#REF!</definedName>
    <definedName name="InstalledCost" localSheetId="30">#REF!</definedName>
    <definedName name="InstalledCost" localSheetId="20">#REF!</definedName>
    <definedName name="InstalledCost">#REF!</definedName>
    <definedName name="Interest_During_Construction" localSheetId="19">#REF!</definedName>
    <definedName name="Interest_During_Construction" localSheetId="16">#REF!</definedName>
    <definedName name="Interest_During_Construction" localSheetId="21">#REF!</definedName>
    <definedName name="Interest_During_Construction" localSheetId="5">#REF!</definedName>
    <definedName name="Interest_During_Construction" localSheetId="2">#REF!</definedName>
    <definedName name="Interest_During_Construction" localSheetId="32">#REF!</definedName>
    <definedName name="Interest_During_Construction" localSheetId="29">#REF!</definedName>
    <definedName name="Interest_During_Construction" localSheetId="15">#REF!</definedName>
    <definedName name="Interest_During_Construction" localSheetId="35">#REF!</definedName>
    <definedName name="Interest_During_Construction" localSheetId="4">#REF!</definedName>
    <definedName name="Interest_During_Construction" localSheetId="1">#REF!</definedName>
    <definedName name="Interest_During_Construction" localSheetId="12">CONE_Calculations!$D$36</definedName>
    <definedName name="Interest_During_Construction" localSheetId="33">#REF!</definedName>
    <definedName name="Interest_During_Construction" localSheetId="31">#REF!</definedName>
    <definedName name="Interest_During_Construction" localSheetId="7">#REF!</definedName>
    <definedName name="Interest_During_Construction" localSheetId="34">#REF!</definedName>
    <definedName name="Interest_During_Construction" localSheetId="6">#REF!</definedName>
    <definedName name="Interest_During_Construction" localSheetId="3">#REF!</definedName>
    <definedName name="Interest_During_Construction" localSheetId="30">#REF!</definedName>
    <definedName name="Interest_During_Construction" localSheetId="20">#REF!</definedName>
    <definedName name="Interest_During_Construction">#REF!</definedName>
    <definedName name="Invest_Net" localSheetId="19">#REF!</definedName>
    <definedName name="Invest_Net" localSheetId="16">#REF!</definedName>
    <definedName name="Invest_Net" localSheetId="21">#REF!</definedName>
    <definedName name="Invest_Net" localSheetId="5">#REF!</definedName>
    <definedName name="Invest_Net" localSheetId="2">#REF!</definedName>
    <definedName name="Invest_Net" localSheetId="32">#REF!</definedName>
    <definedName name="Invest_Net" localSheetId="29">#REF!</definedName>
    <definedName name="Invest_Net" localSheetId="15">#REF!</definedName>
    <definedName name="Invest_Net" localSheetId="35">#REF!</definedName>
    <definedName name="Invest_Net" localSheetId="4">#REF!</definedName>
    <definedName name="Invest_Net" localSheetId="1">#REF!</definedName>
    <definedName name="Invest_Net" localSheetId="33">#REF!</definedName>
    <definedName name="Invest_Net" localSheetId="31">#REF!</definedName>
    <definedName name="Invest_Net" localSheetId="7">#REF!</definedName>
    <definedName name="Invest_Net" localSheetId="34">#REF!</definedName>
    <definedName name="Invest_Net" localSheetId="6">#REF!</definedName>
    <definedName name="Invest_Net" localSheetId="3">#REF!</definedName>
    <definedName name="Invest_Net" localSheetId="30">#REF!</definedName>
    <definedName name="Invest_Net" localSheetId="20">#REF!</definedName>
    <definedName name="Invest_Net">#REF!</definedName>
    <definedName name="Investment1" localSheetId="19">#REF!</definedName>
    <definedName name="Investment1" localSheetId="16">#REF!</definedName>
    <definedName name="Investment1" localSheetId="21">#REF!</definedName>
    <definedName name="Investment1" localSheetId="5">#REF!</definedName>
    <definedName name="Investment1" localSheetId="2">#REF!</definedName>
    <definedName name="Investment1" localSheetId="32">#REF!</definedName>
    <definedName name="Investment1" localSheetId="29">#REF!</definedName>
    <definedName name="Investment1" localSheetId="15">#REF!</definedName>
    <definedName name="Investment1" localSheetId="35">#REF!</definedName>
    <definedName name="Investment1" localSheetId="4">#REF!</definedName>
    <definedName name="Investment1" localSheetId="1">#REF!</definedName>
    <definedName name="Investment1" localSheetId="33">#REF!</definedName>
    <definedName name="Investment1" localSheetId="31">#REF!</definedName>
    <definedName name="Investment1" localSheetId="7">#REF!</definedName>
    <definedName name="Investment1" localSheetId="34">#REF!</definedName>
    <definedName name="Investment1" localSheetId="6">#REF!</definedName>
    <definedName name="Investment1" localSheetId="3">#REF!</definedName>
    <definedName name="Investment1" localSheetId="30">#REF!</definedName>
    <definedName name="Investment1" localSheetId="20">#REF!</definedName>
    <definedName name="Investment1">#REF!</definedName>
    <definedName name="InvestNet" localSheetId="19">#REF!</definedName>
    <definedName name="InvestNet" localSheetId="16">#REF!</definedName>
    <definedName name="InvestNet" localSheetId="21">#REF!</definedName>
    <definedName name="InvestNet" localSheetId="5">#REF!</definedName>
    <definedName name="InvestNet" localSheetId="2">#REF!</definedName>
    <definedName name="InvestNet" localSheetId="32">#REF!</definedName>
    <definedName name="InvestNet" localSheetId="29">#REF!</definedName>
    <definedName name="InvestNet" localSheetId="15">#REF!</definedName>
    <definedName name="InvestNet" localSheetId="35">#REF!</definedName>
    <definedName name="InvestNet" localSheetId="4">#REF!</definedName>
    <definedName name="InvestNet" localSheetId="1">#REF!</definedName>
    <definedName name="InvestNet" localSheetId="33">#REF!</definedName>
    <definedName name="InvestNet" localSheetId="31">#REF!</definedName>
    <definedName name="InvestNet" localSheetId="7">#REF!</definedName>
    <definedName name="InvestNet" localSheetId="34">#REF!</definedName>
    <definedName name="InvestNet" localSheetId="6">#REF!</definedName>
    <definedName name="InvestNet" localSheetId="3">#REF!</definedName>
    <definedName name="InvestNet" localSheetId="30">#REF!</definedName>
    <definedName name="InvestNet" localSheetId="20">#REF!</definedName>
    <definedName name="InvestNet">#REF!</definedName>
    <definedName name="labor_invest">'[3]DR &amp; EE Inputs'!$L$152</definedName>
    <definedName name="level" localSheetId="19">#REF!</definedName>
    <definedName name="level" localSheetId="16">#REF!</definedName>
    <definedName name="level" localSheetId="21">#REF!</definedName>
    <definedName name="level" localSheetId="5">#REF!</definedName>
    <definedName name="level" localSheetId="2">#REF!</definedName>
    <definedName name="level" localSheetId="32">#REF!</definedName>
    <definedName name="level" localSheetId="29">#REF!</definedName>
    <definedName name="level" localSheetId="15">#REF!</definedName>
    <definedName name="level" localSheetId="35">#REF!</definedName>
    <definedName name="level" localSheetId="4">#REF!</definedName>
    <definedName name="level" localSheetId="1">#REF!</definedName>
    <definedName name="level" localSheetId="33">#REF!</definedName>
    <definedName name="level" localSheetId="31">#REF!</definedName>
    <definedName name="level" localSheetId="7">#REF!</definedName>
    <definedName name="level" localSheetId="34">#REF!</definedName>
    <definedName name="level" localSheetId="6">#REF!</definedName>
    <definedName name="level" localSheetId="3">#REF!</definedName>
    <definedName name="level" localSheetId="30">#REF!</definedName>
    <definedName name="level" localSheetId="20">#REF!</definedName>
    <definedName name="level">#REF!</definedName>
    <definedName name="level_method" localSheetId="19">#REF!</definedName>
    <definedName name="level_method" localSheetId="16">#REF!</definedName>
    <definedName name="level_method" localSheetId="21">#REF!</definedName>
    <definedName name="level_method" localSheetId="5">#REF!</definedName>
    <definedName name="level_method" localSheetId="2">#REF!</definedName>
    <definedName name="level_method" localSheetId="32">#REF!</definedName>
    <definedName name="level_method" localSheetId="29">#REF!</definedName>
    <definedName name="level_method" localSheetId="15">#REF!</definedName>
    <definedName name="level_method" localSheetId="35">#REF!</definedName>
    <definedName name="level_method" localSheetId="4">#REF!</definedName>
    <definedName name="level_method" localSheetId="1">#REF!</definedName>
    <definedName name="level_method" localSheetId="33">#REF!</definedName>
    <definedName name="level_method" localSheetId="31">#REF!</definedName>
    <definedName name="level_method" localSheetId="7">#REF!</definedName>
    <definedName name="level_method" localSheetId="34">#REF!</definedName>
    <definedName name="level_method" localSheetId="6">#REF!</definedName>
    <definedName name="level_method" localSheetId="3">#REF!</definedName>
    <definedName name="level_method" localSheetId="30">#REF!</definedName>
    <definedName name="level_method" localSheetId="20">#REF!</definedName>
    <definedName name="level_method">#REF!</definedName>
    <definedName name="levelization" localSheetId="29">#REF!</definedName>
    <definedName name="levelization" localSheetId="31">#REF!</definedName>
    <definedName name="levelization" localSheetId="30">#REF!</definedName>
    <definedName name="levelization">CONE_Calculations!$D$8</definedName>
    <definedName name="levelization_method" localSheetId="29">#REF!</definedName>
    <definedName name="levelization_method" localSheetId="31">#REF!</definedName>
    <definedName name="levelization_method" localSheetId="30">#REF!</definedName>
    <definedName name="levelization_method">CONE_Calculations!$F$8:$G$8</definedName>
    <definedName name="leveloutput_1" localSheetId="19">#REF!</definedName>
    <definedName name="leveloutput_1" localSheetId="16">#REF!</definedName>
    <definedName name="leveloutput_1" localSheetId="21">#REF!</definedName>
    <definedName name="leveloutput_1" localSheetId="5">#REF!</definedName>
    <definedName name="leveloutput_1" localSheetId="32">#REF!</definedName>
    <definedName name="leveloutput_1" localSheetId="29">#REF!</definedName>
    <definedName name="leveloutput_1" localSheetId="35">#REF!</definedName>
    <definedName name="leveloutput_1" localSheetId="4">#REF!</definedName>
    <definedName name="leveloutput_1" localSheetId="1">#REF!</definedName>
    <definedName name="leveloutput_1" localSheetId="33">#REF!</definedName>
    <definedName name="leveloutput_1" localSheetId="31">#REF!</definedName>
    <definedName name="leveloutput_1" localSheetId="7">#REF!</definedName>
    <definedName name="leveloutput_1" localSheetId="34">#REF!</definedName>
    <definedName name="leveloutput_1" localSheetId="6">#REF!</definedName>
    <definedName name="leveloutput_1" localSheetId="30">#REF!</definedName>
    <definedName name="leveloutput_1">#REF!</definedName>
    <definedName name="leveloutput_2" localSheetId="19">#REF!</definedName>
    <definedName name="leveloutput_2" localSheetId="16">#REF!</definedName>
    <definedName name="leveloutput_2" localSheetId="21">#REF!</definedName>
    <definedName name="leveloutput_2" localSheetId="5">#REF!</definedName>
    <definedName name="leveloutput_2" localSheetId="32">#REF!</definedName>
    <definedName name="leveloutput_2" localSheetId="29">#REF!</definedName>
    <definedName name="leveloutput_2" localSheetId="35">#REF!</definedName>
    <definedName name="leveloutput_2" localSheetId="4">#REF!</definedName>
    <definedName name="leveloutput_2" localSheetId="1">#REF!</definedName>
    <definedName name="leveloutput_2" localSheetId="33">#REF!</definedName>
    <definedName name="leveloutput_2" localSheetId="31">#REF!</definedName>
    <definedName name="leveloutput_2" localSheetId="7">#REF!</definedName>
    <definedName name="leveloutput_2" localSheetId="34">#REF!</definedName>
    <definedName name="leveloutput_2" localSheetId="6">#REF!</definedName>
    <definedName name="leveloutput_2" localSheetId="30">#REF!</definedName>
    <definedName name="leveloutput_2">#REF!</definedName>
    <definedName name="leveloutput1" localSheetId="19">#REF!</definedName>
    <definedName name="leveloutput1" localSheetId="16">#REF!</definedName>
    <definedName name="leveloutput1" localSheetId="21">#REF!</definedName>
    <definedName name="leveloutput1" localSheetId="5">#REF!</definedName>
    <definedName name="leveloutput1" localSheetId="2">#REF!</definedName>
    <definedName name="leveloutput1" localSheetId="32">#REF!</definedName>
    <definedName name="leveloutput1" localSheetId="29">#REF!</definedName>
    <definedName name="leveloutput1" localSheetId="15">#REF!</definedName>
    <definedName name="leveloutput1" localSheetId="35">#REF!</definedName>
    <definedName name="leveloutput1" localSheetId="4">#REF!</definedName>
    <definedName name="leveloutput1" localSheetId="1">#REF!</definedName>
    <definedName name="leveloutput1" localSheetId="33">#REF!</definedName>
    <definedName name="leveloutput1" localSheetId="31">#REF!</definedName>
    <definedName name="leveloutput1" localSheetId="7">#REF!</definedName>
    <definedName name="leveloutput1" localSheetId="34">#REF!</definedName>
    <definedName name="leveloutput1" localSheetId="6">#REF!</definedName>
    <definedName name="leveloutput1" localSheetId="3">#REF!</definedName>
    <definedName name="leveloutput1" localSheetId="30">#REF!</definedName>
    <definedName name="leveloutput1" localSheetId="20">#REF!</definedName>
    <definedName name="leveloutput1">#REF!</definedName>
    <definedName name="ListOffset" hidden="1">8</definedName>
    <definedName name="loadperiod" localSheetId="19">#REF!</definedName>
    <definedName name="loadperiod" localSheetId="16">#REF!</definedName>
    <definedName name="loadperiod" localSheetId="21">#REF!</definedName>
    <definedName name="loadperiod" localSheetId="5">#REF!</definedName>
    <definedName name="loadperiod" localSheetId="2">#REF!</definedName>
    <definedName name="loadperiod" localSheetId="32">#REF!</definedName>
    <definedName name="loadperiod" localSheetId="29">#REF!</definedName>
    <definedName name="loadperiod" localSheetId="15">#REF!</definedName>
    <definedName name="loadperiod" localSheetId="35">#REF!</definedName>
    <definedName name="loadperiod" localSheetId="4">#REF!</definedName>
    <definedName name="loadperiod" localSheetId="1">#REF!</definedName>
    <definedName name="loadperiod" localSheetId="33">#REF!</definedName>
    <definedName name="loadperiod" localSheetId="31">#REF!</definedName>
    <definedName name="loadperiod" localSheetId="7">#REF!</definedName>
    <definedName name="loadperiod" localSheetId="34">#REF!</definedName>
    <definedName name="loadperiod" localSheetId="6">#REF!</definedName>
    <definedName name="loadperiod" localSheetId="3">#REF!</definedName>
    <definedName name="loadperiod" localSheetId="30">#REF!</definedName>
    <definedName name="loadperiod" localSheetId="20">#REF!</definedName>
    <definedName name="loadperiod">#REF!</definedName>
    <definedName name="Loan_Period" localSheetId="19">#REF!</definedName>
    <definedName name="Loan_Period" localSheetId="16">#REF!</definedName>
    <definedName name="Loan_Period" localSheetId="21">#REF!</definedName>
    <definedName name="Loan_Period" localSheetId="5">#REF!</definedName>
    <definedName name="Loan_Period" localSheetId="2">#REF!</definedName>
    <definedName name="Loan_Period" localSheetId="32">#REF!</definedName>
    <definedName name="Loan_Period" localSheetId="29">#REF!</definedName>
    <definedName name="Loan_Period" localSheetId="15">#REF!</definedName>
    <definedName name="Loan_Period" localSheetId="35">#REF!</definedName>
    <definedName name="Loan_Period" localSheetId="4">#REF!</definedName>
    <definedName name="Loan_Period" localSheetId="1">#REF!</definedName>
    <definedName name="Loan_Period" localSheetId="33">#REF!</definedName>
    <definedName name="Loan_Period" localSheetId="31">#REF!</definedName>
    <definedName name="Loan_Period" localSheetId="7">#REF!</definedName>
    <definedName name="Loan_Period" localSheetId="34">#REF!</definedName>
    <definedName name="Loan_Period" localSheetId="6">#REF!</definedName>
    <definedName name="Loan_Period" localSheetId="3">#REF!</definedName>
    <definedName name="Loan_Period" localSheetId="30">#REF!</definedName>
    <definedName name="Loan_Period" localSheetId="20">#REF!</definedName>
    <definedName name="Loan_Period">#REF!</definedName>
    <definedName name="M" localSheetId="19">SUMIF(#REF!,"M",#REF!)</definedName>
    <definedName name="M" localSheetId="16">SUMIF('BESS_Capital Costs_Nominal$'!#REF!,"M",'BESS_Capital Costs_Nominal$'!#REF!)</definedName>
    <definedName name="M" localSheetId="21">SUMIF(#REF!,"M",#REF!)</definedName>
    <definedName name="M" localSheetId="5">SUMIF('Capital Costs - BESS'!#REF!,"M",'Capital Costs - BESS'!#REF!)</definedName>
    <definedName name="M" localSheetId="2">SUMIF('Capital Costs - Gas'!#REF!,"M",'Capital Costs - Gas'!$J$9:$J$991)</definedName>
    <definedName name="M" localSheetId="32">SUMIF(#REF!,"M",#REF!)</definedName>
    <definedName name="M" localSheetId="29">SUMIF(#REF!,"M",#REF!)</definedName>
    <definedName name="M" localSheetId="15">SUMIF('Capital Costs_Nominal$'!#REF!,"M",'Capital Costs_Nominal$'!$M$17:$M$1005)</definedName>
    <definedName name="M" localSheetId="35">SUMIF(#REF!,"M",#REF!)</definedName>
    <definedName name="M" localSheetId="4">SUMIF(#REF!,"M",#REF!)</definedName>
    <definedName name="M" localSheetId="1">SUMIF(#REF!,"M",#REF!)</definedName>
    <definedName name="M" localSheetId="33">SUMIF(#REF!,"M",#REF!)</definedName>
    <definedName name="M" localSheetId="31">SUMIF(#REF!,"M",#REF!)</definedName>
    <definedName name="M" localSheetId="7">SUMIF(#REF!,"M",#REF!)</definedName>
    <definedName name="M" localSheetId="34">SUMIF(#REF!,"M",#REF!)</definedName>
    <definedName name="M" localSheetId="6">SUMIF(#REF!,"M",#REF!)</definedName>
    <definedName name="M" localSheetId="3">SUMIF(#REF!,"M",#REF!)</definedName>
    <definedName name="M" localSheetId="30">SUMIF(#REF!,"M",#REF!)</definedName>
    <definedName name="M">SUMIF(#REF!,"M",#REF!)</definedName>
    <definedName name="MACRS" localSheetId="19">#REF!</definedName>
    <definedName name="MACRS" localSheetId="16">#REF!</definedName>
    <definedName name="MACRS" localSheetId="21">#REF!</definedName>
    <definedName name="MACRS" localSheetId="5">#REF!</definedName>
    <definedName name="MACRS" localSheetId="2">#REF!</definedName>
    <definedName name="MACRS" localSheetId="32">#REF!</definedName>
    <definedName name="MACRS" localSheetId="29">#REF!</definedName>
    <definedName name="MACRS" localSheetId="15">#REF!</definedName>
    <definedName name="MACRS" localSheetId="35">#REF!</definedName>
    <definedName name="MACRS" localSheetId="4">#REF!</definedName>
    <definedName name="MACRS" localSheetId="1">#REF!</definedName>
    <definedName name="MACRS" localSheetId="33">#REF!</definedName>
    <definedName name="MACRS" localSheetId="31">#REF!</definedName>
    <definedName name="MACRS" localSheetId="7">#REF!</definedName>
    <definedName name="MACRS" localSheetId="34">#REF!</definedName>
    <definedName name="MACRS" localSheetId="6">#REF!</definedName>
    <definedName name="MACRS" localSheetId="3">#REF!</definedName>
    <definedName name="MACRS" localSheetId="30">#REF!</definedName>
    <definedName name="MACRS" localSheetId="20">#REF!</definedName>
    <definedName name="MACRS">#REF!</definedName>
    <definedName name="MACRS1" localSheetId="19">#REF!</definedName>
    <definedName name="MACRS1" localSheetId="16">#REF!</definedName>
    <definedName name="MACRS1" localSheetId="21">#REF!</definedName>
    <definedName name="MACRS1" localSheetId="5">#REF!</definedName>
    <definedName name="MACRS1" localSheetId="2">#REF!</definedName>
    <definedName name="MACRS1" localSheetId="32">#REF!</definedName>
    <definedName name="MACRS1" localSheetId="29">#REF!</definedName>
    <definedName name="MACRS1" localSheetId="15">#REF!</definedName>
    <definedName name="MACRS1" localSheetId="35">#REF!</definedName>
    <definedName name="MACRS1" localSheetId="4">#REF!</definedName>
    <definedName name="MACRS1" localSheetId="1">#REF!</definedName>
    <definedName name="MACRS1" localSheetId="33">#REF!</definedName>
    <definedName name="MACRS1" localSheetId="31">#REF!</definedName>
    <definedName name="MACRS1" localSheetId="7">#REF!</definedName>
    <definedName name="MACRS1" localSheetId="34">#REF!</definedName>
    <definedName name="MACRS1" localSheetId="6">#REF!</definedName>
    <definedName name="MACRS1" localSheetId="3">#REF!</definedName>
    <definedName name="MACRS1" localSheetId="30">#REF!</definedName>
    <definedName name="MACRS1" localSheetId="20">#REF!</definedName>
    <definedName name="MACRS1">#REF!</definedName>
    <definedName name="marketing_invest">'[3]DR &amp; EE Inputs'!$L$155</definedName>
    <definedName name="materials_invest">'[3]DR &amp; EE Inputs'!$L$153</definedName>
    <definedName name="Misc_Material" hidden="1">[5]EquipTable!$GP$13:$IH$516</definedName>
    <definedName name="mktriskprem" localSheetId="19">#REF!</definedName>
    <definedName name="mktriskprem" localSheetId="16">#REF!</definedName>
    <definedName name="mktriskprem" localSheetId="21">#REF!</definedName>
    <definedName name="mktriskprem" localSheetId="5">#REF!</definedName>
    <definedName name="mktriskprem" localSheetId="2">#REF!</definedName>
    <definedName name="mktriskprem" localSheetId="32">#REF!</definedName>
    <definedName name="mktriskprem" localSheetId="29">#REF!</definedName>
    <definedName name="mktriskprem" localSheetId="15">#REF!</definedName>
    <definedName name="mktriskprem" localSheetId="35">#REF!</definedName>
    <definedName name="mktriskprem" localSheetId="4">#REF!</definedName>
    <definedName name="mktriskprem" localSheetId="1">#REF!</definedName>
    <definedName name="mktriskprem" localSheetId="33">#REF!</definedName>
    <definedName name="mktriskprem" localSheetId="31">#REF!</definedName>
    <definedName name="mktriskprem" localSheetId="7">#REF!</definedName>
    <definedName name="mktriskprem" localSheetId="34">#REF!</definedName>
    <definedName name="mktriskprem" localSheetId="6">#REF!</definedName>
    <definedName name="mktriskprem" localSheetId="3">#REF!</definedName>
    <definedName name="mktriskprem" localSheetId="30">#REF!</definedName>
    <definedName name="mktriskprem" localSheetId="20">#REF!</definedName>
    <definedName name="mktriskprem">#REF!</definedName>
    <definedName name="mktriskprem_ee" localSheetId="19">#REF!</definedName>
    <definedName name="mktriskprem_ee" localSheetId="16">#REF!</definedName>
    <definedName name="mktriskprem_ee" localSheetId="21">#REF!</definedName>
    <definedName name="mktriskprem_ee" localSheetId="5">#REF!</definedName>
    <definedName name="mktriskprem_ee" localSheetId="2">#REF!</definedName>
    <definedName name="mktriskprem_ee" localSheetId="32">#REF!</definedName>
    <definedName name="mktriskprem_ee" localSheetId="29">#REF!</definedName>
    <definedName name="mktriskprem_ee" localSheetId="15">#REF!</definedName>
    <definedName name="mktriskprem_ee" localSheetId="35">#REF!</definedName>
    <definedName name="mktriskprem_ee" localSheetId="4">#REF!</definedName>
    <definedName name="mktriskprem_ee" localSheetId="1">#REF!</definedName>
    <definedName name="mktriskprem_ee" localSheetId="33">#REF!</definedName>
    <definedName name="mktriskprem_ee" localSheetId="31">#REF!</definedName>
    <definedName name="mktriskprem_ee" localSheetId="7">#REF!</definedName>
    <definedName name="mktriskprem_ee" localSheetId="34">#REF!</definedName>
    <definedName name="mktriskprem_ee" localSheetId="6">#REF!</definedName>
    <definedName name="mktriskprem_ee" localSheetId="3">#REF!</definedName>
    <definedName name="mktriskprem_ee" localSheetId="30">#REF!</definedName>
    <definedName name="mktriskprem_ee" localSheetId="20">#REF!</definedName>
    <definedName name="mktriskprem_ee">#REF!</definedName>
    <definedName name="MMMM" localSheetId="19">SUMIF(#REF!,"M",#REF!)</definedName>
    <definedName name="MMMM" localSheetId="16">SUMIF('BESS_Capital Costs_Nominal$'!#REF!,"M",'BESS_Capital Costs_Nominal$'!#REF!)</definedName>
    <definedName name="MMMM" localSheetId="21">SUMIF(#REF!,"M",#REF!)</definedName>
    <definedName name="MMMM" localSheetId="5">SUMIF('Capital Costs - BESS'!#REF!,"M",'Capital Costs - BESS'!#REF!)</definedName>
    <definedName name="MMMM" localSheetId="2">SUMIF('Capital Costs - Gas'!#REF!,"M",'Capital Costs - Gas'!$J$9:$J$994)</definedName>
    <definedName name="MMMM" localSheetId="32">SUMIF(#REF!,"M",#REF!)</definedName>
    <definedName name="MMMM" localSheetId="29">SUMIF(#REF!,"M",#REF!)</definedName>
    <definedName name="MMMM" localSheetId="15">SUMIF('Capital Costs_Nominal$'!#REF!,"M",'Capital Costs_Nominal$'!$M$17:$M$1008)</definedName>
    <definedName name="MMMM" localSheetId="35">SUMIF(#REF!,"M",#REF!)</definedName>
    <definedName name="MMMM" localSheetId="4">SUMIF(#REF!,"M",#REF!)</definedName>
    <definedName name="MMMM" localSheetId="1">SUMIF(#REF!,"M",#REF!)</definedName>
    <definedName name="MMMM" localSheetId="33">SUMIF(#REF!,"M",#REF!)</definedName>
    <definedName name="MMMM" localSheetId="31">SUMIF(#REF!,"M",#REF!)</definedName>
    <definedName name="MMMM" localSheetId="7">SUMIF(#REF!,"M",#REF!)</definedName>
    <definedName name="MMMM" localSheetId="34">SUMIF(#REF!,"M",#REF!)</definedName>
    <definedName name="MMMM" localSheetId="6">SUMIF(#REF!,"M",#REF!)</definedName>
    <definedName name="MMMM" localSheetId="3">SUMIF(#REF!,"M",#REF!)</definedName>
    <definedName name="MMMM" localSheetId="30">SUMIF(#REF!,"M",#REF!)</definedName>
    <definedName name="MMMM">SUMIF(#REF!,"M",#REF!)</definedName>
    <definedName name="MV_Invest">'[3]DR &amp; EE Inputs'!$L$157</definedName>
    <definedName name="N_o" localSheetId="5" hidden="1">{"'Sheet1'!$A$14:$K$113"}</definedName>
    <definedName name="N_o" localSheetId="32" hidden="1">{"'Sheet1'!$A$14:$K$113"}</definedName>
    <definedName name="N_o" localSheetId="29" hidden="1">{"'Sheet1'!$A$14:$K$113"}</definedName>
    <definedName name="N_o" localSheetId="35" hidden="1">{"'Sheet1'!$A$14:$K$113"}</definedName>
    <definedName name="N_o" localSheetId="33" hidden="1">{"'Sheet1'!$A$14:$K$113"}</definedName>
    <definedName name="N_o" localSheetId="31" hidden="1">{"'Sheet1'!$A$14:$K$113"}</definedName>
    <definedName name="N_o" localSheetId="34" hidden="1">{"'Sheet1'!$A$14:$K$113"}</definedName>
    <definedName name="N_o" localSheetId="6" hidden="1">{"'Sheet1'!$A$14:$K$113"}</definedName>
    <definedName name="N_o" localSheetId="30" hidden="1">{"'Sheet1'!$A$14:$K$113"}</definedName>
    <definedName name="N_o" hidden="1">{"'Sheet1'!$A$14:$K$113"}</definedName>
    <definedName name="No" localSheetId="5" hidden="1">{"'Sheet1'!$A$14:$K$113"}</definedName>
    <definedName name="No" localSheetId="32" hidden="1">{"'Sheet1'!$A$14:$K$113"}</definedName>
    <definedName name="No" localSheetId="29" hidden="1">{"'Sheet1'!$A$14:$K$113"}</definedName>
    <definedName name="No" localSheetId="35" hidden="1">{"'Sheet1'!$A$14:$K$113"}</definedName>
    <definedName name="No" localSheetId="33" hidden="1">{"'Sheet1'!$A$14:$K$113"}</definedName>
    <definedName name="No" localSheetId="31" hidden="1">{"'Sheet1'!$A$14:$K$113"}</definedName>
    <definedName name="No" localSheetId="34" hidden="1">{"'Sheet1'!$A$14:$K$113"}</definedName>
    <definedName name="No" localSheetId="6" hidden="1">{"'Sheet1'!$A$14:$K$113"}</definedName>
    <definedName name="No" localSheetId="30" hidden="1">{"'Sheet1'!$A$14:$K$113"}</definedName>
    <definedName name="No" localSheetId="26" hidden="1">{"'Sheet1'!$A$14:$K$113"}</definedName>
    <definedName name="No" hidden="1">{"'Sheet1'!$A$14:$K$113"}</definedName>
    <definedName name="NYC_Flag" localSheetId="19">#REF!</definedName>
    <definedName name="NYC_Flag" localSheetId="16">#REF!</definedName>
    <definedName name="NYC_Flag" localSheetId="21">#REF!</definedName>
    <definedName name="NYC_Flag" localSheetId="5">#REF!</definedName>
    <definedName name="NYC_Flag" localSheetId="2">#REF!</definedName>
    <definedName name="NYC_Flag" localSheetId="32">#REF!</definedName>
    <definedName name="NYC_Flag" localSheetId="29">#REF!</definedName>
    <definedName name="NYC_Flag" localSheetId="15">#REF!</definedName>
    <definedName name="NYC_Flag" localSheetId="35">#REF!</definedName>
    <definedName name="NYC_Flag" localSheetId="4">#REF!</definedName>
    <definedName name="NYC_Flag" localSheetId="1">#REF!</definedName>
    <definedName name="NYC_Flag" localSheetId="33">#REF!</definedName>
    <definedName name="NYC_Flag" localSheetId="31">#REF!</definedName>
    <definedName name="NYC_Flag" localSheetId="7">#REF!</definedName>
    <definedName name="NYC_Flag" localSheetId="34">#REF!</definedName>
    <definedName name="NYC_Flag" localSheetId="6">#REF!</definedName>
    <definedName name="NYC_Flag" localSheetId="3">#REF!</definedName>
    <definedName name="NYC_Flag" localSheetId="30">#REF!</definedName>
    <definedName name="NYC_Flag" localSheetId="20">#REF!</definedName>
    <definedName name="NYC_Flag">#REF!</definedName>
    <definedName name="offer_210" localSheetId="19">[3]Summary!#REF!</definedName>
    <definedName name="offer_210" localSheetId="16">[3]Summary!#REF!</definedName>
    <definedName name="offer_210" localSheetId="21">[3]Summary!#REF!</definedName>
    <definedName name="offer_210" localSheetId="5">[3]Summary!#REF!</definedName>
    <definedName name="offer_210" localSheetId="2">[3]Summary!#REF!</definedName>
    <definedName name="offer_210" localSheetId="15">[3]Summary!#REF!</definedName>
    <definedName name="offer_210" localSheetId="4">[3]Summary!#REF!</definedName>
    <definedName name="offer_210" localSheetId="1">[3]Summary!#REF!</definedName>
    <definedName name="offer_210" localSheetId="7">[3]Summary!#REF!</definedName>
    <definedName name="offer_210" localSheetId="6">[3]Summary!#REF!</definedName>
    <definedName name="offer_210" localSheetId="3">[3]Summary!#REF!</definedName>
    <definedName name="offer_210" localSheetId="20">[3]Summary!#REF!</definedName>
    <definedName name="offer_210">[3]Summary!#REF!</definedName>
    <definedName name="offer_23" localSheetId="19">[3]Summary!#REF!</definedName>
    <definedName name="offer_23" localSheetId="16">[3]Summary!#REF!</definedName>
    <definedName name="offer_23" localSheetId="21">[3]Summary!#REF!</definedName>
    <definedName name="offer_23" localSheetId="5">[3]Summary!#REF!</definedName>
    <definedName name="offer_23" localSheetId="2">[3]Summary!#REF!</definedName>
    <definedName name="offer_23" localSheetId="15">[3]Summary!#REF!</definedName>
    <definedName name="offer_23" localSheetId="4">[3]Summary!#REF!</definedName>
    <definedName name="offer_23" localSheetId="1">[3]Summary!#REF!</definedName>
    <definedName name="offer_23" localSheetId="7">[3]Summary!#REF!</definedName>
    <definedName name="offer_23" localSheetId="6">[3]Summary!#REF!</definedName>
    <definedName name="offer_23" localSheetId="3">[3]Summary!#REF!</definedName>
    <definedName name="offer_23" localSheetId="20">[3]Summary!#REF!</definedName>
    <definedName name="offer_23">[3]Summary!#REF!</definedName>
    <definedName name="offer_27" localSheetId="19">[3]Summary!#REF!</definedName>
    <definedName name="offer_27" localSheetId="16">[3]Summary!#REF!</definedName>
    <definedName name="offer_27" localSheetId="21">[3]Summary!#REF!</definedName>
    <definedName name="offer_27" localSheetId="5">[3]Summary!#REF!</definedName>
    <definedName name="offer_27" localSheetId="2">[3]Summary!#REF!</definedName>
    <definedName name="offer_27" localSheetId="15">[3]Summary!#REF!</definedName>
    <definedName name="offer_27" localSheetId="4">[3]Summary!#REF!</definedName>
    <definedName name="offer_27" localSheetId="1">[3]Summary!#REF!</definedName>
    <definedName name="offer_27" localSheetId="7">[3]Summary!#REF!</definedName>
    <definedName name="offer_27" localSheetId="6">[3]Summary!#REF!</definedName>
    <definedName name="offer_27" localSheetId="3">[3]Summary!#REF!</definedName>
    <definedName name="offer_27" localSheetId="20">[3]Summary!#REF!</definedName>
    <definedName name="offer_27">[3]Summary!#REF!</definedName>
    <definedName name="offer1">[3]Summary!$D$36</definedName>
    <definedName name="offer10">[3]Summary!$D$45</definedName>
    <definedName name="offer11">[3]Summary!$D$46</definedName>
    <definedName name="offer12">[3]Summary!$D$47</definedName>
    <definedName name="offer13">[3]Summary!$D$48</definedName>
    <definedName name="offer14">[3]Summary!$D$49</definedName>
    <definedName name="offer15">[3]Summary!$D$65</definedName>
    <definedName name="offer16">[3]Summary!$D$66</definedName>
    <definedName name="offer17">[3]Summary!$D$67</definedName>
    <definedName name="offer18">[3]Summary!$D$70</definedName>
    <definedName name="offer19">[3]Summary!$D$71</definedName>
    <definedName name="offer2">[3]Summary!$D$37</definedName>
    <definedName name="offer20">[3]Summary!$D$72</definedName>
    <definedName name="offer201">[3]Summary!$D$89</definedName>
    <definedName name="offer202">[3]Summary!$D$90</definedName>
    <definedName name="offer203">[3]Summary!$D$91</definedName>
    <definedName name="offer204">[3]Summary!$D$92</definedName>
    <definedName name="offer205">[3]Summary!$D$93</definedName>
    <definedName name="offer206">[3]Summary!$D$94</definedName>
    <definedName name="offer207">[3]Summary!$D$95</definedName>
    <definedName name="offer208">[3]Summary!$D$96</definedName>
    <definedName name="offer209">[3]Summary!$D$97</definedName>
    <definedName name="offer21">[3]Summary!$D$73</definedName>
    <definedName name="offer210" localSheetId="19">[3]Summary!#REF!</definedName>
    <definedName name="offer210" localSheetId="16">[3]Summary!#REF!</definedName>
    <definedName name="offer210" localSheetId="21">[3]Summary!#REF!</definedName>
    <definedName name="offer210" localSheetId="5">[3]Summary!#REF!</definedName>
    <definedName name="offer210" localSheetId="2">[3]Summary!#REF!</definedName>
    <definedName name="offer210" localSheetId="32">[3]Summary!#REF!</definedName>
    <definedName name="offer210" localSheetId="29">[3]Summary!#REF!</definedName>
    <definedName name="offer210" localSheetId="15">[3]Summary!#REF!</definedName>
    <definedName name="offer210" localSheetId="35">[3]Summary!#REF!</definedName>
    <definedName name="offer210" localSheetId="4">[3]Summary!#REF!</definedName>
    <definedName name="offer210" localSheetId="1">[3]Summary!#REF!</definedName>
    <definedName name="offer210" localSheetId="33">[3]Summary!#REF!</definedName>
    <definedName name="offer210" localSheetId="31">[3]Summary!#REF!</definedName>
    <definedName name="offer210" localSheetId="7">[3]Summary!#REF!</definedName>
    <definedName name="offer210" localSheetId="34">[3]Summary!#REF!</definedName>
    <definedName name="offer210" localSheetId="6">[3]Summary!#REF!</definedName>
    <definedName name="offer210" localSheetId="3">[3]Summary!#REF!</definedName>
    <definedName name="offer210" localSheetId="30">[3]Summary!#REF!</definedName>
    <definedName name="offer210" localSheetId="20">[3]Summary!#REF!</definedName>
    <definedName name="offer210">[3]Summary!#REF!</definedName>
    <definedName name="offer211">[3]Summary!$D$98</definedName>
    <definedName name="offer22">[3]Summary!$D$74</definedName>
    <definedName name="offer23" localSheetId="19">[3]Summary!#REF!</definedName>
    <definedName name="offer23" localSheetId="16">[3]Summary!#REF!</definedName>
    <definedName name="offer23" localSheetId="21">[3]Summary!#REF!</definedName>
    <definedName name="offer23" localSheetId="5">[3]Summary!#REF!</definedName>
    <definedName name="offer23" localSheetId="2">[3]Summary!#REF!</definedName>
    <definedName name="offer23" localSheetId="32">[3]Summary!#REF!</definedName>
    <definedName name="offer23" localSheetId="29">[3]Summary!#REF!</definedName>
    <definedName name="offer23" localSheetId="15">[3]Summary!#REF!</definedName>
    <definedName name="offer23" localSheetId="35">[3]Summary!#REF!</definedName>
    <definedName name="offer23" localSheetId="4">[3]Summary!#REF!</definedName>
    <definedName name="offer23" localSheetId="1">[3]Summary!#REF!</definedName>
    <definedName name="offer23" localSheetId="33">[3]Summary!#REF!</definedName>
    <definedName name="offer23" localSheetId="31">[3]Summary!#REF!</definedName>
    <definedName name="offer23" localSheetId="7">[3]Summary!#REF!</definedName>
    <definedName name="offer23" localSheetId="34">[3]Summary!#REF!</definedName>
    <definedName name="offer23" localSheetId="6">[3]Summary!#REF!</definedName>
    <definedName name="offer23" localSheetId="3">[3]Summary!#REF!</definedName>
    <definedName name="offer23" localSheetId="30">[3]Summary!#REF!</definedName>
    <definedName name="offer23" localSheetId="20">[3]Summary!#REF!</definedName>
    <definedName name="offer23">[3]Summary!#REF!</definedName>
    <definedName name="offer24">[3]Summary!$D$75</definedName>
    <definedName name="offer25">[3]Summary!$D$76</definedName>
    <definedName name="offer26">[3]Summary!$D$77</definedName>
    <definedName name="offer27" localSheetId="19">[3]Summary!#REF!</definedName>
    <definedName name="offer27" localSheetId="16">[3]Summary!#REF!</definedName>
    <definedName name="offer27" localSheetId="21">[3]Summary!#REF!</definedName>
    <definedName name="offer27" localSheetId="5">[3]Summary!#REF!</definedName>
    <definedName name="offer27" localSheetId="2">[3]Summary!#REF!</definedName>
    <definedName name="offer27" localSheetId="32">[3]Summary!#REF!</definedName>
    <definedName name="offer27" localSheetId="29">[3]Summary!#REF!</definedName>
    <definedName name="offer27" localSheetId="15">[3]Summary!#REF!</definedName>
    <definedName name="offer27" localSheetId="35">[3]Summary!#REF!</definedName>
    <definedName name="offer27" localSheetId="4">[3]Summary!#REF!</definedName>
    <definedName name="offer27" localSheetId="1">[3]Summary!#REF!</definedName>
    <definedName name="offer27" localSheetId="33">[3]Summary!#REF!</definedName>
    <definedName name="offer27" localSheetId="31">[3]Summary!#REF!</definedName>
    <definedName name="offer27" localSheetId="7">[3]Summary!#REF!</definedName>
    <definedName name="offer27" localSheetId="34">[3]Summary!#REF!</definedName>
    <definedName name="offer27" localSheetId="6">[3]Summary!#REF!</definedName>
    <definedName name="offer27" localSheetId="3">[3]Summary!#REF!</definedName>
    <definedName name="offer27" localSheetId="30">[3]Summary!#REF!</definedName>
    <definedName name="offer27" localSheetId="20">[3]Summary!#REF!</definedName>
    <definedName name="offer27">[3]Summary!#REF!</definedName>
    <definedName name="offer28">[3]Summary!$D$80</definedName>
    <definedName name="offer29">[3]Summary!$D$81</definedName>
    <definedName name="offer3">[3]Summary!$D$38</definedName>
    <definedName name="offer30">[3]Summary!$D$82</definedName>
    <definedName name="offer31">[3]Summary!$D$83</definedName>
    <definedName name="offer32">[3]Summary!$D$84</definedName>
    <definedName name="offer33">[3]Summary!$D$85</definedName>
    <definedName name="offer34">[3]Summary!$D$86</definedName>
    <definedName name="offer35">[3]Summary!$D$52</definedName>
    <definedName name="offer36">[3]Summary!$D$53</definedName>
    <definedName name="offer37">[3]Summary!$D$54</definedName>
    <definedName name="offer38">[3]Summary!$D$55</definedName>
    <definedName name="offer39">[3]Summary!$D$56</definedName>
    <definedName name="offer4">[3]Summary!$D$39</definedName>
    <definedName name="offer40">[3]Summary!$D$57</definedName>
    <definedName name="offer41">[3]Summary!$D$58</definedName>
    <definedName name="offer42">[3]Summary!$D$59</definedName>
    <definedName name="offer43">[3]Summary!$D$60</definedName>
    <definedName name="offer44">[3]Summary!$D$61</definedName>
    <definedName name="offer45">[3]Summary!$D$62</definedName>
    <definedName name="offer5">[3]Summary!$D$40</definedName>
    <definedName name="offer6">[3]Summary!$D$41</definedName>
    <definedName name="offer7">[3]Summary!$D$42</definedName>
    <definedName name="offer8">[3]Summary!$D$43</definedName>
    <definedName name="offer9">[3]Summary!$D$44</definedName>
    <definedName name="OL" localSheetId="19">SUMIF(#REF!,"OL",#REF!)</definedName>
    <definedName name="OL" localSheetId="16">SUMIF('BESS_Capital Costs_Nominal$'!#REF!,"OL",'BESS_Capital Costs_Nominal$'!$M$17:$M$995)</definedName>
    <definedName name="OL" localSheetId="21">SUMIF(#REF!,"OL",#REF!)</definedName>
    <definedName name="OL" localSheetId="5">SUMIF('Capital Costs - BESS'!#REF!,"OL",'Capital Costs - BESS'!#REF!)</definedName>
    <definedName name="OL" localSheetId="2">SUMIF('Capital Costs - Gas'!#REF!,"OL",'Capital Costs - Gas'!#REF!)</definedName>
    <definedName name="OL" localSheetId="32">SUMIF(#REF!,"OL",#REF!)</definedName>
    <definedName name="OL" localSheetId="29">SUMIF(#REF!,"OL",#REF!)</definedName>
    <definedName name="OL" localSheetId="15">SUMIF('Capital Costs_Nominal$'!#REF!,"OL",'Capital Costs_Nominal$'!$Q$17:$Q$1005)</definedName>
    <definedName name="OL" localSheetId="35">SUMIF(#REF!,"OL",#REF!)</definedName>
    <definedName name="OL" localSheetId="4">SUMIF(#REF!,"OL",#REF!)</definedName>
    <definedName name="OL" localSheetId="1">SUMIF(#REF!,"OL",#REF!)</definedName>
    <definedName name="OL" localSheetId="33">SUMIF(#REF!,"OL",#REF!)</definedName>
    <definedName name="OL" localSheetId="31">SUMIF(#REF!,"OL",#REF!)</definedName>
    <definedName name="OL" localSheetId="7">SUMIF(#REF!,"OL",#REF!)</definedName>
    <definedName name="OL" localSheetId="34">SUMIF(#REF!,"OL",#REF!)</definedName>
    <definedName name="OL" localSheetId="6">SUMIF(#REF!,"OL",#REF!)</definedName>
    <definedName name="OL" localSheetId="3">SUMIF(#REF!,"OL",#REF!)</definedName>
    <definedName name="OL" localSheetId="30">SUMIF(#REF!,"OL",#REF!)</definedName>
    <definedName name="OL">SUMIF(#REF!,"OL",#REF!)</definedName>
    <definedName name="Opportunity_Cost1" localSheetId="19">#REF!</definedName>
    <definedName name="Opportunity_Cost1" localSheetId="16">#REF!</definedName>
    <definedName name="Opportunity_Cost1" localSheetId="21">#REF!</definedName>
    <definedName name="Opportunity_Cost1" localSheetId="5">#REF!</definedName>
    <definedName name="Opportunity_Cost1" localSheetId="2">#REF!</definedName>
    <definedName name="Opportunity_Cost1" localSheetId="32">#REF!</definedName>
    <definedName name="Opportunity_Cost1" localSheetId="29">#REF!</definedName>
    <definedName name="Opportunity_Cost1" localSheetId="15">#REF!</definedName>
    <definedName name="Opportunity_Cost1" localSheetId="35">#REF!</definedName>
    <definedName name="Opportunity_Cost1" localSheetId="4">#REF!</definedName>
    <definedName name="Opportunity_Cost1" localSheetId="1">#REF!</definedName>
    <definedName name="Opportunity_Cost1" localSheetId="33">#REF!</definedName>
    <definedName name="Opportunity_Cost1" localSheetId="31">#REF!</definedName>
    <definedName name="Opportunity_Cost1" localSheetId="7">#REF!</definedName>
    <definedName name="Opportunity_Cost1" localSheetId="34">#REF!</definedName>
    <definedName name="Opportunity_Cost1" localSheetId="6">#REF!</definedName>
    <definedName name="Opportunity_Cost1" localSheetId="3">#REF!</definedName>
    <definedName name="Opportunity_Cost1" localSheetId="30">#REF!</definedName>
    <definedName name="Opportunity_Cost1" localSheetId="20">#REF!</definedName>
    <definedName name="Opportunity_Cost1">#REF!</definedName>
    <definedName name="overnight_cost" localSheetId="5">'[1]Construction Costs'!$F$31</definedName>
    <definedName name="overnight_cost" localSheetId="32">#REF!</definedName>
    <definedName name="overnight_cost" localSheetId="29">#REF!</definedName>
    <definedName name="overnight_cost" localSheetId="35">#REF!</definedName>
    <definedName name="overnight_cost" localSheetId="33">#REF!</definedName>
    <definedName name="overnight_cost" localSheetId="31">'[2]Construction Costs'!$F$32</definedName>
    <definedName name="overnight_cost" localSheetId="34">#REF!</definedName>
    <definedName name="overnight_cost" localSheetId="6">'[1]Construction Costs'!$F$31</definedName>
    <definedName name="overnight_cost" localSheetId="30">'[2]Construction Costs'!$F$32</definedName>
    <definedName name="overnight_cost">'Construction Costs'!$F$31</definedName>
    <definedName name="Peak_DR">'[3]DR &amp; EE Inputs'!$L$132</definedName>
    <definedName name="Peak_Sensitivity1">'[3]DR &amp; EE Inputs'!$L$133</definedName>
    <definedName name="peak1">'[3]DR &amp; EE Inputs'!$L$131</definedName>
    <definedName name="Perf_Inc" localSheetId="19">#REF!</definedName>
    <definedName name="Perf_Inc" localSheetId="16">#REF!</definedName>
    <definedName name="Perf_Inc" localSheetId="21">#REF!</definedName>
    <definedName name="Perf_Inc" localSheetId="5">#REF!</definedName>
    <definedName name="Perf_Inc" localSheetId="2">#REF!</definedName>
    <definedName name="Perf_Inc" localSheetId="32">#REF!</definedName>
    <definedName name="Perf_Inc" localSheetId="29">#REF!</definedName>
    <definedName name="Perf_Inc" localSheetId="15">#REF!</definedName>
    <definedName name="Perf_Inc" localSheetId="35">#REF!</definedName>
    <definedName name="Perf_Inc" localSheetId="4">#REF!</definedName>
    <definedName name="Perf_Inc" localSheetId="1">#REF!</definedName>
    <definedName name="Perf_Inc" localSheetId="33">#REF!</definedName>
    <definedName name="Perf_Inc" localSheetId="31">#REF!</definedName>
    <definedName name="Perf_Inc" localSheetId="7">#REF!</definedName>
    <definedName name="Perf_Inc" localSheetId="34">#REF!</definedName>
    <definedName name="Perf_Inc" localSheetId="6">#REF!</definedName>
    <definedName name="Perf_Inc" localSheetId="3">#REF!</definedName>
    <definedName name="Perf_Inc" localSheetId="30">#REF!</definedName>
    <definedName name="Perf_Inc" localSheetId="20">#REF!</definedName>
    <definedName name="Perf_Inc">#REF!</definedName>
    <definedName name="PerfInc" localSheetId="32">'[4]CONE Calcs'!$D$32</definedName>
    <definedName name="PerfInc" localSheetId="29">'[4]CONE Calcs'!$D$32</definedName>
    <definedName name="PerfInc" localSheetId="35">'[4]CONE Calcs'!$D$32</definedName>
    <definedName name="PerfInc" localSheetId="33">'[4]CONE Calcs'!$D$32</definedName>
    <definedName name="PerfInc" localSheetId="31">'[4]CONE Calcs'!$D$32</definedName>
    <definedName name="PerfInc" localSheetId="34">'[4]CONE Calcs'!$D$32</definedName>
    <definedName name="PerfInc" localSheetId="30">'[4]CONE Calcs'!$D$32</definedName>
    <definedName name="PerfInc">'[4]CONE Calcs'!$D$32</definedName>
    <definedName name="PI" localSheetId="19">#REF!</definedName>
    <definedName name="PI" localSheetId="16">#REF!</definedName>
    <definedName name="PI" localSheetId="21">#REF!</definedName>
    <definedName name="PI" localSheetId="5">#REF!</definedName>
    <definedName name="PI" localSheetId="2">#REF!</definedName>
    <definedName name="PI" localSheetId="32">#REF!</definedName>
    <definedName name="PI" localSheetId="29">#REF!</definedName>
    <definedName name="PI" localSheetId="15">#REF!</definedName>
    <definedName name="PI" localSheetId="35">#REF!</definedName>
    <definedName name="PI" localSheetId="4">#REF!</definedName>
    <definedName name="PI" localSheetId="1">#REF!</definedName>
    <definedName name="PI" localSheetId="33">#REF!</definedName>
    <definedName name="PI" localSheetId="31">#REF!</definedName>
    <definedName name="PI" localSheetId="7">#REF!</definedName>
    <definedName name="PI" localSheetId="34">#REF!</definedName>
    <definedName name="PI" localSheetId="6">#REF!</definedName>
    <definedName name="PI" localSheetId="3">#REF!</definedName>
    <definedName name="PI" localSheetId="30">#REF!</definedName>
    <definedName name="PI" localSheetId="20">#REF!</definedName>
    <definedName name="PI">#REF!</definedName>
    <definedName name="Plant_Capacity" localSheetId="19">#REF!</definedName>
    <definedName name="Plant_Capacity" localSheetId="16">#REF!</definedName>
    <definedName name="Plant_Capacity" localSheetId="21">#REF!</definedName>
    <definedName name="Plant_Capacity" localSheetId="5">#REF!</definedName>
    <definedName name="Plant_Capacity" localSheetId="2">#REF!</definedName>
    <definedName name="Plant_Capacity" localSheetId="32">#REF!</definedName>
    <definedName name="Plant_Capacity" localSheetId="29">#REF!</definedName>
    <definedName name="Plant_Capacity" localSheetId="15">#REF!</definedName>
    <definedName name="Plant_Capacity" localSheetId="35">#REF!</definedName>
    <definedName name="Plant_Capacity" localSheetId="4">#REF!</definedName>
    <definedName name="Plant_Capacity" localSheetId="1">#REF!</definedName>
    <definedName name="Plant_Capacity" localSheetId="12">CONE_Calculations!$D$13</definedName>
    <definedName name="Plant_Capacity" localSheetId="33">#REF!</definedName>
    <definedName name="Plant_Capacity" localSheetId="31">#REF!</definedName>
    <definedName name="Plant_Capacity" localSheetId="7">#REF!</definedName>
    <definedName name="Plant_Capacity" localSheetId="34">#REF!</definedName>
    <definedName name="Plant_Capacity" localSheetId="6">#REF!</definedName>
    <definedName name="Plant_Capacity" localSheetId="3">#REF!</definedName>
    <definedName name="Plant_Capacity" localSheetId="30">#REF!</definedName>
    <definedName name="Plant_Capacity" localSheetId="20">#REF!</definedName>
    <definedName name="Plant_Capacity">#REF!</definedName>
    <definedName name="_xlnm.Print_Area" localSheetId="11">'BESS CONE Results'!$B$2:$G$28</definedName>
    <definedName name="_xlnm.Print_Area" localSheetId="19">'BESS_Capital Costs'!$B$6:$G$50</definedName>
    <definedName name="_xlnm.Print_Area" localSheetId="16">'BESS_Capital Costs_Nominal$'!$C$10:$K$54</definedName>
    <definedName name="_xlnm.Print_Area" localSheetId="21">'BESS_O&amp;M Costs_2026$'!$B$9:$J$46</definedName>
    <definedName name="_xlnm.Print_Area" localSheetId="18">'Capital Costs'!$B$6:$G$57</definedName>
    <definedName name="_xlnm.Print_Area" localSheetId="15">'Capital Costs_Nominal$'!$C$10:$K$64</definedName>
    <definedName name="_xlnm.Print_Area" localSheetId="10">'CC CONE Results'!$B$2:$I$29</definedName>
    <definedName name="_xlnm.Print_Area" localSheetId="12">CONE_Calculations!$B$2:$BB$102</definedName>
    <definedName name="_xlnm.Print_Area" localSheetId="9">'CT CONE Results'!$B$2:$I$30</definedName>
    <definedName name="_xlnm.Print_Area" localSheetId="6">'O&amp;M Costs - BESS'!$B$1:$G$34</definedName>
    <definedName name="_xlnm.Print_Area" localSheetId="3">'O&amp;M Costs - Gas'!$B$1:$L$37</definedName>
    <definedName name="_xlnm.Print_Area" localSheetId="30">'O&amp;M Costs BESS'!$B$2:$G$33</definedName>
    <definedName name="_xlnm.Print_Area" localSheetId="20">'O&amp;M Costs_2026$'!$B$9:$N$41</definedName>
    <definedName name="_xlnm.Print_Titles" localSheetId="12">CONE_Calculations!$C:$C</definedName>
    <definedName name="project_life1" localSheetId="19">'[3]DR &amp; EE Inputs'!#REF!</definedName>
    <definedName name="project_life1" localSheetId="16">'[3]DR &amp; EE Inputs'!#REF!</definedName>
    <definedName name="project_life1" localSheetId="21">'[3]DR &amp; EE Inputs'!#REF!</definedName>
    <definedName name="project_life1" localSheetId="5">'[3]DR &amp; EE Inputs'!#REF!</definedName>
    <definedName name="project_life1" localSheetId="2">'[3]DR &amp; EE Inputs'!#REF!</definedName>
    <definedName name="project_life1" localSheetId="32">'[3]DR &amp; EE Inputs'!#REF!</definedName>
    <definedName name="project_life1" localSheetId="29">'[3]DR &amp; EE Inputs'!#REF!</definedName>
    <definedName name="project_life1" localSheetId="15">'[3]DR &amp; EE Inputs'!#REF!</definedName>
    <definedName name="project_life1" localSheetId="35">'[3]DR &amp; EE Inputs'!#REF!</definedName>
    <definedName name="project_life1" localSheetId="4">'[3]DR &amp; EE Inputs'!#REF!</definedName>
    <definedName name="project_life1" localSheetId="1">'[3]DR &amp; EE Inputs'!#REF!</definedName>
    <definedName name="project_life1" localSheetId="33">'[3]DR &amp; EE Inputs'!#REF!</definedName>
    <definedName name="project_life1" localSheetId="31">'[3]DR &amp; EE Inputs'!#REF!</definedName>
    <definedName name="project_life1" localSheetId="7">'[3]DR &amp; EE Inputs'!#REF!</definedName>
    <definedName name="project_life1" localSheetId="34">'[3]DR &amp; EE Inputs'!#REF!</definedName>
    <definedName name="project_life1" localSheetId="6">'[3]DR &amp; EE Inputs'!#REF!</definedName>
    <definedName name="project_life1" localSheetId="3">'[3]DR &amp; EE Inputs'!#REF!</definedName>
    <definedName name="project_life1" localSheetId="30">'[3]DR &amp; EE Inputs'!#REF!</definedName>
    <definedName name="project_life1" localSheetId="20">'[3]DR &amp; EE Inputs'!#REF!</definedName>
    <definedName name="project_life1">'[3]DR &amp; EE Inputs'!#REF!</definedName>
    <definedName name="projectlife" localSheetId="19">'[3]DR &amp; EE Inputs'!#REF!</definedName>
    <definedName name="projectlife" localSheetId="16">'[3]DR &amp; EE Inputs'!#REF!</definedName>
    <definedName name="projectlife" localSheetId="21">'[3]DR &amp; EE Inputs'!#REF!</definedName>
    <definedName name="projectlife" localSheetId="5">'[3]DR &amp; EE Inputs'!#REF!</definedName>
    <definedName name="projectlife" localSheetId="2">'[3]DR &amp; EE Inputs'!#REF!</definedName>
    <definedName name="projectlife" localSheetId="32">'[3]DR &amp; EE Inputs'!#REF!</definedName>
    <definedName name="projectlife" localSheetId="29">'[3]DR &amp; EE Inputs'!#REF!</definedName>
    <definedName name="projectlife" localSheetId="15">'[3]DR &amp; EE Inputs'!#REF!</definedName>
    <definedName name="projectlife" localSheetId="35">'[3]DR &amp; EE Inputs'!#REF!</definedName>
    <definedName name="projectlife" localSheetId="4">'[3]DR &amp; EE Inputs'!#REF!</definedName>
    <definedName name="projectlife" localSheetId="1">'[3]DR &amp; EE Inputs'!#REF!</definedName>
    <definedName name="projectlife" localSheetId="33">'[3]DR &amp; EE Inputs'!#REF!</definedName>
    <definedName name="projectlife" localSheetId="31">'[3]DR &amp; EE Inputs'!#REF!</definedName>
    <definedName name="projectlife" localSheetId="7">'[3]DR &amp; EE Inputs'!#REF!</definedName>
    <definedName name="projectlife" localSheetId="34">'[3]DR &amp; EE Inputs'!#REF!</definedName>
    <definedName name="projectlife" localSheetId="6">'[3]DR &amp; EE Inputs'!#REF!</definedName>
    <definedName name="projectlife" localSheetId="3">'[3]DR &amp; EE Inputs'!#REF!</definedName>
    <definedName name="projectlife" localSheetId="30">'[3]DR &amp; EE Inputs'!#REF!</definedName>
    <definedName name="projectlife" localSheetId="20">'[3]DR &amp; EE Inputs'!#REF!</definedName>
    <definedName name="projectlife">'[3]DR &amp; EE Inputs'!#REF!</definedName>
    <definedName name="Prop_Tax" localSheetId="19">#REF!</definedName>
    <definedName name="Prop_Tax" localSheetId="16">#REF!</definedName>
    <definedName name="Prop_Tax" localSheetId="21">#REF!</definedName>
    <definedName name="Prop_Tax" localSheetId="5">#REF!</definedName>
    <definedName name="Prop_Tax" localSheetId="2">#REF!</definedName>
    <definedName name="Prop_Tax" localSheetId="32">#REF!</definedName>
    <definedName name="Prop_Tax" localSheetId="29">#REF!</definedName>
    <definedName name="Prop_Tax" localSheetId="15">#REF!</definedName>
    <definedName name="Prop_Tax" localSheetId="35">#REF!</definedName>
    <definedName name="Prop_Tax" localSheetId="4">#REF!</definedName>
    <definedName name="Prop_Tax" localSheetId="1">#REF!</definedName>
    <definedName name="Prop_Tax" localSheetId="33">#REF!</definedName>
    <definedName name="Prop_Tax" localSheetId="31">#REF!</definedName>
    <definedName name="Prop_Tax" localSheetId="7">#REF!</definedName>
    <definedName name="Prop_Tax" localSheetId="34">#REF!</definedName>
    <definedName name="Prop_Tax" localSheetId="6">#REF!</definedName>
    <definedName name="Prop_Tax" localSheetId="3">#REF!</definedName>
    <definedName name="Prop_Tax" localSheetId="30">#REF!</definedName>
    <definedName name="Prop_Tax" localSheetId="20">#REF!</definedName>
    <definedName name="Prop_Tax">#REF!</definedName>
    <definedName name="Prop_Tax_Rate" localSheetId="19">#REF!</definedName>
    <definedName name="Prop_Tax_Rate" localSheetId="16">#REF!</definedName>
    <definedName name="Prop_Tax_Rate" localSheetId="21">#REF!</definedName>
    <definedName name="Prop_Tax_Rate" localSheetId="5">#REF!</definedName>
    <definedName name="Prop_Tax_Rate" localSheetId="2">#REF!</definedName>
    <definedName name="Prop_Tax_Rate" localSheetId="32">#REF!</definedName>
    <definedName name="Prop_Tax_Rate" localSheetId="29">#REF!</definedName>
    <definedName name="Prop_Tax_Rate" localSheetId="15">#REF!</definedName>
    <definedName name="Prop_Tax_Rate" localSheetId="35">#REF!</definedName>
    <definedName name="Prop_Tax_Rate" localSheetId="4">#REF!</definedName>
    <definedName name="Prop_Tax_Rate" localSheetId="1">#REF!</definedName>
    <definedName name="Prop_Tax_Rate" localSheetId="33">#REF!</definedName>
    <definedName name="Prop_Tax_Rate" localSheetId="31">#REF!</definedName>
    <definedName name="Prop_Tax_Rate" localSheetId="7">#REF!</definedName>
    <definedName name="Prop_Tax_Rate" localSheetId="34">#REF!</definedName>
    <definedName name="Prop_Tax_Rate" localSheetId="6">#REF!</definedName>
    <definedName name="Prop_Tax_Rate" localSheetId="3">#REF!</definedName>
    <definedName name="Prop_Tax_Rate" localSheetId="30">#REF!</definedName>
    <definedName name="Prop_Tax_Rate" localSheetId="20">#REF!</definedName>
    <definedName name="Prop_Tax_Rate">#REF!</definedName>
    <definedName name="PropTax" localSheetId="19">#REF!</definedName>
    <definedName name="PropTax" localSheetId="16">#REF!</definedName>
    <definedName name="PropTax" localSheetId="21">#REF!</definedName>
    <definedName name="PropTax" localSheetId="5">#REF!</definedName>
    <definedName name="PropTax" localSheetId="2">#REF!</definedName>
    <definedName name="PropTax" localSheetId="32">#REF!</definedName>
    <definedName name="PropTax" localSheetId="29">#REF!</definedName>
    <definedName name="PropTax" localSheetId="15">#REF!</definedName>
    <definedName name="PropTax" localSheetId="35">#REF!</definedName>
    <definedName name="PropTax" localSheetId="4">#REF!</definedName>
    <definedName name="PropTax" localSheetId="1">#REF!</definedName>
    <definedName name="PropTax" localSheetId="33">#REF!</definedName>
    <definedName name="PropTax" localSheetId="31">#REF!</definedName>
    <definedName name="PropTax" localSheetId="7">#REF!</definedName>
    <definedName name="PropTax" localSheetId="34">#REF!</definedName>
    <definedName name="PropTax" localSheetId="6">#REF!</definedName>
    <definedName name="PropTax" localSheetId="3">#REF!</definedName>
    <definedName name="PropTax" localSheetId="30">#REF!</definedName>
    <definedName name="PropTax" localSheetId="20">#REF!</definedName>
    <definedName name="PropTax">#REF!</definedName>
    <definedName name="PT_esc" localSheetId="19">#REF!</definedName>
    <definedName name="PT_esc" localSheetId="16">#REF!</definedName>
    <definedName name="PT_esc" localSheetId="21">#REF!</definedName>
    <definedName name="PT_esc" localSheetId="5">#REF!</definedName>
    <definedName name="PT_esc" localSheetId="2">#REF!</definedName>
    <definedName name="PT_esc" localSheetId="32">#REF!</definedName>
    <definedName name="PT_esc" localSheetId="29">#REF!</definedName>
    <definedName name="PT_esc" localSheetId="15">#REF!</definedName>
    <definedName name="PT_esc" localSheetId="35">#REF!</definedName>
    <definedName name="PT_esc" localSheetId="4">#REF!</definedName>
    <definedName name="PT_esc" localSheetId="1">#REF!</definedName>
    <definedName name="PT_esc" localSheetId="33">#REF!</definedName>
    <definedName name="PT_esc" localSheetId="31">#REF!</definedName>
    <definedName name="PT_esc" localSheetId="7">#REF!</definedName>
    <definedName name="PT_esc" localSheetId="34">#REF!</definedName>
    <definedName name="PT_esc" localSheetId="6">#REF!</definedName>
    <definedName name="PT_esc" localSheetId="3">#REF!</definedName>
    <definedName name="PT_esc" localSheetId="30">#REF!</definedName>
    <definedName name="PT_esc" localSheetId="20">#REF!</definedName>
    <definedName name="PT_esc">#REF!</definedName>
    <definedName name="PT_exempt" localSheetId="19">#REF!</definedName>
    <definedName name="PT_exempt" localSheetId="16">#REF!</definedName>
    <definedName name="PT_exempt" localSheetId="21">#REF!</definedName>
    <definedName name="PT_exempt" localSheetId="5">#REF!</definedName>
    <definedName name="PT_exempt" localSheetId="2">#REF!</definedName>
    <definedName name="PT_exempt" localSheetId="32">#REF!</definedName>
    <definedName name="PT_exempt" localSheetId="29">#REF!</definedName>
    <definedName name="PT_exempt" localSheetId="15">#REF!</definedName>
    <definedName name="PT_exempt" localSheetId="35">#REF!</definedName>
    <definedName name="PT_exempt" localSheetId="4">#REF!</definedName>
    <definedName name="PT_exempt" localSheetId="1">#REF!</definedName>
    <definedName name="PT_exempt" localSheetId="33">#REF!</definedName>
    <definedName name="PT_exempt" localSheetId="31">#REF!</definedName>
    <definedName name="PT_exempt" localSheetId="7">#REF!</definedName>
    <definedName name="PT_exempt" localSheetId="34">#REF!</definedName>
    <definedName name="PT_exempt" localSheetId="6">#REF!</definedName>
    <definedName name="PT_exempt" localSheetId="3">#REF!</definedName>
    <definedName name="PT_exempt" localSheetId="30">#REF!</definedName>
    <definedName name="PT_exempt" localSheetId="20">#REF!</definedName>
    <definedName name="PT_exempt">#REF!</definedName>
    <definedName name="Rd_adj" localSheetId="19">#REF!</definedName>
    <definedName name="Rd_adj" localSheetId="16">#REF!</definedName>
    <definedName name="Rd_adj" localSheetId="21">#REF!</definedName>
    <definedName name="Rd_adj" localSheetId="5">#REF!</definedName>
    <definedName name="Rd_adj" localSheetId="2">#REF!</definedName>
    <definedName name="Rd_adj" localSheetId="32">#REF!</definedName>
    <definedName name="Rd_adj" localSheetId="29">#REF!</definedName>
    <definedName name="Rd_adj" localSheetId="15">#REF!</definedName>
    <definedName name="Rd_adj" localSheetId="35">#REF!</definedName>
    <definedName name="Rd_adj" localSheetId="4">#REF!</definedName>
    <definedName name="Rd_adj" localSheetId="1">#REF!</definedName>
    <definedName name="Rd_adj" localSheetId="33">#REF!</definedName>
    <definedName name="Rd_adj" localSheetId="31">#REF!</definedName>
    <definedName name="Rd_adj" localSheetId="7">#REF!</definedName>
    <definedName name="Rd_adj" localSheetId="34">#REF!</definedName>
    <definedName name="Rd_adj" localSheetId="6">#REF!</definedName>
    <definedName name="Rd_adj" localSheetId="3">#REF!</definedName>
    <definedName name="Rd_adj" localSheetId="30">#REF!</definedName>
    <definedName name="Rd_adj" localSheetId="20">#REF!</definedName>
    <definedName name="Rd_adj">#REF!</definedName>
    <definedName name="RDadj" localSheetId="19">#REF!</definedName>
    <definedName name="RDadj" localSheetId="16">#REF!</definedName>
    <definedName name="RDadj" localSheetId="21">#REF!</definedName>
    <definedName name="RDadj" localSheetId="5">#REF!</definedName>
    <definedName name="RDadj" localSheetId="2">#REF!</definedName>
    <definedName name="RDadj" localSheetId="32">#REF!</definedName>
    <definedName name="RDadj" localSheetId="29">#REF!</definedName>
    <definedName name="RDadj" localSheetId="15">#REF!</definedName>
    <definedName name="RDadj" localSheetId="35">#REF!</definedName>
    <definedName name="RDadj" localSheetId="4">#REF!</definedName>
    <definedName name="RDadj" localSheetId="1">#REF!</definedName>
    <definedName name="RDadj" localSheetId="33">#REF!</definedName>
    <definedName name="RDadj" localSheetId="31">#REF!</definedName>
    <definedName name="RDadj" localSheetId="7">#REF!</definedName>
    <definedName name="RDadj" localSheetId="34">#REF!</definedName>
    <definedName name="RDadj" localSheetId="6">#REF!</definedName>
    <definedName name="RDadj" localSheetId="3">#REF!</definedName>
    <definedName name="RDadj" localSheetId="30">#REF!</definedName>
    <definedName name="RDadj" localSheetId="20">#REF!</definedName>
    <definedName name="RDadj">#REF!</definedName>
    <definedName name="Re_adj" localSheetId="19">#REF!</definedName>
    <definedName name="Re_adj" localSheetId="16">#REF!</definedName>
    <definedName name="Re_adj" localSheetId="21">#REF!</definedName>
    <definedName name="Re_adj" localSheetId="5">#REF!</definedName>
    <definedName name="Re_adj" localSheetId="2">#REF!</definedName>
    <definedName name="Re_adj" localSheetId="32">#REF!</definedName>
    <definedName name="Re_adj" localSheetId="29">#REF!</definedName>
    <definedName name="Re_adj" localSheetId="15">#REF!</definedName>
    <definedName name="Re_adj" localSheetId="35">#REF!</definedName>
    <definedName name="Re_adj" localSheetId="4">#REF!</definedName>
    <definedName name="Re_adj" localSheetId="1">#REF!</definedName>
    <definedName name="Re_adj" localSheetId="33">#REF!</definedName>
    <definedName name="Re_adj" localSheetId="31">#REF!</definedName>
    <definedName name="Re_adj" localSheetId="7">#REF!</definedName>
    <definedName name="Re_adj" localSheetId="34">#REF!</definedName>
    <definedName name="Re_adj" localSheetId="6">#REF!</definedName>
    <definedName name="Re_adj" localSheetId="3">#REF!</definedName>
    <definedName name="Re_adj" localSheetId="30">#REF!</definedName>
    <definedName name="Re_adj" localSheetId="20">#REF!</definedName>
    <definedName name="Re_adj">#REF!</definedName>
    <definedName name="REC" localSheetId="19">#REF!</definedName>
    <definedName name="REC" localSheetId="16">#REF!</definedName>
    <definedName name="REC" localSheetId="21">#REF!</definedName>
    <definedName name="REC" localSheetId="5">#REF!</definedName>
    <definedName name="REC" localSheetId="2">#REF!</definedName>
    <definedName name="REC" localSheetId="32">#REF!</definedName>
    <definedName name="REC" localSheetId="29">#REF!</definedName>
    <definedName name="REC" localSheetId="15">#REF!</definedName>
    <definedName name="REC" localSheetId="35">#REF!</definedName>
    <definedName name="REC" localSheetId="4">#REF!</definedName>
    <definedName name="REC" localSheetId="1">#REF!</definedName>
    <definedName name="REC" localSheetId="33">#REF!</definedName>
    <definedName name="REC" localSheetId="31">#REF!</definedName>
    <definedName name="REC" localSheetId="7">#REF!</definedName>
    <definedName name="REC" localSheetId="34">#REF!</definedName>
    <definedName name="REC" localSheetId="6">#REF!</definedName>
    <definedName name="REC" localSheetId="3">#REF!</definedName>
    <definedName name="REC" localSheetId="30">#REF!</definedName>
    <definedName name="REC" localSheetId="20">#REF!</definedName>
    <definedName name="REC">#REF!</definedName>
    <definedName name="Region" localSheetId="5">[1]CONE_Calculations!$D$7</definedName>
    <definedName name="Region" localSheetId="32">#REF!</definedName>
    <definedName name="Region" localSheetId="29">#REF!</definedName>
    <definedName name="Region" localSheetId="35">#REF!</definedName>
    <definedName name="Region" localSheetId="33">#REF!</definedName>
    <definedName name="Region" localSheetId="31">[2]CONE_Calculations!$D$6</definedName>
    <definedName name="Region" localSheetId="34">#REF!</definedName>
    <definedName name="Region" localSheetId="6">[1]CONE_Calculations!$D$7</definedName>
    <definedName name="Region" localSheetId="30">[2]CONE_Calculations!$D$6</definedName>
    <definedName name="Region">CONE_Calculations!$D$7</definedName>
    <definedName name="Region1" localSheetId="19">#REF!</definedName>
    <definedName name="Region1" localSheetId="16">#REF!</definedName>
    <definedName name="Region1" localSheetId="21">#REF!</definedName>
    <definedName name="Region1" localSheetId="5">#REF!</definedName>
    <definedName name="Region1" localSheetId="2">#REF!</definedName>
    <definedName name="Region1" localSheetId="32">#REF!</definedName>
    <definedName name="Region1" localSheetId="29">#REF!</definedName>
    <definedName name="Region1" localSheetId="15">#REF!</definedName>
    <definedName name="Region1" localSheetId="35">#REF!</definedName>
    <definedName name="Region1" localSheetId="4">#REF!</definedName>
    <definedName name="Region1" localSheetId="1">#REF!</definedName>
    <definedName name="Region1" localSheetId="33">#REF!</definedName>
    <definedName name="Region1" localSheetId="31">#REF!</definedName>
    <definedName name="Region1" localSheetId="7">#REF!</definedName>
    <definedName name="Region1" localSheetId="34">#REF!</definedName>
    <definedName name="Region1" localSheetId="6">#REF!</definedName>
    <definedName name="Region1" localSheetId="3">#REF!</definedName>
    <definedName name="Region1" localSheetId="30">#REF!</definedName>
    <definedName name="Region1" localSheetId="20">#REF!</definedName>
    <definedName name="Region1">#REF!</definedName>
    <definedName name="RESULTS_A" localSheetId="19">#REF!</definedName>
    <definedName name="RESULTS_A" localSheetId="16">#REF!</definedName>
    <definedName name="RESULTS_A" localSheetId="21">#REF!</definedName>
    <definedName name="RESULTS_A" localSheetId="5">#REF!</definedName>
    <definedName name="RESULTS_A" localSheetId="2">#REF!</definedName>
    <definedName name="RESULTS_A" localSheetId="32">#REF!</definedName>
    <definedName name="RESULTS_A" localSheetId="29">#REF!</definedName>
    <definedName name="RESULTS_A" localSheetId="15">#REF!</definedName>
    <definedName name="RESULTS_A" localSheetId="35">#REF!</definedName>
    <definedName name="RESULTS_A" localSheetId="4">#REF!</definedName>
    <definedName name="RESULTS_A" localSheetId="1">#REF!</definedName>
    <definedName name="RESULTS_A" localSheetId="33">#REF!</definedName>
    <definedName name="RESULTS_A" localSheetId="31">#REF!</definedName>
    <definedName name="RESULTS_A" localSheetId="7">#REF!</definedName>
    <definedName name="RESULTS_A" localSheetId="34">#REF!</definedName>
    <definedName name="RESULTS_A" localSheetId="6">#REF!</definedName>
    <definedName name="RESULTS_A" localSheetId="3">#REF!</definedName>
    <definedName name="RESULTS_A" localSheetId="30">#REF!</definedName>
    <definedName name="RESULTS_A" localSheetId="20">#REF!</definedName>
    <definedName name="RESULTS_A">#REF!</definedName>
    <definedName name="RESULTS_B" localSheetId="19">#REF!</definedName>
    <definedName name="RESULTS_B" localSheetId="16">#REF!</definedName>
    <definedName name="RESULTS_B" localSheetId="21">#REF!</definedName>
    <definedName name="RESULTS_B" localSheetId="5">#REF!</definedName>
    <definedName name="RESULTS_B" localSheetId="2">#REF!</definedName>
    <definedName name="RESULTS_B" localSheetId="32">#REF!</definedName>
    <definedName name="RESULTS_B" localSheetId="29">#REF!</definedName>
    <definedName name="RESULTS_B" localSheetId="15">#REF!</definedName>
    <definedName name="RESULTS_B" localSheetId="35">#REF!</definedName>
    <definedName name="RESULTS_B" localSheetId="4">#REF!</definedName>
    <definedName name="RESULTS_B" localSheetId="1">#REF!</definedName>
    <definedName name="RESULTS_B" localSheetId="33">#REF!</definedName>
    <definedName name="RESULTS_B" localSheetId="31">#REF!</definedName>
    <definedName name="RESULTS_B" localSheetId="7">#REF!</definedName>
    <definedName name="RESULTS_B" localSheetId="34">#REF!</definedName>
    <definedName name="RESULTS_B" localSheetId="6">#REF!</definedName>
    <definedName name="RESULTS_B" localSheetId="3">#REF!</definedName>
    <definedName name="RESULTS_B" localSheetId="30">#REF!</definedName>
    <definedName name="RESULTS_B" localSheetId="20">#REF!</definedName>
    <definedName name="RESULTS_B">#REF!</definedName>
    <definedName name="rev_requirements" localSheetId="5">[1]CONE_Calculations!$D$11</definedName>
    <definedName name="rev_requirements" localSheetId="29">#REF!</definedName>
    <definedName name="rev_requirements" localSheetId="31">#REF!</definedName>
    <definedName name="rev_requirements" localSheetId="6">[1]CONE_Calculations!$D$11</definedName>
    <definedName name="rev_requirements" localSheetId="30">#REF!</definedName>
    <definedName name="rev_requirements">CONE_Calculations!$D$11</definedName>
    <definedName name="rev_requirements_year" localSheetId="5">[1]CONE_Calculations!$D$10</definedName>
    <definedName name="rev_requirements_year" localSheetId="32">#REF!</definedName>
    <definedName name="rev_requirements_year" localSheetId="29">#REF!</definedName>
    <definedName name="rev_requirements_year" localSheetId="35">#REF!</definedName>
    <definedName name="rev_requirements_year" localSheetId="33">#REF!</definedName>
    <definedName name="rev_requirements_year" localSheetId="31">[2]CONE_Calculations!$D$9</definedName>
    <definedName name="rev_requirements_year" localSheetId="34">#REF!</definedName>
    <definedName name="rev_requirements_year" localSheetId="6">[1]CONE_Calculations!$D$10</definedName>
    <definedName name="rev_requirements_year" localSheetId="30">[2]CONE_Calculations!$D$9</definedName>
    <definedName name="rev_requirements_year">CONE_Calculations!$D$10</definedName>
    <definedName name="riskfree" localSheetId="19">#REF!</definedName>
    <definedName name="riskfree" localSheetId="16">#REF!</definedName>
    <definedName name="riskfree" localSheetId="21">#REF!</definedName>
    <definedName name="riskfree" localSheetId="5">#REF!</definedName>
    <definedName name="riskfree" localSheetId="2">#REF!</definedName>
    <definedName name="riskfree" localSheetId="32">#REF!</definedName>
    <definedName name="riskfree" localSheetId="29">#REF!</definedName>
    <definedName name="riskfree" localSheetId="15">#REF!</definedName>
    <definedName name="riskfree" localSheetId="35">#REF!</definedName>
    <definedName name="riskfree" localSheetId="4">#REF!</definedName>
    <definedName name="riskfree" localSheetId="1">#REF!</definedName>
    <definedName name="riskfree" localSheetId="33">#REF!</definedName>
    <definedName name="riskfree" localSheetId="31">#REF!</definedName>
    <definedName name="riskfree" localSheetId="7">#REF!</definedName>
    <definedName name="riskfree" localSheetId="34">#REF!</definedName>
    <definedName name="riskfree" localSheetId="6">#REF!</definedName>
    <definedName name="riskfree" localSheetId="3">#REF!</definedName>
    <definedName name="riskfree" localSheetId="30">#REF!</definedName>
    <definedName name="riskfree" localSheetId="20">#REF!</definedName>
    <definedName name="riskfree">#REF!</definedName>
    <definedName name="riskfreerate_ee">'[3]DR &amp; EE Inputs'!$L$113</definedName>
    <definedName name="RR" localSheetId="19">#REF!</definedName>
    <definedName name="RR" localSheetId="16">#REF!</definedName>
    <definedName name="RR" localSheetId="21">#REF!</definedName>
    <definedName name="RR" localSheetId="5">#REF!</definedName>
    <definedName name="RR" localSheetId="2">#REF!</definedName>
    <definedName name="RR" localSheetId="32">#REF!</definedName>
    <definedName name="RR" localSheetId="29">#REF!</definedName>
    <definedName name="RR" localSheetId="15">#REF!</definedName>
    <definedName name="RR" localSheetId="35">#REF!</definedName>
    <definedName name="RR" localSheetId="4">#REF!</definedName>
    <definedName name="RR" localSheetId="1">#REF!</definedName>
    <definedName name="RR" localSheetId="33">#REF!</definedName>
    <definedName name="RR" localSheetId="31">#REF!</definedName>
    <definedName name="RR" localSheetId="7">#REF!</definedName>
    <definedName name="RR" localSheetId="34">#REF!</definedName>
    <definedName name="RR" localSheetId="6">#REF!</definedName>
    <definedName name="RR" localSheetId="3">#REF!</definedName>
    <definedName name="RR" localSheetId="30">#REF!</definedName>
    <definedName name="RR" localSheetId="20">#REF!</definedName>
    <definedName name="RR">#REF!</definedName>
    <definedName name="RRyr" localSheetId="19">#REF!</definedName>
    <definedName name="RRyr" localSheetId="16">#REF!</definedName>
    <definedName name="RRyr" localSheetId="21">#REF!</definedName>
    <definedName name="RRyr" localSheetId="5">#REF!</definedName>
    <definedName name="RRyr" localSheetId="2">#REF!</definedName>
    <definedName name="RRyr" localSheetId="32">#REF!</definedName>
    <definedName name="RRyr" localSheetId="29">#REF!</definedName>
    <definedName name="RRyr" localSheetId="15">#REF!</definedName>
    <definedName name="RRyr" localSheetId="35">#REF!</definedName>
    <definedName name="RRyr" localSheetId="4">#REF!</definedName>
    <definedName name="RRyr" localSheetId="1">#REF!</definedName>
    <definedName name="RRyr" localSheetId="33">#REF!</definedName>
    <definedName name="RRyr" localSheetId="31">#REF!</definedName>
    <definedName name="RRyr" localSheetId="7">#REF!</definedName>
    <definedName name="RRyr" localSheetId="34">#REF!</definedName>
    <definedName name="RRyr" localSheetId="6">#REF!</definedName>
    <definedName name="RRyr" localSheetId="3">#REF!</definedName>
    <definedName name="RRyr" localSheetId="30">#REF!</definedName>
    <definedName name="RRyr" localSheetId="20">#REF!</definedName>
    <definedName name="RRyr">#REF!</definedName>
    <definedName name="s" localSheetId="19">#REF!</definedName>
    <definedName name="s" localSheetId="16">#REF!</definedName>
    <definedName name="s" localSheetId="21">#REF!</definedName>
    <definedName name="s" localSheetId="5">#REF!</definedName>
    <definedName name="s" localSheetId="2">#REF!</definedName>
    <definedName name="s" localSheetId="32">#REF!</definedName>
    <definedName name="s" localSheetId="29">#REF!</definedName>
    <definedName name="s" localSheetId="15">#REF!</definedName>
    <definedName name="s" localSheetId="35">#REF!</definedName>
    <definedName name="s" localSheetId="4">#REF!</definedName>
    <definedName name="s" localSheetId="1">#REF!</definedName>
    <definedName name="s" localSheetId="33">#REF!</definedName>
    <definedName name="s" localSheetId="31">#REF!</definedName>
    <definedName name="s" localSheetId="7">#REF!</definedName>
    <definedName name="s" localSheetId="34">#REF!</definedName>
    <definedName name="s" localSheetId="6">#REF!</definedName>
    <definedName name="s" localSheetId="3">#REF!</definedName>
    <definedName name="s" localSheetId="30">#REF!</definedName>
    <definedName name="s" localSheetId="20">#REF!</definedName>
    <definedName name="s">#REF!</definedName>
    <definedName name="Salvage_Value1" localSheetId="19">#REF!</definedName>
    <definedName name="Salvage_Value1" localSheetId="16">#REF!</definedName>
    <definedName name="Salvage_Value1" localSheetId="21">#REF!</definedName>
    <definedName name="Salvage_Value1" localSheetId="5">#REF!</definedName>
    <definedName name="Salvage_Value1" localSheetId="2">#REF!</definedName>
    <definedName name="Salvage_Value1" localSheetId="32">#REF!</definedName>
    <definedName name="Salvage_Value1" localSheetId="29">#REF!</definedName>
    <definedName name="Salvage_Value1" localSheetId="15">#REF!</definedName>
    <definedName name="Salvage_Value1" localSheetId="35">#REF!</definedName>
    <definedName name="Salvage_Value1" localSheetId="4">#REF!</definedName>
    <definedName name="Salvage_Value1" localSheetId="1">#REF!</definedName>
    <definedName name="Salvage_Value1" localSheetId="33">#REF!</definedName>
    <definedName name="Salvage_Value1" localSheetId="31">#REF!</definedName>
    <definedName name="Salvage_Value1" localSheetId="7">#REF!</definedName>
    <definedName name="Salvage_Value1" localSheetId="34">#REF!</definedName>
    <definedName name="Salvage_Value1" localSheetId="6">#REF!</definedName>
    <definedName name="Salvage_Value1" localSheetId="3">#REF!</definedName>
    <definedName name="Salvage_Value1" localSheetId="30">#REF!</definedName>
    <definedName name="Salvage_Value1" localSheetId="20">#REF!</definedName>
    <definedName name="Salvage_Value1">#REF!</definedName>
    <definedName name="scr" localSheetId="19">CONE_Calculations!#REF!</definedName>
    <definedName name="scr" localSheetId="16">CONE_Calculations!#REF!</definedName>
    <definedName name="scr" localSheetId="21">CONE_Calculations!#REF!</definedName>
    <definedName name="scr" localSheetId="5">[1]CONE_Calculations!#REF!</definedName>
    <definedName name="scr" localSheetId="2">CONE_Calculations!#REF!</definedName>
    <definedName name="scr" localSheetId="32">#REF!</definedName>
    <definedName name="scr" localSheetId="29">#REF!</definedName>
    <definedName name="scr" localSheetId="35">#REF!</definedName>
    <definedName name="scr" localSheetId="4">CONE_Calculations!#REF!</definedName>
    <definedName name="scr" localSheetId="1">CONE_Calculations!#REF!</definedName>
    <definedName name="scr" localSheetId="33">#REF!</definedName>
    <definedName name="scr" localSheetId="31">[2]CONE_Calculations!#REF!</definedName>
    <definedName name="scr" localSheetId="7">CONE_Calculations!#REF!</definedName>
    <definedName name="scr" localSheetId="34">#REF!</definedName>
    <definedName name="scr" localSheetId="6">[1]CONE_Calculations!#REF!</definedName>
    <definedName name="scr" localSheetId="3">CONE_Calculations!#REF!</definedName>
    <definedName name="scr" localSheetId="30">[2]CONE_Calculations!#REF!</definedName>
    <definedName name="scr">CONE_Calculations!#REF!</definedName>
    <definedName name="solver_adj" localSheetId="12" hidden="1">CONE_Calculations!$G$54</definedName>
    <definedName name="solver_cvg" localSheetId="12" hidden="1">0.0001</definedName>
    <definedName name="solver_drv" localSheetId="12" hidden="1">1</definedName>
    <definedName name="solver_est" localSheetId="12" hidden="1">1</definedName>
    <definedName name="solver_itr" localSheetId="12" hidden="1">100</definedName>
    <definedName name="solver_lin" localSheetId="12" hidden="1">2</definedName>
    <definedName name="solver_neg" localSheetId="12" hidden="1">2</definedName>
    <definedName name="solver_num" localSheetId="12" hidden="1">0</definedName>
    <definedName name="solver_nwt" localSheetId="12" hidden="1">1</definedName>
    <definedName name="solver_opt" localSheetId="12" hidden="1">CONE_Calculations!$D$75</definedName>
    <definedName name="solver_pre" localSheetId="12" hidden="1">0.000001</definedName>
    <definedName name="solver_scl" localSheetId="12" hidden="1">2</definedName>
    <definedName name="solver_sho" localSheetId="12" hidden="1">2</definedName>
    <definedName name="solver_tim" localSheetId="12" hidden="1">100</definedName>
    <definedName name="solver_tol" localSheetId="12" hidden="1">0.05</definedName>
    <definedName name="solver_typ" localSheetId="12" hidden="1">3</definedName>
    <definedName name="solver_val" localSheetId="12" hidden="1">0</definedName>
    <definedName name="start_end_dates" localSheetId="19">#REF!</definedName>
    <definedName name="start_end_dates" localSheetId="16">#REF!</definedName>
    <definedName name="start_end_dates" localSheetId="21">#REF!</definedName>
    <definedName name="start_end_dates" localSheetId="5">#REF!</definedName>
    <definedName name="start_end_dates" localSheetId="2">#REF!</definedName>
    <definedName name="start_end_dates" localSheetId="32">#REF!</definedName>
    <definedName name="start_end_dates" localSheetId="29">#REF!</definedName>
    <definedName name="start_end_dates" localSheetId="15">#REF!</definedName>
    <definedName name="start_end_dates" localSheetId="35">#REF!</definedName>
    <definedName name="start_end_dates" localSheetId="4">#REF!</definedName>
    <definedName name="start_end_dates" localSheetId="1">#REF!</definedName>
    <definedName name="start_end_dates" localSheetId="33">#REF!</definedName>
    <definedName name="start_end_dates" localSheetId="31">#REF!</definedName>
    <definedName name="start_end_dates" localSheetId="7">#REF!</definedName>
    <definedName name="start_end_dates" localSheetId="34">#REF!</definedName>
    <definedName name="start_end_dates" localSheetId="6">#REF!</definedName>
    <definedName name="start_end_dates" localSheetId="3">#REF!</definedName>
    <definedName name="start_end_dates" localSheetId="30">#REF!</definedName>
    <definedName name="start_end_dates" localSheetId="20">#REF!</definedName>
    <definedName name="start_end_dates">#REF!</definedName>
    <definedName name="State_Tax" localSheetId="19">#REF!</definedName>
    <definedName name="State_Tax" localSheetId="16">#REF!</definedName>
    <definedName name="State_Tax" localSheetId="21">#REF!</definedName>
    <definedName name="State_Tax" localSheetId="5">#REF!</definedName>
    <definedName name="State_Tax" localSheetId="2">#REF!</definedName>
    <definedName name="State_Tax" localSheetId="32">#REF!</definedName>
    <definedName name="State_Tax" localSheetId="29">#REF!</definedName>
    <definedName name="State_Tax" localSheetId="15">#REF!</definedName>
    <definedName name="State_Tax" localSheetId="35">#REF!</definedName>
    <definedName name="State_Tax" localSheetId="4">#REF!</definedName>
    <definedName name="State_Tax" localSheetId="1">#REF!</definedName>
    <definedName name="State_Tax" localSheetId="33">#REF!</definedName>
    <definedName name="State_Tax" localSheetId="31">#REF!</definedName>
    <definedName name="State_Tax" localSheetId="7">#REF!</definedName>
    <definedName name="State_Tax" localSheetId="34">#REF!</definedName>
    <definedName name="State_Tax" localSheetId="6">#REF!</definedName>
    <definedName name="State_Tax" localSheetId="3">#REF!</definedName>
    <definedName name="State_Tax" localSheetId="30">#REF!</definedName>
    <definedName name="State_Tax" localSheetId="20">#REF!</definedName>
    <definedName name="State_Tax">#REF!</definedName>
    <definedName name="STATELIST">'[3]DR &amp; EE Inputs'!$A$145:$A$153</definedName>
    <definedName name="Tax_Depr" localSheetId="19">#REF!</definedName>
    <definedName name="Tax_Depr" localSheetId="16">#REF!</definedName>
    <definedName name="Tax_Depr" localSheetId="21">#REF!</definedName>
    <definedName name="Tax_Depr" localSheetId="5">#REF!</definedName>
    <definedName name="Tax_Depr" localSheetId="2">#REF!</definedName>
    <definedName name="Tax_Depr" localSheetId="32">#REF!</definedName>
    <definedName name="Tax_Depr" localSheetId="29">#REF!</definedName>
    <definedName name="Tax_Depr" localSheetId="15">#REF!</definedName>
    <definedName name="Tax_Depr" localSheetId="35">#REF!</definedName>
    <definedName name="Tax_Depr" localSheetId="4">#REF!</definedName>
    <definedName name="Tax_Depr" localSheetId="1">#REF!</definedName>
    <definedName name="Tax_Depr" localSheetId="33">#REF!</definedName>
    <definedName name="Tax_Depr" localSheetId="31">#REF!</definedName>
    <definedName name="Tax_Depr" localSheetId="7">#REF!</definedName>
    <definedName name="Tax_Depr" localSheetId="34">#REF!</definedName>
    <definedName name="Tax_Depr" localSheetId="6">#REF!</definedName>
    <definedName name="Tax_Depr" localSheetId="3">#REF!</definedName>
    <definedName name="Tax_Depr" localSheetId="30">#REF!</definedName>
    <definedName name="Tax_Depr" localSheetId="20">#REF!</definedName>
    <definedName name="Tax_Depr">#REF!</definedName>
    <definedName name="Tax_Depreciation" localSheetId="12">CONE_Calculations!$D$30</definedName>
    <definedName name="Tax_depreciation1" localSheetId="5" hidden="1">{"'Sheet1'!$A$1:$R$155"}</definedName>
    <definedName name="Tax_depreciation1" localSheetId="32" hidden="1">{"'Sheet1'!$A$1:$R$155"}</definedName>
    <definedName name="Tax_depreciation1" localSheetId="29" hidden="1">{"'Sheet1'!$A$1:$R$155"}</definedName>
    <definedName name="Tax_depreciation1" localSheetId="35" hidden="1">{"'Sheet1'!$A$1:$R$155"}</definedName>
    <definedName name="Tax_depreciation1" localSheetId="33" hidden="1">{"'Sheet1'!$A$1:$R$155"}</definedName>
    <definedName name="Tax_depreciation1" localSheetId="31" hidden="1">{"'Sheet1'!$A$1:$R$155"}</definedName>
    <definedName name="Tax_depreciation1" localSheetId="34" hidden="1">{"'Sheet1'!$A$1:$R$155"}</definedName>
    <definedName name="Tax_depreciation1" localSheetId="6" hidden="1">{"'Sheet1'!$A$1:$R$155"}</definedName>
    <definedName name="Tax_depreciation1" localSheetId="30" hidden="1">{"'Sheet1'!$A$1:$R$155"}</definedName>
    <definedName name="Tax_depreciation1" hidden="1">{"'Sheet1'!$A$1:$R$155"}</definedName>
    <definedName name="Tax_Rate" localSheetId="19">#REF!</definedName>
    <definedName name="Tax_Rate" localSheetId="16">#REF!</definedName>
    <definedName name="Tax_Rate" localSheetId="21">#REF!</definedName>
    <definedName name="Tax_Rate" localSheetId="5">#REF!</definedName>
    <definedName name="Tax_Rate" localSheetId="2">#REF!</definedName>
    <definedName name="Tax_Rate" localSheetId="32">#REF!</definedName>
    <definedName name="Tax_Rate" localSheetId="29">#REF!</definedName>
    <definedName name="Tax_Rate" localSheetId="15">#REF!</definedName>
    <definedName name="Tax_Rate" localSheetId="35">#REF!</definedName>
    <definedName name="Tax_Rate" localSheetId="4">#REF!</definedName>
    <definedName name="Tax_Rate" localSheetId="1">#REF!</definedName>
    <definedName name="Tax_Rate" localSheetId="12">CONE_Calculations!$D$29</definedName>
    <definedName name="Tax_Rate" localSheetId="33">#REF!</definedName>
    <definedName name="Tax_Rate" localSheetId="31">#REF!</definedName>
    <definedName name="Tax_Rate" localSheetId="7">#REF!</definedName>
    <definedName name="Tax_Rate" localSheetId="34">#REF!</definedName>
    <definedName name="Tax_Rate" localSheetId="6">#REF!</definedName>
    <definedName name="Tax_Rate" localSheetId="3">#REF!</definedName>
    <definedName name="Tax_Rate" localSheetId="30">#REF!</definedName>
    <definedName name="Tax_Rate" localSheetId="20">#REF!</definedName>
    <definedName name="Tax_Rate">#REF!</definedName>
    <definedName name="TaxDepr" localSheetId="19">#REF!</definedName>
    <definedName name="TaxDepr" localSheetId="16">#REF!</definedName>
    <definedName name="TaxDepr" localSheetId="21">#REF!</definedName>
    <definedName name="TaxDepr" localSheetId="5">#REF!</definedName>
    <definedName name="TaxDepr" localSheetId="2">#REF!</definedName>
    <definedName name="TaxDepr" localSheetId="32">#REF!</definedName>
    <definedName name="TaxDepr" localSheetId="29">#REF!</definedName>
    <definedName name="TaxDepr" localSheetId="15">#REF!</definedName>
    <definedName name="TaxDepr" localSheetId="35">#REF!</definedName>
    <definedName name="TaxDepr" localSheetId="4">#REF!</definedName>
    <definedName name="TaxDepr" localSheetId="1">#REF!</definedName>
    <definedName name="TaxDepr" localSheetId="33">#REF!</definedName>
    <definedName name="TaxDepr" localSheetId="31">#REF!</definedName>
    <definedName name="TaxDepr" localSheetId="7">#REF!</definedName>
    <definedName name="TaxDepr" localSheetId="34">#REF!</definedName>
    <definedName name="TaxDepr" localSheetId="6">#REF!</definedName>
    <definedName name="TaxDepr" localSheetId="3">#REF!</definedName>
    <definedName name="TaxDepr" localSheetId="30">#REF!</definedName>
    <definedName name="TaxDepr" localSheetId="20">#REF!</definedName>
    <definedName name="TaxDepr">#REF!</definedName>
    <definedName name="taxrate" localSheetId="19">#REF!</definedName>
    <definedName name="taxrate" localSheetId="16">#REF!</definedName>
    <definedName name="taxrate" localSheetId="21">#REF!</definedName>
    <definedName name="taxrate" localSheetId="5">#REF!</definedName>
    <definedName name="taxrate" localSheetId="2">#REF!</definedName>
    <definedName name="taxrate" localSheetId="32">#REF!</definedName>
    <definedName name="taxrate" localSheetId="29">#REF!</definedName>
    <definedName name="taxrate" localSheetId="15">#REF!</definedName>
    <definedName name="taxrate" localSheetId="35">#REF!</definedName>
    <definedName name="taxrate" localSheetId="4">#REF!</definedName>
    <definedName name="taxrate" localSheetId="1">#REF!</definedName>
    <definedName name="taxrate" localSheetId="33">#REF!</definedName>
    <definedName name="taxrate" localSheetId="31">#REF!</definedName>
    <definedName name="taxrate" localSheetId="7">#REF!</definedName>
    <definedName name="taxrate" localSheetId="34">#REF!</definedName>
    <definedName name="taxrate" localSheetId="6">#REF!</definedName>
    <definedName name="taxrate" localSheetId="3">#REF!</definedName>
    <definedName name="taxrate" localSheetId="30">#REF!</definedName>
    <definedName name="taxrate" localSheetId="20">#REF!</definedName>
    <definedName name="taxrate">#REF!</definedName>
    <definedName name="TaxRate1" localSheetId="19">'[4]Screening Analysis'!#REF!</definedName>
    <definedName name="TaxRate1" localSheetId="16">'[4]Screening Analysis'!#REF!</definedName>
    <definedName name="TaxRate1" localSheetId="21">'[4]Screening Analysis'!#REF!</definedName>
    <definedName name="TaxRate1" localSheetId="5">'[4]Screening Analysis'!#REF!</definedName>
    <definedName name="TaxRate1" localSheetId="2">'[4]Screening Analysis'!#REF!</definedName>
    <definedName name="TaxRate1" localSheetId="32">'[4]Screening Analysis'!#REF!</definedName>
    <definedName name="TaxRate1" localSheetId="29">'[4]Screening Analysis'!#REF!</definedName>
    <definedName name="TaxRate1" localSheetId="15">'[4]Screening Analysis'!#REF!</definedName>
    <definedName name="TaxRate1" localSheetId="35">'[4]Screening Analysis'!#REF!</definedName>
    <definedName name="TaxRate1" localSheetId="4">'[4]Screening Analysis'!#REF!</definedName>
    <definedName name="TaxRate1" localSheetId="1">'[4]Screening Analysis'!#REF!</definedName>
    <definedName name="TaxRate1" localSheetId="33">'[4]Screening Analysis'!#REF!</definedName>
    <definedName name="TaxRate1" localSheetId="31">'[4]Screening Analysis'!#REF!</definedName>
    <definedName name="TaxRate1" localSheetId="7">'[4]Screening Analysis'!#REF!</definedName>
    <definedName name="TaxRate1" localSheetId="34">'[4]Screening Analysis'!#REF!</definedName>
    <definedName name="TaxRate1" localSheetId="6">'[4]Screening Analysis'!#REF!</definedName>
    <definedName name="TaxRate1" localSheetId="3">'[4]Screening Analysis'!#REF!</definedName>
    <definedName name="TaxRate1" localSheetId="30">'[4]Screening Analysis'!#REF!</definedName>
    <definedName name="TaxRate1" localSheetId="20">'[4]Screening Analysis'!#REF!</definedName>
    <definedName name="TaxRate1">'[4]Screening Analysis'!#REF!</definedName>
    <definedName name="Tech" localSheetId="19">#REF!</definedName>
    <definedName name="Tech" localSheetId="16">#REF!</definedName>
    <definedName name="Tech" localSheetId="21">#REF!</definedName>
    <definedName name="Tech" localSheetId="5">#REF!</definedName>
    <definedName name="Tech" localSheetId="2">#REF!</definedName>
    <definedName name="Tech" localSheetId="32">#REF!</definedName>
    <definedName name="Tech" localSheetId="29">#REF!</definedName>
    <definedName name="Tech" localSheetId="15">#REF!</definedName>
    <definedName name="Tech" localSheetId="35">#REF!</definedName>
    <definedName name="Tech" localSheetId="4">#REF!</definedName>
    <definedName name="Tech" localSheetId="1">#REF!</definedName>
    <definedName name="Tech" localSheetId="33">#REF!</definedName>
    <definedName name="Tech" localSheetId="31">#REF!</definedName>
    <definedName name="Tech" localSheetId="7">#REF!</definedName>
    <definedName name="Tech" localSheetId="34">#REF!</definedName>
    <definedName name="Tech" localSheetId="6">#REF!</definedName>
    <definedName name="Tech" localSheetId="3">#REF!</definedName>
    <definedName name="Tech" localSheetId="30">#REF!</definedName>
    <definedName name="Tech" localSheetId="20">#REF!</definedName>
    <definedName name="Tech">#REF!</definedName>
    <definedName name="Technology" localSheetId="5">[1]CONE_Calculations!$D$6</definedName>
    <definedName name="Technology" localSheetId="32">#REF!</definedName>
    <definedName name="Technology" localSheetId="29">#REF!</definedName>
    <definedName name="Technology" localSheetId="35">#REF!</definedName>
    <definedName name="Technology" localSheetId="33">#REF!</definedName>
    <definedName name="Technology" localSheetId="31">[2]CONE_Calculations!$D$5</definedName>
    <definedName name="Technology" localSheetId="34">#REF!</definedName>
    <definedName name="Technology" localSheetId="6">[1]CONE_Calculations!$D$6</definedName>
    <definedName name="Technology" localSheetId="30">[2]CONE_Calculations!$D$5</definedName>
    <definedName name="Technology">CONE_Calculations!$D$6</definedName>
    <definedName name="techs" localSheetId="32">#REF!</definedName>
    <definedName name="techs" localSheetId="29">#REF!</definedName>
    <definedName name="techs" localSheetId="35">#REF!</definedName>
    <definedName name="techs" localSheetId="33">#REF!</definedName>
    <definedName name="techs" localSheetId="31">[2]CONE_Calculations!$E$5:$F$5</definedName>
    <definedName name="techs" localSheetId="34">#REF!</definedName>
    <definedName name="techs" localSheetId="30">[2]CONE_Calculations!$E$5:$F$5</definedName>
    <definedName name="techs">CONE_Calculations!$E$6:$F$6</definedName>
    <definedName name="Techs1" localSheetId="19">#REF!</definedName>
    <definedName name="Techs1" localSheetId="16">#REF!</definedName>
    <definedName name="Techs1" localSheetId="21">#REF!</definedName>
    <definedName name="Techs1" localSheetId="5">#REF!</definedName>
    <definedName name="Techs1" localSheetId="2">#REF!</definedName>
    <definedName name="Techs1" localSheetId="32">#REF!</definedName>
    <definedName name="Techs1" localSheetId="29">#REF!</definedName>
    <definedName name="Techs1" localSheetId="15">#REF!</definedName>
    <definedName name="Techs1" localSheetId="35">#REF!</definedName>
    <definedName name="Techs1" localSheetId="4">#REF!</definedName>
    <definedName name="Techs1" localSheetId="1">#REF!</definedName>
    <definedName name="Techs1" localSheetId="33">#REF!</definedName>
    <definedName name="Techs1" localSheetId="31">#REF!</definedName>
    <definedName name="Techs1" localSheetId="7">#REF!</definedName>
    <definedName name="Techs1" localSheetId="34">#REF!</definedName>
    <definedName name="Techs1" localSheetId="6">#REF!</definedName>
    <definedName name="Techs1" localSheetId="3">#REF!</definedName>
    <definedName name="Techs1" localSheetId="30">#REF!</definedName>
    <definedName name="Techs1" localSheetId="20">#REF!</definedName>
    <definedName name="Techs1">#REF!</definedName>
    <definedName name="Teff" localSheetId="19">#REF!</definedName>
    <definedName name="Teff" localSheetId="16">#REF!</definedName>
    <definedName name="Teff" localSheetId="21">#REF!</definedName>
    <definedName name="Teff" localSheetId="5">#REF!</definedName>
    <definedName name="Teff" localSheetId="2">#REF!</definedName>
    <definedName name="Teff" localSheetId="32">#REF!</definedName>
    <definedName name="Teff" localSheetId="29">#REF!</definedName>
    <definedName name="Teff" localSheetId="15">#REF!</definedName>
    <definedName name="Teff" localSheetId="35">#REF!</definedName>
    <definedName name="Teff" localSheetId="4">#REF!</definedName>
    <definedName name="Teff" localSheetId="1">#REF!</definedName>
    <definedName name="Teff" localSheetId="33">#REF!</definedName>
    <definedName name="Teff" localSheetId="31">#REF!</definedName>
    <definedName name="Teff" localSheetId="7">#REF!</definedName>
    <definedName name="Teff" localSheetId="34">#REF!</definedName>
    <definedName name="Teff" localSheetId="6">#REF!</definedName>
    <definedName name="Teff" localSheetId="3">#REF!</definedName>
    <definedName name="Teff" localSheetId="30">#REF!</definedName>
    <definedName name="Teff" localSheetId="20">#REF!</definedName>
    <definedName name="Teff">#REF!</definedName>
    <definedName name="Teff1" localSheetId="19">#REF!</definedName>
    <definedName name="Teff1" localSheetId="16">#REF!</definedName>
    <definedName name="Teff1" localSheetId="21">#REF!</definedName>
    <definedName name="Teff1" localSheetId="5">#REF!</definedName>
    <definedName name="Teff1" localSheetId="2">#REF!</definedName>
    <definedName name="Teff1" localSheetId="32">#REF!</definedName>
    <definedName name="Teff1" localSheetId="29">#REF!</definedName>
    <definedName name="Teff1" localSheetId="15">#REF!</definedName>
    <definedName name="Teff1" localSheetId="35">#REF!</definedName>
    <definedName name="Teff1" localSheetId="4">#REF!</definedName>
    <definedName name="Teff1" localSheetId="1">#REF!</definedName>
    <definedName name="Teff1" localSheetId="33">#REF!</definedName>
    <definedName name="Teff1" localSheetId="31">#REF!</definedName>
    <definedName name="Teff1" localSheetId="7">#REF!</definedName>
    <definedName name="Teff1" localSheetId="34">#REF!</definedName>
    <definedName name="Teff1" localSheetId="6">#REF!</definedName>
    <definedName name="Teff1" localSheetId="3">#REF!</definedName>
    <definedName name="Teff1" localSheetId="30">#REF!</definedName>
    <definedName name="Teff1" localSheetId="20">#REF!</definedName>
    <definedName name="Teff1">#REF!</definedName>
    <definedName name="total_cost1" localSheetId="19">#REF!</definedName>
    <definedName name="total_cost1" localSheetId="16">#REF!</definedName>
    <definedName name="total_cost1" localSheetId="21">#REF!</definedName>
    <definedName name="total_cost1" localSheetId="5">#REF!</definedName>
    <definedName name="total_cost1" localSheetId="32">#REF!</definedName>
    <definedName name="total_cost1" localSheetId="29">#REF!</definedName>
    <definedName name="total_cost1" localSheetId="35">#REF!</definedName>
    <definedName name="total_cost1" localSheetId="4">#REF!</definedName>
    <definedName name="total_cost1" localSheetId="1">#REF!</definedName>
    <definedName name="total_cost1" localSheetId="33">#REF!</definedName>
    <definedName name="total_cost1" localSheetId="31">#REF!</definedName>
    <definedName name="total_cost1" localSheetId="7">#REF!</definedName>
    <definedName name="total_cost1" localSheetId="34">#REF!</definedName>
    <definedName name="total_cost1" localSheetId="6">#REF!</definedName>
    <definedName name="total_cost1" localSheetId="30">#REF!</definedName>
    <definedName name="total_cost1">#REF!</definedName>
    <definedName name="total_cost2" localSheetId="19">#REF!</definedName>
    <definedName name="total_cost2" localSheetId="16">#REF!</definedName>
    <definedName name="total_cost2" localSheetId="21">#REF!</definedName>
    <definedName name="total_cost2" localSheetId="5">#REF!</definedName>
    <definedName name="total_cost2" localSheetId="32">#REF!</definedName>
    <definedName name="total_cost2" localSheetId="29">#REF!</definedName>
    <definedName name="total_cost2" localSheetId="35">#REF!</definedName>
    <definedName name="total_cost2" localSheetId="4">#REF!</definedName>
    <definedName name="total_cost2" localSheetId="1">#REF!</definedName>
    <definedName name="total_cost2" localSheetId="33">#REF!</definedName>
    <definedName name="total_cost2" localSheetId="31">#REF!</definedName>
    <definedName name="total_cost2" localSheetId="7">#REF!</definedName>
    <definedName name="total_cost2" localSheetId="34">#REF!</definedName>
    <definedName name="total_cost2" localSheetId="6">#REF!</definedName>
    <definedName name="total_cost2" localSheetId="30">#REF!</definedName>
    <definedName name="total_cost2">#REF!</definedName>
    <definedName name="totalcost" localSheetId="19">#REF!</definedName>
    <definedName name="totalcost" localSheetId="16">#REF!</definedName>
    <definedName name="totalcost" localSheetId="21">#REF!</definedName>
    <definedName name="totalcost" localSheetId="5">#REF!</definedName>
    <definedName name="totalcost" localSheetId="2">#REF!</definedName>
    <definedName name="totalcost" localSheetId="32">#REF!</definedName>
    <definedName name="totalcost" localSheetId="29">#REF!</definedName>
    <definedName name="totalcost" localSheetId="15">#REF!</definedName>
    <definedName name="totalcost" localSheetId="35">#REF!</definedName>
    <definedName name="totalcost" localSheetId="4">#REF!</definedName>
    <definedName name="totalcost" localSheetId="1">#REF!</definedName>
    <definedName name="totalcost" localSheetId="33">#REF!</definedName>
    <definedName name="totalcost" localSheetId="31">#REF!</definedName>
    <definedName name="totalcost" localSheetId="7">#REF!</definedName>
    <definedName name="totalcost" localSheetId="34">#REF!</definedName>
    <definedName name="totalcost" localSheetId="6">#REF!</definedName>
    <definedName name="totalcost" localSheetId="3">#REF!</definedName>
    <definedName name="totalcost" localSheetId="30">#REF!</definedName>
    <definedName name="totalcost" localSheetId="20">#REF!</definedName>
    <definedName name="totalcost">#REF!</definedName>
    <definedName name="Working_Capital_Sensitivity1">'[3]DR &amp; EE Inputs'!$L$140</definedName>
    <definedName name="wrkcap_sensitivity1">'[3]DR &amp; EE Inputs'!$L$141</definedName>
    <definedName name="wrkcap_split1">'[3]DR &amp; EE Inputs'!$L$139</definedName>
    <definedName name="xxx" localSheetId="19">#REF!</definedName>
    <definedName name="xxx" localSheetId="16">#REF!</definedName>
    <definedName name="xxx" localSheetId="21">#REF!</definedName>
    <definedName name="xxx" localSheetId="5">#REF!</definedName>
    <definedName name="xxx" localSheetId="2">#REF!</definedName>
    <definedName name="xxx" localSheetId="32">#REF!</definedName>
    <definedName name="xxx" localSheetId="29">#REF!</definedName>
    <definedName name="xxx" localSheetId="15">#REF!</definedName>
    <definedName name="xxx" localSheetId="35">#REF!</definedName>
    <definedName name="xxx" localSheetId="4">#REF!</definedName>
    <definedName name="xxx" localSheetId="1">#REF!</definedName>
    <definedName name="xxx" localSheetId="33">#REF!</definedName>
    <definedName name="xxx" localSheetId="31">#REF!</definedName>
    <definedName name="xxx" localSheetId="7">#REF!</definedName>
    <definedName name="xxx" localSheetId="34">#REF!</definedName>
    <definedName name="xxx" localSheetId="6">#REF!</definedName>
    <definedName name="xxx" localSheetId="3">#REF!</definedName>
    <definedName name="xxx" localSheetId="30">#REF!</definedName>
    <definedName name="xxx" localSheetId="20">#REF!</definedName>
    <definedName name="xxx">#REF!</definedName>
    <definedName name="Year" localSheetId="19">#REF!</definedName>
    <definedName name="Year" localSheetId="16">#REF!</definedName>
    <definedName name="Year" localSheetId="21">#REF!</definedName>
    <definedName name="Year" localSheetId="5">#REF!</definedName>
    <definedName name="Year" localSheetId="2">#REF!</definedName>
    <definedName name="Year" localSheetId="32">#REF!</definedName>
    <definedName name="Year" localSheetId="29">#REF!</definedName>
    <definedName name="Year" localSheetId="15">#REF!</definedName>
    <definedName name="Year" localSheetId="35">#REF!</definedName>
    <definedName name="Year" localSheetId="4">#REF!</definedName>
    <definedName name="Year" localSheetId="1">#REF!</definedName>
    <definedName name="Year" localSheetId="33">#REF!</definedName>
    <definedName name="Year" localSheetId="31">#REF!</definedName>
    <definedName name="Year" localSheetId="7">#REF!</definedName>
    <definedName name="Year" localSheetId="34">#REF!</definedName>
    <definedName name="Year" localSheetId="6">#REF!</definedName>
    <definedName name="Year" localSheetId="3">#REF!</definedName>
    <definedName name="Year" localSheetId="30">#REF!</definedName>
    <definedName name="Year" localSheetId="20">#REF!</definedName>
    <definedName name="Year">#REF!</definedName>
  </definedNames>
  <calcPr calcId="162913"/>
</workbook>
</file>

<file path=xl/calcChain.xml><?xml version="1.0" encoding="utf-8"?>
<calcChain xmlns="http://schemas.openxmlformats.org/spreadsheetml/2006/main">
  <c r="I26" i="98" l="1"/>
  <c r="J26" i="98"/>
  <c r="K26" i="98"/>
  <c r="H26" i="98"/>
  <c r="I25" i="98"/>
  <c r="J25" i="98"/>
  <c r="K25" i="98"/>
  <c r="H25" i="98"/>
  <c r="I23" i="98"/>
  <c r="J23" i="98"/>
  <c r="K23" i="98"/>
  <c r="H23" i="98"/>
  <c r="I16" i="98"/>
  <c r="J16" i="98"/>
  <c r="K16" i="98"/>
  <c r="H16" i="98"/>
  <c r="I15" i="98"/>
  <c r="J15" i="98"/>
  <c r="K15" i="98"/>
  <c r="H15" i="98"/>
  <c r="I14" i="98"/>
  <c r="J14" i="98"/>
  <c r="K14" i="98"/>
  <c r="H14" i="98"/>
  <c r="I12" i="98"/>
  <c r="J12" i="98"/>
  <c r="K12" i="98"/>
  <c r="H12" i="98"/>
  <c r="I11" i="98"/>
  <c r="J11" i="98"/>
  <c r="K11" i="98"/>
  <c r="H11" i="98"/>
  <c r="I88" i="99"/>
  <c r="J88" i="99"/>
  <c r="K88" i="99"/>
  <c r="H88" i="99"/>
  <c r="I79" i="99"/>
  <c r="J79" i="99"/>
  <c r="K79" i="99"/>
  <c r="H79" i="99"/>
  <c r="I78" i="99"/>
  <c r="J78" i="99"/>
  <c r="K78" i="99"/>
  <c r="H78" i="99"/>
  <c r="I66" i="99"/>
  <c r="J66" i="99"/>
  <c r="K66" i="99"/>
  <c r="H66" i="99"/>
  <c r="I65" i="99"/>
  <c r="J65" i="99"/>
  <c r="K65" i="99"/>
  <c r="H65" i="99"/>
  <c r="I51" i="99"/>
  <c r="J51" i="99"/>
  <c r="K51" i="99"/>
  <c r="H51" i="99"/>
  <c r="I41" i="99"/>
  <c r="J41" i="99"/>
  <c r="K41" i="99"/>
  <c r="H41" i="99"/>
  <c r="I40" i="99"/>
  <c r="J40" i="99"/>
  <c r="K40" i="99"/>
  <c r="H40" i="99"/>
  <c r="I39" i="99"/>
  <c r="J39" i="99"/>
  <c r="K39" i="99"/>
  <c r="H39" i="99"/>
  <c r="I38" i="99"/>
  <c r="J38" i="99"/>
  <c r="K38" i="99"/>
  <c r="H38" i="99"/>
  <c r="I37" i="99"/>
  <c r="J37" i="99"/>
  <c r="K37" i="99"/>
  <c r="H37" i="99"/>
  <c r="I36" i="99"/>
  <c r="J36" i="99"/>
  <c r="K36" i="99"/>
  <c r="H36" i="99"/>
  <c r="I35" i="99"/>
  <c r="J35" i="99"/>
  <c r="K35" i="99"/>
  <c r="H35" i="99"/>
  <c r="I34" i="99"/>
  <c r="J34" i="99"/>
  <c r="K34" i="99"/>
  <c r="H34" i="99"/>
  <c r="I30" i="99"/>
  <c r="J30" i="99"/>
  <c r="K30" i="99"/>
  <c r="H30" i="99"/>
  <c r="I29" i="99"/>
  <c r="J29" i="99"/>
  <c r="K29" i="99"/>
  <c r="H29" i="99"/>
  <c r="I28" i="99"/>
  <c r="J28" i="99"/>
  <c r="K28" i="99"/>
  <c r="H28" i="99"/>
  <c r="I26" i="99"/>
  <c r="J26" i="99"/>
  <c r="K26" i="99"/>
  <c r="H26" i="99"/>
  <c r="I25" i="99"/>
  <c r="J25" i="99"/>
  <c r="K25" i="99"/>
  <c r="H25" i="99"/>
  <c r="I22" i="99"/>
  <c r="J22" i="99"/>
  <c r="K22" i="99"/>
  <c r="H22" i="99"/>
  <c r="I21" i="99"/>
  <c r="J21" i="99"/>
  <c r="K21" i="99"/>
  <c r="H21" i="99"/>
  <c r="I18" i="99"/>
  <c r="J18" i="99"/>
  <c r="K18" i="99"/>
  <c r="H18" i="99"/>
  <c r="I17" i="99"/>
  <c r="J17" i="99"/>
  <c r="K17" i="99"/>
  <c r="H17" i="99"/>
  <c r="I14" i="99"/>
  <c r="J14" i="99"/>
  <c r="K14" i="99"/>
  <c r="H14" i="99"/>
  <c r="I13" i="99"/>
  <c r="J13" i="99"/>
  <c r="K13" i="99"/>
  <c r="H13" i="99"/>
  <c r="D13" i="99"/>
  <c r="E91" i="99"/>
  <c r="F91" i="99"/>
  <c r="G91" i="99"/>
  <c r="D91" i="99"/>
  <c r="E88" i="99"/>
  <c r="F88" i="99"/>
  <c r="G88" i="99"/>
  <c r="D88" i="99"/>
  <c r="E84" i="99"/>
  <c r="F84" i="99"/>
  <c r="G84" i="99"/>
  <c r="D84" i="99"/>
  <c r="E83" i="99"/>
  <c r="F83" i="99"/>
  <c r="G83" i="99"/>
  <c r="D83" i="99"/>
  <c r="E79" i="99"/>
  <c r="F79" i="99"/>
  <c r="G79" i="99"/>
  <c r="D79" i="99"/>
  <c r="E78" i="99"/>
  <c r="F78" i="99"/>
  <c r="G78" i="99"/>
  <c r="D78" i="99"/>
  <c r="E60" i="99"/>
  <c r="F60" i="99"/>
  <c r="G60" i="99"/>
  <c r="D60" i="99"/>
  <c r="E59" i="99"/>
  <c r="F59" i="99"/>
  <c r="G59" i="99"/>
  <c r="D59" i="99"/>
  <c r="E58" i="99"/>
  <c r="F58" i="99"/>
  <c r="G58" i="99"/>
  <c r="D58" i="99"/>
  <c r="E57" i="99"/>
  <c r="F57" i="99"/>
  <c r="G57" i="99"/>
  <c r="D57" i="99"/>
  <c r="E56" i="99"/>
  <c r="F56" i="99"/>
  <c r="G56" i="99"/>
  <c r="D56" i="99"/>
  <c r="E55" i="99"/>
  <c r="F55" i="99"/>
  <c r="G55" i="99"/>
  <c r="D55" i="99"/>
  <c r="E54" i="99"/>
  <c r="F54" i="99"/>
  <c r="G54" i="99"/>
  <c r="D54" i="99"/>
  <c r="E50" i="99"/>
  <c r="F50" i="99"/>
  <c r="G50" i="99"/>
  <c r="D50" i="99"/>
  <c r="E49" i="99"/>
  <c r="F49" i="99"/>
  <c r="G49" i="99"/>
  <c r="D49" i="99"/>
  <c r="E48" i="99"/>
  <c r="F48" i="99"/>
  <c r="G48" i="99"/>
  <c r="D48" i="99"/>
  <c r="E47" i="99"/>
  <c r="F47" i="99"/>
  <c r="G47" i="99"/>
  <c r="D47" i="99"/>
  <c r="E46" i="99"/>
  <c r="F46" i="99"/>
  <c r="G46" i="99"/>
  <c r="D46" i="99"/>
  <c r="E45" i="99"/>
  <c r="F45" i="99"/>
  <c r="G45" i="99"/>
  <c r="D45" i="99"/>
  <c r="E44" i="99"/>
  <c r="F44" i="99"/>
  <c r="G44" i="99"/>
  <c r="D44" i="99"/>
  <c r="E43" i="99"/>
  <c r="F43" i="99"/>
  <c r="G43" i="99"/>
  <c r="D43" i="99"/>
  <c r="E41" i="99"/>
  <c r="F41" i="99"/>
  <c r="G41" i="99"/>
  <c r="D41" i="99"/>
  <c r="E40" i="99"/>
  <c r="F40" i="99"/>
  <c r="G40" i="99"/>
  <c r="D40" i="99"/>
  <c r="E39" i="99"/>
  <c r="F39" i="99"/>
  <c r="G39" i="99"/>
  <c r="D39" i="99"/>
  <c r="E38" i="99"/>
  <c r="F38" i="99"/>
  <c r="G38" i="99"/>
  <c r="D38" i="99"/>
  <c r="E37" i="99"/>
  <c r="F37" i="99"/>
  <c r="G37" i="99"/>
  <c r="D37" i="99"/>
  <c r="E36" i="99"/>
  <c r="F36" i="99"/>
  <c r="G36" i="99"/>
  <c r="D36" i="99"/>
  <c r="E35" i="99"/>
  <c r="F35" i="99"/>
  <c r="G35" i="99"/>
  <c r="D35" i="99"/>
  <c r="E34" i="99"/>
  <c r="F34" i="99"/>
  <c r="G34" i="99"/>
  <c r="D34" i="99"/>
  <c r="E30" i="99"/>
  <c r="F30" i="99"/>
  <c r="G30" i="99"/>
  <c r="D30" i="99"/>
  <c r="E29" i="99"/>
  <c r="F29" i="99"/>
  <c r="G29" i="99"/>
  <c r="D29" i="99"/>
  <c r="E28" i="99"/>
  <c r="F28" i="99"/>
  <c r="G28" i="99"/>
  <c r="D28" i="99"/>
  <c r="E26" i="99"/>
  <c r="F26" i="99"/>
  <c r="G26" i="99"/>
  <c r="D26" i="99"/>
  <c r="E25" i="99"/>
  <c r="F25" i="99"/>
  <c r="G25" i="99"/>
  <c r="D25" i="99"/>
  <c r="E22" i="99"/>
  <c r="F22" i="99"/>
  <c r="G22" i="99"/>
  <c r="D22" i="99"/>
  <c r="E21" i="99"/>
  <c r="F21" i="99"/>
  <c r="G21" i="99"/>
  <c r="D21" i="99"/>
  <c r="E18" i="99"/>
  <c r="F18" i="99"/>
  <c r="G18" i="99"/>
  <c r="D18" i="99"/>
  <c r="E17" i="99"/>
  <c r="F17" i="99"/>
  <c r="G17" i="99"/>
  <c r="D17" i="99"/>
  <c r="E14" i="99"/>
  <c r="F14" i="99"/>
  <c r="G14" i="99"/>
  <c r="D14" i="99"/>
  <c r="E13" i="99"/>
  <c r="F13" i="99"/>
  <c r="G13" i="99"/>
  <c r="I8" i="99"/>
  <c r="J8" i="99"/>
  <c r="K8" i="99"/>
  <c r="H8" i="99"/>
  <c r="J47" i="97"/>
  <c r="K47" i="97"/>
  <c r="L47" i="97"/>
  <c r="I47" i="97"/>
  <c r="J14" i="97"/>
  <c r="K14" i="97"/>
  <c r="L14" i="97"/>
  <c r="I14" i="97"/>
  <c r="J15" i="97"/>
  <c r="K15" i="97"/>
  <c r="L15" i="97"/>
  <c r="I15" i="97"/>
  <c r="J16" i="97"/>
  <c r="K16" i="97"/>
  <c r="L16" i="97"/>
  <c r="I16" i="97"/>
  <c r="J27" i="97"/>
  <c r="K27" i="97"/>
  <c r="L27" i="97"/>
  <c r="I27" i="97"/>
  <c r="J26" i="97"/>
  <c r="K26" i="97"/>
  <c r="L26" i="97"/>
  <c r="I26" i="97"/>
  <c r="J25" i="97"/>
  <c r="K25" i="97"/>
  <c r="L25" i="97"/>
  <c r="I25" i="97"/>
  <c r="J23" i="97"/>
  <c r="K23" i="97"/>
  <c r="L23" i="97"/>
  <c r="I23" i="97"/>
  <c r="J22" i="97"/>
  <c r="K22" i="97"/>
  <c r="L22" i="97"/>
  <c r="I22" i="97"/>
  <c r="F27" i="97"/>
  <c r="G27" i="97"/>
  <c r="H27" i="97"/>
  <c r="E27" i="97"/>
  <c r="F26" i="97"/>
  <c r="G26" i="97"/>
  <c r="H26" i="97"/>
  <c r="E26" i="97"/>
  <c r="F25" i="97"/>
  <c r="G25" i="97"/>
  <c r="H25" i="97"/>
  <c r="E25" i="97"/>
  <c r="F23" i="97"/>
  <c r="G23" i="97"/>
  <c r="H23" i="97"/>
  <c r="E23" i="97"/>
  <c r="F15" i="97"/>
  <c r="G15" i="97"/>
  <c r="H15" i="97"/>
  <c r="E15" i="97"/>
  <c r="F14" i="97"/>
  <c r="G14" i="97"/>
  <c r="H14" i="97"/>
  <c r="E14" i="97"/>
  <c r="A31" i="81"/>
  <c r="A29" i="81"/>
  <c r="C31" i="81"/>
  <c r="D31" i="81"/>
  <c r="E31" i="81"/>
  <c r="B31" i="81"/>
  <c r="C29" i="81"/>
  <c r="D29" i="81"/>
  <c r="E29" i="81"/>
  <c r="B29" i="81"/>
  <c r="L28" i="64" l="1"/>
  <c r="M28" i="64"/>
  <c r="N28" i="64"/>
  <c r="K28" i="64"/>
  <c r="H28" i="64"/>
  <c r="I28" i="64"/>
  <c r="J28" i="64"/>
  <c r="G28" i="64"/>
  <c r="C36" i="167" l="1"/>
  <c r="D36" i="167"/>
  <c r="E36" i="167"/>
  <c r="F36" i="167"/>
  <c r="G19" i="75" l="1"/>
  <c r="F19" i="75"/>
  <c r="E19" i="75"/>
  <c r="D19" i="75"/>
  <c r="L19" i="75"/>
  <c r="K19" i="75"/>
  <c r="J19" i="75"/>
  <c r="I19" i="75"/>
  <c r="D31" i="3" l="1"/>
  <c r="F24" i="167" l="1"/>
  <c r="D24" i="167"/>
  <c r="E24" i="167"/>
  <c r="C24" i="167"/>
  <c r="M23" i="76"/>
  <c r="M21" i="76"/>
  <c r="M20" i="76"/>
  <c r="L23" i="76"/>
  <c r="L33" i="76" s="1"/>
  <c r="L21" i="76"/>
  <c r="L31" i="76" s="1"/>
  <c r="L20" i="76"/>
  <c r="L30" i="76" s="1"/>
  <c r="Q33" i="76"/>
  <c r="Q31" i="76"/>
  <c r="Q30" i="76"/>
  <c r="H23" i="76"/>
  <c r="H21" i="76"/>
  <c r="H20" i="76"/>
  <c r="I23" i="76"/>
  <c r="I21" i="76"/>
  <c r="I20" i="76"/>
  <c r="D61" i="140" l="1"/>
  <c r="D30" i="3" l="1"/>
  <c r="N26" i="171" l="1"/>
  <c r="M26" i="171"/>
  <c r="L26" i="171"/>
  <c r="K26" i="171"/>
  <c r="N25" i="171"/>
  <c r="M25" i="171"/>
  <c r="L25" i="171"/>
  <c r="K25" i="171"/>
  <c r="N21" i="171"/>
  <c r="M21" i="171"/>
  <c r="L21" i="171"/>
  <c r="K21" i="171"/>
  <c r="N7" i="171"/>
  <c r="M7" i="171"/>
  <c r="L7" i="171"/>
  <c r="K7" i="171"/>
  <c r="I7" i="171"/>
  <c r="H7" i="171"/>
  <c r="G7" i="171"/>
  <c r="F7" i="171"/>
  <c r="N12" i="171"/>
  <c r="M12" i="171"/>
  <c r="L12" i="171"/>
  <c r="K12" i="171"/>
  <c r="I12" i="171"/>
  <c r="H12" i="171"/>
  <c r="G12" i="171"/>
  <c r="F12" i="171"/>
  <c r="N11" i="171"/>
  <c r="M11" i="171"/>
  <c r="L11" i="171"/>
  <c r="K11" i="171"/>
  <c r="B10" i="171"/>
  <c r="B11" i="171" s="1"/>
  <c r="B12" i="171" s="1"/>
  <c r="B17" i="171" l="1"/>
  <c r="B18" i="171" l="1"/>
  <c r="B19" i="171"/>
  <c r="B21" i="171" l="1"/>
  <c r="B22" i="171" l="1"/>
  <c r="B25" i="171" s="1"/>
  <c r="B26" i="171" s="1"/>
  <c r="D30" i="142" l="1"/>
  <c r="D29" i="142"/>
  <c r="F41" i="81" l="1"/>
  <c r="G41" i="81"/>
  <c r="F42" i="81"/>
  <c r="G42" i="81"/>
  <c r="F43" i="81"/>
  <c r="G43" i="81"/>
  <c r="F44" i="81"/>
  <c r="G44" i="81"/>
  <c r="F39" i="144" l="1"/>
  <c r="F38" i="144"/>
  <c r="F37" i="144"/>
  <c r="F36" i="144"/>
  <c r="F35" i="144"/>
  <c r="F34" i="144"/>
  <c r="F33" i="144"/>
  <c r="F28" i="144"/>
  <c r="F24" i="144"/>
  <c r="F23" i="144"/>
  <c r="F22" i="144"/>
  <c r="F20" i="144"/>
  <c r="F19" i="144"/>
  <c r="J82" i="81" l="1"/>
  <c r="AF13" i="99" l="1"/>
  <c r="AE13" i="99"/>
  <c r="AF21" i="99"/>
  <c r="AE21" i="99"/>
  <c r="AF17" i="99"/>
  <c r="AE17" i="99"/>
  <c r="AF25" i="99"/>
  <c r="AE25" i="99"/>
  <c r="G38" i="168" l="1"/>
  <c r="F38" i="168"/>
  <c r="E38" i="168"/>
  <c r="D38" i="168"/>
  <c r="G30" i="168"/>
  <c r="F30" i="168"/>
  <c r="E30" i="168"/>
  <c r="D30" i="168"/>
  <c r="G29" i="168"/>
  <c r="F29" i="168"/>
  <c r="E29" i="168"/>
  <c r="D29" i="168"/>
  <c r="G28" i="168"/>
  <c r="F28" i="168"/>
  <c r="E28" i="168"/>
  <c r="D28" i="168"/>
  <c r="G27" i="168"/>
  <c r="F27" i="168"/>
  <c r="E27" i="168"/>
  <c r="D27" i="168"/>
  <c r="G26" i="168"/>
  <c r="F26" i="168"/>
  <c r="E26" i="168"/>
  <c r="D26" i="168"/>
  <c r="G19" i="168"/>
  <c r="F19" i="168"/>
  <c r="E19" i="168"/>
  <c r="D19" i="168"/>
  <c r="G18" i="168"/>
  <c r="F18" i="168"/>
  <c r="E18" i="168"/>
  <c r="D18" i="168"/>
  <c r="G17" i="168"/>
  <c r="F17" i="168"/>
  <c r="E17" i="168"/>
  <c r="D17" i="168"/>
  <c r="G16" i="168"/>
  <c r="F16" i="168"/>
  <c r="E16" i="168"/>
  <c r="D16" i="168"/>
  <c r="G7" i="168"/>
  <c r="F7" i="167" s="1"/>
  <c r="F7" i="168"/>
  <c r="E7" i="167" s="1"/>
  <c r="E7" i="168"/>
  <c r="D7" i="167" s="1"/>
  <c r="D7" i="168"/>
  <c r="C7" i="167" s="1"/>
  <c r="F45" i="57" l="1"/>
  <c r="F46" i="57"/>
  <c r="F47" i="57"/>
  <c r="F48" i="57"/>
  <c r="E48" i="57"/>
  <c r="E46" i="57"/>
  <c r="E45" i="57"/>
  <c r="F6" i="167"/>
  <c r="E6" i="167"/>
  <c r="D6" i="167"/>
  <c r="C6" i="167"/>
  <c r="I15" i="144" l="1"/>
  <c r="J15" i="144"/>
  <c r="K15" i="144"/>
  <c r="H15" i="144"/>
  <c r="H14" i="144"/>
  <c r="I14" i="144"/>
  <c r="J14" i="144"/>
  <c r="K14" i="144"/>
  <c r="I13" i="144"/>
  <c r="J13" i="144"/>
  <c r="K13" i="144"/>
  <c r="H13" i="144"/>
  <c r="G1" i="140"/>
  <c r="I27" i="166"/>
  <c r="I28" i="166" s="1"/>
  <c r="H27" i="166"/>
  <c r="H28" i="166" s="1"/>
  <c r="G27" i="166"/>
  <c r="G28" i="166" s="1"/>
  <c r="F27" i="166"/>
  <c r="F28" i="166" s="1"/>
  <c r="I23" i="166"/>
  <c r="H23" i="166"/>
  <c r="G23" i="166"/>
  <c r="F23" i="166"/>
  <c r="I16" i="166"/>
  <c r="I7" i="166" s="1"/>
  <c r="H16" i="166"/>
  <c r="H7" i="166" s="1"/>
  <c r="G16" i="166"/>
  <c r="G7" i="166" s="1"/>
  <c r="F16" i="166"/>
  <c r="F7" i="166" s="1"/>
  <c r="I12" i="166"/>
  <c r="H12" i="166"/>
  <c r="G12" i="166"/>
  <c r="F12" i="166"/>
  <c r="I11" i="166"/>
  <c r="H11" i="166"/>
  <c r="G11" i="166"/>
  <c r="F11" i="166"/>
  <c r="B11" i="166"/>
  <c r="I10" i="166"/>
  <c r="H10" i="166"/>
  <c r="G10" i="166"/>
  <c r="F10" i="166"/>
  <c r="B12" i="166" l="1"/>
  <c r="B13" i="166" s="1"/>
  <c r="B14" i="166" l="1"/>
  <c r="B16" i="166" s="1"/>
  <c r="B19" i="166" s="1"/>
  <c r="B20" i="166" l="1"/>
  <c r="B21" i="166" s="1"/>
  <c r="B23" i="166" l="1"/>
  <c r="B24" i="166" l="1"/>
  <c r="B27" i="166" l="1"/>
  <c r="B28" i="166" s="1"/>
  <c r="M107" i="3" l="1"/>
  <c r="M108" i="3"/>
  <c r="M109" i="3"/>
  <c r="M110" i="3"/>
  <c r="I82" i="81"/>
  <c r="G82" i="81"/>
  <c r="T2" i="76" l="1"/>
  <c r="U2" i="76"/>
  <c r="V2" i="76"/>
  <c r="W2" i="76"/>
  <c r="X2" i="76"/>
  <c r="Y2" i="76"/>
  <c r="Z2" i="76"/>
  <c r="AA2" i="76"/>
  <c r="AB2" i="76"/>
  <c r="AC2" i="76"/>
  <c r="AC8" i="76" s="1"/>
  <c r="AD2" i="76"/>
  <c r="AE2" i="76"/>
  <c r="AF2" i="76"/>
  <c r="AG2" i="76"/>
  <c r="AH2" i="76"/>
  <c r="AH8" i="76" s="1"/>
  <c r="S2" i="76"/>
  <c r="X8" i="76" l="1"/>
  <c r="F13" i="166" s="1"/>
  <c r="E23" i="167"/>
  <c r="F23" i="167"/>
  <c r="D23" i="167"/>
  <c r="C23" i="167"/>
  <c r="H14" i="166"/>
  <c r="F14" i="166"/>
  <c r="I14" i="166"/>
  <c r="G14" i="166"/>
  <c r="F22" i="167" l="1"/>
  <c r="H13" i="166"/>
  <c r="I13" i="166"/>
  <c r="G13" i="166"/>
  <c r="D22" i="167"/>
  <c r="E22" i="167"/>
  <c r="C22" i="167"/>
  <c r="H16" i="142"/>
  <c r="I16" i="142"/>
  <c r="J16" i="142"/>
  <c r="G16" i="142"/>
  <c r="H15" i="142"/>
  <c r="I15" i="142"/>
  <c r="J15" i="142"/>
  <c r="G15" i="142"/>
  <c r="L6" i="144" l="1"/>
  <c r="K6" i="144"/>
  <c r="J6" i="144"/>
  <c r="I6" i="144"/>
  <c r="H6" i="144"/>
  <c r="K5" i="144"/>
  <c r="J5" i="144"/>
  <c r="I5" i="144"/>
  <c r="H5" i="144"/>
  <c r="K1" i="144"/>
  <c r="J1" i="144"/>
  <c r="I1" i="144"/>
  <c r="H1" i="144"/>
  <c r="H39" i="139"/>
  <c r="G39" i="139"/>
  <c r="F39" i="139"/>
  <c r="E39" i="139"/>
  <c r="A40" i="139" s="1"/>
  <c r="A34" i="139"/>
  <c r="A33" i="139"/>
  <c r="A32" i="139"/>
  <c r="C13" i="139"/>
  <c r="A13" i="139"/>
  <c r="C12" i="139"/>
  <c r="A12" i="139"/>
  <c r="C11" i="139"/>
  <c r="C10" i="139" s="1"/>
  <c r="A11" i="139"/>
  <c r="G57" i="140"/>
  <c r="G54" i="140"/>
  <c r="F54" i="140"/>
  <c r="E54" i="140"/>
  <c r="D54" i="140"/>
  <c r="G25" i="140"/>
  <c r="F25" i="140"/>
  <c r="E25" i="140"/>
  <c r="D25" i="140"/>
  <c r="D28" i="140" s="1"/>
  <c r="F1" i="140"/>
  <c r="E1" i="140"/>
  <c r="D1" i="140"/>
  <c r="E1" i="145" l="1"/>
  <c r="F1" i="145"/>
  <c r="G1" i="145"/>
  <c r="D1" i="145"/>
  <c r="D57" i="140"/>
  <c r="E57" i="140"/>
  <c r="F57" i="140"/>
  <c r="J51" i="57" l="1"/>
  <c r="K51" i="57"/>
  <c r="E47" i="60"/>
  <c r="I51" i="57" s="1"/>
  <c r="F47" i="60"/>
  <c r="G47" i="60"/>
  <c r="D47" i="60"/>
  <c r="H51" i="57" s="1"/>
  <c r="J42" i="97"/>
  <c r="K42" i="97"/>
  <c r="L42" i="97"/>
  <c r="I42" i="97"/>
  <c r="D42" i="99" l="1"/>
  <c r="E42" i="99"/>
  <c r="F42" i="99"/>
  <c r="G42" i="99"/>
  <c r="T65" i="99"/>
  <c r="S65" i="99"/>
  <c r="R65" i="99"/>
  <c r="Q65" i="99"/>
  <c r="Q53" i="99" a="1"/>
  <c r="T53" i="99" s="1"/>
  <c r="Q52" i="99" a="1"/>
  <c r="Q52" i="99" s="1"/>
  <c r="M52" i="99" a="1"/>
  <c r="N52" i="99" s="1"/>
  <c r="Q50" i="99" a="1"/>
  <c r="S50" i="99" s="1"/>
  <c r="Q48" i="99"/>
  <c r="Q46" i="99"/>
  <c r="T44" i="99"/>
  <c r="T43" i="99" s="1"/>
  <c r="S44" i="99"/>
  <c r="S43" i="99" s="1"/>
  <c r="R44" i="99"/>
  <c r="R43" i="99" s="1"/>
  <c r="Q44" i="99"/>
  <c r="Q43" i="99" s="1"/>
  <c r="T42" i="99"/>
  <c r="S42" i="99"/>
  <c r="R42" i="99"/>
  <c r="Q42" i="99"/>
  <c r="M50" i="99" a="1"/>
  <c r="N50" i="99" s="1"/>
  <c r="N49" i="99" s="1"/>
  <c r="M53" i="99" a="1"/>
  <c r="M53" i="99" s="1"/>
  <c r="P57" i="99"/>
  <c r="P60" i="99" s="1"/>
  <c r="P54" i="99" s="1"/>
  <c r="O57" i="99"/>
  <c r="O60" i="99" s="1"/>
  <c r="O54" i="99" s="1"/>
  <c r="N57" i="99"/>
  <c r="N60" i="99" s="1"/>
  <c r="M57" i="99"/>
  <c r="M60" i="99" s="1"/>
  <c r="M54" i="99" s="1"/>
  <c r="M48" i="99"/>
  <c r="M46" i="99"/>
  <c r="P44" i="99"/>
  <c r="P43" i="99" s="1"/>
  <c r="O44" i="99"/>
  <c r="N44" i="99"/>
  <c r="M44" i="99"/>
  <c r="P42" i="99"/>
  <c r="O42" i="99"/>
  <c r="N42" i="99"/>
  <c r="M42" i="99"/>
  <c r="N59" i="99"/>
  <c r="O43" i="99"/>
  <c r="P65" i="99"/>
  <c r="O65" i="99"/>
  <c r="N65" i="99"/>
  <c r="M65" i="99"/>
  <c r="N54" i="99" l="1"/>
  <c r="Q45" i="99"/>
  <c r="R46" i="99"/>
  <c r="M45" i="99"/>
  <c r="S48" i="99"/>
  <c r="M43" i="99"/>
  <c r="N43" i="99"/>
  <c r="S53" i="99"/>
  <c r="R53" i="99"/>
  <c r="Q53" i="99"/>
  <c r="T52" i="99"/>
  <c r="S52" i="99"/>
  <c r="R52" i="99"/>
  <c r="M52" i="99"/>
  <c r="P52" i="99"/>
  <c r="O52" i="99"/>
  <c r="R50" i="99"/>
  <c r="R49" i="99" s="1"/>
  <c r="Q50" i="99"/>
  <c r="Q49" i="99" s="1"/>
  <c r="T50" i="99"/>
  <c r="T49" i="99" s="1"/>
  <c r="S49" i="99"/>
  <c r="M50" i="99"/>
  <c r="M49" i="99" s="1"/>
  <c r="P50" i="99"/>
  <c r="O50" i="99"/>
  <c r="P53" i="99"/>
  <c r="O53" i="99"/>
  <c r="N53" i="99"/>
  <c r="P46" i="99" l="1"/>
  <c r="S46" i="99"/>
  <c r="O46" i="99"/>
  <c r="N46" i="99"/>
  <c r="N45" i="99"/>
  <c r="O45" i="99"/>
  <c r="P45" i="99"/>
  <c r="S45" i="99"/>
  <c r="R45" i="99"/>
  <c r="T45" i="99"/>
  <c r="T46" i="99"/>
  <c r="H46" i="99"/>
  <c r="J46" i="99"/>
  <c r="K46" i="99"/>
  <c r="I46" i="99"/>
  <c r="P48" i="99"/>
  <c r="O48" i="99"/>
  <c r="N48" i="99"/>
  <c r="T48" i="99"/>
  <c r="R48" i="99"/>
  <c r="P49" i="99"/>
  <c r="O49" i="99"/>
  <c r="K47" i="60"/>
  <c r="O51" i="57" s="1"/>
  <c r="J47" i="60"/>
  <c r="N51" i="57" s="1"/>
  <c r="I47" i="60"/>
  <c r="M51" i="57" s="1"/>
  <c r="H47" i="60"/>
  <c r="L51" i="57" s="1"/>
  <c r="X78" i="99"/>
  <c r="W78" i="99"/>
  <c r="V78" i="99"/>
  <c r="U78" i="99"/>
  <c r="J29" i="142" l="1"/>
  <c r="H30" i="142"/>
  <c r="I30" i="142"/>
  <c r="J30" i="142"/>
  <c r="G30" i="142"/>
  <c r="G29" i="142" l="1"/>
  <c r="I29" i="142"/>
  <c r="H29" i="142"/>
  <c r="H18" i="142" l="1"/>
  <c r="I18" i="142"/>
  <c r="J18" i="142"/>
  <c r="G18" i="142"/>
  <c r="E36" i="143"/>
  <c r="F36" i="143"/>
  <c r="G36" i="143"/>
  <c r="D36" i="143"/>
  <c r="A94" i="65" l="1"/>
  <c r="A95" i="65"/>
  <c r="A96" i="65"/>
  <c r="A97" i="65"/>
  <c r="A98" i="65"/>
  <c r="A99" i="65"/>
  <c r="A103" i="65"/>
  <c r="A105" i="65"/>
  <c r="A106" i="65"/>
  <c r="A107" i="65"/>
  <c r="A108" i="65"/>
  <c r="A112" i="65"/>
  <c r="A113" i="65"/>
  <c r="A114" i="65"/>
  <c r="A115" i="65"/>
  <c r="A116" i="65"/>
  <c r="A117" i="65"/>
  <c r="A121" i="65"/>
  <c r="A122" i="65"/>
  <c r="A123" i="65"/>
  <c r="A124" i="65"/>
  <c r="A125" i="65"/>
  <c r="A126" i="65"/>
  <c r="E10" i="65"/>
  <c r="AF126" i="65" s="1"/>
  <c r="AA99" i="65" l="1"/>
  <c r="AT97" i="65"/>
  <c r="AQ101" i="65"/>
  <c r="AM107" i="65"/>
  <c r="AI114" i="65"/>
  <c r="AO122" i="65"/>
  <c r="AE93" i="65"/>
  <c r="AM97" i="65"/>
  <c r="AB102" i="65"/>
  <c r="AT107" i="65"/>
  <c r="AP114" i="65"/>
  <c r="Z123" i="65"/>
  <c r="AJ106" i="65"/>
  <c r="AJ96" i="65"/>
  <c r="AE103" i="65"/>
  <c r="AA110" i="65"/>
  <c r="AS115" i="65"/>
  <c r="AC124" i="65"/>
  <c r="AC96" i="65"/>
  <c r="AL103" i="65"/>
  <c r="AH110" i="65"/>
  <c r="AD116" i="65"/>
  <c r="AM125" i="65"/>
  <c r="AF113" i="65"/>
  <c r="Z95" i="65"/>
  <c r="AO104" i="65"/>
  <c r="AK111" i="65"/>
  <c r="AG117" i="65"/>
  <c r="AL121" i="65"/>
  <c r="AO94" i="65"/>
  <c r="Z105" i="65"/>
  <c r="AR111" i="65"/>
  <c r="AQ119" i="65"/>
  <c r="AH99" i="65"/>
  <c r="AL93" i="65"/>
  <c r="AC106" i="65"/>
  <c r="Y113" i="65"/>
  <c r="AE121" i="65"/>
  <c r="AN117" i="65"/>
  <c r="AJ124" i="65"/>
  <c r="AT125" i="65"/>
  <c r="AT99" i="65"/>
  <c r="Z99" i="65"/>
  <c r="AL97" i="65"/>
  <c r="AB96" i="65"/>
  <c r="AN94" i="65"/>
  <c r="AD93" i="65"/>
  <c r="AC102" i="65"/>
  <c r="AM103" i="65"/>
  <c r="AA105" i="65"/>
  <c r="AK106" i="65"/>
  <c r="Y108" i="65"/>
  <c r="AI110" i="65"/>
  <c r="AS111" i="65"/>
  <c r="AG113" i="65"/>
  <c r="AQ114" i="65"/>
  <c r="AE116" i="65"/>
  <c r="AO117" i="65"/>
  <c r="AC120" i="65"/>
  <c r="AM121" i="65"/>
  <c r="AA123" i="65"/>
  <c r="AK124" i="65"/>
  <c r="Y126" i="65"/>
  <c r="AE97" i="65"/>
  <c r="AJ102" i="65"/>
  <c r="AH105" i="65"/>
  <c r="AR106" i="65"/>
  <c r="AF108" i="65"/>
  <c r="AP110" i="65"/>
  <c r="AD112" i="65"/>
  <c r="AN113" i="65"/>
  <c r="AB115" i="65"/>
  <c r="AL116" i="65"/>
  <c r="Z119" i="65"/>
  <c r="AJ120" i="65"/>
  <c r="AT121" i="65"/>
  <c r="AH123" i="65"/>
  <c r="AR124" i="65"/>
  <c r="AM126" i="65"/>
  <c r="AE126" i="65"/>
  <c r="AS125" i="65"/>
  <c r="AK125" i="65"/>
  <c r="AC125" i="65"/>
  <c r="AQ124" i="65"/>
  <c r="AI124" i="65"/>
  <c r="AA124" i="65"/>
  <c r="AO123" i="65"/>
  <c r="AG123" i="65"/>
  <c r="Y123" i="65"/>
  <c r="AM122" i="65"/>
  <c r="AE122" i="65"/>
  <c r="AS121" i="65"/>
  <c r="AK121" i="65"/>
  <c r="AC121" i="65"/>
  <c r="AQ120" i="65"/>
  <c r="AI120" i="65"/>
  <c r="AA120" i="65"/>
  <c r="AO119" i="65"/>
  <c r="AG119" i="65"/>
  <c r="Y119" i="65"/>
  <c r="AM117" i="65"/>
  <c r="AE117" i="65"/>
  <c r="AS116" i="65"/>
  <c r="AK116" i="65"/>
  <c r="AC116" i="65"/>
  <c r="AQ115" i="65"/>
  <c r="AI115" i="65"/>
  <c r="AA115" i="65"/>
  <c r="AO114" i="65"/>
  <c r="AG114" i="65"/>
  <c r="Y114" i="65"/>
  <c r="AM113" i="65"/>
  <c r="AE113" i="65"/>
  <c r="AS112" i="65"/>
  <c r="AK112" i="65"/>
  <c r="AC112" i="65"/>
  <c r="AQ111" i="65"/>
  <c r="AI111" i="65"/>
  <c r="AA111" i="65"/>
  <c r="AO110" i="65"/>
  <c r="AG110" i="65"/>
  <c r="Y110" i="65"/>
  <c r="AM108" i="65"/>
  <c r="AE108" i="65"/>
  <c r="AS107" i="65"/>
  <c r="AK107" i="65"/>
  <c r="AC107" i="65"/>
  <c r="AQ106" i="65"/>
  <c r="AI106" i="65"/>
  <c r="AA106" i="65"/>
  <c r="AO105" i="65"/>
  <c r="AG105" i="65"/>
  <c r="Y105" i="65"/>
  <c r="AM104" i="65"/>
  <c r="AE104" i="65"/>
  <c r="AS103" i="65"/>
  <c r="AK103" i="65"/>
  <c r="AC103" i="65"/>
  <c r="AQ102" i="65"/>
  <c r="AI102" i="65"/>
  <c r="AA102" i="65"/>
  <c r="AO101" i="65"/>
  <c r="AG101" i="65"/>
  <c r="Y101" i="65"/>
  <c r="AF93" i="65"/>
  <c r="AN93" i="65"/>
  <c r="Z94" i="65"/>
  <c r="AH94" i="65"/>
  <c r="AP94" i="65"/>
  <c r="AB95" i="65"/>
  <c r="AJ95" i="65"/>
  <c r="AR95" i="65"/>
  <c r="AD96" i="65"/>
  <c r="AL96" i="65"/>
  <c r="AT96" i="65"/>
  <c r="AF97" i="65"/>
  <c r="AN97" i="65"/>
  <c r="Z98" i="65"/>
  <c r="AH98" i="65"/>
  <c r="AP98" i="65"/>
  <c r="AB99" i="65"/>
  <c r="AJ99" i="65"/>
  <c r="AT126" i="65"/>
  <c r="AL126" i="65"/>
  <c r="AD126" i="65"/>
  <c r="AR125" i="65"/>
  <c r="AJ125" i="65"/>
  <c r="AB125" i="65"/>
  <c r="AP124" i="65"/>
  <c r="AH124" i="65"/>
  <c r="Z124" i="65"/>
  <c r="AN123" i="65"/>
  <c r="AF123" i="65"/>
  <c r="AT122" i="65"/>
  <c r="AL122" i="65"/>
  <c r="AD122" i="65"/>
  <c r="AR121" i="65"/>
  <c r="AJ121" i="65"/>
  <c r="AB121" i="65"/>
  <c r="AP120" i="65"/>
  <c r="AH120" i="65"/>
  <c r="Z120" i="65"/>
  <c r="AN119" i="65"/>
  <c r="AF119" i="65"/>
  <c r="AT117" i="65"/>
  <c r="AL117" i="65"/>
  <c r="AD117" i="65"/>
  <c r="AR116" i="65"/>
  <c r="AJ116" i="65"/>
  <c r="AB116" i="65"/>
  <c r="AP115" i="65"/>
  <c r="AH115" i="65"/>
  <c r="Z115" i="65"/>
  <c r="AN114" i="65"/>
  <c r="AF114" i="65"/>
  <c r="AT113" i="65"/>
  <c r="AL113" i="65"/>
  <c r="AD113" i="65"/>
  <c r="AR112" i="65"/>
  <c r="AJ112" i="65"/>
  <c r="AB112" i="65"/>
  <c r="AP111" i="65"/>
  <c r="AH111" i="65"/>
  <c r="Z111" i="65"/>
  <c r="AN110" i="65"/>
  <c r="AF110" i="65"/>
  <c r="AT108" i="65"/>
  <c r="AL108" i="65"/>
  <c r="AD108" i="65"/>
  <c r="AR107" i="65"/>
  <c r="AJ107" i="65"/>
  <c r="AB107" i="65"/>
  <c r="AP106" i="65"/>
  <c r="AH106" i="65"/>
  <c r="Z106" i="65"/>
  <c r="AN105" i="65"/>
  <c r="AF105" i="65"/>
  <c r="AT104" i="65"/>
  <c r="AL104" i="65"/>
  <c r="AD104" i="65"/>
  <c r="AR103" i="65"/>
  <c r="AJ103" i="65"/>
  <c r="AB103" i="65"/>
  <c r="AP102" i="65"/>
  <c r="AH102" i="65"/>
  <c r="Z102" i="65"/>
  <c r="AN101" i="65"/>
  <c r="AF101" i="65"/>
  <c r="Y93" i="65"/>
  <c r="AG93" i="65"/>
  <c r="AO93" i="65"/>
  <c r="AA94" i="65"/>
  <c r="AI94" i="65"/>
  <c r="AQ94" i="65"/>
  <c r="AC95" i="65"/>
  <c r="AK95" i="65"/>
  <c r="AS95" i="65"/>
  <c r="AE96" i="65"/>
  <c r="AM96" i="65"/>
  <c r="Y97" i="65"/>
  <c r="AG97" i="65"/>
  <c r="AO97" i="65"/>
  <c r="AA98" i="65"/>
  <c r="AI98" i="65"/>
  <c r="AQ98" i="65"/>
  <c r="AC99" i="65"/>
  <c r="AK99" i="65"/>
  <c r="AS126" i="65"/>
  <c r="AK126" i="65"/>
  <c r="AC126" i="65"/>
  <c r="AQ125" i="65"/>
  <c r="AI125" i="65"/>
  <c r="AA125" i="65"/>
  <c r="AO124" i="65"/>
  <c r="AG124" i="65"/>
  <c r="Y124" i="65"/>
  <c r="AM123" i="65"/>
  <c r="AE123" i="65"/>
  <c r="AS122" i="65"/>
  <c r="AK122" i="65"/>
  <c r="AC122" i="65"/>
  <c r="AQ121" i="65"/>
  <c r="AI121" i="65"/>
  <c r="AA121" i="65"/>
  <c r="AO120" i="65"/>
  <c r="AG120" i="65"/>
  <c r="Y120" i="65"/>
  <c r="AM119" i="65"/>
  <c r="AE119" i="65"/>
  <c r="AS117" i="65"/>
  <c r="AK117" i="65"/>
  <c r="AC117" i="65"/>
  <c r="AQ116" i="65"/>
  <c r="AI116" i="65"/>
  <c r="AA116" i="65"/>
  <c r="AO115" i="65"/>
  <c r="AG115" i="65"/>
  <c r="Y115" i="65"/>
  <c r="AM114" i="65"/>
  <c r="AE114" i="65"/>
  <c r="AS113" i="65"/>
  <c r="AK113" i="65"/>
  <c r="AC113" i="65"/>
  <c r="AQ112" i="65"/>
  <c r="AI112" i="65"/>
  <c r="AA112" i="65"/>
  <c r="AO111" i="65"/>
  <c r="AG111" i="65"/>
  <c r="Y111" i="65"/>
  <c r="AM110" i="65"/>
  <c r="AE110" i="65"/>
  <c r="AS108" i="65"/>
  <c r="AK108" i="65"/>
  <c r="AC108" i="65"/>
  <c r="AQ107" i="65"/>
  <c r="AI107" i="65"/>
  <c r="AA107" i="65"/>
  <c r="AO106" i="65"/>
  <c r="AG106" i="65"/>
  <c r="Y106" i="65"/>
  <c r="AM105" i="65"/>
  <c r="AE105" i="65"/>
  <c r="AS104" i="65"/>
  <c r="AK104" i="65"/>
  <c r="AC104" i="65"/>
  <c r="AQ103" i="65"/>
  <c r="AI103" i="65"/>
  <c r="AA103" i="65"/>
  <c r="AO102" i="65"/>
  <c r="AG102" i="65"/>
  <c r="Y102" i="65"/>
  <c r="AM101" i="65"/>
  <c r="AE101" i="65"/>
  <c r="Z93" i="65"/>
  <c r="AH93" i="65"/>
  <c r="AP93" i="65"/>
  <c r="AB94" i="65"/>
  <c r="AJ94" i="65"/>
  <c r="AR94" i="65"/>
  <c r="AD95" i="65"/>
  <c r="AL95" i="65"/>
  <c r="AT95" i="65"/>
  <c r="AF96" i="65"/>
  <c r="AN96" i="65"/>
  <c r="Z97" i="65"/>
  <c r="AH97" i="65"/>
  <c r="AP97" i="65"/>
  <c r="AB98" i="65"/>
  <c r="AJ98" i="65"/>
  <c r="AR98" i="65"/>
  <c r="AD99" i="65"/>
  <c r="AL99" i="65"/>
  <c r="AR126" i="65"/>
  <c r="AJ126" i="65"/>
  <c r="AB126" i="65"/>
  <c r="AP125" i="65"/>
  <c r="AH125" i="65"/>
  <c r="Z125" i="65"/>
  <c r="AN124" i="65"/>
  <c r="AF124" i="65"/>
  <c r="AT123" i="65"/>
  <c r="AL123" i="65"/>
  <c r="AD123" i="65"/>
  <c r="AR122" i="65"/>
  <c r="AJ122" i="65"/>
  <c r="AB122" i="65"/>
  <c r="AP121" i="65"/>
  <c r="AH121" i="65"/>
  <c r="Z121" i="65"/>
  <c r="AN120" i="65"/>
  <c r="AF120" i="65"/>
  <c r="AT119" i="65"/>
  <c r="AL119" i="65"/>
  <c r="AD119" i="65"/>
  <c r="AR117" i="65"/>
  <c r="AJ117" i="65"/>
  <c r="AB117" i="65"/>
  <c r="AP116" i="65"/>
  <c r="AH116" i="65"/>
  <c r="Z116" i="65"/>
  <c r="AN115" i="65"/>
  <c r="AF115" i="65"/>
  <c r="AT114" i="65"/>
  <c r="AL114" i="65"/>
  <c r="AD114" i="65"/>
  <c r="AR113" i="65"/>
  <c r="AJ113" i="65"/>
  <c r="AB113" i="65"/>
  <c r="AP112" i="65"/>
  <c r="AH112" i="65"/>
  <c r="Z112" i="65"/>
  <c r="AN111" i="65"/>
  <c r="AF111" i="65"/>
  <c r="AT110" i="65"/>
  <c r="AL110" i="65"/>
  <c r="AD110" i="65"/>
  <c r="AR108" i="65"/>
  <c r="AJ108" i="65"/>
  <c r="AB108" i="65"/>
  <c r="AP107" i="65"/>
  <c r="AH107" i="65"/>
  <c r="Z107" i="65"/>
  <c r="AN106" i="65"/>
  <c r="AF106" i="65"/>
  <c r="AT105" i="65"/>
  <c r="AL105" i="65"/>
  <c r="AD105" i="65"/>
  <c r="AR104" i="65"/>
  <c r="AJ104" i="65"/>
  <c r="AB104" i="65"/>
  <c r="AP103" i="65"/>
  <c r="AH103" i="65"/>
  <c r="Z103" i="65"/>
  <c r="AN102" i="65"/>
  <c r="AF102" i="65"/>
  <c r="AT101" i="65"/>
  <c r="AL101" i="65"/>
  <c r="AD101" i="65"/>
  <c r="AA93" i="65"/>
  <c r="AI93" i="65"/>
  <c r="AQ93" i="65"/>
  <c r="AC94" i="65"/>
  <c r="AK94" i="65"/>
  <c r="AS94" i="65"/>
  <c r="AE95" i="65"/>
  <c r="AM95" i="65"/>
  <c r="Y96" i="65"/>
  <c r="AG96" i="65"/>
  <c r="AO96" i="65"/>
  <c r="AA97" i="65"/>
  <c r="AI97" i="65"/>
  <c r="AQ97" i="65"/>
  <c r="AC98" i="65"/>
  <c r="AK98" i="65"/>
  <c r="AS98" i="65"/>
  <c r="AE99" i="65"/>
  <c r="AM99" i="65"/>
  <c r="AQ126" i="65"/>
  <c r="AI126" i="65"/>
  <c r="AA126" i="65"/>
  <c r="AO125" i="65"/>
  <c r="AG125" i="65"/>
  <c r="Y125" i="65"/>
  <c r="AM124" i="65"/>
  <c r="AE124" i="65"/>
  <c r="AS123" i="65"/>
  <c r="AK123" i="65"/>
  <c r="AC123" i="65"/>
  <c r="AQ122" i="65"/>
  <c r="AI122" i="65"/>
  <c r="AA122" i="65"/>
  <c r="AO121" i="65"/>
  <c r="AG121" i="65"/>
  <c r="Y121" i="65"/>
  <c r="AM120" i="65"/>
  <c r="AE120" i="65"/>
  <c r="AS119" i="65"/>
  <c r="AK119" i="65"/>
  <c r="AC119" i="65"/>
  <c r="AQ117" i="65"/>
  <c r="AI117" i="65"/>
  <c r="AA117" i="65"/>
  <c r="AO116" i="65"/>
  <c r="AG116" i="65"/>
  <c r="Y116" i="65"/>
  <c r="AM115" i="65"/>
  <c r="AE115" i="65"/>
  <c r="AS114" i="65"/>
  <c r="AK114" i="65"/>
  <c r="AC114" i="65"/>
  <c r="AQ113" i="65"/>
  <c r="AI113" i="65"/>
  <c r="AA113" i="65"/>
  <c r="AO112" i="65"/>
  <c r="AG112" i="65"/>
  <c r="Y112" i="65"/>
  <c r="AM111" i="65"/>
  <c r="AE111" i="65"/>
  <c r="AS110" i="65"/>
  <c r="AK110" i="65"/>
  <c r="AC110" i="65"/>
  <c r="AQ108" i="65"/>
  <c r="AI108" i="65"/>
  <c r="AA108" i="65"/>
  <c r="AO107" i="65"/>
  <c r="AG107" i="65"/>
  <c r="Y107" i="65"/>
  <c r="AM106" i="65"/>
  <c r="AE106" i="65"/>
  <c r="AS105" i="65"/>
  <c r="AK105" i="65"/>
  <c r="AC105" i="65"/>
  <c r="AQ104" i="65"/>
  <c r="AI104" i="65"/>
  <c r="AA104" i="65"/>
  <c r="AO103" i="65"/>
  <c r="AG103" i="65"/>
  <c r="Y103" i="65"/>
  <c r="AM102" i="65"/>
  <c r="AE102" i="65"/>
  <c r="AS101" i="65"/>
  <c r="AK101" i="65"/>
  <c r="AC101" i="65"/>
  <c r="AB93" i="65"/>
  <c r="AJ93" i="65"/>
  <c r="AR93" i="65"/>
  <c r="AD94" i="65"/>
  <c r="AL94" i="65"/>
  <c r="AT94" i="65"/>
  <c r="AF95" i="65"/>
  <c r="AN95" i="65"/>
  <c r="Z96" i="65"/>
  <c r="AH96" i="65"/>
  <c r="AP96" i="65"/>
  <c r="AB97" i="65"/>
  <c r="AJ97" i="65"/>
  <c r="AR97" i="65"/>
  <c r="AD98" i="65"/>
  <c r="AL98" i="65"/>
  <c r="AT98" i="65"/>
  <c r="AF99" i="65"/>
  <c r="AN99" i="65"/>
  <c r="AP126" i="65"/>
  <c r="AH126" i="65"/>
  <c r="Z126" i="65"/>
  <c r="AN125" i="65"/>
  <c r="AF125" i="65"/>
  <c r="AT124" i="65"/>
  <c r="AL124" i="65"/>
  <c r="AD124" i="65"/>
  <c r="AR123" i="65"/>
  <c r="AJ123" i="65"/>
  <c r="AB123" i="65"/>
  <c r="AP122" i="65"/>
  <c r="AH122" i="65"/>
  <c r="Z122" i="65"/>
  <c r="AN121" i="65"/>
  <c r="AF121" i="65"/>
  <c r="AT120" i="65"/>
  <c r="AL120" i="65"/>
  <c r="AD120" i="65"/>
  <c r="AR119" i="65"/>
  <c r="AJ119" i="65"/>
  <c r="AB119" i="65"/>
  <c r="AP117" i="65"/>
  <c r="AH117" i="65"/>
  <c r="Z117" i="65"/>
  <c r="AN116" i="65"/>
  <c r="AF116" i="65"/>
  <c r="AT115" i="65"/>
  <c r="AL115" i="65"/>
  <c r="AD115" i="65"/>
  <c r="AR114" i="65"/>
  <c r="AJ114" i="65"/>
  <c r="AB114" i="65"/>
  <c r="AP113" i="65"/>
  <c r="AH113" i="65"/>
  <c r="Z113" i="65"/>
  <c r="AN112" i="65"/>
  <c r="AF112" i="65"/>
  <c r="AT111" i="65"/>
  <c r="AL111" i="65"/>
  <c r="AD111" i="65"/>
  <c r="AR110" i="65"/>
  <c r="AJ110" i="65"/>
  <c r="AB110" i="65"/>
  <c r="AP108" i="65"/>
  <c r="AH108" i="65"/>
  <c r="Z108" i="65"/>
  <c r="AN107" i="65"/>
  <c r="AF107" i="65"/>
  <c r="AT106" i="65"/>
  <c r="AL106" i="65"/>
  <c r="AD106" i="65"/>
  <c r="AR105" i="65"/>
  <c r="AJ105" i="65"/>
  <c r="AB105" i="65"/>
  <c r="AP104" i="65"/>
  <c r="AH104" i="65"/>
  <c r="Z104" i="65"/>
  <c r="AN103" i="65"/>
  <c r="AF103" i="65"/>
  <c r="AT102" i="65"/>
  <c r="AL102" i="65"/>
  <c r="AD102" i="65"/>
  <c r="AR101" i="65"/>
  <c r="AJ101" i="65"/>
  <c r="AB101" i="65"/>
  <c r="AC93" i="65"/>
  <c r="AK93" i="65"/>
  <c r="AS93" i="65"/>
  <c r="AE94" i="65"/>
  <c r="AM94" i="65"/>
  <c r="Y95" i="65"/>
  <c r="AG95" i="65"/>
  <c r="AO95" i="65"/>
  <c r="AA96" i="65"/>
  <c r="AI96" i="65"/>
  <c r="AQ96" i="65"/>
  <c r="AC97" i="65"/>
  <c r="AK97" i="65"/>
  <c r="AS97" i="65"/>
  <c r="AE98" i="65"/>
  <c r="AM98" i="65"/>
  <c r="Y99" i="65"/>
  <c r="AG99" i="65"/>
  <c r="AO99" i="65"/>
  <c r="AR99" i="65"/>
  <c r="AN98" i="65"/>
  <c r="AD97" i="65"/>
  <c r="AP95" i="65"/>
  <c r="AF94" i="65"/>
  <c r="AA101" i="65"/>
  <c r="AK102" i="65"/>
  <c r="Y104" i="65"/>
  <c r="AI105" i="65"/>
  <c r="AS106" i="65"/>
  <c r="AG108" i="65"/>
  <c r="AQ110" i="65"/>
  <c r="AE112" i="65"/>
  <c r="AO113" i="65"/>
  <c r="AC115" i="65"/>
  <c r="AM116" i="65"/>
  <c r="AA119" i="65"/>
  <c r="AK120" i="65"/>
  <c r="Y122" i="65"/>
  <c r="AI123" i="65"/>
  <c r="AS124" i="65"/>
  <c r="AG126" i="65"/>
  <c r="AQ95" i="65"/>
  <c r="AQ99" i="65"/>
  <c r="AS96" i="65"/>
  <c r="AI95" i="65"/>
  <c r="Y94" i="65"/>
  <c r="AH101" i="65"/>
  <c r="AR102" i="65"/>
  <c r="AF104" i="65"/>
  <c r="AP105" i="65"/>
  <c r="AD107" i="65"/>
  <c r="AN108" i="65"/>
  <c r="AB111" i="65"/>
  <c r="AL112" i="65"/>
  <c r="Z114" i="65"/>
  <c r="AJ115" i="65"/>
  <c r="AT116" i="65"/>
  <c r="AH119" i="65"/>
  <c r="AR120" i="65"/>
  <c r="AF122" i="65"/>
  <c r="AP123" i="65"/>
  <c r="AD125" i="65"/>
  <c r="AN126" i="65"/>
  <c r="AB120" i="65"/>
  <c r="AS99" i="65"/>
  <c r="AG94" i="65"/>
  <c r="AT103" i="65"/>
  <c r="AG98" i="65"/>
  <c r="AP99" i="65"/>
  <c r="AF98" i="65"/>
  <c r="AR96" i="65"/>
  <c r="AH95" i="65"/>
  <c r="AT93" i="65"/>
  <c r="AI101" i="65"/>
  <c r="AS102" i="65"/>
  <c r="AG104" i="65"/>
  <c r="AQ105" i="65"/>
  <c r="AE107" i="65"/>
  <c r="AO108" i="65"/>
  <c r="AC111" i="65"/>
  <c r="AM112" i="65"/>
  <c r="AA114" i="65"/>
  <c r="AK115" i="65"/>
  <c r="Y117" i="65"/>
  <c r="AI119" i="65"/>
  <c r="AS120" i="65"/>
  <c r="AG122" i="65"/>
  <c r="AQ123" i="65"/>
  <c r="AE125" i="65"/>
  <c r="AO126" i="65"/>
  <c r="AO98" i="65"/>
  <c r="Z101" i="65"/>
  <c r="AI99" i="65"/>
  <c r="Y98" i="65"/>
  <c r="AK96" i="65"/>
  <c r="AA95" i="65"/>
  <c r="AM93" i="65"/>
  <c r="AP101" i="65"/>
  <c r="AD103" i="65"/>
  <c r="AN104" i="65"/>
  <c r="AB106" i="65"/>
  <c r="AL107" i="65"/>
  <c r="Z110" i="65"/>
  <c r="AJ111" i="65"/>
  <c r="AT112" i="65"/>
  <c r="AH114" i="65"/>
  <c r="AR115" i="65"/>
  <c r="AF117" i="65"/>
  <c r="AP119" i="65"/>
  <c r="AD121" i="65"/>
  <c r="AN122" i="65"/>
  <c r="AB124" i="65"/>
  <c r="AL125" i="65"/>
  <c r="F115" i="65"/>
  <c r="F106" i="65"/>
  <c r="F124" i="65"/>
  <c r="F97" i="65"/>
  <c r="F107" i="65"/>
  <c r="F125" i="65"/>
  <c r="F98" i="65"/>
  <c r="F116" i="65"/>
  <c r="F126" i="65"/>
  <c r="F108" i="65"/>
  <c r="F99" i="65"/>
  <c r="F117" i="65"/>
  <c r="F114" i="65" l="1"/>
  <c r="F123" i="65"/>
  <c r="F105" i="65"/>
  <c r="F96" i="65"/>
  <c r="O19" i="75" l="1"/>
  <c r="P19" i="75"/>
  <c r="Q19" i="75"/>
  <c r="N19" i="75"/>
  <c r="D27" i="145" a="1"/>
  <c r="G27" i="145" s="1"/>
  <c r="D24" i="145" a="1"/>
  <c r="E24" i="145" s="1"/>
  <c r="D14" i="145" a="1"/>
  <c r="G14" i="145" s="1"/>
  <c r="D13" i="145" a="1"/>
  <c r="E13" i="145" s="1"/>
  <c r="F21" i="166" l="1"/>
  <c r="I21" i="166"/>
  <c r="H21" i="166"/>
  <c r="G21" i="166"/>
  <c r="H24" i="145"/>
  <c r="F13" i="145"/>
  <c r="H13" i="145"/>
  <c r="H27" i="145"/>
  <c r="H14" i="145"/>
  <c r="F24" i="145"/>
  <c r="G13" i="145"/>
  <c r="G24" i="145"/>
  <c r="D14" i="145"/>
  <c r="D27" i="145"/>
  <c r="E14" i="145"/>
  <c r="E27" i="145"/>
  <c r="D13" i="145"/>
  <c r="F14" i="145"/>
  <c r="D24" i="145"/>
  <c r="F27" i="145"/>
  <c r="A31" i="76" l="1"/>
  <c r="A32" i="76"/>
  <c r="A33" i="76"/>
  <c r="A30" i="76"/>
  <c r="H17" i="142"/>
  <c r="I17" i="142"/>
  <c r="J17" i="142"/>
  <c r="H19" i="142"/>
  <c r="I19" i="142"/>
  <c r="J19" i="142"/>
  <c r="G19" i="142"/>
  <c r="G17" i="142"/>
  <c r="C57" i="2" l="1"/>
  <c r="G5" i="4" l="1"/>
  <c r="G20" i="4" l="1"/>
  <c r="B5" i="4"/>
  <c r="N20" i="4"/>
  <c r="F20" i="4"/>
  <c r="AK20" i="4"/>
  <c r="M20" i="4"/>
  <c r="AJ20" i="4"/>
  <c r="S20" i="4"/>
  <c r="K20" i="4"/>
  <c r="J20" i="4"/>
  <c r="AD20" i="4"/>
  <c r="AS20" i="4"/>
  <c r="U20" i="4"/>
  <c r="AB20" i="4"/>
  <c r="L20" i="4"/>
  <c r="AI20" i="4"/>
  <c r="AH20" i="4"/>
  <c r="R20" i="4"/>
  <c r="AO20" i="4"/>
  <c r="AG20" i="4"/>
  <c r="Y20" i="4"/>
  <c r="Q20" i="4"/>
  <c r="I20" i="4"/>
  <c r="AL20" i="4"/>
  <c r="V20" i="4"/>
  <c r="AC20" i="4"/>
  <c r="AR20" i="4"/>
  <c r="T20" i="4"/>
  <c r="AQ20" i="4"/>
  <c r="AA20" i="4"/>
  <c r="AP20" i="4"/>
  <c r="Z20" i="4"/>
  <c r="AN20" i="4"/>
  <c r="AF20" i="4"/>
  <c r="X20" i="4"/>
  <c r="P20" i="4"/>
  <c r="H20" i="4"/>
  <c r="AM20" i="4"/>
  <c r="AE20" i="4"/>
  <c r="W20" i="4"/>
  <c r="O20" i="4"/>
  <c r="E13" i="3"/>
  <c r="F112" i="65" l="1"/>
  <c r="F94" i="65"/>
  <c r="F103" i="65"/>
  <c r="F121" i="65"/>
  <c r="AQ92" i="65" l="1"/>
  <c r="AR92" i="65"/>
  <c r="AS92" i="65"/>
  <c r="AT92" i="65"/>
  <c r="A93" i="65"/>
  <c r="A101" i="65"/>
  <c r="A102" i="65"/>
  <c r="A104" i="65"/>
  <c r="A110" i="65"/>
  <c r="A111" i="65"/>
  <c r="A119" i="65"/>
  <c r="A120" i="65"/>
  <c r="A92" i="65"/>
  <c r="D24" i="142"/>
  <c r="H10" i="65"/>
  <c r="I10" i="65"/>
  <c r="J10" i="65"/>
  <c r="K10" i="65"/>
  <c r="L10" i="65"/>
  <c r="M10" i="65"/>
  <c r="N10" i="65"/>
  <c r="O10" i="65"/>
  <c r="P10" i="65"/>
  <c r="Q10" i="65"/>
  <c r="R10" i="65"/>
  <c r="S10" i="65"/>
  <c r="T10" i="65"/>
  <c r="U10" i="65"/>
  <c r="V10" i="65"/>
  <c r="W10" i="65"/>
  <c r="X10" i="65"/>
  <c r="Y10" i="65"/>
  <c r="Z10" i="65"/>
  <c r="AA10" i="65"/>
  <c r="AB10" i="65"/>
  <c r="AC10" i="65"/>
  <c r="AD10" i="65"/>
  <c r="AE10" i="65"/>
  <c r="AF10" i="65"/>
  <c r="AG10" i="65"/>
  <c r="AH10" i="65"/>
  <c r="AI10" i="65"/>
  <c r="AJ10" i="65"/>
  <c r="AK10" i="65"/>
  <c r="AL10" i="65"/>
  <c r="AM10" i="65"/>
  <c r="AN10" i="65"/>
  <c r="AO10" i="65"/>
  <c r="AP10" i="65"/>
  <c r="AQ10" i="65"/>
  <c r="AR10" i="65"/>
  <c r="AS10" i="65"/>
  <c r="AT10" i="65"/>
  <c r="G10" i="65"/>
  <c r="AT10" i="96"/>
  <c r="E25" i="143"/>
  <c r="F25" i="143"/>
  <c r="G25" i="143"/>
  <c r="E26" i="143"/>
  <c r="F26" i="143"/>
  <c r="G26" i="143"/>
  <c r="D26" i="143"/>
  <c r="D25" i="143"/>
  <c r="D23" i="143"/>
  <c r="E23" i="143"/>
  <c r="F23" i="143"/>
  <c r="G23" i="143"/>
  <c r="E22" i="143"/>
  <c r="F22" i="143"/>
  <c r="G22" i="143"/>
  <c r="D22" i="143"/>
  <c r="D20" i="143"/>
  <c r="E20" i="143"/>
  <c r="F20" i="143"/>
  <c r="G20" i="143"/>
  <c r="E19" i="143"/>
  <c r="F19" i="143"/>
  <c r="G19" i="143"/>
  <c r="D19" i="143"/>
  <c r="E12" i="143"/>
  <c r="F12" i="143"/>
  <c r="G12" i="143"/>
  <c r="E13" i="143"/>
  <c r="F13" i="143"/>
  <c r="G13" i="143"/>
  <c r="E8" i="143"/>
  <c r="F8" i="143"/>
  <c r="G8" i="143"/>
  <c r="D8" i="143"/>
  <c r="D12" i="143"/>
  <c r="D13" i="143"/>
  <c r="E11" i="143"/>
  <c r="F11" i="143"/>
  <c r="G11" i="143"/>
  <c r="D11" i="143"/>
  <c r="E10" i="143"/>
  <c r="F10" i="143"/>
  <c r="G10" i="143"/>
  <c r="D10" i="143"/>
  <c r="E9" i="143"/>
  <c r="F9" i="143"/>
  <c r="G9" i="143"/>
  <c r="D9" i="143"/>
  <c r="E7" i="143"/>
  <c r="F7" i="143"/>
  <c r="G7" i="143"/>
  <c r="D7" i="143"/>
  <c r="D39" i="143" s="1"/>
  <c r="D6" i="143"/>
  <c r="G12" i="142"/>
  <c r="B9" i="142"/>
  <c r="D2" i="142"/>
  <c r="J1" i="142"/>
  <c r="I1" i="142"/>
  <c r="H1" i="142"/>
  <c r="G1" i="142"/>
  <c r="G39" i="143" l="1"/>
  <c r="F39" i="143"/>
  <c r="E39" i="143"/>
  <c r="AW111" i="65"/>
  <c r="AW119" i="65"/>
  <c r="AW110" i="65"/>
  <c r="AW122" i="65"/>
  <c r="AW113" i="65"/>
  <c r="AW104" i="65"/>
  <c r="AW94" i="65"/>
  <c r="AW102" i="65"/>
  <c r="AW101" i="65"/>
  <c r="AW121" i="65"/>
  <c r="AW112" i="65"/>
  <c r="AW103" i="65"/>
  <c r="AW120" i="65"/>
  <c r="AW92" i="65"/>
  <c r="X112" i="65"/>
  <c r="W112" i="65"/>
  <c r="X103" i="65"/>
  <c r="X121" i="65"/>
  <c r="W121" i="65"/>
  <c r="X94" i="65"/>
  <c r="W94" i="65"/>
  <c r="W103" i="65"/>
  <c r="X122" i="65"/>
  <c r="W122" i="65"/>
  <c r="AW95" i="65"/>
  <c r="AW93" i="65"/>
  <c r="F122" i="65"/>
  <c r="F113" i="65"/>
  <c r="F104" i="65"/>
  <c r="F93" i="65"/>
  <c r="D42" i="142"/>
  <c r="H42" i="142" s="1"/>
  <c r="H43" i="142" s="1"/>
  <c r="D25" i="142"/>
  <c r="H25" i="142" s="1"/>
  <c r="J24" i="142"/>
  <c r="I23" i="142"/>
  <c r="E11" i="167" s="1"/>
  <c r="J23" i="142"/>
  <c r="F11" i="167" s="1"/>
  <c r="H23" i="142"/>
  <c r="D11" i="167" s="1"/>
  <c r="I26" i="142"/>
  <c r="E14" i="167" s="1"/>
  <c r="J26" i="142"/>
  <c r="F14" i="167" s="1"/>
  <c r="G26" i="142"/>
  <c r="C14" i="167" s="1"/>
  <c r="H26" i="142"/>
  <c r="D14" i="167" s="1"/>
  <c r="G23" i="142"/>
  <c r="C11" i="167" s="1"/>
  <c r="F92" i="65"/>
  <c r="F110" i="65"/>
  <c r="F119" i="65"/>
  <c r="F101" i="65"/>
  <c r="F95" i="65"/>
  <c r="G21" i="143"/>
  <c r="G35" i="143" s="1"/>
  <c r="D21" i="143"/>
  <c r="D35" i="143" s="1"/>
  <c r="F21" i="143"/>
  <c r="F35" i="143" s="1"/>
  <c r="E21" i="143"/>
  <c r="E35" i="143" s="1"/>
  <c r="E37" i="143"/>
  <c r="F37" i="143"/>
  <c r="G37" i="143"/>
  <c r="D37" i="143"/>
  <c r="E38" i="143"/>
  <c r="D13" i="167" l="1"/>
  <c r="F12" i="167"/>
  <c r="H24" i="142"/>
  <c r="F17" i="145"/>
  <c r="D17" i="145"/>
  <c r="E17" i="145"/>
  <c r="G17" i="145"/>
  <c r="F111" i="65"/>
  <c r="I25" i="142"/>
  <c r="I24" i="142"/>
  <c r="J42" i="142"/>
  <c r="J43" i="142" s="1"/>
  <c r="I42" i="142"/>
  <c r="I43" i="142" s="1"/>
  <c r="G42" i="142"/>
  <c r="G43" i="142" s="1"/>
  <c r="X113" i="65"/>
  <c r="G25" i="142"/>
  <c r="G24" i="142"/>
  <c r="F102" i="65"/>
  <c r="F120" i="65"/>
  <c r="X104" i="65"/>
  <c r="W104" i="65"/>
  <c r="W113" i="65"/>
  <c r="X110" i="65"/>
  <c r="W110" i="65"/>
  <c r="X119" i="65"/>
  <c r="W119" i="65"/>
  <c r="X111" i="65"/>
  <c r="W111" i="65"/>
  <c r="W93" i="65"/>
  <c r="X93" i="65"/>
  <c r="W95" i="65"/>
  <c r="X95" i="65"/>
  <c r="X101" i="65"/>
  <c r="W101" i="65"/>
  <c r="X102" i="65"/>
  <c r="W102" i="65"/>
  <c r="J25" i="142"/>
  <c r="D38" i="143"/>
  <c r="G38" i="143"/>
  <c r="F38" i="143"/>
  <c r="E13" i="167" l="1"/>
  <c r="C12" i="167"/>
  <c r="D12" i="167"/>
  <c r="E12" i="167"/>
  <c r="C13" i="167"/>
  <c r="F13" i="167"/>
  <c r="G21" i="145"/>
  <c r="G20" i="145"/>
  <c r="E20" i="145"/>
  <c r="E21" i="145"/>
  <c r="D20" i="145"/>
  <c r="D21" i="145"/>
  <c r="F21" i="145"/>
  <c r="F20" i="145"/>
  <c r="W120" i="65"/>
  <c r="X120" i="65"/>
  <c r="AW96" i="65"/>
  <c r="W97" i="65" l="1"/>
  <c r="X97" i="65"/>
  <c r="W96" i="65"/>
  <c r="X96" i="65"/>
  <c r="W98" i="65"/>
  <c r="X98" i="65"/>
  <c r="AW123" i="65"/>
  <c r="AW114" i="65"/>
  <c r="AW105" i="65" l="1"/>
  <c r="X107" i="65"/>
  <c r="W107" i="65"/>
  <c r="W116" i="65"/>
  <c r="X116" i="65"/>
  <c r="X106" i="65"/>
  <c r="W106" i="65"/>
  <c r="W114" i="65"/>
  <c r="X114" i="65"/>
  <c r="W99" i="65"/>
  <c r="X99" i="65"/>
  <c r="W105" i="65"/>
  <c r="X105" i="65"/>
  <c r="W125" i="65"/>
  <c r="X125" i="65"/>
  <c r="X115" i="65"/>
  <c r="W115" i="65"/>
  <c r="W124" i="65"/>
  <c r="X124" i="65"/>
  <c r="W123" i="65"/>
  <c r="X123" i="65"/>
  <c r="O4" i="65" l="1"/>
  <c r="W4" i="65"/>
  <c r="AE4" i="65"/>
  <c r="AM4" i="65"/>
  <c r="G4" i="65"/>
  <c r="N4" i="65"/>
  <c r="AD4" i="65"/>
  <c r="H4" i="65"/>
  <c r="P4" i="65"/>
  <c r="X4" i="65"/>
  <c r="AF4" i="65"/>
  <c r="AN4" i="65"/>
  <c r="V4" i="65"/>
  <c r="I4" i="65"/>
  <c r="Q4" i="65"/>
  <c r="Y4" i="65"/>
  <c r="AG4" i="65"/>
  <c r="AO4" i="65"/>
  <c r="J4" i="65"/>
  <c r="R4" i="65"/>
  <c r="Z4" i="65"/>
  <c r="AH4" i="65"/>
  <c r="AP4" i="65"/>
  <c r="K4" i="65"/>
  <c r="S4" i="65"/>
  <c r="AA4" i="65"/>
  <c r="AI4" i="65"/>
  <c r="AQ4" i="65"/>
  <c r="AT4" i="65"/>
  <c r="L4" i="65"/>
  <c r="T4" i="65"/>
  <c r="AB4" i="65"/>
  <c r="AJ4" i="65"/>
  <c r="AR4" i="65"/>
  <c r="AL4" i="65"/>
  <c r="M4" i="65"/>
  <c r="U4" i="65"/>
  <c r="AC4" i="65"/>
  <c r="AK4" i="65"/>
  <c r="AS4" i="65"/>
  <c r="T112" i="65" l="1"/>
  <c r="T121" i="65"/>
  <c r="T103" i="65"/>
  <c r="T104" i="65"/>
  <c r="T94" i="65"/>
  <c r="T122" i="65"/>
  <c r="T93" i="65"/>
  <c r="T102" i="65"/>
  <c r="T110" i="65"/>
  <c r="T113" i="65"/>
  <c r="T119" i="65"/>
  <c r="T101" i="65"/>
  <c r="T95" i="65"/>
  <c r="T111" i="65"/>
  <c r="T120" i="65"/>
  <c r="T96" i="65"/>
  <c r="T105" i="65"/>
  <c r="T123" i="65"/>
  <c r="T114" i="65"/>
  <c r="Q104" i="65"/>
  <c r="Q94" i="65"/>
  <c r="Q112" i="65"/>
  <c r="Q121" i="65"/>
  <c r="Q103" i="65"/>
  <c r="Q102" i="65"/>
  <c r="Q93" i="65"/>
  <c r="Q122" i="65"/>
  <c r="Q119" i="65"/>
  <c r="Q113" i="65"/>
  <c r="Q110" i="65"/>
  <c r="Q111" i="65"/>
  <c r="Q95" i="65"/>
  <c r="Q101" i="65"/>
  <c r="Q120" i="65"/>
  <c r="Q96" i="65"/>
  <c r="Q105" i="65"/>
  <c r="Q123" i="65"/>
  <c r="Q114" i="65"/>
  <c r="L94" i="65"/>
  <c r="L112" i="65"/>
  <c r="L104" i="65"/>
  <c r="L121" i="65"/>
  <c r="L103" i="65"/>
  <c r="L122" i="65"/>
  <c r="L93" i="65"/>
  <c r="L113" i="65"/>
  <c r="L111" i="65"/>
  <c r="L110" i="65"/>
  <c r="L119" i="65"/>
  <c r="L95" i="65"/>
  <c r="L101" i="65"/>
  <c r="L102" i="65"/>
  <c r="L120" i="65"/>
  <c r="L96" i="65"/>
  <c r="L105" i="65"/>
  <c r="L123" i="65"/>
  <c r="L114" i="65"/>
  <c r="I94" i="65"/>
  <c r="I103" i="65"/>
  <c r="I112" i="65"/>
  <c r="I121" i="65"/>
  <c r="I104" i="65"/>
  <c r="I110" i="65"/>
  <c r="I111" i="65"/>
  <c r="I102" i="65"/>
  <c r="I119" i="65"/>
  <c r="I101" i="65"/>
  <c r="I122" i="65"/>
  <c r="I113" i="65"/>
  <c r="I95" i="65"/>
  <c r="I120" i="65"/>
  <c r="I96" i="65"/>
  <c r="I114" i="65"/>
  <c r="I123" i="65"/>
  <c r="I105" i="65"/>
  <c r="N103" i="65"/>
  <c r="N122" i="65"/>
  <c r="N121" i="65"/>
  <c r="N112" i="65"/>
  <c r="N94" i="65"/>
  <c r="N119" i="65"/>
  <c r="N110" i="65"/>
  <c r="N95" i="65"/>
  <c r="N101" i="65"/>
  <c r="N111" i="65"/>
  <c r="N102" i="65"/>
  <c r="N93" i="65"/>
  <c r="N104" i="65"/>
  <c r="N113" i="65"/>
  <c r="N120" i="65"/>
  <c r="N96" i="65"/>
  <c r="N105" i="65"/>
  <c r="N114" i="65"/>
  <c r="N123" i="65"/>
  <c r="V103" i="65"/>
  <c r="V94" i="65"/>
  <c r="V112" i="65"/>
  <c r="V121" i="65"/>
  <c r="V113" i="65"/>
  <c r="V111" i="65"/>
  <c r="V102" i="65"/>
  <c r="V122" i="65"/>
  <c r="V104" i="65"/>
  <c r="V93" i="65"/>
  <c r="V101" i="65"/>
  <c r="V119" i="65"/>
  <c r="V95" i="65"/>
  <c r="V110" i="65"/>
  <c r="V120" i="65"/>
  <c r="V96" i="65"/>
  <c r="V114" i="65"/>
  <c r="V105" i="65"/>
  <c r="V123" i="65"/>
  <c r="G94" i="65"/>
  <c r="G121" i="65"/>
  <c r="G103" i="65"/>
  <c r="G112" i="65"/>
  <c r="G111" i="65"/>
  <c r="G102" i="65"/>
  <c r="G104" i="65"/>
  <c r="G113" i="65"/>
  <c r="G110" i="65"/>
  <c r="G95" i="65"/>
  <c r="G101" i="65"/>
  <c r="G122" i="65"/>
  <c r="G119" i="65"/>
  <c r="G120" i="65"/>
  <c r="G96" i="65"/>
  <c r="G114" i="65"/>
  <c r="G105" i="65"/>
  <c r="G123" i="65"/>
  <c r="M103" i="65"/>
  <c r="M112" i="65"/>
  <c r="M121" i="65"/>
  <c r="M94" i="65"/>
  <c r="M122" i="65"/>
  <c r="M110" i="65"/>
  <c r="M104" i="65"/>
  <c r="M93" i="65"/>
  <c r="M101" i="65"/>
  <c r="M119" i="65"/>
  <c r="M111" i="65"/>
  <c r="M95" i="65"/>
  <c r="M113" i="65"/>
  <c r="M102" i="65"/>
  <c r="M120" i="65"/>
  <c r="M96" i="65"/>
  <c r="M114" i="65"/>
  <c r="M123" i="65"/>
  <c r="M105" i="65"/>
  <c r="R112" i="65"/>
  <c r="R103" i="65"/>
  <c r="R94" i="65"/>
  <c r="R121" i="65"/>
  <c r="R119" i="65"/>
  <c r="R102" i="65"/>
  <c r="R110" i="65"/>
  <c r="R95" i="65"/>
  <c r="R111" i="65"/>
  <c r="R101" i="65"/>
  <c r="R113" i="65"/>
  <c r="R104" i="65"/>
  <c r="R93" i="65"/>
  <c r="R122" i="65"/>
  <c r="R120" i="65"/>
  <c r="R96" i="65"/>
  <c r="R123" i="65"/>
  <c r="R105" i="65"/>
  <c r="R114" i="65"/>
  <c r="J112" i="65"/>
  <c r="J103" i="65"/>
  <c r="J121" i="65"/>
  <c r="J94" i="65"/>
  <c r="J122" i="65"/>
  <c r="J110" i="65"/>
  <c r="J95" i="65"/>
  <c r="J113" i="65"/>
  <c r="J119" i="65"/>
  <c r="J93" i="65"/>
  <c r="J104" i="65"/>
  <c r="J111" i="65"/>
  <c r="J102" i="65"/>
  <c r="J101" i="65"/>
  <c r="J120" i="65"/>
  <c r="J96" i="65"/>
  <c r="J123" i="65"/>
  <c r="J105" i="65"/>
  <c r="J114" i="65"/>
  <c r="K121" i="65"/>
  <c r="K112" i="65"/>
  <c r="K103" i="65"/>
  <c r="K94" i="65"/>
  <c r="K113" i="65"/>
  <c r="K111" i="65"/>
  <c r="K122" i="65"/>
  <c r="K102" i="65"/>
  <c r="K110" i="65"/>
  <c r="K95" i="65"/>
  <c r="K119" i="65"/>
  <c r="K104" i="65"/>
  <c r="K93" i="65"/>
  <c r="K101" i="65"/>
  <c r="K120" i="65"/>
  <c r="K96" i="65"/>
  <c r="K105" i="65"/>
  <c r="K123" i="65"/>
  <c r="K114" i="65"/>
  <c r="U112" i="65"/>
  <c r="U103" i="65"/>
  <c r="U121" i="65"/>
  <c r="U94" i="65"/>
  <c r="U122" i="65"/>
  <c r="U101" i="65"/>
  <c r="U119" i="65"/>
  <c r="U113" i="65"/>
  <c r="U93" i="65"/>
  <c r="U111" i="65"/>
  <c r="U110" i="65"/>
  <c r="U102" i="65"/>
  <c r="U95" i="65"/>
  <c r="U104" i="65"/>
  <c r="U120" i="65"/>
  <c r="U96" i="65"/>
  <c r="U123" i="65"/>
  <c r="U114" i="65"/>
  <c r="U105" i="65"/>
  <c r="H112" i="65"/>
  <c r="H103" i="65"/>
  <c r="H94" i="65"/>
  <c r="H121" i="65"/>
  <c r="H122" i="65"/>
  <c r="H110" i="65"/>
  <c r="H95" i="65"/>
  <c r="H104" i="65"/>
  <c r="H101" i="65"/>
  <c r="H119" i="65"/>
  <c r="H102" i="65"/>
  <c r="H113" i="65"/>
  <c r="H111" i="65"/>
  <c r="H120" i="65"/>
  <c r="H96" i="65"/>
  <c r="H114" i="65"/>
  <c r="H123" i="65"/>
  <c r="H105" i="65"/>
  <c r="S121" i="65"/>
  <c r="S112" i="65"/>
  <c r="S94" i="65"/>
  <c r="S103" i="65"/>
  <c r="S102" i="65"/>
  <c r="S113" i="65"/>
  <c r="S101" i="65"/>
  <c r="S95" i="65"/>
  <c r="S93" i="65"/>
  <c r="S104" i="65"/>
  <c r="S122" i="65"/>
  <c r="S110" i="65"/>
  <c r="S119" i="65"/>
  <c r="S111" i="65"/>
  <c r="S120" i="65"/>
  <c r="S96" i="65"/>
  <c r="S123" i="65"/>
  <c r="S105" i="65"/>
  <c r="S114" i="65"/>
  <c r="P122" i="65"/>
  <c r="P103" i="65"/>
  <c r="P94" i="65"/>
  <c r="P121" i="65"/>
  <c r="P112" i="65"/>
  <c r="P110" i="65"/>
  <c r="P113" i="65"/>
  <c r="P101" i="65"/>
  <c r="P93" i="65"/>
  <c r="P119" i="65"/>
  <c r="P95" i="65"/>
  <c r="P102" i="65"/>
  <c r="P104" i="65"/>
  <c r="P111" i="65"/>
  <c r="P120" i="65"/>
  <c r="P96" i="65"/>
  <c r="P105" i="65"/>
  <c r="P114" i="65"/>
  <c r="P123" i="65"/>
  <c r="O94" i="65"/>
  <c r="O121" i="65"/>
  <c r="O103" i="65"/>
  <c r="O112" i="65"/>
  <c r="O122" i="65"/>
  <c r="O104" i="65"/>
  <c r="O95" i="65"/>
  <c r="O111" i="65"/>
  <c r="O113" i="65"/>
  <c r="O110" i="65"/>
  <c r="O102" i="65"/>
  <c r="O101" i="65"/>
  <c r="O119" i="65"/>
  <c r="O93" i="65"/>
  <c r="O120" i="65"/>
  <c r="O96" i="65"/>
  <c r="O114" i="65"/>
  <c r="O123" i="65"/>
  <c r="O105" i="65"/>
  <c r="AJ92" i="65"/>
  <c r="AK92" i="65"/>
  <c r="AP92" i="65"/>
  <c r="AD92" i="65"/>
  <c r="AC92" i="65"/>
  <c r="AH92" i="65"/>
  <c r="AN92" i="65"/>
  <c r="AM92" i="65"/>
  <c r="AB92" i="65"/>
  <c r="AL92" i="65"/>
  <c r="AI92" i="65"/>
  <c r="AF92" i="65"/>
  <c r="AE92" i="65"/>
  <c r="AG92" i="65"/>
  <c r="AA92" i="65"/>
  <c r="AO92" i="65"/>
  <c r="K92" i="65"/>
  <c r="Y92" i="65"/>
  <c r="H93" i="65"/>
  <c r="H92" i="65"/>
  <c r="L92" i="65"/>
  <c r="U92" i="65"/>
  <c r="Z92" i="65"/>
  <c r="V92" i="65"/>
  <c r="G93" i="65"/>
  <c r="G92" i="65"/>
  <c r="Q92" i="65"/>
  <c r="M92" i="65"/>
  <c r="R92" i="65"/>
  <c r="T92" i="65"/>
  <c r="N92" i="65"/>
  <c r="J92" i="65"/>
  <c r="X92" i="65"/>
  <c r="W92" i="65"/>
  <c r="I92" i="65"/>
  <c r="I93" i="65"/>
  <c r="S92" i="65"/>
  <c r="P92" i="65"/>
  <c r="O92" i="65"/>
  <c r="AV113" i="65" l="1"/>
  <c r="J23" i="144" s="1" a="1"/>
  <c r="J23" i="144" s="1"/>
  <c r="AV105" i="65"/>
  <c r="AV96" i="65"/>
  <c r="AV104" i="65"/>
  <c r="I23" i="144" s="1" a="1"/>
  <c r="I23" i="144" s="1"/>
  <c r="AV94" i="65"/>
  <c r="H22" i="144" s="1" a="1"/>
  <c r="H22" i="144" s="1"/>
  <c r="D14" i="168" s="1"/>
  <c r="AV120" i="65"/>
  <c r="K20" i="144" s="1" a="1"/>
  <c r="K20" i="144" s="1"/>
  <c r="G13" i="168" s="1"/>
  <c r="AV102" i="65"/>
  <c r="I20" i="144" s="1" a="1"/>
  <c r="I20" i="144" s="1"/>
  <c r="E13" i="168" s="1"/>
  <c r="AV119" i="65"/>
  <c r="K19" i="144" s="1" a="1"/>
  <c r="K19" i="144" s="1"/>
  <c r="AV111" i="65"/>
  <c r="J20" i="144" s="1" a="1"/>
  <c r="J20" i="144" s="1"/>
  <c r="F13" i="168" s="1"/>
  <c r="AV114" i="65"/>
  <c r="AV122" i="65"/>
  <c r="K23" i="144" s="1" a="1"/>
  <c r="K23" i="144" s="1"/>
  <c r="AV112" i="65"/>
  <c r="J22" i="144" s="1" a="1"/>
  <c r="J22" i="144" s="1"/>
  <c r="F14" i="168" s="1"/>
  <c r="AV110" i="65"/>
  <c r="J19" i="144" s="1" a="1"/>
  <c r="J19" i="144" s="1"/>
  <c r="AV101" i="65"/>
  <c r="I19" i="144" s="1" a="1"/>
  <c r="I19" i="144" s="1"/>
  <c r="AV103" i="65"/>
  <c r="I22" i="144" s="1" a="1"/>
  <c r="I22" i="144" s="1"/>
  <c r="E14" i="168" s="1"/>
  <c r="AV123" i="65"/>
  <c r="AV121" i="65"/>
  <c r="K22" i="144" s="1" a="1"/>
  <c r="K22" i="144" s="1"/>
  <c r="G14" i="168" s="1"/>
  <c r="AV93" i="65"/>
  <c r="H20" i="144" s="1" a="1"/>
  <c r="H20" i="144" s="1"/>
  <c r="D13" i="168" s="1"/>
  <c r="AV95" i="65"/>
  <c r="H23" i="144" s="1" a="1"/>
  <c r="H23" i="144" s="1"/>
  <c r="AV92" i="65"/>
  <c r="H19" i="144" s="1" a="1"/>
  <c r="H19" i="144" s="1"/>
  <c r="E15" i="168" l="1"/>
  <c r="F31" i="76"/>
  <c r="P31" i="76" s="1"/>
  <c r="G15" i="168"/>
  <c r="F33" i="76"/>
  <c r="P33" i="76" s="1"/>
  <c r="D15" i="168"/>
  <c r="F30" i="76"/>
  <c r="P30" i="76" s="1"/>
  <c r="F15" i="168"/>
  <c r="F32" i="76"/>
  <c r="G12" i="168"/>
  <c r="K21" i="144"/>
  <c r="K27" i="144" s="1"/>
  <c r="K29" i="144" s="1"/>
  <c r="E12" i="168"/>
  <c r="I21" i="144"/>
  <c r="I27" i="144" s="1"/>
  <c r="I29" i="144" s="1"/>
  <c r="F12" i="168"/>
  <c r="J21" i="144"/>
  <c r="J27" i="144" s="1"/>
  <c r="J29" i="144" s="1"/>
  <c r="D12" i="168"/>
  <c r="H21" i="144"/>
  <c r="H27" i="144" s="1"/>
  <c r="H29" i="144" s="1"/>
  <c r="D20" i="168" l="1"/>
  <c r="E20" i="168"/>
  <c r="F20" i="168"/>
  <c r="G20" i="168"/>
  <c r="L18" i="97" l="1"/>
  <c r="K18" i="97"/>
  <c r="J18" i="97"/>
  <c r="I18" i="97"/>
  <c r="H18" i="97"/>
  <c r="G18" i="97"/>
  <c r="F18" i="97"/>
  <c r="E18" i="97"/>
  <c r="K6" i="4" l="1"/>
  <c r="K5" i="4"/>
  <c r="K4" i="4"/>
  <c r="G17" i="64" l="1"/>
  <c r="D16" i="60" l="1"/>
  <c r="I24" i="97" l="1"/>
  <c r="L24" i="97"/>
  <c r="K24" i="97"/>
  <c r="J24" i="97"/>
  <c r="H24" i="97"/>
  <c r="G24" i="97"/>
  <c r="F24" i="97"/>
  <c r="E24" i="97"/>
  <c r="G65" i="99"/>
  <c r="F65" i="99"/>
  <c r="E65" i="99"/>
  <c r="D65" i="99"/>
  <c r="G8" i="97" l="1"/>
  <c r="H42" i="99" l="1"/>
  <c r="I42" i="99"/>
  <c r="J42" i="99"/>
  <c r="K42" i="99"/>
  <c r="L19" i="171" l="1"/>
  <c r="M19" i="171"/>
  <c r="N19" i="171"/>
  <c r="K19" i="171"/>
  <c r="J8" i="97" l="1"/>
  <c r="L17" i="64" s="1"/>
  <c r="K8" i="97"/>
  <c r="M17" i="64" s="1"/>
  <c r="L8" i="97"/>
  <c r="N17" i="64" s="1"/>
  <c r="I8" i="97"/>
  <c r="K17" i="64" s="1"/>
  <c r="F8" i="97"/>
  <c r="H8" i="97"/>
  <c r="E8" i="97"/>
  <c r="H6" i="60" l="1"/>
  <c r="D6" i="60"/>
  <c r="H6" i="57"/>
  <c r="H5" i="57"/>
  <c r="H4" i="57"/>
  <c r="J48" i="88" l="1"/>
  <c r="K48" i="88"/>
  <c r="L48" i="88"/>
  <c r="I48" i="88"/>
  <c r="E48" i="88"/>
  <c r="F48" i="88"/>
  <c r="G48" i="88"/>
  <c r="D48" i="88"/>
  <c r="G39" i="88" l="1"/>
  <c r="E39" i="88"/>
  <c r="F39" i="88"/>
  <c r="D39" i="88"/>
  <c r="I6" i="57" l="1"/>
  <c r="J6" i="57"/>
  <c r="K6" i="57"/>
  <c r="L6" i="57"/>
  <c r="M6" i="57"/>
  <c r="N6" i="57"/>
  <c r="O6" i="57"/>
  <c r="I5" i="57"/>
  <c r="J5" i="57"/>
  <c r="K5" i="57"/>
  <c r="L5" i="57"/>
  <c r="M5" i="57"/>
  <c r="N5" i="57"/>
  <c r="O5" i="57"/>
  <c r="I39" i="88"/>
  <c r="J39" i="88" l="1"/>
  <c r="K39" i="88"/>
  <c r="L39" i="88"/>
  <c r="C7" i="81"/>
  <c r="C6" i="81"/>
  <c r="M4" i="57" l="1"/>
  <c r="N4" i="57"/>
  <c r="O4" i="57"/>
  <c r="L4" i="57"/>
  <c r="I4" i="57"/>
  <c r="J4" i="57"/>
  <c r="K4" i="57"/>
  <c r="E47" i="57" l="1"/>
  <c r="Q49" i="76" l="1"/>
  <c r="P49" i="76"/>
  <c r="Q45" i="76"/>
  <c r="Q44" i="76"/>
  <c r="P45" i="76"/>
  <c r="P44" i="76"/>
  <c r="J21" i="76"/>
  <c r="J26" i="76" s="1"/>
  <c r="E42" i="97" l="1"/>
  <c r="D53" i="99" a="1"/>
  <c r="D53" i="99" s="1"/>
  <c r="D52" i="99" a="1"/>
  <c r="D52" i="99" s="1"/>
  <c r="H53" i="99" l="1"/>
  <c r="E28" i="97"/>
  <c r="E29" i="97" s="1"/>
  <c r="E30" i="97" s="1"/>
  <c r="D24" i="143"/>
  <c r="D27" i="143" s="1"/>
  <c r="D29" i="143" s="1"/>
  <c r="H52" i="99"/>
  <c r="I28" i="97" s="1"/>
  <c r="G52" i="99"/>
  <c r="G24" i="143" s="1"/>
  <c r="G27" i="143" s="1"/>
  <c r="G29" i="143" s="1"/>
  <c r="F52" i="99"/>
  <c r="F24" i="143" s="1"/>
  <c r="F27" i="143" s="1"/>
  <c r="F29" i="143" s="1"/>
  <c r="G53" i="99"/>
  <c r="K53" i="99" s="1"/>
  <c r="E52" i="99"/>
  <c r="E24" i="143" s="1"/>
  <c r="E27" i="143" s="1"/>
  <c r="E29" i="143" s="1"/>
  <c r="F53" i="99"/>
  <c r="J53" i="99" s="1"/>
  <c r="E53" i="99"/>
  <c r="I53" i="99" s="1"/>
  <c r="E33" i="143" l="1"/>
  <c r="E34" i="143"/>
  <c r="F34" i="143"/>
  <c r="F33" i="143"/>
  <c r="G34" i="143"/>
  <c r="G33" i="143"/>
  <c r="D34" i="143"/>
  <c r="D33" i="143"/>
  <c r="I29" i="97"/>
  <c r="I30" i="97" s="1"/>
  <c r="I31" i="97" s="1"/>
  <c r="I33" i="97" s="1"/>
  <c r="I52" i="99"/>
  <c r="J28" i="97" s="1"/>
  <c r="F28" i="97"/>
  <c r="J52" i="99"/>
  <c r="K28" i="97" s="1"/>
  <c r="G28" i="97"/>
  <c r="E31" i="97"/>
  <c r="E33" i="97" s="1"/>
  <c r="K52" i="99"/>
  <c r="L28" i="97" s="1"/>
  <c r="H28" i="97"/>
  <c r="AW97" i="65" l="1"/>
  <c r="D41" i="143"/>
  <c r="D42" i="143" s="1"/>
  <c r="U97" i="65"/>
  <c r="P97" i="65"/>
  <c r="L97" i="65"/>
  <c r="T97" i="65"/>
  <c r="I97" i="65"/>
  <c r="G97" i="65"/>
  <c r="J97" i="65"/>
  <c r="O97" i="65"/>
  <c r="R97" i="65"/>
  <c r="N97" i="65"/>
  <c r="M97" i="65"/>
  <c r="H97" i="65"/>
  <c r="Q97" i="65"/>
  <c r="K97" i="65"/>
  <c r="V97" i="65"/>
  <c r="S97" i="65"/>
  <c r="AW125" i="65"/>
  <c r="N125" i="65"/>
  <c r="R125" i="65"/>
  <c r="H125" i="65"/>
  <c r="S125" i="65"/>
  <c r="P125" i="65"/>
  <c r="Q125" i="65"/>
  <c r="I125" i="65"/>
  <c r="V125" i="65"/>
  <c r="L125" i="65"/>
  <c r="M125" i="65"/>
  <c r="J125" i="65"/>
  <c r="O125" i="65"/>
  <c r="K125" i="65"/>
  <c r="T125" i="65"/>
  <c r="G125" i="65"/>
  <c r="U125" i="65"/>
  <c r="AW98" i="65"/>
  <c r="T98" i="65"/>
  <c r="I98" i="65"/>
  <c r="G98" i="65"/>
  <c r="H98" i="65"/>
  <c r="Q98" i="65"/>
  <c r="J98" i="65"/>
  <c r="O98" i="65"/>
  <c r="L98" i="65"/>
  <c r="M98" i="65"/>
  <c r="S98" i="65"/>
  <c r="U98" i="65"/>
  <c r="P98" i="65"/>
  <c r="N98" i="65"/>
  <c r="K98" i="65"/>
  <c r="V98" i="65"/>
  <c r="R98" i="65"/>
  <c r="AW115" i="65"/>
  <c r="P115" i="65"/>
  <c r="O115" i="65"/>
  <c r="K115" i="65"/>
  <c r="L115" i="65"/>
  <c r="U115" i="65"/>
  <c r="I115" i="65"/>
  <c r="V115" i="65"/>
  <c r="G115" i="65"/>
  <c r="J115" i="65"/>
  <c r="R115" i="65"/>
  <c r="N115" i="65"/>
  <c r="H115" i="65"/>
  <c r="S115" i="65"/>
  <c r="T115" i="65"/>
  <c r="M115" i="65"/>
  <c r="Q115" i="65"/>
  <c r="AW116" i="65"/>
  <c r="Q116" i="65"/>
  <c r="M116" i="65"/>
  <c r="K116" i="65"/>
  <c r="I116" i="65"/>
  <c r="U116" i="65"/>
  <c r="P116" i="65"/>
  <c r="S116" i="65"/>
  <c r="N116" i="65"/>
  <c r="G116" i="65"/>
  <c r="T116" i="65"/>
  <c r="J116" i="65"/>
  <c r="L116" i="65"/>
  <c r="R116" i="65"/>
  <c r="O116" i="65"/>
  <c r="V116" i="65"/>
  <c r="H116" i="65"/>
  <c r="AW106" i="65"/>
  <c r="E41" i="143"/>
  <c r="E42" i="143" s="1"/>
  <c r="T106" i="65"/>
  <c r="V106" i="65"/>
  <c r="N106" i="65"/>
  <c r="Q106" i="65"/>
  <c r="M106" i="65"/>
  <c r="G106" i="65"/>
  <c r="K106" i="65"/>
  <c r="J106" i="65"/>
  <c r="O106" i="65"/>
  <c r="L106" i="65"/>
  <c r="I106" i="65"/>
  <c r="U106" i="65"/>
  <c r="H106" i="65"/>
  <c r="R106" i="65"/>
  <c r="S106" i="65"/>
  <c r="P106" i="65"/>
  <c r="AW124" i="65"/>
  <c r="J124" i="65"/>
  <c r="O124" i="65"/>
  <c r="G124" i="65"/>
  <c r="T124" i="65"/>
  <c r="R124" i="65"/>
  <c r="U124" i="65"/>
  <c r="P124" i="65"/>
  <c r="N124" i="65"/>
  <c r="Q124" i="65"/>
  <c r="S124" i="65"/>
  <c r="H124" i="65"/>
  <c r="L124" i="65"/>
  <c r="V124" i="65"/>
  <c r="M124" i="65"/>
  <c r="K124" i="65"/>
  <c r="I124" i="65"/>
  <c r="AW107" i="65"/>
  <c r="L107" i="65"/>
  <c r="V107" i="65"/>
  <c r="G107" i="65"/>
  <c r="U107" i="65"/>
  <c r="Q107" i="65"/>
  <c r="M107" i="65"/>
  <c r="P107" i="65"/>
  <c r="O107" i="65"/>
  <c r="T107" i="65"/>
  <c r="K107" i="65"/>
  <c r="R107" i="65"/>
  <c r="J107" i="65"/>
  <c r="H107" i="65"/>
  <c r="N107" i="65"/>
  <c r="I107" i="65"/>
  <c r="S107" i="65"/>
  <c r="I39" i="97"/>
  <c r="I41" i="97"/>
  <c r="I38" i="97"/>
  <c r="K29" i="97"/>
  <c r="K30" i="97" s="1"/>
  <c r="G29" i="97"/>
  <c r="G30" i="97" s="1"/>
  <c r="G31" i="97" s="1"/>
  <c r="G33" i="97" s="1"/>
  <c r="F29" i="97"/>
  <c r="F30" i="97" s="1"/>
  <c r="J29" i="97"/>
  <c r="J30" i="97" s="1"/>
  <c r="E41" i="97"/>
  <c r="E39" i="97"/>
  <c r="E38" i="97"/>
  <c r="H29" i="97"/>
  <c r="H30" i="97" s="1"/>
  <c r="L29" i="97"/>
  <c r="L30" i="97" s="1"/>
  <c r="L31" i="97" s="1"/>
  <c r="L33" i="97" s="1"/>
  <c r="I44" i="99"/>
  <c r="I43" i="99" s="1"/>
  <c r="J43" i="97" s="1"/>
  <c r="H44" i="99"/>
  <c r="H43" i="99" s="1"/>
  <c r="I43" i="97" s="1"/>
  <c r="AV116" i="65" l="1"/>
  <c r="J34" i="144" s="1" a="1"/>
  <c r="J34" i="144" s="1"/>
  <c r="F24" i="168" s="1"/>
  <c r="AV97" i="65"/>
  <c r="H33" i="144" s="1" a="1"/>
  <c r="H33" i="144" s="1"/>
  <c r="AV98" i="65"/>
  <c r="H34" i="144" s="1" a="1"/>
  <c r="H34" i="144" s="1"/>
  <c r="D24" i="168" s="1"/>
  <c r="AV115" i="65"/>
  <c r="J33" i="144" s="1" a="1"/>
  <c r="J33" i="144" s="1"/>
  <c r="AV124" i="65"/>
  <c r="K33" i="144" s="1" a="1"/>
  <c r="K33" i="144" s="1"/>
  <c r="AV125" i="65"/>
  <c r="K34" i="144" s="1" a="1"/>
  <c r="K34" i="144" s="1"/>
  <c r="G24" i="168" s="1"/>
  <c r="AV107" i="65"/>
  <c r="I34" i="144" s="1" a="1"/>
  <c r="I34" i="144" s="1"/>
  <c r="E24" i="168" s="1"/>
  <c r="AV106" i="65"/>
  <c r="I33" i="144" s="1" a="1"/>
  <c r="I33" i="144" s="1"/>
  <c r="J31" i="97"/>
  <c r="J33" i="97" s="1"/>
  <c r="J41" i="97" s="1"/>
  <c r="F31" i="97"/>
  <c r="F33" i="97" s="1"/>
  <c r="F39" i="97" s="1"/>
  <c r="L41" i="97"/>
  <c r="L39" i="97"/>
  <c r="L38" i="97"/>
  <c r="G41" i="97"/>
  <c r="G38" i="97"/>
  <c r="G39" i="97"/>
  <c r="K31" i="97"/>
  <c r="K33" i="97" s="1"/>
  <c r="H31" i="97"/>
  <c r="H33" i="97" s="1"/>
  <c r="E46" i="97"/>
  <c r="B9" i="64"/>
  <c r="E23" i="168" l="1"/>
  <c r="G23" i="168"/>
  <c r="F23" i="168"/>
  <c r="D23" i="168"/>
  <c r="J39" i="97"/>
  <c r="J38" i="97"/>
  <c r="F41" i="97"/>
  <c r="F38" i="97"/>
  <c r="H41" i="97"/>
  <c r="H38" i="97"/>
  <c r="H39" i="97"/>
  <c r="K41" i="97"/>
  <c r="K38" i="97"/>
  <c r="K39" i="97"/>
  <c r="K38" i="64"/>
  <c r="L29" i="89" s="1"/>
  <c r="L38" i="64"/>
  <c r="I29" i="89" s="1"/>
  <c r="M38" i="64"/>
  <c r="J29" i="89" s="1"/>
  <c r="N38" i="64"/>
  <c r="K29" i="89" s="1"/>
  <c r="H17" i="64"/>
  <c r="I17" i="64"/>
  <c r="J17" i="64"/>
  <c r="D3" i="64"/>
  <c r="D2" i="64" l="1"/>
  <c r="F42" i="97" l="1"/>
  <c r="E44" i="97" l="1"/>
  <c r="I48" i="99"/>
  <c r="I45" i="99" s="1"/>
  <c r="H48" i="99"/>
  <c r="H45" i="99" s="1"/>
  <c r="K48" i="99"/>
  <c r="K45" i="99" s="1"/>
  <c r="J48" i="99"/>
  <c r="J45" i="99" s="1"/>
  <c r="G44" i="97" l="1"/>
  <c r="J44" i="97"/>
  <c r="H44" i="97"/>
  <c r="F44" i="97"/>
  <c r="K44" i="97"/>
  <c r="I44" i="97"/>
  <c r="L44" i="97"/>
  <c r="H16" i="64"/>
  <c r="I16" i="64"/>
  <c r="J16" i="64"/>
  <c r="K16" i="64"/>
  <c r="L16" i="64"/>
  <c r="M16" i="64"/>
  <c r="N16" i="64"/>
  <c r="G16" i="64"/>
  <c r="H15" i="64"/>
  <c r="I15" i="64"/>
  <c r="J15" i="64"/>
  <c r="K15" i="64"/>
  <c r="I6" i="89" s="1"/>
  <c r="I6" i="88" s="1"/>
  <c r="L15" i="64"/>
  <c r="J6" i="89" s="1"/>
  <c r="M15" i="64"/>
  <c r="K6" i="89" s="1"/>
  <c r="N15" i="64"/>
  <c r="L6" i="89" s="1"/>
  <c r="G15" i="64"/>
  <c r="H25" i="76"/>
  <c r="H26" i="76"/>
  <c r="H28" i="76"/>
  <c r="E6" i="89" l="1"/>
  <c r="E6" i="168" s="1"/>
  <c r="D6" i="89"/>
  <c r="D6" i="168" s="1"/>
  <c r="G6" i="89"/>
  <c r="G6" i="168" s="1"/>
  <c r="F6" i="89"/>
  <c r="F6" i="168" s="1"/>
  <c r="J6" i="88"/>
  <c r="L6" i="88"/>
  <c r="K6" i="88"/>
  <c r="M14" i="57"/>
  <c r="I8" i="60" s="1"/>
  <c r="N14" i="57"/>
  <c r="J8" i="60" s="1"/>
  <c r="O14" i="57"/>
  <c r="K8" i="60" s="1"/>
  <c r="L14" i="57"/>
  <c r="H8" i="60" s="1"/>
  <c r="I14" i="57"/>
  <c r="E8" i="60" s="1"/>
  <c r="J14" i="57"/>
  <c r="F8" i="60" s="1"/>
  <c r="K14" i="57"/>
  <c r="G8" i="60" s="1"/>
  <c r="H14" i="57"/>
  <c r="D8" i="60" s="1"/>
  <c r="M13" i="57"/>
  <c r="N13" i="57"/>
  <c r="O13" i="57"/>
  <c r="L13" i="57"/>
  <c r="I13" i="57"/>
  <c r="J13" i="57"/>
  <c r="K13" i="57"/>
  <c r="H13" i="57"/>
  <c r="G6" i="88" l="1"/>
  <c r="E6" i="88"/>
  <c r="F6" i="88"/>
  <c r="D6" i="88"/>
  <c r="I25" i="76"/>
  <c r="J25" i="76"/>
  <c r="K25" i="76"/>
  <c r="L25" i="76"/>
  <c r="M25" i="76"/>
  <c r="N25" i="76"/>
  <c r="I26" i="76"/>
  <c r="K26" i="76"/>
  <c r="L26" i="76"/>
  <c r="M26" i="76"/>
  <c r="N26" i="76"/>
  <c r="I28" i="76"/>
  <c r="J28" i="76"/>
  <c r="K28" i="76"/>
  <c r="L28" i="76"/>
  <c r="M28" i="76"/>
  <c r="N28" i="76"/>
  <c r="J7" i="88" l="1"/>
  <c r="K7" i="88"/>
  <c r="L7" i="88"/>
  <c r="I7" i="88"/>
  <c r="E7" i="88"/>
  <c r="F7" i="88"/>
  <c r="G7" i="88"/>
  <c r="D7" i="88"/>
  <c r="M15" i="57"/>
  <c r="N15" i="57"/>
  <c r="O15" i="57"/>
  <c r="L15" i="57"/>
  <c r="I15" i="57"/>
  <c r="J15" i="57"/>
  <c r="K15" i="57"/>
  <c r="H15" i="57"/>
  <c r="G4" i="4" l="1"/>
  <c r="E1" i="99"/>
  <c r="F1" i="99"/>
  <c r="G1" i="99"/>
  <c r="H1" i="99"/>
  <c r="I1" i="99"/>
  <c r="J1" i="99"/>
  <c r="K1" i="99"/>
  <c r="D1" i="99"/>
  <c r="D28" i="3" s="1"/>
  <c r="P6" i="57"/>
  <c r="D1" i="68" l="1"/>
  <c r="F1" i="68"/>
  <c r="E1" i="68"/>
  <c r="G1" i="68"/>
  <c r="G1" i="67"/>
  <c r="G17" i="67" s="1"/>
  <c r="F1" i="67"/>
  <c r="F17" i="67" s="1"/>
  <c r="D1" i="67"/>
  <c r="D17" i="67" s="1"/>
  <c r="E1" i="67"/>
  <c r="E17" i="67" s="1"/>
  <c r="E31" i="57"/>
  <c r="E32" i="57"/>
  <c r="E30" i="57"/>
  <c r="D22" i="64" s="1"/>
  <c r="E21" i="57"/>
  <c r="E28" i="57"/>
  <c r="E27" i="57"/>
  <c r="E20" i="57"/>
  <c r="E19" i="57"/>
  <c r="F19" i="57" s="1"/>
  <c r="D38" i="64" l="1"/>
  <c r="D36" i="64"/>
  <c r="D21" i="64"/>
  <c r="D35" i="64"/>
  <c r="D23" i="64"/>
  <c r="D25" i="64"/>
  <c r="D24" i="64"/>
  <c r="F71" i="65"/>
  <c r="F53" i="65"/>
  <c r="F62" i="65"/>
  <c r="F80" i="65"/>
  <c r="K22" i="64"/>
  <c r="G22" i="64"/>
  <c r="F32" i="57"/>
  <c r="F14" i="65"/>
  <c r="K57" i="2"/>
  <c r="J57" i="2"/>
  <c r="I57" i="2"/>
  <c r="H57" i="2"/>
  <c r="G57" i="2"/>
  <c r="F57" i="2"/>
  <c r="E57" i="2"/>
  <c r="D57" i="2"/>
  <c r="B57" i="2"/>
  <c r="H9" i="65"/>
  <c r="I9" i="65"/>
  <c r="J9" i="65"/>
  <c r="K9" i="65"/>
  <c r="L9" i="65"/>
  <c r="M9" i="65"/>
  <c r="N9" i="65"/>
  <c r="O9" i="65"/>
  <c r="P9" i="65"/>
  <c r="Q9" i="65"/>
  <c r="R9" i="65"/>
  <c r="S9" i="65"/>
  <c r="T9" i="65"/>
  <c r="U9" i="65"/>
  <c r="V9" i="65"/>
  <c r="W9" i="65"/>
  <c r="X9" i="65"/>
  <c r="Y9" i="65"/>
  <c r="Z9" i="65"/>
  <c r="AA9" i="65"/>
  <c r="AB9" i="65"/>
  <c r="AC9" i="65"/>
  <c r="AD9" i="65"/>
  <c r="AE9" i="65"/>
  <c r="AF9" i="65"/>
  <c r="AG9" i="65"/>
  <c r="AH9" i="65"/>
  <c r="AI9" i="65"/>
  <c r="AJ9" i="65"/>
  <c r="AK9" i="65"/>
  <c r="AL9" i="65"/>
  <c r="AM9" i="65"/>
  <c r="AN9" i="65"/>
  <c r="AO9" i="65"/>
  <c r="AP9" i="65"/>
  <c r="AQ9" i="65"/>
  <c r="AR9" i="65"/>
  <c r="AS9" i="65"/>
  <c r="AT9" i="65"/>
  <c r="G9" i="65"/>
  <c r="H8" i="65"/>
  <c r="I8" i="65"/>
  <c r="J8" i="65"/>
  <c r="K8" i="65"/>
  <c r="L8" i="65"/>
  <c r="M8" i="65"/>
  <c r="N8" i="65"/>
  <c r="O8" i="65"/>
  <c r="P8" i="65"/>
  <c r="Q8" i="65"/>
  <c r="R8" i="65"/>
  <c r="S8" i="65"/>
  <c r="T8" i="65"/>
  <c r="U8" i="65"/>
  <c r="V8" i="65"/>
  <c r="W8" i="65"/>
  <c r="X8" i="65"/>
  <c r="Y8" i="65"/>
  <c r="Z8" i="65"/>
  <c r="AA8" i="65"/>
  <c r="AB8" i="65"/>
  <c r="AC8" i="65"/>
  <c r="AD8" i="65"/>
  <c r="AE8" i="65"/>
  <c r="AF8" i="65"/>
  <c r="AG8" i="65"/>
  <c r="AH8" i="65"/>
  <c r="AI8" i="65"/>
  <c r="AJ8" i="65"/>
  <c r="AK8" i="65"/>
  <c r="AL8" i="65"/>
  <c r="AM8" i="65"/>
  <c r="AN8" i="65"/>
  <c r="AO8" i="65"/>
  <c r="AP8" i="65"/>
  <c r="AQ8" i="65"/>
  <c r="AR8" i="65"/>
  <c r="AS8" i="65"/>
  <c r="AT8" i="65"/>
  <c r="G8" i="65"/>
  <c r="E9" i="65"/>
  <c r="E8" i="65"/>
  <c r="F60" i="65" l="1"/>
  <c r="F69" i="65"/>
  <c r="F87" i="65"/>
  <c r="F78" i="65"/>
  <c r="AA46" i="65"/>
  <c r="AI46" i="65"/>
  <c r="AQ46" i="65"/>
  <c r="AE47" i="65"/>
  <c r="AM47" i="65"/>
  <c r="AA37" i="65"/>
  <c r="AI37" i="65"/>
  <c r="AQ37" i="65"/>
  <c r="AE38" i="65"/>
  <c r="AM38" i="65"/>
  <c r="AA28" i="65"/>
  <c r="AI28" i="65"/>
  <c r="AQ28" i="65"/>
  <c r="AE29" i="65"/>
  <c r="AM29" i="65"/>
  <c r="AA19" i="65"/>
  <c r="AI19" i="65"/>
  <c r="AQ19" i="65"/>
  <c r="AE20" i="65"/>
  <c r="AM20" i="65"/>
  <c r="AE46" i="65"/>
  <c r="AI47" i="65"/>
  <c r="AE37" i="65"/>
  <c r="AA38" i="65"/>
  <c r="AE28" i="65"/>
  <c r="AQ29" i="65"/>
  <c r="AA20" i="65"/>
  <c r="AQ20" i="65"/>
  <c r="AK20" i="65"/>
  <c r="AL47" i="65"/>
  <c r="AL38" i="65"/>
  <c r="AT29" i="65"/>
  <c r="AB46" i="65"/>
  <c r="AJ46" i="65"/>
  <c r="AR46" i="65"/>
  <c r="AF47" i="65"/>
  <c r="AN47" i="65"/>
  <c r="AB37" i="65"/>
  <c r="AJ37" i="65"/>
  <c r="AR37" i="65"/>
  <c r="AF38" i="65"/>
  <c r="AN38" i="65"/>
  <c r="AB28" i="65"/>
  <c r="AJ28" i="65"/>
  <c r="AR28" i="65"/>
  <c r="AF29" i="65"/>
  <c r="AN29" i="65"/>
  <c r="AB19" i="65"/>
  <c r="AJ19" i="65"/>
  <c r="AR19" i="65"/>
  <c r="AF20" i="65"/>
  <c r="AN20" i="65"/>
  <c r="AO20" i="65"/>
  <c r="AM46" i="65"/>
  <c r="AQ47" i="65"/>
  <c r="AM37" i="65"/>
  <c r="AQ38" i="65"/>
  <c r="AI29" i="65"/>
  <c r="AM19" i="65"/>
  <c r="AG19" i="65"/>
  <c r="AS20" i="65"/>
  <c r="AD47" i="65"/>
  <c r="AD38" i="65"/>
  <c r="AL29" i="65"/>
  <c r="AL20" i="65"/>
  <c r="AC46" i="65"/>
  <c r="AK46" i="65"/>
  <c r="AS46" i="65"/>
  <c r="AG47" i="65"/>
  <c r="AO47" i="65"/>
  <c r="AC37" i="65"/>
  <c r="AK37" i="65"/>
  <c r="AS37" i="65"/>
  <c r="AG38" i="65"/>
  <c r="AO38" i="65"/>
  <c r="AC28" i="65"/>
  <c r="AK28" i="65"/>
  <c r="AS28" i="65"/>
  <c r="AG29" i="65"/>
  <c r="AO29" i="65"/>
  <c r="AC19" i="65"/>
  <c r="AK19" i="65"/>
  <c r="AS19" i="65"/>
  <c r="AG20" i="65"/>
  <c r="AP28" i="65"/>
  <c r="AT20" i="65"/>
  <c r="AD46" i="65"/>
  <c r="AL46" i="65"/>
  <c r="AT46" i="65"/>
  <c r="AH47" i="65"/>
  <c r="AP47" i="65"/>
  <c r="AD37" i="65"/>
  <c r="AL37" i="65"/>
  <c r="AT37" i="65"/>
  <c r="AH38" i="65"/>
  <c r="AP38" i="65"/>
  <c r="AD28" i="65"/>
  <c r="AL28" i="65"/>
  <c r="AT28" i="65"/>
  <c r="AH29" i="65"/>
  <c r="AP29" i="65"/>
  <c r="AD19" i="65"/>
  <c r="AL19" i="65"/>
  <c r="AT19" i="65"/>
  <c r="AH20" i="65"/>
  <c r="AP20" i="65"/>
  <c r="AA47" i="65"/>
  <c r="AI38" i="65"/>
  <c r="AM28" i="65"/>
  <c r="AA29" i="65"/>
  <c r="AE19" i="65"/>
  <c r="AI20" i="65"/>
  <c r="AS29" i="65"/>
  <c r="AC20" i="65"/>
  <c r="AP46" i="65"/>
  <c r="AP37" i="65"/>
  <c r="AT38" i="65"/>
  <c r="AH19" i="65"/>
  <c r="AF46" i="65"/>
  <c r="AN46" i="65"/>
  <c r="AB47" i="65"/>
  <c r="AJ47" i="65"/>
  <c r="AR47" i="65"/>
  <c r="AF37" i="65"/>
  <c r="AN37" i="65"/>
  <c r="AB38" i="65"/>
  <c r="AJ38" i="65"/>
  <c r="AR38" i="65"/>
  <c r="AF28" i="65"/>
  <c r="AN28" i="65"/>
  <c r="AB29" i="65"/>
  <c r="AJ29" i="65"/>
  <c r="AR29" i="65"/>
  <c r="AF19" i="65"/>
  <c r="AN19" i="65"/>
  <c r="AB20" i="65"/>
  <c r="AJ20" i="65"/>
  <c r="AR20" i="65"/>
  <c r="AG37" i="65"/>
  <c r="AO37" i="65"/>
  <c r="AC38" i="65"/>
  <c r="AK38" i="65"/>
  <c r="AS38" i="65"/>
  <c r="AG28" i="65"/>
  <c r="AO28" i="65"/>
  <c r="AC29" i="65"/>
  <c r="AK29" i="65"/>
  <c r="AO19" i="65"/>
  <c r="AH46" i="65"/>
  <c r="AH37" i="65"/>
  <c r="AH28" i="65"/>
  <c r="AP19" i="65"/>
  <c r="AG46" i="65"/>
  <c r="AO46" i="65"/>
  <c r="AC47" i="65"/>
  <c r="AK47" i="65"/>
  <c r="AS47" i="65"/>
  <c r="AT47" i="65"/>
  <c r="AD29" i="65"/>
  <c r="AD20" i="65"/>
  <c r="AN48" i="65"/>
  <c r="AF48" i="65"/>
  <c r="AR45" i="65"/>
  <c r="AJ45" i="65"/>
  <c r="AB45" i="65"/>
  <c r="AN44" i="65"/>
  <c r="AF44" i="65"/>
  <c r="AR43" i="65"/>
  <c r="AJ43" i="65"/>
  <c r="AB43" i="65"/>
  <c r="AN42" i="65"/>
  <c r="AF42" i="65"/>
  <c r="AR41" i="65"/>
  <c r="AJ41" i="65"/>
  <c r="AB41" i="65"/>
  <c r="AN39" i="65"/>
  <c r="AF39" i="65"/>
  <c r="AR36" i="65"/>
  <c r="AJ36" i="65"/>
  <c r="AB36" i="65"/>
  <c r="AN35" i="65"/>
  <c r="AF35" i="65"/>
  <c r="AR34" i="65"/>
  <c r="AJ34" i="65"/>
  <c r="AB34" i="65"/>
  <c r="AN33" i="65"/>
  <c r="AF33" i="65"/>
  <c r="AR32" i="65"/>
  <c r="AJ32" i="65"/>
  <c r="AB32" i="65"/>
  <c r="AG24" i="65"/>
  <c r="AO24" i="65"/>
  <c r="AC25" i="65"/>
  <c r="AK25" i="65"/>
  <c r="AS25" i="65"/>
  <c r="AG26" i="65"/>
  <c r="AO26" i="65"/>
  <c r="AC27" i="65"/>
  <c r="AK27" i="65"/>
  <c r="AS27" i="65"/>
  <c r="AG30" i="65"/>
  <c r="AO30" i="65"/>
  <c r="AR23" i="65"/>
  <c r="AJ23" i="65"/>
  <c r="AB23" i="65"/>
  <c r="AG21" i="65"/>
  <c r="AO21" i="65"/>
  <c r="AC15" i="65"/>
  <c r="AK15" i="65"/>
  <c r="AS15" i="65"/>
  <c r="AG16" i="65"/>
  <c r="AO16" i="65"/>
  <c r="AC17" i="65"/>
  <c r="AK17" i="65"/>
  <c r="AS17" i="65"/>
  <c r="AG18" i="65"/>
  <c r="AO18" i="65"/>
  <c r="AC14" i="65"/>
  <c r="AK14" i="65"/>
  <c r="AS14" i="65"/>
  <c r="AT14" i="65"/>
  <c r="AM14" i="65"/>
  <c r="AQ48" i="65"/>
  <c r="AQ44" i="65"/>
  <c r="AM43" i="65"/>
  <c r="AE41" i="65"/>
  <c r="AQ35" i="65"/>
  <c r="AQ33" i="65"/>
  <c r="AM32" i="65"/>
  <c r="AM48" i="65"/>
  <c r="AE48" i="65"/>
  <c r="AQ45" i="65"/>
  <c r="AI45" i="65"/>
  <c r="AA45" i="65"/>
  <c r="AM44" i="65"/>
  <c r="AE44" i="65"/>
  <c r="AQ43" i="65"/>
  <c r="AI43" i="65"/>
  <c r="AA43" i="65"/>
  <c r="AM42" i="65"/>
  <c r="AE42" i="65"/>
  <c r="AQ41" i="65"/>
  <c r="AI41" i="65"/>
  <c r="AA41" i="65"/>
  <c r="AM39" i="65"/>
  <c r="AE39" i="65"/>
  <c r="AQ36" i="65"/>
  <c r="AI36" i="65"/>
  <c r="AA36" i="65"/>
  <c r="AM35" i="65"/>
  <c r="AE35" i="65"/>
  <c r="AQ34" i="65"/>
  <c r="AI34" i="65"/>
  <c r="AA34" i="65"/>
  <c r="AM33" i="65"/>
  <c r="AE33" i="65"/>
  <c r="AQ32" i="65"/>
  <c r="AI32" i="65"/>
  <c r="AA32" i="65"/>
  <c r="AH24" i="65"/>
  <c r="AP24" i="65"/>
  <c r="AD25" i="65"/>
  <c r="AL25" i="65"/>
  <c r="AT25" i="65"/>
  <c r="AH26" i="65"/>
  <c r="AP26" i="65"/>
  <c r="AD27" i="65"/>
  <c r="AL27" i="65"/>
  <c r="AT27" i="65"/>
  <c r="AH30" i="65"/>
  <c r="AP30" i="65"/>
  <c r="AQ23" i="65"/>
  <c r="AI23" i="65"/>
  <c r="AA23" i="65"/>
  <c r="AH21" i="65"/>
  <c r="AP21" i="65"/>
  <c r="AD15" i="65"/>
  <c r="AL15" i="65"/>
  <c r="AT15" i="65"/>
  <c r="AH16" i="65"/>
  <c r="AP16" i="65"/>
  <c r="AD17" i="65"/>
  <c r="AL17" i="65"/>
  <c r="AT17" i="65"/>
  <c r="AH18" i="65"/>
  <c r="AP18" i="65"/>
  <c r="AD14" i="65"/>
  <c r="AL14" i="65"/>
  <c r="AM45" i="65"/>
  <c r="AE43" i="65"/>
  <c r="AQ39" i="65"/>
  <c r="AE36" i="65"/>
  <c r="AE34" i="65"/>
  <c r="AD24" i="65"/>
  <c r="AT48" i="65"/>
  <c r="AL48" i="65"/>
  <c r="AD48" i="65"/>
  <c r="AP45" i="65"/>
  <c r="AH45" i="65"/>
  <c r="AT44" i="65"/>
  <c r="AL44" i="65"/>
  <c r="AD44" i="65"/>
  <c r="AP43" i="65"/>
  <c r="AH43" i="65"/>
  <c r="AT42" i="65"/>
  <c r="AL42" i="65"/>
  <c r="AD42" i="65"/>
  <c r="AP41" i="65"/>
  <c r="AH41" i="65"/>
  <c r="AT39" i="65"/>
  <c r="AL39" i="65"/>
  <c r="AD39" i="65"/>
  <c r="AP36" i="65"/>
  <c r="AH36" i="65"/>
  <c r="AT35" i="65"/>
  <c r="AL35" i="65"/>
  <c r="AD35" i="65"/>
  <c r="AP34" i="65"/>
  <c r="AH34" i="65"/>
  <c r="AT33" i="65"/>
  <c r="AL33" i="65"/>
  <c r="AD33" i="65"/>
  <c r="AP32" i="65"/>
  <c r="AH32" i="65"/>
  <c r="AA24" i="65"/>
  <c r="AI24" i="65"/>
  <c r="AQ24" i="65"/>
  <c r="AE25" i="65"/>
  <c r="AM25" i="65"/>
  <c r="AA26" i="65"/>
  <c r="AI26" i="65"/>
  <c r="AQ26" i="65"/>
  <c r="AE27" i="65"/>
  <c r="AM27" i="65"/>
  <c r="AA30" i="65"/>
  <c r="AI30" i="65"/>
  <c r="AQ30" i="65"/>
  <c r="AP23" i="65"/>
  <c r="AH23" i="65"/>
  <c r="AA21" i="65"/>
  <c r="AI21" i="65"/>
  <c r="AQ21" i="65"/>
  <c r="AE15" i="65"/>
  <c r="AM15" i="65"/>
  <c r="AA16" i="65"/>
  <c r="AI16" i="65"/>
  <c r="AQ16" i="65"/>
  <c r="AE17" i="65"/>
  <c r="AM17" i="65"/>
  <c r="AA18" i="65"/>
  <c r="AI18" i="65"/>
  <c r="AQ18" i="65"/>
  <c r="AE14" i="65"/>
  <c r="AE45" i="65"/>
  <c r="AI42" i="65"/>
  <c r="AI39" i="65"/>
  <c r="AA35" i="65"/>
  <c r="AA33" i="65"/>
  <c r="AT24" i="65"/>
  <c r="AS48" i="65"/>
  <c r="AK48" i="65"/>
  <c r="AC48" i="65"/>
  <c r="AO45" i="65"/>
  <c r="AG45" i="65"/>
  <c r="AS44" i="65"/>
  <c r="AK44" i="65"/>
  <c r="AC44" i="65"/>
  <c r="AO43" i="65"/>
  <c r="AG43" i="65"/>
  <c r="AS42" i="65"/>
  <c r="AK42" i="65"/>
  <c r="AC42" i="65"/>
  <c r="AO41" i="65"/>
  <c r="AG41" i="65"/>
  <c r="AS39" i="65"/>
  <c r="AK39" i="65"/>
  <c r="AC39" i="65"/>
  <c r="AO36" i="65"/>
  <c r="AG36" i="65"/>
  <c r="AS35" i="65"/>
  <c r="AK35" i="65"/>
  <c r="AC35" i="65"/>
  <c r="AO34" i="65"/>
  <c r="AG34" i="65"/>
  <c r="AS33" i="65"/>
  <c r="AK33" i="65"/>
  <c r="AC33" i="65"/>
  <c r="AO32" i="65"/>
  <c r="AG32" i="65"/>
  <c r="AB24" i="65"/>
  <c r="AJ24" i="65"/>
  <c r="AR24" i="65"/>
  <c r="AF25" i="65"/>
  <c r="AN25" i="65"/>
  <c r="AB26" i="65"/>
  <c r="AJ26" i="65"/>
  <c r="AR26" i="65"/>
  <c r="AF27" i="65"/>
  <c r="AN27" i="65"/>
  <c r="AB30" i="65"/>
  <c r="AJ30" i="65"/>
  <c r="AR30" i="65"/>
  <c r="AO23" i="65"/>
  <c r="AG23" i="65"/>
  <c r="AB21" i="65"/>
  <c r="AJ21" i="65"/>
  <c r="AR21" i="65"/>
  <c r="AF15" i="65"/>
  <c r="AN15" i="65"/>
  <c r="AB16" i="65"/>
  <c r="AJ16" i="65"/>
  <c r="AR16" i="65"/>
  <c r="AF17" i="65"/>
  <c r="AN17" i="65"/>
  <c r="AB18" i="65"/>
  <c r="AJ18" i="65"/>
  <c r="AR18" i="65"/>
  <c r="AF14" i="65"/>
  <c r="AN14" i="65"/>
  <c r="AA44" i="65"/>
  <c r="AA42" i="65"/>
  <c r="AM36" i="65"/>
  <c r="AM34" i="65"/>
  <c r="AE32" i="65"/>
  <c r="AR48" i="65"/>
  <c r="AJ48" i="65"/>
  <c r="AB48" i="65"/>
  <c r="AN45" i="65"/>
  <c r="AF45" i="65"/>
  <c r="AR44" i="65"/>
  <c r="AJ44" i="65"/>
  <c r="AB44" i="65"/>
  <c r="AN43" i="65"/>
  <c r="AF43" i="65"/>
  <c r="AR42" i="65"/>
  <c r="AJ42" i="65"/>
  <c r="AB42" i="65"/>
  <c r="AN41" i="65"/>
  <c r="AF41" i="65"/>
  <c r="AR39" i="65"/>
  <c r="AJ39" i="65"/>
  <c r="AB39" i="65"/>
  <c r="AN36" i="65"/>
  <c r="AF36" i="65"/>
  <c r="AR35" i="65"/>
  <c r="AJ35" i="65"/>
  <c r="AB35" i="65"/>
  <c r="AN34" i="65"/>
  <c r="AF34" i="65"/>
  <c r="AR33" i="65"/>
  <c r="AJ33" i="65"/>
  <c r="AB33" i="65"/>
  <c r="AN32" i="65"/>
  <c r="AF32" i="65"/>
  <c r="AC24" i="65"/>
  <c r="AK24" i="65"/>
  <c r="AS24" i="65"/>
  <c r="AG25" i="65"/>
  <c r="AO25" i="65"/>
  <c r="AC26" i="65"/>
  <c r="AK26" i="65"/>
  <c r="AS26" i="65"/>
  <c r="AG27" i="65"/>
  <c r="AO27" i="65"/>
  <c r="AC30" i="65"/>
  <c r="AK30" i="65"/>
  <c r="AS30" i="65"/>
  <c r="AN23" i="65"/>
  <c r="AF23" i="65"/>
  <c r="AC21" i="65"/>
  <c r="AK21" i="65"/>
  <c r="AS21" i="65"/>
  <c r="AG15" i="65"/>
  <c r="AO15" i="65"/>
  <c r="AC16" i="65"/>
  <c r="AK16" i="65"/>
  <c r="AS16" i="65"/>
  <c r="AG17" i="65"/>
  <c r="AO17" i="65"/>
  <c r="AC18" i="65"/>
  <c r="AK18" i="65"/>
  <c r="AS18" i="65"/>
  <c r="AG14" i="65"/>
  <c r="AO14" i="65"/>
  <c r="AI48" i="65"/>
  <c r="AA48" i="65"/>
  <c r="AI44" i="65"/>
  <c r="AQ42" i="65"/>
  <c r="AM41" i="65"/>
  <c r="AA39" i="65"/>
  <c r="AI35" i="65"/>
  <c r="AI33" i="65"/>
  <c r="AL24" i="65"/>
  <c r="AL45" i="65"/>
  <c r="AT43" i="65"/>
  <c r="AH42" i="65"/>
  <c r="AP39" i="65"/>
  <c r="AD36" i="65"/>
  <c r="AL34" i="65"/>
  <c r="AT32" i="65"/>
  <c r="AM24" i="65"/>
  <c r="AQ25" i="65"/>
  <c r="AT26" i="65"/>
  <c r="AR27" i="65"/>
  <c r="AT23" i="65"/>
  <c r="AD21" i="65"/>
  <c r="AB15" i="65"/>
  <c r="AE16" i="65"/>
  <c r="AH17" i="65"/>
  <c r="AF18" i="65"/>
  <c r="AI14" i="65"/>
  <c r="AR25" i="65"/>
  <c r="AD30" i="65"/>
  <c r="AS23" i="65"/>
  <c r="AH15" i="65"/>
  <c r="AF16" i="65"/>
  <c r="AL18" i="65"/>
  <c r="AJ14" i="65"/>
  <c r="AL16" i="65"/>
  <c r="AM18" i="65"/>
  <c r="AP33" i="65"/>
  <c r="AI27" i="65"/>
  <c r="AN16" i="65"/>
  <c r="AS45" i="65"/>
  <c r="AG33" i="65"/>
  <c r="AA15" i="65"/>
  <c r="AK45" i="65"/>
  <c r="AS43" i="65"/>
  <c r="AG42" i="65"/>
  <c r="AO39" i="65"/>
  <c r="AC36" i="65"/>
  <c r="AK34" i="65"/>
  <c r="AS32" i="65"/>
  <c r="AN24" i="65"/>
  <c r="AA27" i="65"/>
  <c r="AE21" i="65"/>
  <c r="AI17" i="65"/>
  <c r="AH48" i="65"/>
  <c r="AT36" i="65"/>
  <c r="AH25" i="65"/>
  <c r="AK23" i="65"/>
  <c r="AQ17" i="65"/>
  <c r="AO42" i="65"/>
  <c r="AK36" i="65"/>
  <c r="AN26" i="65"/>
  <c r="AD16" i="65"/>
  <c r="AP48" i="65"/>
  <c r="AD45" i="65"/>
  <c r="AL43" i="65"/>
  <c r="AT41" i="65"/>
  <c r="AH39" i="65"/>
  <c r="AP35" i="65"/>
  <c r="AD34" i="65"/>
  <c r="AL32" i="65"/>
  <c r="AA25" i="65"/>
  <c r="AD26" i="65"/>
  <c r="AB27" i="65"/>
  <c r="AE30" i="65"/>
  <c r="AM23" i="65"/>
  <c r="AF21" i="65"/>
  <c r="AI15" i="65"/>
  <c r="AJ17" i="65"/>
  <c r="AP14" i="65"/>
  <c r="AD43" i="65"/>
  <c r="AF26" i="65"/>
  <c r="AM21" i="65"/>
  <c r="AT18" i="65"/>
  <c r="AG44" i="65"/>
  <c r="AP25" i="65"/>
  <c r="AB17" i="65"/>
  <c r="AO48" i="65"/>
  <c r="AC45" i="65"/>
  <c r="AK43" i="65"/>
  <c r="AS41" i="65"/>
  <c r="AG39" i="65"/>
  <c r="AO35" i="65"/>
  <c r="AC34" i="65"/>
  <c r="AK32" i="65"/>
  <c r="AB25" i="65"/>
  <c r="AE26" i="65"/>
  <c r="AH27" i="65"/>
  <c r="AF30" i="65"/>
  <c r="AL23" i="65"/>
  <c r="AL21" i="65"/>
  <c r="AJ15" i="65"/>
  <c r="AM16" i="65"/>
  <c r="AP17" i="65"/>
  <c r="AN18" i="65"/>
  <c r="AQ14" i="65"/>
  <c r="AP44" i="65"/>
  <c r="AL41" i="65"/>
  <c r="AH35" i="65"/>
  <c r="AD32" i="65"/>
  <c r="AL30" i="65"/>
  <c r="AP15" i="65"/>
  <c r="AR14" i="65"/>
  <c r="AS34" i="65"/>
  <c r="AC23" i="65"/>
  <c r="AG48" i="65"/>
  <c r="AO44" i="65"/>
  <c r="AC43" i="65"/>
  <c r="AK41" i="65"/>
  <c r="AS36" i="65"/>
  <c r="AG35" i="65"/>
  <c r="AO33" i="65"/>
  <c r="AC32" i="65"/>
  <c r="AI25" i="65"/>
  <c r="AL26" i="65"/>
  <c r="AJ27" i="65"/>
  <c r="AM30" i="65"/>
  <c r="AE23" i="65"/>
  <c r="AN21" i="65"/>
  <c r="AQ15" i="65"/>
  <c r="AT16" i="65"/>
  <c r="AR17" i="65"/>
  <c r="AA14" i="65"/>
  <c r="AR15" i="65"/>
  <c r="AD18" i="65"/>
  <c r="AQ27" i="65"/>
  <c r="AH14" i="65"/>
  <c r="AT45" i="65"/>
  <c r="AH44" i="65"/>
  <c r="AP42" i="65"/>
  <c r="AD41" i="65"/>
  <c r="AL36" i="65"/>
  <c r="AT34" i="65"/>
  <c r="AH33" i="65"/>
  <c r="AE24" i="65"/>
  <c r="AJ25" i="65"/>
  <c r="AM26" i="65"/>
  <c r="AP27" i="65"/>
  <c r="AN30" i="65"/>
  <c r="AD23" i="65"/>
  <c r="AT21" i="65"/>
  <c r="AA17" i="65"/>
  <c r="AB14" i="65"/>
  <c r="AC41" i="65"/>
  <c r="AF24" i="65"/>
  <c r="AT30" i="65"/>
  <c r="AE18" i="65"/>
  <c r="AQ85" i="65"/>
  <c r="AQ76" i="65"/>
  <c r="AQ67" i="65"/>
  <c r="AQ58" i="65"/>
  <c r="AQ77" i="65"/>
  <c r="AT86" i="65"/>
  <c r="AT59" i="65"/>
  <c r="AR85" i="65"/>
  <c r="AR76" i="65"/>
  <c r="AR67" i="65"/>
  <c r="AR58" i="65"/>
  <c r="AQ68" i="65"/>
  <c r="AT68" i="65"/>
  <c r="AS85" i="65"/>
  <c r="AS76" i="65"/>
  <c r="AS67" i="65"/>
  <c r="AS58" i="65"/>
  <c r="AT85" i="65"/>
  <c r="AT76" i="65"/>
  <c r="AT67" i="65"/>
  <c r="AT58" i="65"/>
  <c r="AQ86" i="65"/>
  <c r="AQ59" i="65"/>
  <c r="AT77" i="65"/>
  <c r="AR86" i="65"/>
  <c r="AR77" i="65"/>
  <c r="AR68" i="65"/>
  <c r="AR59" i="65"/>
  <c r="AS86" i="65"/>
  <c r="AS77" i="65"/>
  <c r="AS68" i="65"/>
  <c r="AS59" i="65"/>
  <c r="AR84" i="65"/>
  <c r="AR82" i="65"/>
  <c r="AR80" i="65"/>
  <c r="AR75" i="65"/>
  <c r="AR73" i="65"/>
  <c r="AR71" i="65"/>
  <c r="AR66" i="65"/>
  <c r="AR64" i="65"/>
  <c r="AR62" i="65"/>
  <c r="AS57" i="65"/>
  <c r="AR55" i="65"/>
  <c r="AS53" i="65"/>
  <c r="AQ78" i="65"/>
  <c r="AQ69" i="65"/>
  <c r="AQ65" i="65"/>
  <c r="AT56" i="65"/>
  <c r="AQ84" i="65"/>
  <c r="AQ82" i="65"/>
  <c r="AQ80" i="65"/>
  <c r="AQ75" i="65"/>
  <c r="AQ73" i="65"/>
  <c r="AQ71" i="65"/>
  <c r="AQ66" i="65"/>
  <c r="AQ64" i="65"/>
  <c r="AQ62" i="65"/>
  <c r="AT57" i="65"/>
  <c r="AQ55" i="65"/>
  <c r="AT53" i="65"/>
  <c r="AQ81" i="65"/>
  <c r="AT87" i="65"/>
  <c r="AT83" i="65"/>
  <c r="AT81" i="65"/>
  <c r="AT78" i="65"/>
  <c r="AT74" i="65"/>
  <c r="AT72" i="65"/>
  <c r="AT69" i="65"/>
  <c r="AT65" i="65"/>
  <c r="AT63" i="65"/>
  <c r="AQ56" i="65"/>
  <c r="AQ60" i="65"/>
  <c r="AT54" i="65"/>
  <c r="AQ74" i="65"/>
  <c r="AS87" i="65"/>
  <c r="AS83" i="65"/>
  <c r="AS81" i="65"/>
  <c r="AS78" i="65"/>
  <c r="AS74" i="65"/>
  <c r="AS72" i="65"/>
  <c r="AS69" i="65"/>
  <c r="AS65" i="65"/>
  <c r="AS63" i="65"/>
  <c r="AR56" i="65"/>
  <c r="AR60" i="65"/>
  <c r="AS54" i="65"/>
  <c r="AQ83" i="65"/>
  <c r="AQ54" i="65"/>
  <c r="AR87" i="65"/>
  <c r="AR83" i="65"/>
  <c r="AR81" i="65"/>
  <c r="AR78" i="65"/>
  <c r="AR74" i="65"/>
  <c r="AR72" i="65"/>
  <c r="AR69" i="65"/>
  <c r="AR65" i="65"/>
  <c r="AR63" i="65"/>
  <c r="AS56" i="65"/>
  <c r="AS60" i="65"/>
  <c r="AR54" i="65"/>
  <c r="AQ87" i="65"/>
  <c r="AQ72" i="65"/>
  <c r="AQ63" i="65"/>
  <c r="AT60" i="65"/>
  <c r="AT75" i="65"/>
  <c r="AT64" i="65"/>
  <c r="AQ53" i="65"/>
  <c r="AQ57" i="65"/>
  <c r="AS75" i="65"/>
  <c r="AS64" i="65"/>
  <c r="AR53" i="65"/>
  <c r="AS55" i="65"/>
  <c r="AT84" i="65"/>
  <c r="AT73" i="65"/>
  <c r="AT62" i="65"/>
  <c r="AS84" i="65"/>
  <c r="AS73" i="65"/>
  <c r="AS62" i="65"/>
  <c r="AT82" i="65"/>
  <c r="AT71" i="65"/>
  <c r="AS82" i="65"/>
  <c r="AS71" i="65"/>
  <c r="AR57" i="65"/>
  <c r="AS80" i="65"/>
  <c r="AT80" i="65"/>
  <c r="AT66" i="65"/>
  <c r="AT55" i="65"/>
  <c r="AS66" i="65"/>
  <c r="I2" i="65"/>
  <c r="G2" i="65"/>
  <c r="G23" i="64"/>
  <c r="K23" i="64"/>
  <c r="G35" i="64"/>
  <c r="C30" i="167" s="1"/>
  <c r="K35" i="64"/>
  <c r="G25" i="64"/>
  <c r="K25" i="64"/>
  <c r="G24" i="64"/>
  <c r="K24" i="64"/>
  <c r="K21" i="64"/>
  <c r="M21" i="64"/>
  <c r="I21" i="64"/>
  <c r="L21" i="64"/>
  <c r="G21" i="64"/>
  <c r="N21" i="64"/>
  <c r="G36" i="64"/>
  <c r="K36" i="64"/>
  <c r="I38" i="64"/>
  <c r="G38" i="64"/>
  <c r="J38" i="64"/>
  <c r="H38" i="64"/>
  <c r="H35" i="64"/>
  <c r="D30" i="167" s="1"/>
  <c r="L35" i="64"/>
  <c r="N35" i="64"/>
  <c r="I35" i="64"/>
  <c r="E30" i="167" s="1"/>
  <c r="M35" i="64"/>
  <c r="J35" i="64"/>
  <c r="F30" i="167" s="1"/>
  <c r="H36" i="64"/>
  <c r="L36" i="64"/>
  <c r="N36" i="64"/>
  <c r="I36" i="64"/>
  <c r="M36" i="64"/>
  <c r="J36" i="64"/>
  <c r="D12" i="89"/>
  <c r="L22" i="64"/>
  <c r="AQ2" i="65"/>
  <c r="AM2" i="65"/>
  <c r="AI2" i="65"/>
  <c r="AE2" i="65"/>
  <c r="AA2" i="65"/>
  <c r="W2" i="65"/>
  <c r="S2" i="65"/>
  <c r="O2" i="65"/>
  <c r="K2" i="65"/>
  <c r="G3" i="65"/>
  <c r="AQ3" i="65"/>
  <c r="AM3" i="65"/>
  <c r="AI3" i="65"/>
  <c r="AE3" i="65"/>
  <c r="AA3" i="65"/>
  <c r="W3" i="65"/>
  <c r="S3" i="65"/>
  <c r="O3" i="65"/>
  <c r="K3" i="65"/>
  <c r="AT2" i="65"/>
  <c r="AP2" i="65"/>
  <c r="AL2" i="65"/>
  <c r="AH2" i="65"/>
  <c r="AD2" i="65"/>
  <c r="Z2" i="65"/>
  <c r="V2" i="65"/>
  <c r="R2" i="65"/>
  <c r="N2" i="65"/>
  <c r="J2" i="65"/>
  <c r="AT3" i="65"/>
  <c r="AP3" i="65"/>
  <c r="AL3" i="65"/>
  <c r="AH3" i="65"/>
  <c r="AD3" i="65"/>
  <c r="Z3" i="65"/>
  <c r="V3" i="65"/>
  <c r="R3" i="65"/>
  <c r="N3" i="65"/>
  <c r="J3" i="65"/>
  <c r="AS2" i="65"/>
  <c r="AO2" i="65"/>
  <c r="AK2" i="65"/>
  <c r="AG2" i="65"/>
  <c r="AC2" i="65"/>
  <c r="Y2" i="65"/>
  <c r="U2" i="65"/>
  <c r="Q2" i="65"/>
  <c r="M2" i="65"/>
  <c r="AS3" i="65"/>
  <c r="AO3" i="65"/>
  <c r="AK3" i="65"/>
  <c r="AG3" i="65"/>
  <c r="AC3" i="65"/>
  <c r="Y3" i="65"/>
  <c r="U3" i="65"/>
  <c r="Q3" i="65"/>
  <c r="M3" i="65"/>
  <c r="I3" i="65"/>
  <c r="AR2" i="65"/>
  <c r="AN2" i="65"/>
  <c r="AJ2" i="65"/>
  <c r="AF2" i="65"/>
  <c r="AB2" i="65"/>
  <c r="X2" i="65"/>
  <c r="T2" i="65"/>
  <c r="P2" i="65"/>
  <c r="L2" i="65"/>
  <c r="H2" i="65"/>
  <c r="AR3" i="65"/>
  <c r="AN3" i="65"/>
  <c r="AJ3" i="65"/>
  <c r="AF3" i="65"/>
  <c r="AB3" i="65"/>
  <c r="X3" i="65"/>
  <c r="T3" i="65"/>
  <c r="P3" i="65"/>
  <c r="L3" i="65"/>
  <c r="H3" i="65"/>
  <c r="D24" i="60"/>
  <c r="G46" i="97"/>
  <c r="H46" i="97"/>
  <c r="I46" i="97"/>
  <c r="J46" i="97"/>
  <c r="K46" i="97"/>
  <c r="L46" i="97"/>
  <c r="J26" i="89" l="1"/>
  <c r="E26" i="89"/>
  <c r="E29" i="89"/>
  <c r="G29" i="89"/>
  <c r="D26" i="89"/>
  <c r="G26" i="89"/>
  <c r="D29" i="89"/>
  <c r="K26" i="89"/>
  <c r="F29" i="89"/>
  <c r="F26" i="89"/>
  <c r="L26" i="89"/>
  <c r="H21" i="64"/>
  <c r="J21" i="64"/>
  <c r="G37" i="64"/>
  <c r="K37" i="64"/>
  <c r="I26" i="89"/>
  <c r="M37" i="64"/>
  <c r="H37" i="64"/>
  <c r="I37" i="64"/>
  <c r="N37" i="64"/>
  <c r="J37" i="64"/>
  <c r="L37" i="64"/>
  <c r="D27" i="89"/>
  <c r="F44" i="60"/>
  <c r="J48" i="57" s="1"/>
  <c r="G44" i="60"/>
  <c r="K48" i="57" s="1"/>
  <c r="H44" i="60"/>
  <c r="L48" i="57" s="1"/>
  <c r="I44" i="60"/>
  <c r="M48" i="57" s="1"/>
  <c r="J44" i="60"/>
  <c r="N48" i="57" s="1"/>
  <c r="K44" i="60"/>
  <c r="O48" i="57" s="1"/>
  <c r="D44" i="60"/>
  <c r="H48" i="57" s="1"/>
  <c r="I40" i="60"/>
  <c r="M44" i="57" s="1"/>
  <c r="G27" i="60"/>
  <c r="H27" i="60"/>
  <c r="I27" i="60"/>
  <c r="J27" i="60"/>
  <c r="K27" i="60"/>
  <c r="G28" i="60"/>
  <c r="H28" i="60"/>
  <c r="I28" i="60"/>
  <c r="J28" i="60"/>
  <c r="K28" i="60"/>
  <c r="H26" i="60"/>
  <c r="I26" i="60"/>
  <c r="J26" i="60"/>
  <c r="K26" i="60"/>
  <c r="E26" i="60"/>
  <c r="F26" i="60"/>
  <c r="G26" i="60"/>
  <c r="E27" i="60"/>
  <c r="F27" i="60"/>
  <c r="E28" i="60"/>
  <c r="F28" i="60"/>
  <c r="D27" i="60"/>
  <c r="D28" i="60"/>
  <c r="D26" i="60"/>
  <c r="D17" i="60"/>
  <c r="E17" i="60"/>
  <c r="F17" i="60"/>
  <c r="G17" i="60"/>
  <c r="H17" i="60"/>
  <c r="I17" i="60"/>
  <c r="J17" i="60"/>
  <c r="K17" i="60"/>
  <c r="E24" i="60"/>
  <c r="F24" i="60"/>
  <c r="G24" i="60"/>
  <c r="H24" i="60"/>
  <c r="I24" i="60"/>
  <c r="J24" i="60"/>
  <c r="K24" i="60"/>
  <c r="E23" i="60"/>
  <c r="F23" i="60"/>
  <c r="G23" i="60"/>
  <c r="H23" i="60"/>
  <c r="I23" i="60"/>
  <c r="J23" i="60"/>
  <c r="K23" i="60"/>
  <c r="D23" i="60"/>
  <c r="E16" i="60"/>
  <c r="F16" i="60"/>
  <c r="G16" i="60"/>
  <c r="H16" i="60"/>
  <c r="I16" i="60"/>
  <c r="J16" i="60"/>
  <c r="K16" i="60"/>
  <c r="E15" i="60"/>
  <c r="F15" i="60"/>
  <c r="G15" i="60"/>
  <c r="H15" i="60"/>
  <c r="I15" i="60"/>
  <c r="J15" i="60"/>
  <c r="K15" i="60"/>
  <c r="D15" i="60"/>
  <c r="D18" i="60" s="1"/>
  <c r="E7" i="60"/>
  <c r="F7" i="60"/>
  <c r="G7" i="60"/>
  <c r="H7" i="60"/>
  <c r="I7" i="60"/>
  <c r="J7" i="60"/>
  <c r="K7" i="60"/>
  <c r="D7" i="60"/>
  <c r="AW14" i="65" s="1"/>
  <c r="E9" i="60"/>
  <c r="F9" i="60"/>
  <c r="G9" i="60"/>
  <c r="H9" i="60"/>
  <c r="I9" i="60"/>
  <c r="J9" i="60"/>
  <c r="K9" i="60"/>
  <c r="D9" i="60"/>
  <c r="G42" i="97"/>
  <c r="H42" i="97"/>
  <c r="D40" i="60"/>
  <c r="H44" i="57" s="1"/>
  <c r="J44" i="99"/>
  <c r="J43" i="99" s="1"/>
  <c r="K43" i="97" s="1"/>
  <c r="K44" i="99"/>
  <c r="K43" i="99" s="1"/>
  <c r="L43" i="97" s="1"/>
  <c r="E43" i="97"/>
  <c r="H18" i="60" l="1"/>
  <c r="H19" i="60" s="1"/>
  <c r="K14" i="65"/>
  <c r="K18" i="60"/>
  <c r="K19" i="60" s="1"/>
  <c r="J18" i="60"/>
  <c r="J19" i="60" s="1"/>
  <c r="U14" i="65"/>
  <c r="T14" i="65"/>
  <c r="V14" i="65"/>
  <c r="G14" i="65"/>
  <c r="Y14" i="65"/>
  <c r="I18" i="60"/>
  <c r="I19" i="60" s="1"/>
  <c r="P14" i="65"/>
  <c r="W14" i="65"/>
  <c r="Z14" i="65"/>
  <c r="G18" i="60"/>
  <c r="G19" i="60" s="1"/>
  <c r="R14" i="65"/>
  <c r="S14" i="65"/>
  <c r="F18" i="60"/>
  <c r="F19" i="60" s="1"/>
  <c r="L14" i="65"/>
  <c r="Q14" i="65"/>
  <c r="E18" i="60"/>
  <c r="E19" i="60" s="1"/>
  <c r="N14" i="65"/>
  <c r="O14" i="65"/>
  <c r="H14" i="65"/>
  <c r="M14" i="65"/>
  <c r="I14" i="65"/>
  <c r="J14" i="65"/>
  <c r="X14" i="65"/>
  <c r="D25" i="60"/>
  <c r="D29" i="60" s="1"/>
  <c r="AW18" i="65"/>
  <c r="AW81" i="65"/>
  <c r="I41" i="60"/>
  <c r="H41" i="60"/>
  <c r="K41" i="60"/>
  <c r="J41" i="60"/>
  <c r="AW42" i="65"/>
  <c r="AW82" i="65"/>
  <c r="AW43" i="65"/>
  <c r="AW75" i="65"/>
  <c r="AW36" i="65"/>
  <c r="AW65" i="65"/>
  <c r="AW26" i="65"/>
  <c r="AW20" i="65"/>
  <c r="AW29" i="65"/>
  <c r="AW85" i="65"/>
  <c r="AW87" i="65"/>
  <c r="AW48" i="65"/>
  <c r="AW59" i="65"/>
  <c r="F40" i="60"/>
  <c r="J44" i="57" s="1"/>
  <c r="J40" i="60"/>
  <c r="N44" i="57" s="1"/>
  <c r="AW72" i="65"/>
  <c r="AW33" i="65"/>
  <c r="AW73" i="65"/>
  <c r="AW34" i="65"/>
  <c r="AW66" i="65"/>
  <c r="AW27" i="65"/>
  <c r="AW56" i="65"/>
  <c r="AW17" i="65"/>
  <c r="AW39" i="65"/>
  <c r="AW46" i="65"/>
  <c r="AW76" i="65"/>
  <c r="AW78" i="65"/>
  <c r="AW86" i="65"/>
  <c r="AW47" i="65"/>
  <c r="G40" i="60"/>
  <c r="K44" i="57" s="1"/>
  <c r="AW63" i="65"/>
  <c r="AW24" i="65"/>
  <c r="AW64" i="65"/>
  <c r="AW25" i="65"/>
  <c r="AW57" i="65"/>
  <c r="AW83" i="65"/>
  <c r="AW44" i="65"/>
  <c r="AW19" i="65"/>
  <c r="AW30" i="65"/>
  <c r="AW37" i="65"/>
  <c r="AW67" i="65"/>
  <c r="AW69" i="65"/>
  <c r="AW77" i="65"/>
  <c r="E40" i="60"/>
  <c r="I44" i="57" s="1"/>
  <c r="H40" i="60"/>
  <c r="L44" i="57" s="1"/>
  <c r="AW15" i="65"/>
  <c r="AW54" i="65"/>
  <c r="AW55" i="65"/>
  <c r="AW84" i="65"/>
  <c r="AW45" i="65"/>
  <c r="AW74" i="65"/>
  <c r="AW35" i="65"/>
  <c r="AW21" i="65"/>
  <c r="AW38" i="65"/>
  <c r="AW28" i="65"/>
  <c r="AW58" i="65"/>
  <c r="AW60" i="65"/>
  <c r="AW68" i="65"/>
  <c r="K40" i="60"/>
  <c r="O44" i="57" s="1"/>
  <c r="K25" i="60"/>
  <c r="K29" i="60" s="1"/>
  <c r="G25" i="60"/>
  <c r="G29" i="60" s="1"/>
  <c r="J25" i="60"/>
  <c r="J29" i="60" s="1"/>
  <c r="AW16" i="65"/>
  <c r="F25" i="60"/>
  <c r="F29" i="60" s="1"/>
  <c r="I25" i="60"/>
  <c r="I29" i="60" s="1"/>
  <c r="E25" i="60"/>
  <c r="E29" i="60" s="1"/>
  <c r="H25" i="60"/>
  <c r="H29" i="60" s="1"/>
  <c r="AW62" i="65"/>
  <c r="AW23" i="65"/>
  <c r="D19" i="60"/>
  <c r="AW53" i="65"/>
  <c r="AW80" i="65"/>
  <c r="AW41" i="65"/>
  <c r="AW71" i="65"/>
  <c r="AW32" i="65"/>
  <c r="H50" i="99"/>
  <c r="G45" i="97"/>
  <c r="H45" i="97"/>
  <c r="F45" i="97"/>
  <c r="J30" i="60" l="1"/>
  <c r="J31" i="60" s="1"/>
  <c r="H30" i="60"/>
  <c r="H31" i="60" s="1"/>
  <c r="I30" i="60"/>
  <c r="I31" i="60" s="1"/>
  <c r="I32" i="60" s="1"/>
  <c r="I34" i="60" s="1"/>
  <c r="K30" i="60"/>
  <c r="K31" i="60" s="1"/>
  <c r="G30" i="60"/>
  <c r="G31" i="60" s="1"/>
  <c r="E30" i="60"/>
  <c r="E31" i="60" s="1"/>
  <c r="D30" i="60"/>
  <c r="D31" i="60" s="1"/>
  <c r="F30" i="60"/>
  <c r="F43" i="97"/>
  <c r="G43" i="97"/>
  <c r="G40" i="97" s="1"/>
  <c r="G48" i="97" s="1"/>
  <c r="G50" i="97" s="1"/>
  <c r="G53" i="97" s="1"/>
  <c r="G54" i="97" s="1"/>
  <c r="H43" i="97"/>
  <c r="H40" i="97" s="1"/>
  <c r="H48" i="97" s="1"/>
  <c r="H50" i="97" s="1"/>
  <c r="H53" i="97" s="1"/>
  <c r="H54" i="97" s="1"/>
  <c r="AV14" i="65"/>
  <c r="E45" i="97"/>
  <c r="H49" i="99"/>
  <c r="I45" i="97" s="1"/>
  <c r="I40" i="97" s="1"/>
  <c r="I48" i="97" s="1"/>
  <c r="I50" i="97" s="1"/>
  <c r="I53" i="97" s="1"/>
  <c r="I54" i="97" s="1"/>
  <c r="D41" i="60"/>
  <c r="D42" i="60"/>
  <c r="H46" i="57" s="1"/>
  <c r="I50" i="99"/>
  <c r="K50" i="99"/>
  <c r="J50" i="99"/>
  <c r="AT9" i="96"/>
  <c r="AT8" i="96"/>
  <c r="D32" i="60" l="1"/>
  <c r="D34" i="60" s="1"/>
  <c r="D39" i="60" s="1"/>
  <c r="G32" i="60"/>
  <c r="G34" i="60" s="1"/>
  <c r="G39" i="60" s="1"/>
  <c r="J32" i="60"/>
  <c r="J34" i="60" s="1"/>
  <c r="J39" i="60" s="1"/>
  <c r="H32" i="60"/>
  <c r="H34" i="60" s="1"/>
  <c r="H38" i="60" s="1"/>
  <c r="K32" i="60"/>
  <c r="K34" i="60" s="1"/>
  <c r="K39" i="60" s="1"/>
  <c r="F31" i="60"/>
  <c r="E32" i="60"/>
  <c r="E34" i="60" s="1"/>
  <c r="E45" i="60" s="1"/>
  <c r="E41" i="60"/>
  <c r="E40" i="97"/>
  <c r="F41" i="60"/>
  <c r="G41" i="60"/>
  <c r="H43" i="60"/>
  <c r="L47" i="57" s="1"/>
  <c r="D43" i="60"/>
  <c r="H47" i="57" s="1"/>
  <c r="H62" i="57" s="1"/>
  <c r="J49" i="99"/>
  <c r="I49" i="99"/>
  <c r="J45" i="97" s="1"/>
  <c r="J40" i="97" s="1"/>
  <c r="J48" i="97" s="1"/>
  <c r="J50" i="97" s="1"/>
  <c r="J53" i="97" s="1"/>
  <c r="J54" i="97" s="1"/>
  <c r="K49" i="99"/>
  <c r="G43" i="60"/>
  <c r="K47" i="57" s="1"/>
  <c r="E43" i="60"/>
  <c r="I47" i="57" s="1"/>
  <c r="F43" i="60"/>
  <c r="J47" i="57" s="1"/>
  <c r="E42" i="60"/>
  <c r="D38" i="60"/>
  <c r="D45" i="60"/>
  <c r="I45" i="60"/>
  <c r="I39" i="60"/>
  <c r="I38" i="60"/>
  <c r="G45" i="60" l="1"/>
  <c r="G38" i="60"/>
  <c r="F32" i="60"/>
  <c r="F34" i="60" s="1"/>
  <c r="F45" i="60" s="1"/>
  <c r="L62" i="57"/>
  <c r="J38" i="60"/>
  <c r="J45" i="60"/>
  <c r="H45" i="60"/>
  <c r="H39" i="60"/>
  <c r="K45" i="60"/>
  <c r="K38" i="60"/>
  <c r="E38" i="60"/>
  <c r="E39" i="60"/>
  <c r="E48" i="97"/>
  <c r="E50" i="97" s="1"/>
  <c r="E53" i="97" s="1"/>
  <c r="E54" i="97" s="1"/>
  <c r="I43" i="60"/>
  <c r="M47" i="57" s="1"/>
  <c r="K45" i="97"/>
  <c r="K40" i="97" s="1"/>
  <c r="K48" i="97" s="1"/>
  <c r="K50" i="97" s="1"/>
  <c r="K53" i="97" s="1"/>
  <c r="K54" i="97" s="1"/>
  <c r="L45" i="97"/>
  <c r="L40" i="97" s="1"/>
  <c r="L48" i="97" s="1"/>
  <c r="L50" i="97" s="1"/>
  <c r="L53" i="97" s="1"/>
  <c r="L54" i="97" s="1"/>
  <c r="D46" i="60"/>
  <c r="F42" i="60"/>
  <c r="D24" i="67" a="1"/>
  <c r="E24" i="67" s="1"/>
  <c r="D24" i="68" a="1"/>
  <c r="E24" i="68" s="1"/>
  <c r="F38" i="60" l="1"/>
  <c r="F39" i="60"/>
  <c r="F46" i="60" s="1"/>
  <c r="D49" i="60"/>
  <c r="D50" i="60" s="1"/>
  <c r="D51" i="60" s="1"/>
  <c r="D54" i="60" s="1"/>
  <c r="K43" i="60"/>
  <c r="O47" i="57" s="1"/>
  <c r="J43" i="60"/>
  <c r="N47" i="57" s="1"/>
  <c r="G42" i="60"/>
  <c r="H24" i="67"/>
  <c r="G24" i="67"/>
  <c r="D24" i="67"/>
  <c r="F24" i="67"/>
  <c r="H24" i="68"/>
  <c r="G24" i="68"/>
  <c r="D24" i="68"/>
  <c r="F24" i="68"/>
  <c r="D55" i="60" l="1"/>
  <c r="D48" i="60"/>
  <c r="G46" i="60"/>
  <c r="F49" i="60"/>
  <c r="F50" i="60" s="1"/>
  <c r="F51" i="60" s="1"/>
  <c r="F54" i="60" s="1"/>
  <c r="H42" i="60"/>
  <c r="D18" i="89"/>
  <c r="E18" i="89"/>
  <c r="F18" i="89"/>
  <c r="G18" i="89"/>
  <c r="I18" i="89"/>
  <c r="K18" i="89"/>
  <c r="L18" i="89"/>
  <c r="F55" i="60" l="1"/>
  <c r="G49" i="60"/>
  <c r="G50" i="60" s="1"/>
  <c r="G51" i="60" s="1"/>
  <c r="G54" i="60" s="1"/>
  <c r="F48" i="60"/>
  <c r="H46" i="60"/>
  <c r="L46" i="57"/>
  <c r="I42" i="60"/>
  <c r="I46" i="60" s="1"/>
  <c r="G55" i="60" l="1"/>
  <c r="H49" i="60"/>
  <c r="H50" i="60" s="1"/>
  <c r="H51" i="60" s="1"/>
  <c r="H54" i="60" s="1"/>
  <c r="I49" i="60"/>
  <c r="I50" i="60" s="1"/>
  <c r="I51" i="60" s="1"/>
  <c r="I54" i="60" s="1"/>
  <c r="G48" i="60"/>
  <c r="K42" i="60"/>
  <c r="K46" i="60" s="1"/>
  <c r="J42" i="60"/>
  <c r="J46" i="60" s="1"/>
  <c r="I55" i="60" l="1"/>
  <c r="H55" i="60"/>
  <c r="K49" i="60"/>
  <c r="K50" i="60" s="1"/>
  <c r="K51" i="60" s="1"/>
  <c r="K54" i="60" s="1"/>
  <c r="I48" i="60"/>
  <c r="H48" i="60"/>
  <c r="J49" i="60"/>
  <c r="J50" i="60" s="1"/>
  <c r="J51" i="60" s="1"/>
  <c r="J54" i="60" s="1"/>
  <c r="D37" i="3"/>
  <c r="J55" i="60" l="1"/>
  <c r="K55" i="60"/>
  <c r="K48" i="60"/>
  <c r="J48" i="60"/>
  <c r="E7" i="89"/>
  <c r="F7" i="89"/>
  <c r="G7" i="89"/>
  <c r="I7" i="89"/>
  <c r="J7" i="89"/>
  <c r="K7" i="89"/>
  <c r="L7" i="89"/>
  <c r="D7" i="89"/>
  <c r="Q60" i="76" l="1"/>
  <c r="P60" i="76"/>
  <c r="G27" i="89" l="1"/>
  <c r="J24" i="64"/>
  <c r="N24" i="64"/>
  <c r="L24" i="64"/>
  <c r="I24" i="64"/>
  <c r="H24" i="64"/>
  <c r="M24" i="64"/>
  <c r="J27" i="89"/>
  <c r="K27" i="89"/>
  <c r="L27" i="89"/>
  <c r="F27" i="89"/>
  <c r="E27" i="89"/>
  <c r="I27" i="89"/>
  <c r="K28" i="89" l="1"/>
  <c r="D28" i="89"/>
  <c r="E28" i="89"/>
  <c r="F28" i="89"/>
  <c r="J28" i="89"/>
  <c r="L28" i="89"/>
  <c r="I28" i="89"/>
  <c r="G28" i="89"/>
  <c r="H45" i="57" l="1"/>
  <c r="L45" i="57"/>
  <c r="O45" i="57"/>
  <c r="N45" i="57"/>
  <c r="M45" i="57"/>
  <c r="M46" i="57"/>
  <c r="O46" i="57"/>
  <c r="N46" i="57"/>
  <c r="K46" i="57"/>
  <c r="I46" i="57"/>
  <c r="J46" i="57"/>
  <c r="I45" i="57"/>
  <c r="J45" i="57"/>
  <c r="K45" i="57"/>
  <c r="J18" i="89"/>
  <c r="AN66" i="3"/>
  <c r="AO66" i="3"/>
  <c r="AP66" i="3"/>
  <c r="AQ66" i="3"/>
  <c r="AR66" i="3"/>
  <c r="AS66" i="3"/>
  <c r="AT66" i="3"/>
  <c r="AU66" i="3"/>
  <c r="AV66" i="3"/>
  <c r="AW66" i="3"/>
  <c r="AX66" i="3"/>
  <c r="AY66" i="3"/>
  <c r="AZ66" i="3"/>
  <c r="BA66" i="3"/>
  <c r="BB66" i="3"/>
  <c r="A28" i="76"/>
  <c r="A27" i="76"/>
  <c r="A26" i="76"/>
  <c r="A25" i="76"/>
  <c r="A21" i="76"/>
  <c r="A22" i="76"/>
  <c r="A23" i="76"/>
  <c r="A20" i="76"/>
  <c r="D34" i="88" l="1"/>
  <c r="AH53" i="76"/>
  <c r="AI53" i="76" s="1"/>
  <c r="AJ53" i="76" s="1"/>
  <c r="AK53" i="76" s="1"/>
  <c r="AL53" i="76" s="1"/>
  <c r="AM53" i="76" s="1"/>
  <c r="AN53" i="76" s="1"/>
  <c r="AO53" i="76" s="1"/>
  <c r="AP53" i="76" s="1"/>
  <c r="AQ53" i="76" s="1"/>
  <c r="AR53" i="76" s="1"/>
  <c r="AS53" i="76" s="1"/>
  <c r="AT53" i="76" s="1"/>
  <c r="AU53" i="76" s="1"/>
  <c r="AV53" i="76" s="1"/>
  <c r="AW53" i="76" s="1"/>
  <c r="AX53" i="76" s="1"/>
  <c r="AY53" i="76" s="1"/>
  <c r="AZ53" i="76" s="1"/>
  <c r="BA53" i="76" s="1"/>
  <c r="BB53" i="76" s="1"/>
  <c r="BC53" i="76" s="1"/>
  <c r="BD53" i="76" s="1"/>
  <c r="BE53" i="76" s="1"/>
  <c r="BF53" i="76" s="1"/>
  <c r="BG53" i="76" s="1"/>
  <c r="BH53" i="76" s="1"/>
  <c r="BI53" i="76" s="1"/>
  <c r="BJ53" i="76" s="1"/>
  <c r="BK53" i="76" s="1"/>
  <c r="BL53" i="76" s="1"/>
  <c r="BM53" i="76" s="1"/>
  <c r="BN53" i="76" s="1"/>
  <c r="BO53" i="76" s="1"/>
  <c r="BP53" i="76" s="1"/>
  <c r="P57" i="76"/>
  <c r="P56" i="76"/>
  <c r="AH41" i="76"/>
  <c r="AI41" i="76" s="1"/>
  <c r="AJ41" i="76" l="1"/>
  <c r="AK41" i="76" s="1"/>
  <c r="AL41" i="76" s="1"/>
  <c r="AM41" i="76" s="1"/>
  <c r="AN41" i="76" s="1"/>
  <c r="AO41" i="76" s="1"/>
  <c r="AP41" i="76" s="1"/>
  <c r="AQ41" i="76" s="1"/>
  <c r="AR41" i="76" s="1"/>
  <c r="AS41" i="76" s="1"/>
  <c r="AT41" i="76" s="1"/>
  <c r="AU41" i="76" s="1"/>
  <c r="AV41" i="76" s="1"/>
  <c r="AW41" i="76" s="1"/>
  <c r="AX41" i="76" s="1"/>
  <c r="AY41" i="76" s="1"/>
  <c r="AZ41" i="76" s="1"/>
  <c r="BA41" i="76" s="1"/>
  <c r="BB41" i="76" s="1"/>
  <c r="BC41" i="76" s="1"/>
  <c r="BD41" i="76" s="1"/>
  <c r="BE41" i="76" s="1"/>
  <c r="BF41" i="76" s="1"/>
  <c r="BG41" i="76" s="1"/>
  <c r="BH41" i="76" s="1"/>
  <c r="BI41" i="76" s="1"/>
  <c r="BJ41" i="76" s="1"/>
  <c r="BK41" i="76" s="1"/>
  <c r="BL41" i="76" s="1"/>
  <c r="BM41" i="76" s="1"/>
  <c r="BN41" i="76" s="1"/>
  <c r="BO41" i="76" s="1"/>
  <c r="BP41" i="76" s="1"/>
  <c r="Q57" i="76"/>
  <c r="Q56" i="76"/>
  <c r="D27" i="68" l="1" a="1"/>
  <c r="E27" i="68" s="1"/>
  <c r="D14" i="68" a="1"/>
  <c r="E14" i="68" s="1"/>
  <c r="D13" i="68" a="1"/>
  <c r="E13" i="68" s="1"/>
  <c r="F14" i="68" l="1"/>
  <c r="G13" i="68"/>
  <c r="F27" i="68"/>
  <c r="H27" i="68"/>
  <c r="H13" i="68"/>
  <c r="H14" i="68"/>
  <c r="D13" i="68"/>
  <c r="D14" i="68"/>
  <c r="F13" i="68"/>
  <c r="G14" i="68"/>
  <c r="G27" i="68"/>
  <c r="D27" i="68"/>
  <c r="D27" i="67" l="1" a="1"/>
  <c r="E27" i="67" s="1"/>
  <c r="D13" i="67" a="1"/>
  <c r="G13" i="67" s="1"/>
  <c r="D14" i="67" a="1"/>
  <c r="E14" i="67" s="1"/>
  <c r="D27" i="67" l="1"/>
  <c r="D14" i="67"/>
  <c r="H14" i="67"/>
  <c r="H27" i="67"/>
  <c r="G14" i="67"/>
  <c r="G27" i="67"/>
  <c r="F27" i="67"/>
  <c r="F13" i="67"/>
  <c r="E13" i="67"/>
  <c r="H13" i="67"/>
  <c r="D13" i="67"/>
  <c r="F14" i="67"/>
  <c r="D20" i="67" l="1"/>
  <c r="D36" i="3"/>
  <c r="A15" i="65" l="1"/>
  <c r="A16" i="65"/>
  <c r="A17" i="65"/>
  <c r="A18" i="65"/>
  <c r="A19" i="65"/>
  <c r="A20" i="65"/>
  <c r="A21" i="65"/>
  <c r="A22" i="65"/>
  <c r="A23" i="65"/>
  <c r="A24" i="65"/>
  <c r="A25" i="65"/>
  <c r="A26" i="65"/>
  <c r="A27" i="65"/>
  <c r="A28" i="65"/>
  <c r="A29" i="65"/>
  <c r="A30" i="65"/>
  <c r="A31" i="65"/>
  <c r="A32" i="65"/>
  <c r="A33" i="65"/>
  <c r="A34" i="65"/>
  <c r="A35" i="65"/>
  <c r="A36" i="65"/>
  <c r="A37" i="65"/>
  <c r="A38" i="65"/>
  <c r="A39" i="65"/>
  <c r="A40" i="65"/>
  <c r="A41" i="65"/>
  <c r="A42" i="65"/>
  <c r="A43" i="65"/>
  <c r="A44" i="65"/>
  <c r="A45" i="65"/>
  <c r="A46" i="65"/>
  <c r="A47" i="65"/>
  <c r="A48" i="65"/>
  <c r="A49" i="65"/>
  <c r="A50" i="65"/>
  <c r="A51" i="65"/>
  <c r="A52" i="65"/>
  <c r="A53" i="65"/>
  <c r="A54" i="65"/>
  <c r="A55" i="65"/>
  <c r="A56" i="65"/>
  <c r="A57" i="65"/>
  <c r="A58" i="65"/>
  <c r="A59" i="65"/>
  <c r="A60" i="65"/>
  <c r="A61" i="65"/>
  <c r="A62" i="65"/>
  <c r="A63" i="65"/>
  <c r="A64" i="65"/>
  <c r="A65" i="65"/>
  <c r="A66" i="65"/>
  <c r="A67" i="65"/>
  <c r="A68" i="65"/>
  <c r="A69" i="65"/>
  <c r="A70" i="65"/>
  <c r="A71" i="65"/>
  <c r="A72" i="65"/>
  <c r="A73" i="65"/>
  <c r="A74" i="65"/>
  <c r="A75" i="65"/>
  <c r="A76" i="65"/>
  <c r="A77" i="65"/>
  <c r="A78" i="65"/>
  <c r="A79" i="65"/>
  <c r="A80" i="65"/>
  <c r="A81" i="65"/>
  <c r="A82" i="65"/>
  <c r="A83" i="65"/>
  <c r="A84" i="65"/>
  <c r="A85" i="65"/>
  <c r="A86" i="65"/>
  <c r="A87" i="65"/>
  <c r="A14" i="65"/>
  <c r="H19" i="57" l="1"/>
  <c r="F31" i="57"/>
  <c r="F30" i="57"/>
  <c r="F28" i="57"/>
  <c r="F21" i="57"/>
  <c r="F27" i="57"/>
  <c r="F20" i="57"/>
  <c r="F16" i="65" l="1"/>
  <c r="H16" i="65" s="1"/>
  <c r="F82" i="65"/>
  <c r="F55" i="65"/>
  <c r="F73" i="65"/>
  <c r="F64" i="65"/>
  <c r="F83" i="65"/>
  <c r="F74" i="65"/>
  <c r="F56" i="65"/>
  <c r="F65" i="65"/>
  <c r="F84" i="65"/>
  <c r="F66" i="65"/>
  <c r="F57" i="65"/>
  <c r="F75" i="65"/>
  <c r="F24" i="65"/>
  <c r="J24" i="65" s="1"/>
  <c r="F54" i="65"/>
  <c r="F81" i="65"/>
  <c r="F63" i="65"/>
  <c r="F72" i="65"/>
  <c r="F85" i="65"/>
  <c r="F76" i="65"/>
  <c r="F67" i="65"/>
  <c r="F58" i="65"/>
  <c r="F86" i="65"/>
  <c r="F77" i="65"/>
  <c r="F68" i="65"/>
  <c r="F59" i="65"/>
  <c r="F19" i="65"/>
  <c r="J16" i="65"/>
  <c r="S16" i="65"/>
  <c r="F15" i="65"/>
  <c r="F35" i="65"/>
  <c r="F44" i="65"/>
  <c r="F17" i="65"/>
  <c r="F26" i="65"/>
  <c r="F48" i="65"/>
  <c r="F39" i="65"/>
  <c r="F30" i="65"/>
  <c r="F21" i="65"/>
  <c r="F41" i="65"/>
  <c r="F32" i="65"/>
  <c r="F23" i="65"/>
  <c r="F45" i="65"/>
  <c r="F36" i="65"/>
  <c r="F27" i="65"/>
  <c r="F18" i="65"/>
  <c r="F34" i="65"/>
  <c r="F43" i="65"/>
  <c r="F25" i="65"/>
  <c r="F47" i="65"/>
  <c r="F38" i="65"/>
  <c r="F29" i="65"/>
  <c r="F20" i="65"/>
  <c r="F42" i="65"/>
  <c r="F33" i="65"/>
  <c r="F46" i="65"/>
  <c r="F37" i="65"/>
  <c r="F28" i="65"/>
  <c r="M16" i="65" l="1"/>
  <c r="V16" i="65"/>
  <c r="X16" i="65"/>
  <c r="W16" i="65"/>
  <c r="Y16" i="65"/>
  <c r="I16" i="65"/>
  <c r="K16" i="65"/>
  <c r="Q16" i="65"/>
  <c r="N16" i="65"/>
  <c r="L16" i="65"/>
  <c r="G16" i="65"/>
  <c r="Z16" i="65"/>
  <c r="P16" i="65"/>
  <c r="T16" i="65"/>
  <c r="R16" i="65"/>
  <c r="O16" i="65"/>
  <c r="U16" i="65"/>
  <c r="I24" i="65"/>
  <c r="Y24" i="65"/>
  <c r="K24" i="65"/>
  <c r="W24" i="65"/>
  <c r="Q24" i="65"/>
  <c r="N24" i="65"/>
  <c r="V24" i="65"/>
  <c r="X24" i="65"/>
  <c r="L24" i="65"/>
  <c r="P24" i="65"/>
  <c r="O24" i="65"/>
  <c r="T24" i="65"/>
  <c r="G24" i="65"/>
  <c r="Z24" i="65"/>
  <c r="U24" i="65"/>
  <c r="R24" i="65"/>
  <c r="S24" i="65"/>
  <c r="H24" i="65"/>
  <c r="M24" i="65"/>
  <c r="BP30" i="76"/>
  <c r="Y30" i="76"/>
  <c r="V30" i="76"/>
  <c r="AF30" i="76"/>
  <c r="BA30" i="76"/>
  <c r="AR30" i="76"/>
  <c r="BE30" i="76"/>
  <c r="AZ30" i="76"/>
  <c r="AS30" i="76"/>
  <c r="AO30" i="76"/>
  <c r="AM30" i="76"/>
  <c r="AJ30" i="76"/>
  <c r="BH30" i="76"/>
  <c r="BO30" i="76"/>
  <c r="AW30" i="76"/>
  <c r="BG30" i="76"/>
  <c r="AV30" i="76"/>
  <c r="BI30" i="76"/>
  <c r="AY30" i="76"/>
  <c r="BL30" i="76"/>
  <c r="W30" i="76"/>
  <c r="BJ30" i="76"/>
  <c r="BN30" i="76"/>
  <c r="BF30" i="76"/>
  <c r="AG30" i="76"/>
  <c r="BK30" i="76"/>
  <c r="AT30" i="76"/>
  <c r="AI30" i="76"/>
  <c r="BB30" i="76"/>
  <c r="AN30" i="76"/>
  <c r="AX30" i="76"/>
  <c r="AQ30" i="76"/>
  <c r="AU30" i="76"/>
  <c r="Z30" i="76"/>
  <c r="BD30" i="76"/>
  <c r="X30" i="76"/>
  <c r="T30" i="76"/>
  <c r="AA30" i="76"/>
  <c r="BC30" i="76"/>
  <c r="AL30" i="76"/>
  <c r="AP30" i="76"/>
  <c r="BM30" i="76"/>
  <c r="AC30" i="76"/>
  <c r="AD30" i="76"/>
  <c r="AB30" i="76"/>
  <c r="S30" i="76"/>
  <c r="G28" i="142" s="1"/>
  <c r="C16" i="167" s="1"/>
  <c r="AK30" i="76"/>
  <c r="AH30" i="76"/>
  <c r="AE30" i="76"/>
  <c r="U30" i="76"/>
  <c r="AU33" i="76"/>
  <c r="AB33" i="76"/>
  <c r="BE33" i="76"/>
  <c r="V33" i="76"/>
  <c r="BJ33" i="76"/>
  <c r="BL33" i="76"/>
  <c r="AQ33" i="76"/>
  <c r="U33" i="76"/>
  <c r="AE33" i="76"/>
  <c r="AD33" i="76"/>
  <c r="AJ33" i="76"/>
  <c r="AY33" i="76"/>
  <c r="AR33" i="76"/>
  <c r="AZ33" i="76"/>
  <c r="BH33" i="76"/>
  <c r="T33" i="76"/>
  <c r="BK33" i="76"/>
  <c r="AW33" i="76"/>
  <c r="BB33" i="76"/>
  <c r="AP33" i="76"/>
  <c r="AI33" i="76"/>
  <c r="BG33" i="76"/>
  <c r="W33" i="76"/>
  <c r="BP33" i="76"/>
  <c r="AX33" i="76"/>
  <c r="AF33" i="76"/>
  <c r="BC33" i="76"/>
  <c r="BO33" i="76"/>
  <c r="AN33" i="76"/>
  <c r="AT33" i="76"/>
  <c r="Y33" i="76"/>
  <c r="X33" i="76"/>
  <c r="AO33" i="76"/>
  <c r="AH33" i="76"/>
  <c r="AK33" i="76"/>
  <c r="AV33" i="76"/>
  <c r="AC33" i="76"/>
  <c r="BA33" i="76"/>
  <c r="AG33" i="76"/>
  <c r="S33" i="76"/>
  <c r="J28" i="142" s="1"/>
  <c r="F16" i="167" s="1"/>
  <c r="AS33" i="76"/>
  <c r="AM33" i="76"/>
  <c r="BD33" i="76"/>
  <c r="BI33" i="76"/>
  <c r="Z33" i="76"/>
  <c r="AL33" i="76"/>
  <c r="AA33" i="76"/>
  <c r="BF33" i="76"/>
  <c r="BM33" i="76"/>
  <c r="BN33" i="76"/>
  <c r="AK85" i="65"/>
  <c r="AC85" i="65"/>
  <c r="G85" i="65"/>
  <c r="M85" i="65"/>
  <c r="U85" i="65"/>
  <c r="K85" i="65"/>
  <c r="T85" i="65"/>
  <c r="AJ85" i="65"/>
  <c r="AG85" i="65"/>
  <c r="V85" i="65"/>
  <c r="AM85" i="65"/>
  <c r="Z85" i="65"/>
  <c r="P85" i="65"/>
  <c r="AD85" i="65"/>
  <c r="O85" i="65"/>
  <c r="AB85" i="65"/>
  <c r="AH85" i="65"/>
  <c r="X85" i="65"/>
  <c r="AO85" i="65"/>
  <c r="J85" i="65"/>
  <c r="AP85" i="65"/>
  <c r="R85" i="65"/>
  <c r="I85" i="65"/>
  <c r="AF85" i="65"/>
  <c r="Q85" i="65"/>
  <c r="AL85" i="65"/>
  <c r="W85" i="65"/>
  <c r="H85" i="65"/>
  <c r="AN85" i="65"/>
  <c r="Y85" i="65"/>
  <c r="N85" i="65"/>
  <c r="AE85" i="65"/>
  <c r="AI85" i="65"/>
  <c r="S85" i="65"/>
  <c r="AA85" i="65"/>
  <c r="L85" i="65"/>
  <c r="J29" i="65"/>
  <c r="H29" i="65"/>
  <c r="N29" i="65"/>
  <c r="R29" i="65"/>
  <c r="V29" i="65"/>
  <c r="Z29" i="65"/>
  <c r="X29" i="65"/>
  <c r="O29" i="65"/>
  <c r="Q29" i="65"/>
  <c r="S29" i="65"/>
  <c r="I29" i="65"/>
  <c r="W29" i="65"/>
  <c r="P29" i="65"/>
  <c r="Y29" i="65"/>
  <c r="K29" i="65"/>
  <c r="L29" i="65"/>
  <c r="T29" i="65"/>
  <c r="M29" i="65"/>
  <c r="U29" i="65"/>
  <c r="G29" i="65"/>
  <c r="K38" i="65"/>
  <c r="L38" i="65"/>
  <c r="T38" i="65"/>
  <c r="S38" i="65"/>
  <c r="M38" i="65"/>
  <c r="J38" i="65"/>
  <c r="H38" i="65"/>
  <c r="N38" i="65"/>
  <c r="R38" i="65"/>
  <c r="P38" i="65"/>
  <c r="V38" i="65"/>
  <c r="Z38" i="65"/>
  <c r="Y38" i="65"/>
  <c r="X38" i="65"/>
  <c r="G38" i="65"/>
  <c r="W38" i="65"/>
  <c r="I38" i="65"/>
  <c r="O38" i="65"/>
  <c r="U38" i="65"/>
  <c r="Q38" i="65"/>
  <c r="U77" i="65"/>
  <c r="AG77" i="65"/>
  <c r="V77" i="65"/>
  <c r="AM77" i="65"/>
  <c r="Z77" i="65"/>
  <c r="P77" i="65"/>
  <c r="AD77" i="65"/>
  <c r="O77" i="65"/>
  <c r="AH77" i="65"/>
  <c r="X77" i="65"/>
  <c r="AO77" i="65"/>
  <c r="J77" i="65"/>
  <c r="AP77" i="65"/>
  <c r="R77" i="65"/>
  <c r="I77" i="65"/>
  <c r="AF77" i="65"/>
  <c r="Q77" i="65"/>
  <c r="AL77" i="65"/>
  <c r="W77" i="65"/>
  <c r="H77" i="65"/>
  <c r="AN77" i="65"/>
  <c r="Y77" i="65"/>
  <c r="N77" i="65"/>
  <c r="AE77" i="65"/>
  <c r="G77" i="65"/>
  <c r="K77" i="65"/>
  <c r="AI77" i="65"/>
  <c r="AA77" i="65"/>
  <c r="T77" i="65"/>
  <c r="L77" i="65"/>
  <c r="S77" i="65"/>
  <c r="AK77" i="65"/>
  <c r="AC77" i="65"/>
  <c r="AB77" i="65"/>
  <c r="AJ77" i="65"/>
  <c r="M77" i="65"/>
  <c r="L37" i="65"/>
  <c r="T37" i="65"/>
  <c r="K37" i="65"/>
  <c r="U37" i="65"/>
  <c r="M37" i="65"/>
  <c r="J37" i="65"/>
  <c r="H37" i="65"/>
  <c r="N37" i="65"/>
  <c r="R37" i="65"/>
  <c r="P37" i="65"/>
  <c r="V37" i="65"/>
  <c r="Z37" i="65"/>
  <c r="Y37" i="65"/>
  <c r="X37" i="65"/>
  <c r="O37" i="65"/>
  <c r="Q37" i="65"/>
  <c r="I37" i="65"/>
  <c r="W37" i="65"/>
  <c r="G37" i="65"/>
  <c r="S37" i="65"/>
  <c r="J47" i="65"/>
  <c r="H47" i="65"/>
  <c r="N47" i="65"/>
  <c r="R47" i="65"/>
  <c r="V47" i="65"/>
  <c r="Z47" i="65"/>
  <c r="X47" i="65"/>
  <c r="O47" i="65"/>
  <c r="Q47" i="65"/>
  <c r="S47" i="65"/>
  <c r="I47" i="65"/>
  <c r="W47" i="65"/>
  <c r="P47" i="65"/>
  <c r="Y47" i="65"/>
  <c r="G47" i="65"/>
  <c r="T47" i="65"/>
  <c r="K47" i="65"/>
  <c r="M47" i="65"/>
  <c r="U47" i="65"/>
  <c r="L47" i="65"/>
  <c r="P20" i="65"/>
  <c r="Y20" i="65"/>
  <c r="J20" i="65"/>
  <c r="H20" i="65"/>
  <c r="N20" i="65"/>
  <c r="R20" i="65"/>
  <c r="V20" i="65"/>
  <c r="Z20" i="65"/>
  <c r="X20" i="65"/>
  <c r="O20" i="65"/>
  <c r="Q20" i="65"/>
  <c r="S20" i="65"/>
  <c r="I20" i="65"/>
  <c r="W20" i="65"/>
  <c r="K20" i="65"/>
  <c r="G20" i="65"/>
  <c r="U20" i="65"/>
  <c r="L20" i="65"/>
  <c r="T20" i="65"/>
  <c r="M20" i="65"/>
  <c r="M46" i="65"/>
  <c r="U46" i="65"/>
  <c r="G46" i="65"/>
  <c r="S46" i="65"/>
  <c r="K46" i="65"/>
  <c r="J46" i="65"/>
  <c r="H46" i="65"/>
  <c r="N46" i="65"/>
  <c r="R46" i="65"/>
  <c r="P46" i="65"/>
  <c r="V46" i="65"/>
  <c r="T46" i="65"/>
  <c r="Z46" i="65"/>
  <c r="Y46" i="65"/>
  <c r="X46" i="65"/>
  <c r="O46" i="65"/>
  <c r="Q46" i="65"/>
  <c r="I46" i="65"/>
  <c r="W46" i="65"/>
  <c r="L46" i="65"/>
  <c r="K59" i="65"/>
  <c r="AA59" i="65"/>
  <c r="T59" i="65"/>
  <c r="AB59" i="65"/>
  <c r="S59" i="65"/>
  <c r="AJ59" i="65"/>
  <c r="L59" i="65"/>
  <c r="AK59" i="65"/>
  <c r="AC59" i="65"/>
  <c r="M59" i="65"/>
  <c r="U59" i="65"/>
  <c r="AG59" i="65"/>
  <c r="V59" i="65"/>
  <c r="AM59" i="65"/>
  <c r="Z59" i="65"/>
  <c r="P59" i="65"/>
  <c r="AD59" i="65"/>
  <c r="O59" i="65"/>
  <c r="G59" i="65"/>
  <c r="AH59" i="65"/>
  <c r="AI59" i="65"/>
  <c r="X59" i="65"/>
  <c r="AO59" i="65"/>
  <c r="AP59" i="65"/>
  <c r="Q59" i="65"/>
  <c r="AN59" i="65"/>
  <c r="AE59" i="65"/>
  <c r="R59" i="65"/>
  <c r="AL59" i="65"/>
  <c r="Y59" i="65"/>
  <c r="W59" i="65"/>
  <c r="I59" i="65"/>
  <c r="H59" i="65"/>
  <c r="N59" i="65"/>
  <c r="J59" i="65"/>
  <c r="AF59" i="65"/>
  <c r="S68" i="65"/>
  <c r="T68" i="65"/>
  <c r="G68" i="65"/>
  <c r="AG68" i="65"/>
  <c r="V68" i="65"/>
  <c r="AM68" i="65"/>
  <c r="Z68" i="65"/>
  <c r="P68" i="65"/>
  <c r="AD68" i="65"/>
  <c r="O68" i="65"/>
  <c r="AH68" i="65"/>
  <c r="X68" i="65"/>
  <c r="AO68" i="65"/>
  <c r="J68" i="65"/>
  <c r="AP68" i="65"/>
  <c r="R68" i="65"/>
  <c r="I68" i="65"/>
  <c r="AF68" i="65"/>
  <c r="Q68" i="65"/>
  <c r="AL68" i="65"/>
  <c r="W68" i="65"/>
  <c r="H68" i="65"/>
  <c r="AN68" i="65"/>
  <c r="Y68" i="65"/>
  <c r="N68" i="65"/>
  <c r="AE68" i="65"/>
  <c r="AK68" i="65"/>
  <c r="AC68" i="65"/>
  <c r="K68" i="65"/>
  <c r="AI68" i="65"/>
  <c r="AA68" i="65"/>
  <c r="M68" i="65"/>
  <c r="L68" i="65"/>
  <c r="AB68" i="65"/>
  <c r="AJ68" i="65"/>
  <c r="U68" i="65"/>
  <c r="AB76" i="65"/>
  <c r="X76" i="65"/>
  <c r="J76" i="65"/>
  <c r="AF76" i="65"/>
  <c r="Y76" i="65"/>
  <c r="AK76" i="65"/>
  <c r="AC76" i="65"/>
  <c r="G76" i="65"/>
  <c r="M76" i="65"/>
  <c r="U76" i="65"/>
  <c r="AM76" i="65"/>
  <c r="AD76" i="65"/>
  <c r="AH76" i="65"/>
  <c r="I76" i="65"/>
  <c r="W76" i="65"/>
  <c r="L76" i="65"/>
  <c r="AG76" i="65"/>
  <c r="V76" i="65"/>
  <c r="Z76" i="65"/>
  <c r="O76" i="65"/>
  <c r="AO76" i="65"/>
  <c r="AP76" i="65"/>
  <c r="R76" i="65"/>
  <c r="Q76" i="65"/>
  <c r="AN76" i="65"/>
  <c r="AE76" i="65"/>
  <c r="AI76" i="65"/>
  <c r="AJ76" i="65"/>
  <c r="P76" i="65"/>
  <c r="AL76" i="65"/>
  <c r="H76" i="65"/>
  <c r="N76" i="65"/>
  <c r="K76" i="65"/>
  <c r="T76" i="65"/>
  <c r="S76" i="65"/>
  <c r="AA76" i="65"/>
  <c r="O28" i="65"/>
  <c r="W28" i="65"/>
  <c r="S28" i="65"/>
  <c r="M28" i="65"/>
  <c r="U28" i="65"/>
  <c r="G28" i="65"/>
  <c r="H28" i="65"/>
  <c r="Y28" i="65"/>
  <c r="X28" i="65"/>
  <c r="Q28" i="65"/>
  <c r="T28" i="65"/>
  <c r="P28" i="65"/>
  <c r="L28" i="65"/>
  <c r="J28" i="65"/>
  <c r="N28" i="65"/>
  <c r="R28" i="65"/>
  <c r="V28" i="65"/>
  <c r="Z28" i="65"/>
  <c r="I28" i="65"/>
  <c r="K28" i="65"/>
  <c r="T58" i="65"/>
  <c r="AB58" i="65"/>
  <c r="S58" i="65"/>
  <c r="AI58" i="65"/>
  <c r="AJ58" i="65"/>
  <c r="L58" i="65"/>
  <c r="AK58" i="65"/>
  <c r="AC58" i="65"/>
  <c r="M58" i="65"/>
  <c r="U58" i="65"/>
  <c r="AA58" i="65"/>
  <c r="AG58" i="65"/>
  <c r="V58" i="65"/>
  <c r="AM58" i="65"/>
  <c r="Z58" i="65"/>
  <c r="P58" i="65"/>
  <c r="AD58" i="65"/>
  <c r="O58" i="65"/>
  <c r="G58" i="65"/>
  <c r="AH58" i="65"/>
  <c r="X58" i="65"/>
  <c r="AO58" i="65"/>
  <c r="J58" i="65"/>
  <c r="AP58" i="65"/>
  <c r="R58" i="65"/>
  <c r="I58" i="65"/>
  <c r="AF58" i="65"/>
  <c r="Q58" i="65"/>
  <c r="AL58" i="65"/>
  <c r="W58" i="65"/>
  <c r="H58" i="65"/>
  <c r="AN58" i="65"/>
  <c r="Y58" i="65"/>
  <c r="N58" i="65"/>
  <c r="AE58" i="65"/>
  <c r="K58" i="65"/>
  <c r="AG67" i="65"/>
  <c r="AH67" i="65"/>
  <c r="I67" i="65"/>
  <c r="V67" i="65"/>
  <c r="Z67" i="65"/>
  <c r="P67" i="65"/>
  <c r="AO67" i="65"/>
  <c r="AP67" i="65"/>
  <c r="R67" i="65"/>
  <c r="Q67" i="65"/>
  <c r="AK67" i="65"/>
  <c r="AC67" i="65"/>
  <c r="G67" i="65"/>
  <c r="AB67" i="65"/>
  <c r="M67" i="65"/>
  <c r="U67" i="65"/>
  <c r="AJ67" i="65"/>
  <c r="AM67" i="65"/>
  <c r="O67" i="65"/>
  <c r="J67" i="65"/>
  <c r="AF67" i="65"/>
  <c r="L67" i="65"/>
  <c r="AD67" i="65"/>
  <c r="X67" i="65"/>
  <c r="K67" i="65"/>
  <c r="AI67" i="65"/>
  <c r="T67" i="65"/>
  <c r="S67" i="65"/>
  <c r="H67" i="65"/>
  <c r="AA67" i="65"/>
  <c r="AL67" i="65"/>
  <c r="Y67" i="65"/>
  <c r="N67" i="65"/>
  <c r="W67" i="65"/>
  <c r="AN67" i="65"/>
  <c r="AE67" i="65"/>
  <c r="AG86" i="65"/>
  <c r="V86" i="65"/>
  <c r="AM86" i="65"/>
  <c r="Z86" i="65"/>
  <c r="P86" i="65"/>
  <c r="AD86" i="65"/>
  <c r="O86" i="65"/>
  <c r="AH86" i="65"/>
  <c r="X86" i="65"/>
  <c r="AO86" i="65"/>
  <c r="J86" i="65"/>
  <c r="AP86" i="65"/>
  <c r="R86" i="65"/>
  <c r="I86" i="65"/>
  <c r="AF86" i="65"/>
  <c r="Q86" i="65"/>
  <c r="AL86" i="65"/>
  <c r="W86" i="65"/>
  <c r="H86" i="65"/>
  <c r="AN86" i="65"/>
  <c r="Y86" i="65"/>
  <c r="N86" i="65"/>
  <c r="AE86" i="65"/>
  <c r="L86" i="65"/>
  <c r="K86" i="65"/>
  <c r="AI86" i="65"/>
  <c r="AA86" i="65"/>
  <c r="AJ86" i="65"/>
  <c r="S86" i="65"/>
  <c r="M86" i="65"/>
  <c r="T86" i="65"/>
  <c r="G86" i="65"/>
  <c r="AB86" i="65"/>
  <c r="U86" i="65"/>
  <c r="AK86" i="65"/>
  <c r="AC86" i="65"/>
  <c r="R19" i="65"/>
  <c r="P19" i="65"/>
  <c r="Y19" i="65"/>
  <c r="X19" i="65"/>
  <c r="V19" i="65"/>
  <c r="L19" i="65"/>
  <c r="M19" i="65"/>
  <c r="U19" i="65"/>
  <c r="G19" i="65"/>
  <c r="H19" i="65"/>
  <c r="Z19" i="65"/>
  <c r="T19" i="65"/>
  <c r="J19" i="65"/>
  <c r="N19" i="65"/>
  <c r="O19" i="65"/>
  <c r="Q19" i="65"/>
  <c r="I19" i="65"/>
  <c r="S19" i="65"/>
  <c r="K19" i="65"/>
  <c r="W19" i="65"/>
  <c r="Q45" i="65"/>
  <c r="W45" i="65"/>
  <c r="Y45" i="65"/>
  <c r="X45" i="65"/>
  <c r="H45" i="65"/>
  <c r="P45" i="65"/>
  <c r="K45" i="65"/>
  <c r="M45" i="65"/>
  <c r="S45" i="65"/>
  <c r="U45" i="65"/>
  <c r="N45" i="65"/>
  <c r="V45" i="65"/>
  <c r="T45" i="65"/>
  <c r="Z45" i="65"/>
  <c r="O45" i="65"/>
  <c r="J45" i="65"/>
  <c r="R45" i="65"/>
  <c r="G45" i="65"/>
  <c r="I45" i="65"/>
  <c r="L45" i="65"/>
  <c r="AP54" i="65"/>
  <c r="AH54" i="65"/>
  <c r="Z54" i="65"/>
  <c r="R54" i="65"/>
  <c r="J54" i="65"/>
  <c r="AO54" i="65"/>
  <c r="AG54" i="65"/>
  <c r="Y54" i="65"/>
  <c r="Q54" i="65"/>
  <c r="I54" i="65"/>
  <c r="AN54" i="65"/>
  <c r="AF54" i="65"/>
  <c r="X54" i="65"/>
  <c r="P54" i="65"/>
  <c r="H54" i="65"/>
  <c r="AM54" i="65"/>
  <c r="AE54" i="65"/>
  <c r="W54" i="65"/>
  <c r="O54" i="65"/>
  <c r="G54" i="65"/>
  <c r="AL54" i="65"/>
  <c r="AD54" i="65"/>
  <c r="V54" i="65"/>
  <c r="N54" i="65"/>
  <c r="AK54" i="65"/>
  <c r="AC54" i="65"/>
  <c r="U54" i="65"/>
  <c r="M54" i="65"/>
  <c r="AJ54" i="65"/>
  <c r="AB54" i="65"/>
  <c r="T54" i="65"/>
  <c r="L54" i="65"/>
  <c r="AI54" i="65"/>
  <c r="AA54" i="65"/>
  <c r="S54" i="65"/>
  <c r="K54" i="65"/>
  <c r="AN73" i="65"/>
  <c r="AF73" i="65"/>
  <c r="X73" i="65"/>
  <c r="P73" i="65"/>
  <c r="H73" i="65"/>
  <c r="AM73" i="65"/>
  <c r="AE73" i="65"/>
  <c r="W73" i="65"/>
  <c r="O73" i="65"/>
  <c r="G73" i="65"/>
  <c r="AL73" i="65"/>
  <c r="AD73" i="65"/>
  <c r="V73" i="65"/>
  <c r="N73" i="65"/>
  <c r="AK73" i="65"/>
  <c r="AC73" i="65"/>
  <c r="U73" i="65"/>
  <c r="M73" i="65"/>
  <c r="AJ73" i="65"/>
  <c r="AB73" i="65"/>
  <c r="T73" i="65"/>
  <c r="L73" i="65"/>
  <c r="AI73" i="65"/>
  <c r="AA73" i="65"/>
  <c r="S73" i="65"/>
  <c r="K73" i="65"/>
  <c r="AP73" i="65"/>
  <c r="AH73" i="65"/>
  <c r="Z73" i="65"/>
  <c r="R73" i="65"/>
  <c r="J73" i="65"/>
  <c r="AO73" i="65"/>
  <c r="AG73" i="65"/>
  <c r="Y73" i="65"/>
  <c r="Q73" i="65"/>
  <c r="I73" i="65"/>
  <c r="AJ66" i="65"/>
  <c r="AB66" i="65"/>
  <c r="T66" i="65"/>
  <c r="AK66" i="65"/>
  <c r="AA66" i="65"/>
  <c r="R66" i="65"/>
  <c r="J66" i="65"/>
  <c r="AI66" i="65"/>
  <c r="Z66" i="65"/>
  <c r="Q66" i="65"/>
  <c r="I66" i="65"/>
  <c r="AH66" i="65"/>
  <c r="Y66" i="65"/>
  <c r="P66" i="65"/>
  <c r="H66" i="65"/>
  <c r="AP66" i="65"/>
  <c r="AG66" i="65"/>
  <c r="X66" i="65"/>
  <c r="O66" i="65"/>
  <c r="G66" i="65"/>
  <c r="AO66" i="65"/>
  <c r="AF66" i="65"/>
  <c r="W66" i="65"/>
  <c r="N66" i="65"/>
  <c r="AN66" i="65"/>
  <c r="AE66" i="65"/>
  <c r="V66" i="65"/>
  <c r="M66" i="65"/>
  <c r="AM66" i="65"/>
  <c r="AD66" i="65"/>
  <c r="U66" i="65"/>
  <c r="L66" i="65"/>
  <c r="AL66" i="65"/>
  <c r="AC66" i="65"/>
  <c r="S66" i="65"/>
  <c r="K66" i="65"/>
  <c r="N53" i="65"/>
  <c r="V53" i="65"/>
  <c r="AD53" i="65"/>
  <c r="AL53" i="65"/>
  <c r="O53" i="65"/>
  <c r="W53" i="65"/>
  <c r="AE53" i="65"/>
  <c r="AM53" i="65"/>
  <c r="H53" i="65"/>
  <c r="P53" i="65"/>
  <c r="X53" i="65"/>
  <c r="AF53" i="65"/>
  <c r="AN53" i="65"/>
  <c r="I53" i="65"/>
  <c r="Q53" i="65"/>
  <c r="Y53" i="65"/>
  <c r="AG53" i="65"/>
  <c r="AO53" i="65"/>
  <c r="G53" i="65"/>
  <c r="J53" i="65"/>
  <c r="R53" i="65"/>
  <c r="Z53" i="65"/>
  <c r="AH53" i="65"/>
  <c r="AP53" i="65"/>
  <c r="K53" i="65"/>
  <c r="S53" i="65"/>
  <c r="AA53" i="65"/>
  <c r="AI53" i="65"/>
  <c r="L53" i="65"/>
  <c r="T53" i="65"/>
  <c r="AB53" i="65"/>
  <c r="AJ53" i="65"/>
  <c r="M53" i="65"/>
  <c r="U53" i="65"/>
  <c r="AC53" i="65"/>
  <c r="AK53" i="65"/>
  <c r="AN78" i="65"/>
  <c r="AF78" i="65"/>
  <c r="X78" i="65"/>
  <c r="P78" i="65"/>
  <c r="H78" i="65"/>
  <c r="AM78" i="65"/>
  <c r="AE78" i="65"/>
  <c r="W78" i="65"/>
  <c r="O78" i="65"/>
  <c r="G78" i="65"/>
  <c r="AL78" i="65"/>
  <c r="AD78" i="65"/>
  <c r="V78" i="65"/>
  <c r="N78" i="65"/>
  <c r="AK78" i="65"/>
  <c r="AC78" i="65"/>
  <c r="U78" i="65"/>
  <c r="M78" i="65"/>
  <c r="AJ78" i="65"/>
  <c r="AB78" i="65"/>
  <c r="T78" i="65"/>
  <c r="L78" i="65"/>
  <c r="AI78" i="65"/>
  <c r="AA78" i="65"/>
  <c r="S78" i="65"/>
  <c r="K78" i="65"/>
  <c r="AP78" i="65"/>
  <c r="AH78" i="65"/>
  <c r="Z78" i="65"/>
  <c r="R78" i="65"/>
  <c r="J78" i="65"/>
  <c r="Y78" i="65"/>
  <c r="Q78" i="65"/>
  <c r="I78" i="65"/>
  <c r="AO78" i="65"/>
  <c r="AG78" i="65"/>
  <c r="AN74" i="65"/>
  <c r="AF74" i="65"/>
  <c r="X74" i="65"/>
  <c r="P74" i="65"/>
  <c r="H74" i="65"/>
  <c r="AM74" i="65"/>
  <c r="AE74" i="65"/>
  <c r="W74" i="65"/>
  <c r="O74" i="65"/>
  <c r="G74" i="65"/>
  <c r="AL74" i="65"/>
  <c r="AD74" i="65"/>
  <c r="V74" i="65"/>
  <c r="N74" i="65"/>
  <c r="AK74" i="65"/>
  <c r="AC74" i="65"/>
  <c r="U74" i="65"/>
  <c r="M74" i="65"/>
  <c r="AJ74" i="65"/>
  <c r="AB74" i="65"/>
  <c r="T74" i="65"/>
  <c r="L74" i="65"/>
  <c r="AI74" i="65"/>
  <c r="AA74" i="65"/>
  <c r="S74" i="65"/>
  <c r="K74" i="65"/>
  <c r="AP74" i="65"/>
  <c r="AH74" i="65"/>
  <c r="Z74" i="65"/>
  <c r="R74" i="65"/>
  <c r="J74" i="65"/>
  <c r="AO74" i="65"/>
  <c r="AG74" i="65"/>
  <c r="Y74" i="65"/>
  <c r="Q74" i="65"/>
  <c r="I74" i="65"/>
  <c r="AP63" i="65"/>
  <c r="AH63" i="65"/>
  <c r="Z63" i="65"/>
  <c r="R63" i="65"/>
  <c r="J63" i="65"/>
  <c r="AO63" i="65"/>
  <c r="AG63" i="65"/>
  <c r="Y63" i="65"/>
  <c r="Q63" i="65"/>
  <c r="I63" i="65"/>
  <c r="AN63" i="65"/>
  <c r="AF63" i="65"/>
  <c r="X63" i="65"/>
  <c r="P63" i="65"/>
  <c r="H63" i="65"/>
  <c r="AM63" i="65"/>
  <c r="AE63" i="65"/>
  <c r="W63" i="65"/>
  <c r="O63" i="65"/>
  <c r="G63" i="65"/>
  <c r="AL63" i="65"/>
  <c r="AD63" i="65"/>
  <c r="V63" i="65"/>
  <c r="N63" i="65"/>
  <c r="AK63" i="65"/>
  <c r="AC63" i="65"/>
  <c r="U63" i="65"/>
  <c r="M63" i="65"/>
  <c r="AJ63" i="65"/>
  <c r="AB63" i="65"/>
  <c r="T63" i="65"/>
  <c r="L63" i="65"/>
  <c r="AI63" i="65"/>
  <c r="AA63" i="65"/>
  <c r="S63" i="65"/>
  <c r="K63" i="65"/>
  <c r="AP55" i="65"/>
  <c r="AH55" i="65"/>
  <c r="Z55" i="65"/>
  <c r="R55" i="65"/>
  <c r="J55" i="65"/>
  <c r="AO55" i="65"/>
  <c r="AG55" i="65"/>
  <c r="Y55" i="65"/>
  <c r="Q55" i="65"/>
  <c r="I55" i="65"/>
  <c r="AN55" i="65"/>
  <c r="AF55" i="65"/>
  <c r="X55" i="65"/>
  <c r="P55" i="65"/>
  <c r="H55" i="65"/>
  <c r="AM55" i="65"/>
  <c r="AE55" i="65"/>
  <c r="W55" i="65"/>
  <c r="O55" i="65"/>
  <c r="G55" i="65"/>
  <c r="AL55" i="65"/>
  <c r="AD55" i="65"/>
  <c r="V55" i="65"/>
  <c r="N55" i="65"/>
  <c r="AK55" i="65"/>
  <c r="AC55" i="65"/>
  <c r="U55" i="65"/>
  <c r="M55" i="65"/>
  <c r="AJ55" i="65"/>
  <c r="AB55" i="65"/>
  <c r="T55" i="65"/>
  <c r="L55" i="65"/>
  <c r="AI55" i="65"/>
  <c r="AA55" i="65"/>
  <c r="S55" i="65"/>
  <c r="K55" i="65"/>
  <c r="AN75" i="65"/>
  <c r="AF75" i="65"/>
  <c r="X75" i="65"/>
  <c r="P75" i="65"/>
  <c r="H75" i="65"/>
  <c r="AM75" i="65"/>
  <c r="AE75" i="65"/>
  <c r="W75" i="65"/>
  <c r="O75" i="65"/>
  <c r="G75" i="65"/>
  <c r="AL75" i="65"/>
  <c r="AD75" i="65"/>
  <c r="V75" i="65"/>
  <c r="N75" i="65"/>
  <c r="AK75" i="65"/>
  <c r="AC75" i="65"/>
  <c r="U75" i="65"/>
  <c r="M75" i="65"/>
  <c r="AJ75" i="65"/>
  <c r="AB75" i="65"/>
  <c r="T75" i="65"/>
  <c r="L75" i="65"/>
  <c r="AI75" i="65"/>
  <c r="AA75" i="65"/>
  <c r="S75" i="65"/>
  <c r="K75" i="65"/>
  <c r="AP75" i="65"/>
  <c r="AH75" i="65"/>
  <c r="Z75" i="65"/>
  <c r="R75" i="65"/>
  <c r="J75" i="65"/>
  <c r="AO75" i="65"/>
  <c r="AG75" i="65"/>
  <c r="Y75" i="65"/>
  <c r="Q75" i="65"/>
  <c r="I75" i="65"/>
  <c r="AN80" i="65"/>
  <c r="AF80" i="65"/>
  <c r="X80" i="65"/>
  <c r="P80" i="65"/>
  <c r="H80" i="65"/>
  <c r="AM80" i="65"/>
  <c r="AE80" i="65"/>
  <c r="W80" i="65"/>
  <c r="O80" i="65"/>
  <c r="G80" i="65"/>
  <c r="AL80" i="65"/>
  <c r="AD80" i="65"/>
  <c r="V80" i="65"/>
  <c r="N80" i="65"/>
  <c r="AK80" i="65"/>
  <c r="AC80" i="65"/>
  <c r="U80" i="65"/>
  <c r="M80" i="65"/>
  <c r="AJ80" i="65"/>
  <c r="AB80" i="65"/>
  <c r="T80" i="65"/>
  <c r="L80" i="65"/>
  <c r="AI80" i="65"/>
  <c r="AA80" i="65"/>
  <c r="S80" i="65"/>
  <c r="K80" i="65"/>
  <c r="AP80" i="65"/>
  <c r="AH80" i="65"/>
  <c r="Z80" i="65"/>
  <c r="R80" i="65"/>
  <c r="J80" i="65"/>
  <c r="Q80" i="65"/>
  <c r="I80" i="65"/>
  <c r="AO80" i="65"/>
  <c r="AG80" i="65"/>
  <c r="Y80" i="65"/>
  <c r="AN87" i="65"/>
  <c r="AF87" i="65"/>
  <c r="X87" i="65"/>
  <c r="P87" i="65"/>
  <c r="H87" i="65"/>
  <c r="AM87" i="65"/>
  <c r="AE87" i="65"/>
  <c r="W87" i="65"/>
  <c r="O87" i="65"/>
  <c r="G87" i="65"/>
  <c r="AL87" i="65"/>
  <c r="AD87" i="65"/>
  <c r="V87" i="65"/>
  <c r="N87" i="65"/>
  <c r="AK87" i="65"/>
  <c r="AC87" i="65"/>
  <c r="U87" i="65"/>
  <c r="M87" i="65"/>
  <c r="AJ87" i="65"/>
  <c r="AB87" i="65"/>
  <c r="T87" i="65"/>
  <c r="L87" i="65"/>
  <c r="AI87" i="65"/>
  <c r="AA87" i="65"/>
  <c r="S87" i="65"/>
  <c r="K87" i="65"/>
  <c r="AP87" i="65"/>
  <c r="AH87" i="65"/>
  <c r="Z87" i="65"/>
  <c r="R87" i="65"/>
  <c r="J87" i="65"/>
  <c r="Y87" i="65"/>
  <c r="Q87" i="65"/>
  <c r="I87" i="65"/>
  <c r="AO87" i="65"/>
  <c r="AG87" i="65"/>
  <c r="AN83" i="65"/>
  <c r="AF83" i="65"/>
  <c r="X83" i="65"/>
  <c r="P83" i="65"/>
  <c r="H83" i="65"/>
  <c r="AM83" i="65"/>
  <c r="AE83" i="65"/>
  <c r="W83" i="65"/>
  <c r="O83" i="65"/>
  <c r="G83" i="65"/>
  <c r="AL83" i="65"/>
  <c r="AD83" i="65"/>
  <c r="V83" i="65"/>
  <c r="N83" i="65"/>
  <c r="AK83" i="65"/>
  <c r="AC83" i="65"/>
  <c r="U83" i="65"/>
  <c r="M83" i="65"/>
  <c r="AJ83" i="65"/>
  <c r="AB83" i="65"/>
  <c r="T83" i="65"/>
  <c r="L83" i="65"/>
  <c r="AI83" i="65"/>
  <c r="AA83" i="65"/>
  <c r="S83" i="65"/>
  <c r="K83" i="65"/>
  <c r="AP83" i="65"/>
  <c r="AH83" i="65"/>
  <c r="Z83" i="65"/>
  <c r="R83" i="65"/>
  <c r="J83" i="65"/>
  <c r="AO83" i="65"/>
  <c r="AG83" i="65"/>
  <c r="Y83" i="65"/>
  <c r="Q83" i="65"/>
  <c r="I83" i="65"/>
  <c r="Z42" i="65"/>
  <c r="J42" i="65"/>
  <c r="R42" i="65"/>
  <c r="Q42" i="65"/>
  <c r="X42" i="65"/>
  <c r="H42" i="65"/>
  <c r="P42" i="65"/>
  <c r="K42" i="65"/>
  <c r="M42" i="65"/>
  <c r="S42" i="65"/>
  <c r="U42" i="65"/>
  <c r="W42" i="65"/>
  <c r="N42" i="65"/>
  <c r="G42" i="65"/>
  <c r="V42" i="65"/>
  <c r="Y42" i="65"/>
  <c r="T42" i="65"/>
  <c r="O42" i="65"/>
  <c r="L42" i="65"/>
  <c r="I42" i="65"/>
  <c r="AN72" i="65"/>
  <c r="AF72" i="65"/>
  <c r="X72" i="65"/>
  <c r="P72" i="65"/>
  <c r="H72" i="65"/>
  <c r="AM72" i="65"/>
  <c r="AE72" i="65"/>
  <c r="W72" i="65"/>
  <c r="O72" i="65"/>
  <c r="G72" i="65"/>
  <c r="AL72" i="65"/>
  <c r="AD72" i="65"/>
  <c r="V72" i="65"/>
  <c r="N72" i="65"/>
  <c r="AK72" i="65"/>
  <c r="AC72" i="65"/>
  <c r="U72" i="65"/>
  <c r="M72" i="65"/>
  <c r="AJ72" i="65"/>
  <c r="AB72" i="65"/>
  <c r="T72" i="65"/>
  <c r="L72" i="65"/>
  <c r="AI72" i="65"/>
  <c r="AA72" i="65"/>
  <c r="S72" i="65"/>
  <c r="K72" i="65"/>
  <c r="AP72" i="65"/>
  <c r="AH72" i="65"/>
  <c r="Z72" i="65"/>
  <c r="R72" i="65"/>
  <c r="J72" i="65"/>
  <c r="I72" i="65"/>
  <c r="AO72" i="65"/>
  <c r="AG72" i="65"/>
  <c r="Y72" i="65"/>
  <c r="Q72" i="65"/>
  <c r="AN82" i="65"/>
  <c r="AF82" i="65"/>
  <c r="X82" i="65"/>
  <c r="P82" i="65"/>
  <c r="H82" i="65"/>
  <c r="AM82" i="65"/>
  <c r="AE82" i="65"/>
  <c r="W82" i="65"/>
  <c r="O82" i="65"/>
  <c r="G82" i="65"/>
  <c r="AL82" i="65"/>
  <c r="AD82" i="65"/>
  <c r="V82" i="65"/>
  <c r="N82" i="65"/>
  <c r="AK82" i="65"/>
  <c r="AC82" i="65"/>
  <c r="U82" i="65"/>
  <c r="M82" i="65"/>
  <c r="AJ82" i="65"/>
  <c r="AB82" i="65"/>
  <c r="T82" i="65"/>
  <c r="L82" i="65"/>
  <c r="AI82" i="65"/>
  <c r="AA82" i="65"/>
  <c r="S82" i="65"/>
  <c r="K82" i="65"/>
  <c r="AP82" i="65"/>
  <c r="AH82" i="65"/>
  <c r="Z82" i="65"/>
  <c r="R82" i="65"/>
  <c r="J82" i="65"/>
  <c r="AO82" i="65"/>
  <c r="AG82" i="65"/>
  <c r="Y82" i="65"/>
  <c r="Q82" i="65"/>
  <c r="I82" i="65"/>
  <c r="AN84" i="65"/>
  <c r="AF84" i="65"/>
  <c r="X84" i="65"/>
  <c r="P84" i="65"/>
  <c r="H84" i="65"/>
  <c r="AM84" i="65"/>
  <c r="AE84" i="65"/>
  <c r="W84" i="65"/>
  <c r="O84" i="65"/>
  <c r="G84" i="65"/>
  <c r="AL84" i="65"/>
  <c r="AD84" i="65"/>
  <c r="V84" i="65"/>
  <c r="N84" i="65"/>
  <c r="AK84" i="65"/>
  <c r="AC84" i="65"/>
  <c r="U84" i="65"/>
  <c r="M84" i="65"/>
  <c r="AJ84" i="65"/>
  <c r="AB84" i="65"/>
  <c r="T84" i="65"/>
  <c r="L84" i="65"/>
  <c r="AI84" i="65"/>
  <c r="AA84" i="65"/>
  <c r="S84" i="65"/>
  <c r="K84" i="65"/>
  <c r="AP84" i="65"/>
  <c r="AH84" i="65"/>
  <c r="Z84" i="65"/>
  <c r="R84" i="65"/>
  <c r="J84" i="65"/>
  <c r="AO84" i="65"/>
  <c r="AG84" i="65"/>
  <c r="Y84" i="65"/>
  <c r="Q84" i="65"/>
  <c r="I84" i="65"/>
  <c r="N21" i="65"/>
  <c r="V21" i="65"/>
  <c r="Z21" i="65"/>
  <c r="X21" i="65"/>
  <c r="O21" i="65"/>
  <c r="Q21" i="65"/>
  <c r="W21" i="65"/>
  <c r="Y21" i="65"/>
  <c r="H21" i="65"/>
  <c r="G21" i="65"/>
  <c r="P21" i="65"/>
  <c r="I21" i="65"/>
  <c r="T21" i="65"/>
  <c r="K21" i="65"/>
  <c r="S21" i="65"/>
  <c r="U21" i="65"/>
  <c r="J21" i="65"/>
  <c r="R21" i="65"/>
  <c r="M21" i="65"/>
  <c r="L21" i="65"/>
  <c r="N26" i="65"/>
  <c r="Z26" i="65"/>
  <c r="O26" i="65"/>
  <c r="Q26" i="65"/>
  <c r="W26" i="65"/>
  <c r="Y26" i="65"/>
  <c r="J26" i="65"/>
  <c r="H26" i="65"/>
  <c r="R26" i="65"/>
  <c r="G26" i="65"/>
  <c r="P26" i="65"/>
  <c r="I26" i="65"/>
  <c r="K26" i="65"/>
  <c r="X26" i="65"/>
  <c r="M26" i="65"/>
  <c r="S26" i="65"/>
  <c r="U26" i="65"/>
  <c r="T26" i="65"/>
  <c r="V26" i="65"/>
  <c r="L26" i="65"/>
  <c r="K15" i="65"/>
  <c r="X15" i="65"/>
  <c r="M15" i="65"/>
  <c r="S15" i="65"/>
  <c r="U15" i="65"/>
  <c r="T15" i="65"/>
  <c r="L15" i="65"/>
  <c r="V15" i="65"/>
  <c r="N15" i="65"/>
  <c r="Z15" i="65"/>
  <c r="O15" i="65"/>
  <c r="Q15" i="65"/>
  <c r="W15" i="65"/>
  <c r="Y15" i="65"/>
  <c r="J15" i="65"/>
  <c r="H15" i="65"/>
  <c r="R15" i="65"/>
  <c r="G15" i="65"/>
  <c r="P15" i="65"/>
  <c r="I15" i="65"/>
  <c r="AP62" i="65"/>
  <c r="AH62" i="65"/>
  <c r="Z62" i="65"/>
  <c r="R62" i="65"/>
  <c r="J62" i="65"/>
  <c r="AO62" i="65"/>
  <c r="AG62" i="65"/>
  <c r="Y62" i="65"/>
  <c r="Q62" i="65"/>
  <c r="I62" i="65"/>
  <c r="AN62" i="65"/>
  <c r="AF62" i="65"/>
  <c r="X62" i="65"/>
  <c r="P62" i="65"/>
  <c r="H62" i="65"/>
  <c r="AM62" i="65"/>
  <c r="AE62" i="65"/>
  <c r="W62" i="65"/>
  <c r="O62" i="65"/>
  <c r="G62" i="65"/>
  <c r="AL62" i="65"/>
  <c r="AD62" i="65"/>
  <c r="V62" i="65"/>
  <c r="N62" i="65"/>
  <c r="AK62" i="65"/>
  <c r="AC62" i="65"/>
  <c r="U62" i="65"/>
  <c r="M62" i="65"/>
  <c r="AJ62" i="65"/>
  <c r="AB62" i="65"/>
  <c r="T62" i="65"/>
  <c r="L62" i="65"/>
  <c r="AI62" i="65"/>
  <c r="AA62" i="65"/>
  <c r="S62" i="65"/>
  <c r="K62" i="65"/>
  <c r="AN81" i="65"/>
  <c r="AF81" i="65"/>
  <c r="X81" i="65"/>
  <c r="P81" i="65"/>
  <c r="H81" i="65"/>
  <c r="AM81" i="65"/>
  <c r="AE81" i="65"/>
  <c r="W81" i="65"/>
  <c r="O81" i="65"/>
  <c r="G81" i="65"/>
  <c r="AL81" i="65"/>
  <c r="AD81" i="65"/>
  <c r="V81" i="65"/>
  <c r="N81" i="65"/>
  <c r="AK81" i="65"/>
  <c r="AC81" i="65"/>
  <c r="U81" i="65"/>
  <c r="M81" i="65"/>
  <c r="AJ81" i="65"/>
  <c r="AB81" i="65"/>
  <c r="T81" i="65"/>
  <c r="L81" i="65"/>
  <c r="AI81" i="65"/>
  <c r="AA81" i="65"/>
  <c r="S81" i="65"/>
  <c r="K81" i="65"/>
  <c r="AP81" i="65"/>
  <c r="AH81" i="65"/>
  <c r="Z81" i="65"/>
  <c r="R81" i="65"/>
  <c r="J81" i="65"/>
  <c r="I81" i="65"/>
  <c r="AO81" i="65"/>
  <c r="AG81" i="65"/>
  <c r="Y81" i="65"/>
  <c r="Q81" i="65"/>
  <c r="X18" i="65"/>
  <c r="O18" i="65"/>
  <c r="Q18" i="65"/>
  <c r="W18" i="65"/>
  <c r="Y18" i="65"/>
  <c r="J18" i="65"/>
  <c r="H18" i="65"/>
  <c r="R18" i="65"/>
  <c r="G18" i="65"/>
  <c r="P18" i="65"/>
  <c r="I18" i="65"/>
  <c r="K18" i="65"/>
  <c r="M18" i="65"/>
  <c r="S18" i="65"/>
  <c r="U18" i="65"/>
  <c r="V18" i="65"/>
  <c r="N18" i="65"/>
  <c r="T18" i="65"/>
  <c r="Z18" i="65"/>
  <c r="L18" i="65"/>
  <c r="K23" i="65"/>
  <c r="M23" i="65"/>
  <c r="S23" i="65"/>
  <c r="U23" i="65"/>
  <c r="N23" i="65"/>
  <c r="G23" i="65"/>
  <c r="V23" i="65"/>
  <c r="T23" i="65"/>
  <c r="O23" i="65"/>
  <c r="W23" i="65"/>
  <c r="L23" i="65"/>
  <c r="Z23" i="65"/>
  <c r="J23" i="65"/>
  <c r="R23" i="65"/>
  <c r="Q23" i="65"/>
  <c r="Y23" i="65"/>
  <c r="I23" i="65"/>
  <c r="X23" i="65"/>
  <c r="H23" i="65"/>
  <c r="P23" i="65"/>
  <c r="T30" i="65"/>
  <c r="L30" i="65"/>
  <c r="N30" i="65"/>
  <c r="Z30" i="65"/>
  <c r="O30" i="65"/>
  <c r="Q30" i="65"/>
  <c r="W30" i="65"/>
  <c r="Y30" i="65"/>
  <c r="J30" i="65"/>
  <c r="H30" i="65"/>
  <c r="R30" i="65"/>
  <c r="G30" i="65"/>
  <c r="P30" i="65"/>
  <c r="V30" i="65"/>
  <c r="I30" i="65"/>
  <c r="K30" i="65"/>
  <c r="X30" i="65"/>
  <c r="M30" i="65"/>
  <c r="S30" i="65"/>
  <c r="U30" i="65"/>
  <c r="I17" i="65"/>
  <c r="Z17" i="65"/>
  <c r="O17" i="65"/>
  <c r="Q17" i="65"/>
  <c r="W17" i="65"/>
  <c r="Y17" i="65"/>
  <c r="J17" i="65"/>
  <c r="H17" i="65"/>
  <c r="R17" i="65"/>
  <c r="G17" i="65"/>
  <c r="P17" i="65"/>
  <c r="K17" i="65"/>
  <c r="X17" i="65"/>
  <c r="M17" i="65"/>
  <c r="S17" i="65"/>
  <c r="U17" i="65"/>
  <c r="T17" i="65"/>
  <c r="L17" i="65"/>
  <c r="N17" i="65"/>
  <c r="V17" i="65"/>
  <c r="AP64" i="65"/>
  <c r="AH64" i="65"/>
  <c r="Z64" i="65"/>
  <c r="R64" i="65"/>
  <c r="J64" i="65"/>
  <c r="AO64" i="65"/>
  <c r="AG64" i="65"/>
  <c r="Y64" i="65"/>
  <c r="Q64" i="65"/>
  <c r="I64" i="65"/>
  <c r="AN64" i="65"/>
  <c r="AF64" i="65"/>
  <c r="X64" i="65"/>
  <c r="P64" i="65"/>
  <c r="H64" i="65"/>
  <c r="AM64" i="65"/>
  <c r="AE64" i="65"/>
  <c r="W64" i="65"/>
  <c r="O64" i="65"/>
  <c r="G64" i="65"/>
  <c r="AL64" i="65"/>
  <c r="AD64" i="65"/>
  <c r="V64" i="65"/>
  <c r="N64" i="65"/>
  <c r="AK64" i="65"/>
  <c r="AC64" i="65"/>
  <c r="U64" i="65"/>
  <c r="M64" i="65"/>
  <c r="AJ64" i="65"/>
  <c r="AB64" i="65"/>
  <c r="T64" i="65"/>
  <c r="L64" i="65"/>
  <c r="AI64" i="65"/>
  <c r="AA64" i="65"/>
  <c r="S64" i="65"/>
  <c r="K64" i="65"/>
  <c r="Z25" i="65"/>
  <c r="O25" i="65"/>
  <c r="Q25" i="65"/>
  <c r="W25" i="65"/>
  <c r="Y25" i="65"/>
  <c r="J25" i="65"/>
  <c r="H25" i="65"/>
  <c r="R25" i="65"/>
  <c r="G25" i="65"/>
  <c r="P25" i="65"/>
  <c r="I25" i="65"/>
  <c r="K25" i="65"/>
  <c r="X25" i="65"/>
  <c r="M25" i="65"/>
  <c r="S25" i="65"/>
  <c r="U25" i="65"/>
  <c r="T25" i="65"/>
  <c r="L25" i="65"/>
  <c r="N25" i="65"/>
  <c r="V25" i="65"/>
  <c r="N27" i="65"/>
  <c r="V27" i="65"/>
  <c r="K27" i="65"/>
  <c r="Z27" i="65"/>
  <c r="O27" i="65"/>
  <c r="Q27" i="65"/>
  <c r="W27" i="65"/>
  <c r="Y27" i="65"/>
  <c r="J27" i="65"/>
  <c r="H27" i="65"/>
  <c r="R27" i="65"/>
  <c r="G27" i="65"/>
  <c r="P27" i="65"/>
  <c r="I27" i="65"/>
  <c r="T27" i="65"/>
  <c r="L27" i="65"/>
  <c r="X27" i="65"/>
  <c r="M27" i="65"/>
  <c r="S27" i="65"/>
  <c r="U27" i="65"/>
  <c r="T32" i="65"/>
  <c r="L32" i="65"/>
  <c r="O32" i="65"/>
  <c r="Z32" i="65"/>
  <c r="J32" i="65"/>
  <c r="R32" i="65"/>
  <c r="G32" i="65"/>
  <c r="Q32" i="65"/>
  <c r="W32" i="65"/>
  <c r="Y32" i="65"/>
  <c r="I32" i="65"/>
  <c r="X32" i="65"/>
  <c r="H32" i="65"/>
  <c r="P32" i="65"/>
  <c r="K32" i="65"/>
  <c r="M32" i="65"/>
  <c r="S32" i="65"/>
  <c r="U32" i="65"/>
  <c r="N32" i="65"/>
  <c r="V32" i="65"/>
  <c r="K60" i="65"/>
  <c r="S60" i="65"/>
  <c r="AA60" i="65"/>
  <c r="AI60" i="65"/>
  <c r="L60" i="65"/>
  <c r="T60" i="65"/>
  <c r="AB60" i="65"/>
  <c r="AJ60" i="65"/>
  <c r="M60" i="65"/>
  <c r="U60" i="65"/>
  <c r="AC60" i="65"/>
  <c r="AK60" i="65"/>
  <c r="N60" i="65"/>
  <c r="V60" i="65"/>
  <c r="AD60" i="65"/>
  <c r="AL60" i="65"/>
  <c r="G60" i="65"/>
  <c r="O60" i="65"/>
  <c r="W60" i="65"/>
  <c r="AE60" i="65"/>
  <c r="AM60" i="65"/>
  <c r="H60" i="65"/>
  <c r="P60" i="65"/>
  <c r="X60" i="65"/>
  <c r="AF60" i="65"/>
  <c r="AN60" i="65"/>
  <c r="I60" i="65"/>
  <c r="Q60" i="65"/>
  <c r="Y60" i="65"/>
  <c r="AG60" i="65"/>
  <c r="AO60" i="65"/>
  <c r="J60" i="65"/>
  <c r="R60" i="65"/>
  <c r="Z60" i="65"/>
  <c r="AH60" i="65"/>
  <c r="AP60" i="65"/>
  <c r="O44" i="65"/>
  <c r="Q44" i="65"/>
  <c r="Y44" i="65"/>
  <c r="I44" i="65"/>
  <c r="U44" i="65"/>
  <c r="X44" i="65"/>
  <c r="H44" i="65"/>
  <c r="P44" i="65"/>
  <c r="M44" i="65"/>
  <c r="K44" i="65"/>
  <c r="T44" i="65"/>
  <c r="L44" i="65"/>
  <c r="G44" i="65"/>
  <c r="Z44" i="65"/>
  <c r="W44" i="65"/>
  <c r="J44" i="65"/>
  <c r="R44" i="65"/>
  <c r="S44" i="65"/>
  <c r="V44" i="65"/>
  <c r="N44" i="65"/>
  <c r="AN69" i="65"/>
  <c r="AF69" i="65"/>
  <c r="X69" i="65"/>
  <c r="P69" i="65"/>
  <c r="AM69" i="65"/>
  <c r="AE69" i="65"/>
  <c r="W69" i="65"/>
  <c r="O69" i="65"/>
  <c r="G69" i="65"/>
  <c r="AL69" i="65"/>
  <c r="AD69" i="65"/>
  <c r="V69" i="65"/>
  <c r="N69" i="65"/>
  <c r="AK69" i="65"/>
  <c r="AC69" i="65"/>
  <c r="U69" i="65"/>
  <c r="M69" i="65"/>
  <c r="AJ69" i="65"/>
  <c r="AB69" i="65"/>
  <c r="T69" i="65"/>
  <c r="L69" i="65"/>
  <c r="AI69" i="65"/>
  <c r="AA69" i="65"/>
  <c r="S69" i="65"/>
  <c r="K69" i="65"/>
  <c r="AP69" i="65"/>
  <c r="AH69" i="65"/>
  <c r="Z69" i="65"/>
  <c r="R69" i="65"/>
  <c r="J69" i="65"/>
  <c r="Y69" i="65"/>
  <c r="Q69" i="65"/>
  <c r="I69" i="65"/>
  <c r="H69" i="65"/>
  <c r="AO69" i="65"/>
  <c r="AG69" i="65"/>
  <c r="W43" i="65"/>
  <c r="J43" i="65"/>
  <c r="R43" i="65"/>
  <c r="X43" i="65"/>
  <c r="Q43" i="65"/>
  <c r="Y43" i="65"/>
  <c r="G43" i="65"/>
  <c r="I43" i="65"/>
  <c r="K43" i="65"/>
  <c r="M43" i="65"/>
  <c r="S43" i="65"/>
  <c r="U43" i="65"/>
  <c r="N43" i="65"/>
  <c r="V43" i="65"/>
  <c r="T43" i="65"/>
  <c r="O43" i="65"/>
  <c r="L43" i="65"/>
  <c r="Z43" i="65"/>
  <c r="P43" i="65"/>
  <c r="H43" i="65"/>
  <c r="K57" i="65"/>
  <c r="S57" i="65"/>
  <c r="AA57" i="65"/>
  <c r="AI57" i="65"/>
  <c r="L57" i="65"/>
  <c r="T57" i="65"/>
  <c r="AB57" i="65"/>
  <c r="AJ57" i="65"/>
  <c r="M57" i="65"/>
  <c r="U57" i="65"/>
  <c r="AC57" i="65"/>
  <c r="AK57" i="65"/>
  <c r="N57" i="65"/>
  <c r="V57" i="65"/>
  <c r="AD57" i="65"/>
  <c r="AL57" i="65"/>
  <c r="G57" i="65"/>
  <c r="O57" i="65"/>
  <c r="W57" i="65"/>
  <c r="AE57" i="65"/>
  <c r="AM57" i="65"/>
  <c r="H57" i="65"/>
  <c r="P57" i="65"/>
  <c r="X57" i="65"/>
  <c r="AF57" i="65"/>
  <c r="AN57" i="65"/>
  <c r="I57" i="65"/>
  <c r="Q57" i="65"/>
  <c r="Y57" i="65"/>
  <c r="AG57" i="65"/>
  <c r="AO57" i="65"/>
  <c r="J57" i="65"/>
  <c r="R57" i="65"/>
  <c r="Z57" i="65"/>
  <c r="AH57" i="65"/>
  <c r="AP57" i="65"/>
  <c r="AN71" i="65"/>
  <c r="AF71" i="65"/>
  <c r="X71" i="65"/>
  <c r="P71" i="65"/>
  <c r="H71" i="65"/>
  <c r="AM71" i="65"/>
  <c r="AE71" i="65"/>
  <c r="W71" i="65"/>
  <c r="O71" i="65"/>
  <c r="G71" i="65"/>
  <c r="AL71" i="65"/>
  <c r="AD71" i="65"/>
  <c r="V71" i="65"/>
  <c r="N71" i="65"/>
  <c r="AK71" i="65"/>
  <c r="AC71" i="65"/>
  <c r="U71" i="65"/>
  <c r="M71" i="65"/>
  <c r="AJ71" i="65"/>
  <c r="AB71" i="65"/>
  <c r="T71" i="65"/>
  <c r="L71" i="65"/>
  <c r="AI71" i="65"/>
  <c r="AA71" i="65"/>
  <c r="S71" i="65"/>
  <c r="K71" i="65"/>
  <c r="AP71" i="65"/>
  <c r="AH71" i="65"/>
  <c r="Z71" i="65"/>
  <c r="R71" i="65"/>
  <c r="J71" i="65"/>
  <c r="Q71" i="65"/>
  <c r="I71" i="65"/>
  <c r="AO71" i="65"/>
  <c r="AG71" i="65"/>
  <c r="Y71" i="65"/>
  <c r="K39" i="65"/>
  <c r="M39" i="65"/>
  <c r="S39" i="65"/>
  <c r="U39" i="65"/>
  <c r="N39" i="65"/>
  <c r="V39" i="65"/>
  <c r="T39" i="65"/>
  <c r="L39" i="65"/>
  <c r="Z39" i="65"/>
  <c r="W39" i="65"/>
  <c r="J39" i="65"/>
  <c r="R39" i="65"/>
  <c r="O39" i="65"/>
  <c r="Q39" i="65"/>
  <c r="Y39" i="65"/>
  <c r="I39" i="65"/>
  <c r="X39" i="65"/>
  <c r="H39" i="65"/>
  <c r="P39" i="65"/>
  <c r="G39" i="65"/>
  <c r="S35" i="65"/>
  <c r="U35" i="65"/>
  <c r="Q35" i="65"/>
  <c r="Y35" i="65"/>
  <c r="I35" i="65"/>
  <c r="M35" i="65"/>
  <c r="X35" i="65"/>
  <c r="O35" i="65"/>
  <c r="H35" i="65"/>
  <c r="P35" i="65"/>
  <c r="K35" i="65"/>
  <c r="T35" i="65"/>
  <c r="L35" i="65"/>
  <c r="Z35" i="65"/>
  <c r="G35" i="65"/>
  <c r="W35" i="65"/>
  <c r="J35" i="65"/>
  <c r="R35" i="65"/>
  <c r="N35" i="65"/>
  <c r="V35" i="65"/>
  <c r="K56" i="65"/>
  <c r="S56" i="65"/>
  <c r="AA56" i="65"/>
  <c r="AI56" i="65"/>
  <c r="L56" i="65"/>
  <c r="T56" i="65"/>
  <c r="AB56" i="65"/>
  <c r="AJ56" i="65"/>
  <c r="M56" i="65"/>
  <c r="U56" i="65"/>
  <c r="AC56" i="65"/>
  <c r="AK56" i="65"/>
  <c r="N56" i="65"/>
  <c r="V56" i="65"/>
  <c r="AD56" i="65"/>
  <c r="AL56" i="65"/>
  <c r="G56" i="65"/>
  <c r="O56" i="65"/>
  <c r="W56" i="65"/>
  <c r="AE56" i="65"/>
  <c r="AM56" i="65"/>
  <c r="H56" i="65"/>
  <c r="P56" i="65"/>
  <c r="X56" i="65"/>
  <c r="AF56" i="65"/>
  <c r="AN56" i="65"/>
  <c r="I56" i="65"/>
  <c r="Q56" i="65"/>
  <c r="Y56" i="65"/>
  <c r="AG56" i="65"/>
  <c r="AO56" i="65"/>
  <c r="J56" i="65"/>
  <c r="R56" i="65"/>
  <c r="Z56" i="65"/>
  <c r="AH56" i="65"/>
  <c r="AP56" i="65"/>
  <c r="Z33" i="65"/>
  <c r="J33" i="65"/>
  <c r="R33" i="65"/>
  <c r="Q33" i="65"/>
  <c r="X33" i="65"/>
  <c r="H33" i="65"/>
  <c r="P33" i="65"/>
  <c r="K33" i="65"/>
  <c r="M33" i="65"/>
  <c r="S33" i="65"/>
  <c r="U33" i="65"/>
  <c r="N33" i="65"/>
  <c r="V33" i="65"/>
  <c r="T33" i="65"/>
  <c r="O33" i="65"/>
  <c r="W33" i="65"/>
  <c r="L33" i="65"/>
  <c r="G33" i="65"/>
  <c r="Y33" i="65"/>
  <c r="I33" i="65"/>
  <c r="J34" i="65"/>
  <c r="R34" i="65"/>
  <c r="X34" i="65"/>
  <c r="Q34" i="65"/>
  <c r="W34" i="65"/>
  <c r="Y34" i="65"/>
  <c r="I34" i="65"/>
  <c r="K34" i="65"/>
  <c r="M34" i="65"/>
  <c r="S34" i="65"/>
  <c r="U34" i="65"/>
  <c r="N34" i="65"/>
  <c r="V34" i="65"/>
  <c r="T34" i="65"/>
  <c r="L34" i="65"/>
  <c r="Z34" i="65"/>
  <c r="O34" i="65"/>
  <c r="H34" i="65"/>
  <c r="P34" i="65"/>
  <c r="G34" i="65"/>
  <c r="Q36" i="65"/>
  <c r="Y36" i="65"/>
  <c r="G36" i="65"/>
  <c r="I36" i="65"/>
  <c r="X36" i="65"/>
  <c r="W36" i="65"/>
  <c r="H36" i="65"/>
  <c r="P36" i="65"/>
  <c r="K36" i="65"/>
  <c r="M36" i="65"/>
  <c r="S36" i="65"/>
  <c r="U36" i="65"/>
  <c r="N36" i="65"/>
  <c r="V36" i="65"/>
  <c r="T36" i="65"/>
  <c r="Z36" i="65"/>
  <c r="O36" i="65"/>
  <c r="J36" i="65"/>
  <c r="R36" i="65"/>
  <c r="L36" i="65"/>
  <c r="T41" i="65"/>
  <c r="L41" i="65"/>
  <c r="W41" i="65"/>
  <c r="Z41" i="65"/>
  <c r="J41" i="65"/>
  <c r="R41" i="65"/>
  <c r="O41" i="65"/>
  <c r="Q41" i="65"/>
  <c r="Y41" i="65"/>
  <c r="G41" i="65"/>
  <c r="I41" i="65"/>
  <c r="X41" i="65"/>
  <c r="H41" i="65"/>
  <c r="P41" i="65"/>
  <c r="K41" i="65"/>
  <c r="M41" i="65"/>
  <c r="S41" i="65"/>
  <c r="U41" i="65"/>
  <c r="N41" i="65"/>
  <c r="V41" i="65"/>
  <c r="K48" i="65"/>
  <c r="M48" i="65"/>
  <c r="S48" i="65"/>
  <c r="U48" i="65"/>
  <c r="N48" i="65"/>
  <c r="V48" i="65"/>
  <c r="T48" i="65"/>
  <c r="L48" i="65"/>
  <c r="Z48" i="65"/>
  <c r="W48" i="65"/>
  <c r="J48" i="65"/>
  <c r="R48" i="65"/>
  <c r="G48" i="65"/>
  <c r="O48" i="65"/>
  <c r="Q48" i="65"/>
  <c r="Y48" i="65"/>
  <c r="I48" i="65"/>
  <c r="X48" i="65"/>
  <c r="H48" i="65"/>
  <c r="P48" i="65"/>
  <c r="AP65" i="65"/>
  <c r="AH65" i="65"/>
  <c r="Z65" i="65"/>
  <c r="R65" i="65"/>
  <c r="J65" i="65"/>
  <c r="AO65" i="65"/>
  <c r="AG65" i="65"/>
  <c r="Y65" i="65"/>
  <c r="Q65" i="65"/>
  <c r="I65" i="65"/>
  <c r="AN65" i="65"/>
  <c r="AF65" i="65"/>
  <c r="X65" i="65"/>
  <c r="P65" i="65"/>
  <c r="H65" i="65"/>
  <c r="AM65" i="65"/>
  <c r="AE65" i="65"/>
  <c r="W65" i="65"/>
  <c r="O65" i="65"/>
  <c r="G65" i="65"/>
  <c r="AL65" i="65"/>
  <c r="AD65" i="65"/>
  <c r="V65" i="65"/>
  <c r="N65" i="65"/>
  <c r="AK65" i="65"/>
  <c r="AC65" i="65"/>
  <c r="U65" i="65"/>
  <c r="M65" i="65"/>
  <c r="AJ65" i="65"/>
  <c r="AB65" i="65"/>
  <c r="T65" i="65"/>
  <c r="L65" i="65"/>
  <c r="AI65" i="65"/>
  <c r="AA65" i="65"/>
  <c r="S65" i="65"/>
  <c r="K65" i="65"/>
  <c r="AV16" i="65" l="1"/>
  <c r="AV24" i="65"/>
  <c r="AV19" i="65"/>
  <c r="AV65" i="65"/>
  <c r="AV15" i="65"/>
  <c r="AV32" i="65"/>
  <c r="AV27" i="65"/>
  <c r="AV25" i="65"/>
  <c r="AV47" i="65"/>
  <c r="AV20" i="65"/>
  <c r="AV28" i="65"/>
  <c r="AV84" i="65"/>
  <c r="AV53" i="65"/>
  <c r="AV17" i="65"/>
  <c r="AV30" i="65"/>
  <c r="AV23" i="65"/>
  <c r="AV63" i="65"/>
  <c r="AV85" i="65"/>
  <c r="AV60" i="65"/>
  <c r="AV33" i="65"/>
  <c r="AV68" i="65"/>
  <c r="AV83" i="65"/>
  <c r="AV80" i="65"/>
  <c r="AV71" i="65"/>
  <c r="AV75" i="65"/>
  <c r="AV46" i="65"/>
  <c r="AV37" i="65"/>
  <c r="AV18" i="65"/>
  <c r="AV74" i="65"/>
  <c r="AV78" i="65"/>
  <c r="AV73" i="65"/>
  <c r="AV56" i="65"/>
  <c r="AV86" i="65"/>
  <c r="AV77" i="65"/>
  <c r="AV81" i="65"/>
  <c r="AV72" i="65"/>
  <c r="AV48" i="65"/>
  <c r="AV41" i="65"/>
  <c r="AV36" i="65"/>
  <c r="AV35" i="65"/>
  <c r="AV39" i="65"/>
  <c r="AV44" i="65"/>
  <c r="AV42" i="65"/>
  <c r="AV82" i="65"/>
  <c r="AV87" i="65"/>
  <c r="AV55" i="65"/>
  <c r="AV59" i="65"/>
  <c r="AV45" i="65"/>
  <c r="AV57" i="65"/>
  <c r="AV66" i="65"/>
  <c r="AV54" i="65"/>
  <c r="AV76" i="65"/>
  <c r="AV69" i="65"/>
  <c r="AV62" i="65"/>
  <c r="AV64" i="65"/>
  <c r="AV67" i="65"/>
  <c r="AV58" i="65"/>
  <c r="AV26" i="65"/>
  <c r="AV21" i="65"/>
  <c r="AV34" i="65"/>
  <c r="AV38" i="65"/>
  <c r="AV43" i="65"/>
  <c r="AV29" i="65"/>
  <c r="L21" i="57" l="1"/>
  <c r="L30" i="57"/>
  <c r="L28" i="57"/>
  <c r="O31" i="57"/>
  <c r="N28" i="57"/>
  <c r="M20" i="57"/>
  <c r="N19" i="57"/>
  <c r="N32" i="57"/>
  <c r="O21" i="57"/>
  <c r="M19" i="57"/>
  <c r="L27" i="57"/>
  <c r="M32" i="57"/>
  <c r="O32" i="57"/>
  <c r="N21" i="57"/>
  <c r="M31" i="57"/>
  <c r="L19" i="57"/>
  <c r="H20" i="57"/>
  <c r="M27" i="57"/>
  <c r="L31" i="57"/>
  <c r="O19" i="57"/>
  <c r="N30" i="57"/>
  <c r="O27" i="57"/>
  <c r="N20" i="57"/>
  <c r="O28" i="57"/>
  <c r="M21" i="57"/>
  <c r="O20" i="57"/>
  <c r="L32" i="57"/>
  <c r="M30" i="57"/>
  <c r="N27" i="57"/>
  <c r="H32" i="57"/>
  <c r="L20" i="57"/>
  <c r="M28" i="57"/>
  <c r="N31" i="57"/>
  <c r="O30" i="57"/>
  <c r="M25" i="64"/>
  <c r="J25" i="64"/>
  <c r="H25" i="64"/>
  <c r="L25" i="64"/>
  <c r="I25" i="64"/>
  <c r="N25" i="64"/>
  <c r="N1" i="64"/>
  <c r="M1" i="64"/>
  <c r="L1" i="64"/>
  <c r="K1" i="64"/>
  <c r="J1" i="64"/>
  <c r="I1" i="64"/>
  <c r="H1" i="64"/>
  <c r="G1" i="64"/>
  <c r="H1" i="57"/>
  <c r="K12" i="64"/>
  <c r="F14" i="89"/>
  <c r="G12" i="64"/>
  <c r="H22" i="57" l="1"/>
  <c r="D29" i="3"/>
  <c r="M22" i="57"/>
  <c r="O29" i="57"/>
  <c r="O33" i="57" s="1"/>
  <c r="M29" i="57"/>
  <c r="M33" i="57" s="1"/>
  <c r="L22" i="57"/>
  <c r="L29" i="57"/>
  <c r="L33" i="57" s="1"/>
  <c r="N29" i="57"/>
  <c r="N33" i="57" s="1"/>
  <c r="O22" i="57"/>
  <c r="N22" i="57"/>
  <c r="I12" i="89"/>
  <c r="M22" i="64"/>
  <c r="J22" i="64"/>
  <c r="H22" i="64"/>
  <c r="I22" i="64"/>
  <c r="N22" i="64"/>
  <c r="I23" i="64"/>
  <c r="M23" i="64"/>
  <c r="I13" i="89"/>
  <c r="L23" i="64"/>
  <c r="J23" i="64"/>
  <c r="N23" i="64"/>
  <c r="D13" i="89"/>
  <c r="H23" i="64"/>
  <c r="F17" i="68"/>
  <c r="G17" i="68"/>
  <c r="E17" i="68"/>
  <c r="D17" i="68"/>
  <c r="L14" i="89"/>
  <c r="D14" i="89"/>
  <c r="K14" i="89"/>
  <c r="G14" i="89"/>
  <c r="J14" i="89"/>
  <c r="I14" i="89"/>
  <c r="E14" i="89"/>
  <c r="D33" i="3" l="1"/>
  <c r="D20" i="68"/>
  <c r="J13" i="89"/>
  <c r="K13" i="89"/>
  <c r="G13" i="89"/>
  <c r="F13" i="89"/>
  <c r="E13" i="89"/>
  <c r="L13" i="89"/>
  <c r="N23" i="57"/>
  <c r="L23" i="57"/>
  <c r="M23" i="57"/>
  <c r="O23" i="57"/>
  <c r="E12" i="89"/>
  <c r="L12" i="89"/>
  <c r="G12" i="89"/>
  <c r="F12" i="89"/>
  <c r="K12" i="89"/>
  <c r="J12" i="89"/>
  <c r="J62" i="57"/>
  <c r="I62" i="57"/>
  <c r="K62" i="57"/>
  <c r="N62" i="57"/>
  <c r="M62" i="57"/>
  <c r="O62" i="57"/>
  <c r="F15" i="89"/>
  <c r="I15" i="89"/>
  <c r="G11" i="89"/>
  <c r="J15" i="89"/>
  <c r="D15" i="89"/>
  <c r="G15" i="89"/>
  <c r="L15" i="89"/>
  <c r="I11" i="89"/>
  <c r="D11" i="89"/>
  <c r="E11" i="89"/>
  <c r="K11" i="89"/>
  <c r="F11" i="89"/>
  <c r="K15" i="89"/>
  <c r="E15" i="89"/>
  <c r="L11" i="89"/>
  <c r="J11" i="89"/>
  <c r="O34" i="57" l="1"/>
  <c r="M34" i="57"/>
  <c r="L34" i="57"/>
  <c r="N34" i="57"/>
  <c r="G21" i="68"/>
  <c r="G20" i="68"/>
  <c r="D21" i="68"/>
  <c r="D21" i="67"/>
  <c r="G20" i="67"/>
  <c r="G21" i="67"/>
  <c r="E20" i="68"/>
  <c r="E21" i="68"/>
  <c r="E21" i="67"/>
  <c r="E20" i="67"/>
  <c r="F21" i="68"/>
  <c r="F20" i="68"/>
  <c r="F20" i="67"/>
  <c r="F21" i="67"/>
  <c r="I34" i="88"/>
  <c r="G34" i="88"/>
  <c r="F34" i="88"/>
  <c r="E34" i="88"/>
  <c r="L33" i="88"/>
  <c r="K33" i="88"/>
  <c r="J33" i="88"/>
  <c r="I33" i="88"/>
  <c r="G33" i="88"/>
  <c r="F33" i="88"/>
  <c r="E33" i="88"/>
  <c r="D33" i="88"/>
  <c r="O1" i="57"/>
  <c r="N1" i="57"/>
  <c r="M1" i="57"/>
  <c r="L1" i="57"/>
  <c r="K1" i="57"/>
  <c r="J1" i="57"/>
  <c r="I1" i="57"/>
  <c r="D13" i="3" s="1"/>
  <c r="F14" i="4" l="1"/>
  <c r="M35" i="57"/>
  <c r="L35" i="57"/>
  <c r="O35" i="57"/>
  <c r="N35" i="57"/>
  <c r="F27" i="76"/>
  <c r="R44" i="76" s="1"/>
  <c r="F28" i="76"/>
  <c r="F25" i="76"/>
  <c r="F26" i="76"/>
  <c r="P26" i="76" s="1"/>
  <c r="J27" i="57"/>
  <c r="J21" i="57"/>
  <c r="J28" i="57"/>
  <c r="J19" i="57"/>
  <c r="J30" i="57"/>
  <c r="J20" i="57"/>
  <c r="J31" i="57"/>
  <c r="J32" i="57"/>
  <c r="I21" i="57"/>
  <c r="I28" i="57"/>
  <c r="I19" i="57"/>
  <c r="I30" i="57"/>
  <c r="I20" i="57"/>
  <c r="I31" i="57"/>
  <c r="I32" i="57"/>
  <c r="I27" i="57"/>
  <c r="H30" i="57"/>
  <c r="H31" i="57"/>
  <c r="F20" i="76"/>
  <c r="P20" i="76" s="1"/>
  <c r="H27" i="57"/>
  <c r="H21" i="57"/>
  <c r="H28" i="57"/>
  <c r="K31" i="57"/>
  <c r="K32" i="57"/>
  <c r="K27" i="57"/>
  <c r="K21" i="57"/>
  <c r="K28" i="57"/>
  <c r="K19" i="57"/>
  <c r="K30" i="57"/>
  <c r="K20" i="57"/>
  <c r="K106" i="3"/>
  <c r="G9" i="4"/>
  <c r="A32" i="4" s="1"/>
  <c r="L32" i="88"/>
  <c r="G32" i="88"/>
  <c r="E32" i="88"/>
  <c r="I32" i="88"/>
  <c r="L35" i="88"/>
  <c r="L34" i="88"/>
  <c r="J34" i="88"/>
  <c r="K34" i="88"/>
  <c r="K32" i="88"/>
  <c r="J32" i="88"/>
  <c r="F32" i="88"/>
  <c r="D32" i="88"/>
  <c r="G36" i="88"/>
  <c r="K36" i="88"/>
  <c r="G35" i="88"/>
  <c r="F35" i="88"/>
  <c r="F36" i="88"/>
  <c r="K35" i="88"/>
  <c r="I35" i="88"/>
  <c r="J35" i="88"/>
  <c r="K10" i="171" l="1"/>
  <c r="M10" i="171"/>
  <c r="L10" i="171"/>
  <c r="P25" i="76"/>
  <c r="S25" i="76" s="1"/>
  <c r="P28" i="76"/>
  <c r="S28" i="76" s="1"/>
  <c r="N10" i="171"/>
  <c r="M36" i="57"/>
  <c r="M38" i="57" s="1"/>
  <c r="O36" i="57"/>
  <c r="L36" i="57"/>
  <c r="N36" i="57"/>
  <c r="F22" i="76"/>
  <c r="F23" i="76"/>
  <c r="P23" i="76" s="1"/>
  <c r="S23" i="76" s="1"/>
  <c r="F21" i="76"/>
  <c r="P21" i="76" s="1"/>
  <c r="S20" i="76"/>
  <c r="G26" i="64" s="1"/>
  <c r="T20" i="76"/>
  <c r="K22" i="57"/>
  <c r="H23" i="57"/>
  <c r="J22" i="57"/>
  <c r="K29" i="57"/>
  <c r="I22" i="57"/>
  <c r="H29" i="57"/>
  <c r="I29" i="57"/>
  <c r="J29" i="57"/>
  <c r="D35" i="88"/>
  <c r="E35" i="88"/>
  <c r="D36" i="88"/>
  <c r="L36" i="88"/>
  <c r="H21" i="171" l="1"/>
  <c r="G21" i="171"/>
  <c r="F21" i="171"/>
  <c r="I21" i="171"/>
  <c r="M42" i="57"/>
  <c r="L38" i="57"/>
  <c r="O38" i="57"/>
  <c r="M43" i="57"/>
  <c r="M49" i="57"/>
  <c r="N38" i="57"/>
  <c r="I23" i="57"/>
  <c r="T23" i="76"/>
  <c r="K23" i="57"/>
  <c r="J23" i="57"/>
  <c r="H33" i="57"/>
  <c r="J33" i="57"/>
  <c r="K33" i="57"/>
  <c r="I33" i="57"/>
  <c r="J36" i="88"/>
  <c r="I36" i="88"/>
  <c r="K20" i="88"/>
  <c r="K21" i="88"/>
  <c r="D20" i="88"/>
  <c r="I13" i="88"/>
  <c r="L22" i="88"/>
  <c r="F19" i="88"/>
  <c r="J13" i="88"/>
  <c r="I21" i="88"/>
  <c r="I22" i="88"/>
  <c r="E20" i="88"/>
  <c r="I19" i="88"/>
  <c r="K13" i="88"/>
  <c r="F22" i="88"/>
  <c r="E21" i="88"/>
  <c r="D12" i="88"/>
  <c r="R56" i="76"/>
  <c r="L13" i="88"/>
  <c r="J22" i="88"/>
  <c r="F20" i="88"/>
  <c r="G20" i="88"/>
  <c r="D13" i="88"/>
  <c r="D19" i="88"/>
  <c r="G13" i="88"/>
  <c r="F21" i="88"/>
  <c r="K19" i="88"/>
  <c r="J20" i="88"/>
  <c r="G22" i="88"/>
  <c r="E19" i="88"/>
  <c r="D22" i="88"/>
  <c r="E22" i="88"/>
  <c r="L20" i="88"/>
  <c r="O49" i="57" l="1"/>
  <c r="L42" i="57"/>
  <c r="L49" i="57"/>
  <c r="L43" i="57"/>
  <c r="O42" i="57"/>
  <c r="O43" i="57"/>
  <c r="M50" i="57"/>
  <c r="N42" i="57"/>
  <c r="N43" i="57"/>
  <c r="N49" i="57"/>
  <c r="J34" i="57"/>
  <c r="H34" i="57"/>
  <c r="K34" i="57"/>
  <c r="I34" i="57"/>
  <c r="J26" i="64"/>
  <c r="L11" i="88"/>
  <c r="R49" i="76"/>
  <c r="S49" i="76" s="1"/>
  <c r="S32" i="76" s="1"/>
  <c r="K14" i="88"/>
  <c r="I20" i="88"/>
  <c r="K12" i="88"/>
  <c r="J21" i="88"/>
  <c r="K22" i="88"/>
  <c r="E11" i="88"/>
  <c r="G12" i="88"/>
  <c r="E23" i="88"/>
  <c r="L23" i="88"/>
  <c r="K11" i="88"/>
  <c r="L19" i="88"/>
  <c r="G21" i="88"/>
  <c r="E13" i="88"/>
  <c r="I23" i="88"/>
  <c r="D21" i="88"/>
  <c r="F12" i="88"/>
  <c r="L21" i="88"/>
  <c r="J11" i="88"/>
  <c r="F15" i="88"/>
  <c r="F11" i="88"/>
  <c r="J12" i="88"/>
  <c r="G19" i="88"/>
  <c r="L12" i="88"/>
  <c r="F13" i="88"/>
  <c r="I11" i="88"/>
  <c r="J23" i="88"/>
  <c r="G15" i="88"/>
  <c r="D24" i="88"/>
  <c r="D23" i="88"/>
  <c r="J19" i="88"/>
  <c r="G11" i="88"/>
  <c r="D14" i="88"/>
  <c r="D11" i="88"/>
  <c r="F23" i="88"/>
  <c r="E12" i="88"/>
  <c r="I12" i="88"/>
  <c r="G23" i="88"/>
  <c r="K23" i="88"/>
  <c r="AA28" i="76"/>
  <c r="Z25" i="76"/>
  <c r="AB56" i="76"/>
  <c r="R60" i="76"/>
  <c r="S60" i="76" s="1"/>
  <c r="T56" i="76"/>
  <c r="AE56" i="76"/>
  <c r="AA56" i="76"/>
  <c r="BO56" i="76"/>
  <c r="AS56" i="76"/>
  <c r="U56" i="76"/>
  <c r="AT56" i="76"/>
  <c r="BM56" i="76"/>
  <c r="AJ56" i="76"/>
  <c r="AI56" i="76"/>
  <c r="AH56" i="76"/>
  <c r="BP56" i="76"/>
  <c r="AF56" i="76"/>
  <c r="BG56" i="76"/>
  <c r="BB56" i="76"/>
  <c r="AW56" i="76"/>
  <c r="BD56" i="76"/>
  <c r="AY56" i="76"/>
  <c r="BJ56" i="76"/>
  <c r="V56" i="76"/>
  <c r="AK56" i="76"/>
  <c r="AV56" i="76"/>
  <c r="AU56" i="76"/>
  <c r="BN56" i="76"/>
  <c r="AL56" i="76"/>
  <c r="BI56" i="76"/>
  <c r="AC56" i="76"/>
  <c r="AZ56" i="76"/>
  <c r="X56" i="76"/>
  <c r="BK56" i="76"/>
  <c r="AQ56" i="76"/>
  <c r="S56" i="76"/>
  <c r="AX56" i="76"/>
  <c r="AD56" i="76"/>
  <c r="BA56" i="76"/>
  <c r="AG56" i="76"/>
  <c r="BL56" i="76"/>
  <c r="AN56" i="76"/>
  <c r="BC56" i="76"/>
  <c r="AM56" i="76"/>
  <c r="W56" i="76"/>
  <c r="BF56" i="76"/>
  <c r="AP56" i="76"/>
  <c r="Z56" i="76"/>
  <c r="BE56" i="76"/>
  <c r="AO56" i="76"/>
  <c r="Y56" i="76"/>
  <c r="BH56" i="76"/>
  <c r="AR56" i="76"/>
  <c r="I28" i="142" l="1"/>
  <c r="O50" i="57"/>
  <c r="L50" i="57"/>
  <c r="M52" i="57"/>
  <c r="M53" i="57" s="1"/>
  <c r="I35" i="57"/>
  <c r="K35" i="57"/>
  <c r="H35" i="57"/>
  <c r="J35" i="57"/>
  <c r="N50" i="57"/>
  <c r="J14" i="88"/>
  <c r="J15" i="88"/>
  <c r="K15" i="88"/>
  <c r="AR20" i="76"/>
  <c r="AG20" i="76"/>
  <c r="AW20" i="76"/>
  <c r="BM20" i="76"/>
  <c r="AH20" i="76"/>
  <c r="AX20" i="76"/>
  <c r="BN20" i="76"/>
  <c r="AI20" i="76"/>
  <c r="AY20" i="76"/>
  <c r="BO20" i="76"/>
  <c r="AJ20" i="76"/>
  <c r="BD20" i="76"/>
  <c r="BE20" i="76"/>
  <c r="AA20" i="76"/>
  <c r="BG20" i="76"/>
  <c r="AV20" i="76"/>
  <c r="AC20" i="76"/>
  <c r="AS20" i="76"/>
  <c r="BI20" i="76"/>
  <c r="AD20" i="76"/>
  <c r="AT20" i="76"/>
  <c r="BJ20" i="76"/>
  <c r="AU20" i="76"/>
  <c r="BK20" i="76"/>
  <c r="AZ20" i="76"/>
  <c r="U20" i="76"/>
  <c r="AK20" i="76"/>
  <c r="BA20" i="76"/>
  <c r="V20" i="76"/>
  <c r="AL20" i="76"/>
  <c r="BB20" i="76"/>
  <c r="W20" i="76"/>
  <c r="AM20" i="76"/>
  <c r="BC20" i="76"/>
  <c r="X20" i="76"/>
  <c r="AN20" i="76"/>
  <c r="BH20" i="76"/>
  <c r="Y20" i="76"/>
  <c r="AO20" i="76"/>
  <c r="Z20" i="76"/>
  <c r="AP20" i="76"/>
  <c r="BF20" i="76"/>
  <c r="AQ20" i="76"/>
  <c r="AB20" i="76"/>
  <c r="BL20" i="76"/>
  <c r="AE20" i="76"/>
  <c r="AF20" i="76"/>
  <c r="BP20" i="76"/>
  <c r="AB23" i="76"/>
  <c r="AR23" i="76"/>
  <c r="BH23" i="76"/>
  <c r="Y23" i="76"/>
  <c r="AO23" i="76"/>
  <c r="BE23" i="76"/>
  <c r="Z23" i="76"/>
  <c r="AP23" i="76"/>
  <c r="BF23" i="76"/>
  <c r="AA23" i="76"/>
  <c r="AQ23" i="76"/>
  <c r="BG23" i="76"/>
  <c r="AG23" i="76"/>
  <c r="BM23" i="76"/>
  <c r="AX23" i="76"/>
  <c r="AY23" i="76"/>
  <c r="X23" i="76"/>
  <c r="U23" i="76"/>
  <c r="BA23" i="76"/>
  <c r="AL23" i="76"/>
  <c r="W23" i="76"/>
  <c r="BC23" i="76"/>
  <c r="AF23" i="76"/>
  <c r="AV23" i="76"/>
  <c r="BL23" i="76"/>
  <c r="AC23" i="76"/>
  <c r="AS23" i="76"/>
  <c r="BI23" i="76"/>
  <c r="AD23" i="76"/>
  <c r="AT23" i="76"/>
  <c r="BJ23" i="76"/>
  <c r="AE23" i="76"/>
  <c r="AU23" i="76"/>
  <c r="BK23" i="76"/>
  <c r="AJ23" i="76"/>
  <c r="AZ23" i="76"/>
  <c r="BP23" i="76"/>
  <c r="AW23" i="76"/>
  <c r="AH23" i="76"/>
  <c r="BN23" i="76"/>
  <c r="AI23" i="76"/>
  <c r="BO23" i="76"/>
  <c r="AN23" i="76"/>
  <c r="BD23" i="76"/>
  <c r="AK23" i="76"/>
  <c r="V23" i="76"/>
  <c r="BB23" i="76"/>
  <c r="AM23" i="76"/>
  <c r="D15" i="88"/>
  <c r="AI28" i="76"/>
  <c r="K24" i="88"/>
  <c r="L24" i="88"/>
  <c r="F14" i="88"/>
  <c r="L15" i="88"/>
  <c r="L14" i="88"/>
  <c r="G24" i="88"/>
  <c r="J24" i="88"/>
  <c r="F24" i="88"/>
  <c r="I15" i="88"/>
  <c r="I14" i="88"/>
  <c r="I24" i="88"/>
  <c r="G14" i="88"/>
  <c r="E14" i="88"/>
  <c r="AB28" i="76"/>
  <c r="AW28" i="76"/>
  <c r="AS28" i="76"/>
  <c r="BN28" i="76"/>
  <c r="AR28" i="76"/>
  <c r="BJ28" i="76"/>
  <c r="AH28" i="76"/>
  <c r="BO28" i="76"/>
  <c r="AD28" i="76"/>
  <c r="BH28" i="76"/>
  <c r="AY28" i="76"/>
  <c r="BH25" i="76"/>
  <c r="AU25" i="76"/>
  <c r="AH25" i="76"/>
  <c r="AR25" i="76"/>
  <c r="BA25" i="76"/>
  <c r="AB25" i="76"/>
  <c r="BN25" i="76"/>
  <c r="AC25" i="76"/>
  <c r="AE25" i="76"/>
  <c r="AW25" i="76"/>
  <c r="BK25" i="76"/>
  <c r="AX25" i="76"/>
  <c r="BE28" i="76"/>
  <c r="Y28" i="76"/>
  <c r="AL28" i="76"/>
  <c r="BA28" i="76"/>
  <c r="U28" i="76"/>
  <c r="AP28" i="76"/>
  <c r="BL28" i="76"/>
  <c r="AV28" i="76"/>
  <c r="AF28" i="76"/>
  <c r="N26" i="64"/>
  <c r="BC28" i="76"/>
  <c r="AM28" i="76"/>
  <c r="W28" i="76"/>
  <c r="AS25" i="76"/>
  <c r="Y25" i="76"/>
  <c r="BM25" i="76"/>
  <c r="BL25" i="76"/>
  <c r="AV25" i="76"/>
  <c r="AF25" i="76"/>
  <c r="BO25" i="76"/>
  <c r="AY25" i="76"/>
  <c r="AI25" i="76"/>
  <c r="K26" i="64"/>
  <c r="BB25" i="76"/>
  <c r="AL25" i="76"/>
  <c r="V25" i="76"/>
  <c r="AO28" i="76"/>
  <c r="BB28" i="76"/>
  <c r="V28" i="76"/>
  <c r="AK28" i="76"/>
  <c r="BF28" i="76"/>
  <c r="Z28" i="76"/>
  <c r="BD28" i="76"/>
  <c r="AN28" i="76"/>
  <c r="X28" i="76"/>
  <c r="BK28" i="76"/>
  <c r="AU28" i="76"/>
  <c r="AE28" i="76"/>
  <c r="BE25" i="76"/>
  <c r="AK25" i="76"/>
  <c r="AG25" i="76"/>
  <c r="BD25" i="76"/>
  <c r="AN25" i="76"/>
  <c r="X25" i="76"/>
  <c r="BG25" i="76"/>
  <c r="AQ25" i="76"/>
  <c r="AA25" i="76"/>
  <c r="BJ25" i="76"/>
  <c r="AT25" i="76"/>
  <c r="AD25" i="76"/>
  <c r="BM28" i="76"/>
  <c r="AG28" i="76"/>
  <c r="AT28" i="76"/>
  <c r="BI28" i="76"/>
  <c r="AC28" i="76"/>
  <c r="AX28" i="76"/>
  <c r="BP28" i="76"/>
  <c r="AZ28" i="76"/>
  <c r="AJ28" i="76"/>
  <c r="T28" i="76"/>
  <c r="BG28" i="76"/>
  <c r="AQ28" i="76"/>
  <c r="BI25" i="76"/>
  <c r="AO25" i="76"/>
  <c r="U25" i="76"/>
  <c r="BP25" i="76"/>
  <c r="AZ25" i="76"/>
  <c r="AJ25" i="76"/>
  <c r="T25" i="76"/>
  <c r="BC25" i="76"/>
  <c r="AM25" i="76"/>
  <c r="W25" i="76"/>
  <c r="BF25" i="76"/>
  <c r="AP25" i="76"/>
  <c r="V60" i="76"/>
  <c r="Z60" i="76"/>
  <c r="AD60" i="76"/>
  <c r="AH60" i="76"/>
  <c r="AL60" i="76"/>
  <c r="AP60" i="76"/>
  <c r="AT60" i="76"/>
  <c r="AX60" i="76"/>
  <c r="BB60" i="76"/>
  <c r="BF60" i="76"/>
  <c r="BJ60" i="76"/>
  <c r="BN60" i="76"/>
  <c r="X60" i="76"/>
  <c r="BL60" i="76"/>
  <c r="U60" i="76"/>
  <c r="AC60" i="76"/>
  <c r="AG60" i="76"/>
  <c r="AK60" i="76"/>
  <c r="AO60" i="76"/>
  <c r="AS60" i="76"/>
  <c r="AW60" i="76"/>
  <c r="BA60" i="76"/>
  <c r="BE60" i="76"/>
  <c r="BM60" i="76"/>
  <c r="W60" i="76"/>
  <c r="AA60" i="76"/>
  <c r="AE60" i="76"/>
  <c r="AI60" i="76"/>
  <c r="AM60" i="76"/>
  <c r="AQ60" i="76"/>
  <c r="AU60" i="76"/>
  <c r="AY60" i="76"/>
  <c r="BC60" i="76"/>
  <c r="BG60" i="76"/>
  <c r="BK60" i="76"/>
  <c r="BO60" i="76"/>
  <c r="T60" i="76"/>
  <c r="AB60" i="76"/>
  <c r="AF60" i="76"/>
  <c r="AJ60" i="76"/>
  <c r="AN60" i="76"/>
  <c r="AR60" i="76"/>
  <c r="AV60" i="76"/>
  <c r="AZ60" i="76"/>
  <c r="BD60" i="76"/>
  <c r="BH60" i="76"/>
  <c r="BP60" i="76"/>
  <c r="Y60" i="76"/>
  <c r="BI60" i="76"/>
  <c r="AN44" i="76"/>
  <c r="S44" i="76"/>
  <c r="AK44" i="76"/>
  <c r="BN44" i="76"/>
  <c r="BP44" i="76"/>
  <c r="AD44" i="76"/>
  <c r="BK44" i="76"/>
  <c r="V44" i="76"/>
  <c r="AB44" i="76"/>
  <c r="AM44" i="76"/>
  <c r="AX44" i="76"/>
  <c r="BA44" i="76"/>
  <c r="BL44" i="76"/>
  <c r="T44" i="76"/>
  <c r="BD44" i="76"/>
  <c r="AU44" i="76"/>
  <c r="BB44" i="76"/>
  <c r="AC44" i="76"/>
  <c r="BO44" i="76"/>
  <c r="AE44" i="76"/>
  <c r="AH44" i="76"/>
  <c r="AW44" i="76"/>
  <c r="AZ44" i="76"/>
  <c r="AV44" i="76"/>
  <c r="AY44" i="76"/>
  <c r="W44" i="76"/>
  <c r="AT44" i="76"/>
  <c r="BI44" i="76"/>
  <c r="AG44" i="76"/>
  <c r="AF44" i="76"/>
  <c r="AR44" i="76"/>
  <c r="BC44" i="76"/>
  <c r="AI44" i="76"/>
  <c r="BJ44" i="76"/>
  <c r="AL44" i="76"/>
  <c r="BM44" i="76"/>
  <c r="AS44" i="76"/>
  <c r="U44" i="76"/>
  <c r="X44" i="76"/>
  <c r="BH44" i="76"/>
  <c r="AJ44" i="76"/>
  <c r="BG44" i="76"/>
  <c r="AQ44" i="76"/>
  <c r="AA44" i="76"/>
  <c r="BF44" i="76"/>
  <c r="AP44" i="76"/>
  <c r="Z44" i="76"/>
  <c r="BE44" i="76"/>
  <c r="AO44" i="76"/>
  <c r="Y44" i="76"/>
  <c r="O52" i="57" l="1"/>
  <c r="O53" i="57" s="1"/>
  <c r="L52" i="57"/>
  <c r="L53" i="57" s="1"/>
  <c r="E16" i="167"/>
  <c r="N52" i="57"/>
  <c r="M54" i="57"/>
  <c r="K36" i="57"/>
  <c r="J36" i="57"/>
  <c r="I36" i="57"/>
  <c r="H36" i="57"/>
  <c r="D16" i="89"/>
  <c r="G16" i="89"/>
  <c r="J25" i="88"/>
  <c r="K25" i="88"/>
  <c r="L16" i="89"/>
  <c r="G25" i="88"/>
  <c r="F25" i="88"/>
  <c r="I16" i="89"/>
  <c r="E15" i="88"/>
  <c r="E24" i="88"/>
  <c r="T49" i="76"/>
  <c r="T32" i="76" s="1"/>
  <c r="X49" i="76"/>
  <c r="X32" i="76" s="1"/>
  <c r="AB49" i="76"/>
  <c r="AB32" i="76" s="1"/>
  <c r="AF49" i="76"/>
  <c r="AF32" i="76" s="1"/>
  <c r="AJ49" i="76"/>
  <c r="AJ32" i="76" s="1"/>
  <c r="AN49" i="76"/>
  <c r="AN32" i="76" s="1"/>
  <c r="AR49" i="76"/>
  <c r="AR32" i="76" s="1"/>
  <c r="AV49" i="76"/>
  <c r="AV32" i="76" s="1"/>
  <c r="AZ49" i="76"/>
  <c r="AZ32" i="76" s="1"/>
  <c r="BD49" i="76"/>
  <c r="BD32" i="76" s="1"/>
  <c r="BH49" i="76"/>
  <c r="BH32" i="76" s="1"/>
  <c r="BL49" i="76"/>
  <c r="BL32" i="76" s="1"/>
  <c r="BP49" i="76"/>
  <c r="BP32" i="76" s="1"/>
  <c r="U49" i="76"/>
  <c r="U32" i="76" s="1"/>
  <c r="Y49" i="76"/>
  <c r="Y32" i="76" s="1"/>
  <c r="AC49" i="76"/>
  <c r="AC32" i="76" s="1"/>
  <c r="AG49" i="76"/>
  <c r="AG32" i="76" s="1"/>
  <c r="AK49" i="76"/>
  <c r="AK32" i="76" s="1"/>
  <c r="AO49" i="76"/>
  <c r="AO32" i="76" s="1"/>
  <c r="AS49" i="76"/>
  <c r="AS32" i="76" s="1"/>
  <c r="AW49" i="76"/>
  <c r="AW32" i="76" s="1"/>
  <c r="BA49" i="76"/>
  <c r="BA32" i="76" s="1"/>
  <c r="BE49" i="76"/>
  <c r="BE32" i="76" s="1"/>
  <c r="BI49" i="76"/>
  <c r="BI32" i="76" s="1"/>
  <c r="BM49" i="76"/>
  <c r="BM32" i="76" s="1"/>
  <c r="V49" i="76"/>
  <c r="V32" i="76" s="1"/>
  <c r="Z49" i="76"/>
  <c r="Z32" i="76" s="1"/>
  <c r="AD49" i="76"/>
  <c r="AD32" i="76" s="1"/>
  <c r="AH49" i="76"/>
  <c r="AH32" i="76" s="1"/>
  <c r="AL49" i="76"/>
  <c r="AL32" i="76" s="1"/>
  <c r="AP49" i="76"/>
  <c r="AP32" i="76" s="1"/>
  <c r="AT49" i="76"/>
  <c r="AT32" i="76" s="1"/>
  <c r="AX49" i="76"/>
  <c r="AX32" i="76" s="1"/>
  <c r="BB49" i="76"/>
  <c r="BB32" i="76" s="1"/>
  <c r="BF49" i="76"/>
  <c r="BF32" i="76" s="1"/>
  <c r="BJ49" i="76"/>
  <c r="BJ32" i="76" s="1"/>
  <c r="BN49" i="76"/>
  <c r="BN32" i="76" s="1"/>
  <c r="W49" i="76"/>
  <c r="W32" i="76" s="1"/>
  <c r="AA49" i="76"/>
  <c r="AA32" i="76" s="1"/>
  <c r="AE49" i="76"/>
  <c r="AE32" i="76" s="1"/>
  <c r="AI49" i="76"/>
  <c r="AI32" i="76" s="1"/>
  <c r="AM49" i="76"/>
  <c r="AM32" i="76" s="1"/>
  <c r="AQ49" i="76"/>
  <c r="AQ32" i="76" s="1"/>
  <c r="AU49" i="76"/>
  <c r="AU32" i="76" s="1"/>
  <c r="AY49" i="76"/>
  <c r="AY32" i="76" s="1"/>
  <c r="BC49" i="76"/>
  <c r="BC32" i="76" s="1"/>
  <c r="BG49" i="76"/>
  <c r="BG32" i="76" s="1"/>
  <c r="BK49" i="76"/>
  <c r="BK32" i="76" s="1"/>
  <c r="BO49" i="76"/>
  <c r="BO32" i="76" s="1"/>
  <c r="O54" i="57" l="1"/>
  <c r="O56" i="57" s="1"/>
  <c r="L54" i="57"/>
  <c r="L56" i="57" s="1"/>
  <c r="M56" i="57"/>
  <c r="N53" i="57"/>
  <c r="J38" i="57"/>
  <c r="I38" i="57"/>
  <c r="H38" i="57"/>
  <c r="K38" i="57"/>
  <c r="D26" i="88"/>
  <c r="D25" i="88"/>
  <c r="I25" i="88"/>
  <c r="I26" i="88"/>
  <c r="L25" i="88"/>
  <c r="J27" i="88"/>
  <c r="J26" i="88"/>
  <c r="E25" i="88"/>
  <c r="G27" i="88"/>
  <c r="G26" i="88"/>
  <c r="F27" i="88"/>
  <c r="F26" i="88"/>
  <c r="I43" i="57" l="1"/>
  <c r="N54" i="57"/>
  <c r="I49" i="57"/>
  <c r="I42" i="57"/>
  <c r="H49" i="57"/>
  <c r="H43" i="57"/>
  <c r="H42" i="57"/>
  <c r="K49" i="57"/>
  <c r="K43" i="57"/>
  <c r="K42" i="57"/>
  <c r="J42" i="57"/>
  <c r="J49" i="57"/>
  <c r="J43" i="57"/>
  <c r="K26" i="88"/>
  <c r="K27" i="88"/>
  <c r="D27" i="88"/>
  <c r="I27" i="88"/>
  <c r="L26" i="88"/>
  <c r="E26" i="88"/>
  <c r="N56" i="57" l="1"/>
  <c r="J50" i="57"/>
  <c r="K50" i="57"/>
  <c r="H50" i="57"/>
  <c r="L59" i="57"/>
  <c r="N59" i="57"/>
  <c r="E27" i="88"/>
  <c r="G30" i="88"/>
  <c r="J37" i="88"/>
  <c r="J30" i="88"/>
  <c r="F31" i="88"/>
  <c r="F30" i="88"/>
  <c r="J31" i="88"/>
  <c r="L27" i="88"/>
  <c r="K30" i="88"/>
  <c r="N60" i="57" l="1"/>
  <c r="H52" i="57"/>
  <c r="H53" i="57" s="1"/>
  <c r="K52" i="57"/>
  <c r="J52" i="57"/>
  <c r="K27" i="64"/>
  <c r="K29" i="64"/>
  <c r="M29" i="64"/>
  <c r="M27" i="64"/>
  <c r="L60" i="57"/>
  <c r="M59" i="57"/>
  <c r="O59" i="57"/>
  <c r="I37" i="88"/>
  <c r="D37" i="88"/>
  <c r="D31" i="88"/>
  <c r="D30" i="88"/>
  <c r="I31" i="88"/>
  <c r="G38" i="88"/>
  <c r="G37" i="88"/>
  <c r="F37" i="88"/>
  <c r="F38" i="88"/>
  <c r="G31" i="88"/>
  <c r="K31" i="88"/>
  <c r="K37" i="88"/>
  <c r="E30" i="88"/>
  <c r="E37" i="88"/>
  <c r="E31" i="88"/>
  <c r="G20" i="76" l="1"/>
  <c r="Q20" i="76" s="1"/>
  <c r="G27" i="76"/>
  <c r="J53" i="57"/>
  <c r="G25" i="76"/>
  <c r="Q25" i="76" s="1"/>
  <c r="K53" i="57"/>
  <c r="H54" i="57"/>
  <c r="K30" i="64"/>
  <c r="L29" i="64"/>
  <c r="L27" i="64"/>
  <c r="N29" i="64"/>
  <c r="N27" i="64"/>
  <c r="O60" i="57"/>
  <c r="M60" i="57"/>
  <c r="J41" i="88"/>
  <c r="J38" i="88"/>
  <c r="I30" i="88"/>
  <c r="K38" i="88"/>
  <c r="L30" i="88"/>
  <c r="L31" i="88"/>
  <c r="L37" i="88"/>
  <c r="K31" i="64" l="1"/>
  <c r="G22" i="76"/>
  <c r="K54" i="57"/>
  <c r="G26" i="76"/>
  <c r="H59" i="57"/>
  <c r="H56" i="57"/>
  <c r="J54" i="57"/>
  <c r="G28" i="76"/>
  <c r="Q28" i="76" s="1"/>
  <c r="N30" i="64"/>
  <c r="D38" i="88"/>
  <c r="J46" i="88"/>
  <c r="J43" i="88"/>
  <c r="J40" i="88"/>
  <c r="I38" i="88"/>
  <c r="L38" i="88"/>
  <c r="G40" i="88"/>
  <c r="Q26" i="76" l="1"/>
  <c r="S26" i="76" s="1"/>
  <c r="N31" i="64"/>
  <c r="K59" i="57"/>
  <c r="K56" i="57"/>
  <c r="H60" i="57"/>
  <c r="G27" i="64"/>
  <c r="G29" i="64"/>
  <c r="J59" i="57"/>
  <c r="J56" i="57"/>
  <c r="D43" i="88"/>
  <c r="R57" i="76"/>
  <c r="AY57" i="76" s="1"/>
  <c r="AY22" i="76" s="1"/>
  <c r="D41" i="88"/>
  <c r="D40" i="88"/>
  <c r="J19" i="89"/>
  <c r="F41" i="88"/>
  <c r="F40" i="88"/>
  <c r="I40" i="88"/>
  <c r="K41" i="88"/>
  <c r="K40" i="88"/>
  <c r="G41" i="88"/>
  <c r="J27" i="64" l="1"/>
  <c r="F46" i="88"/>
  <c r="K60" i="57"/>
  <c r="G43" i="88"/>
  <c r="F43" i="88"/>
  <c r="J29" i="64"/>
  <c r="G30" i="64"/>
  <c r="G23" i="76"/>
  <c r="I27" i="64"/>
  <c r="J60" i="57"/>
  <c r="I29" i="64"/>
  <c r="I41" i="88"/>
  <c r="D17" i="89"/>
  <c r="D19" i="89"/>
  <c r="D47" i="88"/>
  <c r="D46" i="88"/>
  <c r="J47" i="88"/>
  <c r="J17" i="89"/>
  <c r="I43" i="88"/>
  <c r="K43" i="88"/>
  <c r="AO57" i="76"/>
  <c r="AO22" i="76" s="1"/>
  <c r="AP57" i="76"/>
  <c r="AP22" i="76" s="1"/>
  <c r="AN57" i="76"/>
  <c r="AN22" i="76" s="1"/>
  <c r="AK57" i="76"/>
  <c r="AK22" i="76" s="1"/>
  <c r="AZ57" i="76"/>
  <c r="AZ22" i="76" s="1"/>
  <c r="BI57" i="76"/>
  <c r="BI22" i="76" s="1"/>
  <c r="BK57" i="76"/>
  <c r="BK22" i="76" s="1"/>
  <c r="BC57" i="76"/>
  <c r="BC22" i="76" s="1"/>
  <c r="AT57" i="76"/>
  <c r="AT22" i="76" s="1"/>
  <c r="AX57" i="76"/>
  <c r="AX22" i="76" s="1"/>
  <c r="BF57" i="76"/>
  <c r="BF22" i="76" s="1"/>
  <c r="Z57" i="76"/>
  <c r="Z22" i="76" s="1"/>
  <c r="BA57" i="76"/>
  <c r="BA22" i="76" s="1"/>
  <c r="AB57" i="76"/>
  <c r="AB22" i="76" s="1"/>
  <c r="AI57" i="76"/>
  <c r="AI22" i="76" s="1"/>
  <c r="AJ57" i="76"/>
  <c r="AJ22" i="76" s="1"/>
  <c r="AG57" i="76"/>
  <c r="AG22" i="76" s="1"/>
  <c r="AS57" i="76"/>
  <c r="AS22" i="76" s="1"/>
  <c r="S57" i="76"/>
  <c r="S22" i="76" s="1"/>
  <c r="X57" i="76"/>
  <c r="X22" i="76" s="1"/>
  <c r="BB57" i="76"/>
  <c r="BB22" i="76" s="1"/>
  <c r="Y57" i="76"/>
  <c r="Y22" i="76" s="1"/>
  <c r="AC57" i="76"/>
  <c r="AC22" i="76" s="1"/>
  <c r="BJ57" i="76"/>
  <c r="BJ22" i="76" s="1"/>
  <c r="AF57" i="76"/>
  <c r="AF22" i="76" s="1"/>
  <c r="AA57" i="76"/>
  <c r="AA22" i="76" s="1"/>
  <c r="AQ57" i="76"/>
  <c r="AQ22" i="76" s="1"/>
  <c r="BD57" i="76"/>
  <c r="BD22" i="76" s="1"/>
  <c r="V57" i="76"/>
  <c r="V22" i="76" s="1"/>
  <c r="AE57" i="76"/>
  <c r="AE22" i="76" s="1"/>
  <c r="AR57" i="76"/>
  <c r="AR22" i="76" s="1"/>
  <c r="BE57" i="76"/>
  <c r="BE22" i="76" s="1"/>
  <c r="BO57" i="76"/>
  <c r="BO22" i="76" s="1"/>
  <c r="BN57" i="76"/>
  <c r="BN22" i="76" s="1"/>
  <c r="BP57" i="76"/>
  <c r="BP22" i="76" s="1"/>
  <c r="AM57" i="76"/>
  <c r="AM22" i="76" s="1"/>
  <c r="BM57" i="76"/>
  <c r="BM22" i="76" s="1"/>
  <c r="BL57" i="76"/>
  <c r="BL22" i="76" s="1"/>
  <c r="BG57" i="76"/>
  <c r="BG22" i="76" s="1"/>
  <c r="U57" i="76"/>
  <c r="U22" i="76" s="1"/>
  <c r="AH57" i="76"/>
  <c r="AH22" i="76" s="1"/>
  <c r="AU57" i="76"/>
  <c r="AU22" i="76" s="1"/>
  <c r="BH57" i="76"/>
  <c r="BH22" i="76" s="1"/>
  <c r="AD57" i="76"/>
  <c r="AD22" i="76" s="1"/>
  <c r="AV57" i="76"/>
  <c r="AV22" i="76" s="1"/>
  <c r="W57" i="76"/>
  <c r="W22" i="76" s="1"/>
  <c r="AW57" i="76"/>
  <c r="AW22" i="76" s="1"/>
  <c r="T57" i="76"/>
  <c r="T22" i="76" s="1"/>
  <c r="AL57" i="76"/>
  <c r="AL22" i="76" s="1"/>
  <c r="G46" i="88"/>
  <c r="L40" i="88"/>
  <c r="L41" i="88"/>
  <c r="L43" i="88"/>
  <c r="L46" i="88"/>
  <c r="F19" i="89" l="1"/>
  <c r="F17" i="89"/>
  <c r="G31" i="64"/>
  <c r="G17" i="89"/>
  <c r="J30" i="64"/>
  <c r="F47" i="88"/>
  <c r="G19" i="89"/>
  <c r="D15" i="68"/>
  <c r="D22" i="68" s="1"/>
  <c r="I26" i="64"/>
  <c r="G47" i="88"/>
  <c r="Q23" i="76"/>
  <c r="AG26" i="76"/>
  <c r="BN26" i="76"/>
  <c r="V26" i="76"/>
  <c r="AZ26" i="76"/>
  <c r="L26" i="64"/>
  <c r="BE26" i="76"/>
  <c r="BB26" i="76"/>
  <c r="AJ26" i="76"/>
  <c r="BA26" i="76"/>
  <c r="AW26" i="76"/>
  <c r="W26" i="76"/>
  <c r="AM26" i="76"/>
  <c r="AT26" i="76"/>
  <c r="AF26" i="76"/>
  <c r="AS26" i="76"/>
  <c r="BD26" i="76"/>
  <c r="AD26" i="76"/>
  <c r="AO26" i="76"/>
  <c r="BP26" i="76"/>
  <c r="AU26" i="76"/>
  <c r="BG26" i="76"/>
  <c r="AX26" i="76"/>
  <c r="AL26" i="76"/>
  <c r="AK26" i="76"/>
  <c r="BJ26" i="76"/>
  <c r="BI26" i="76"/>
  <c r="BH26" i="76"/>
  <c r="AB26" i="76"/>
  <c r="AP26" i="76"/>
  <c r="AE26" i="76"/>
  <c r="BF26" i="76"/>
  <c r="AH26" i="76"/>
  <c r="U26" i="76"/>
  <c r="T26" i="76"/>
  <c r="AY26" i="76"/>
  <c r="AQ26" i="76"/>
  <c r="BL26" i="76"/>
  <c r="BK26" i="76"/>
  <c r="Z26" i="76"/>
  <c r="BM26" i="76"/>
  <c r="AC26" i="76"/>
  <c r="AN26" i="76"/>
  <c r="X26" i="76"/>
  <c r="Y26" i="76"/>
  <c r="AI26" i="76"/>
  <c r="AA26" i="76"/>
  <c r="AV26" i="76"/>
  <c r="BO26" i="76"/>
  <c r="BC26" i="76"/>
  <c r="AR26" i="76"/>
  <c r="K19" i="89"/>
  <c r="K46" i="88"/>
  <c r="I46" i="88"/>
  <c r="I17" i="89"/>
  <c r="I19" i="89"/>
  <c r="K17" i="89"/>
  <c r="L19" i="89"/>
  <c r="J31" i="64" l="1"/>
  <c r="F16" i="89"/>
  <c r="I30" i="64"/>
  <c r="L30" i="64"/>
  <c r="J16" i="89"/>
  <c r="D21" i="89"/>
  <c r="D22" i="89" s="1"/>
  <c r="I47" i="88"/>
  <c r="K47" i="88"/>
  <c r="R45" i="76"/>
  <c r="L47" i="88"/>
  <c r="L17" i="89"/>
  <c r="I31" i="64" l="1"/>
  <c r="L31" i="64"/>
  <c r="F15" i="68"/>
  <c r="I21" i="89"/>
  <c r="I22" i="89" s="1"/>
  <c r="D15" i="67"/>
  <c r="D22" i="67" s="1"/>
  <c r="G21" i="89"/>
  <c r="G15" i="68"/>
  <c r="BF45" i="76"/>
  <c r="BF27" i="76" s="1"/>
  <c r="AO45" i="76"/>
  <c r="AO27" i="76" s="1"/>
  <c r="AS45" i="76"/>
  <c r="AS27" i="76" s="1"/>
  <c r="BG45" i="76"/>
  <c r="BG27" i="76" s="1"/>
  <c r="AF45" i="76"/>
  <c r="AF27" i="76" s="1"/>
  <c r="AY45" i="76"/>
  <c r="AY27" i="76" s="1"/>
  <c r="BL45" i="76"/>
  <c r="BL27" i="76" s="1"/>
  <c r="BO45" i="76"/>
  <c r="BO27" i="76" s="1"/>
  <c r="BC45" i="76"/>
  <c r="BC27" i="76" s="1"/>
  <c r="BK45" i="76"/>
  <c r="BK27" i="76" s="1"/>
  <c r="BM45" i="76"/>
  <c r="BM27" i="76" s="1"/>
  <c r="AQ45" i="76"/>
  <c r="AQ27" i="76" s="1"/>
  <c r="AE45" i="76"/>
  <c r="AE27" i="76" s="1"/>
  <c r="BP45" i="76"/>
  <c r="BP27" i="76" s="1"/>
  <c r="AD45" i="76"/>
  <c r="AD27" i="76" s="1"/>
  <c r="AP45" i="76"/>
  <c r="AP27" i="76" s="1"/>
  <c r="X45" i="76"/>
  <c r="X27" i="76" s="1"/>
  <c r="Y45" i="76"/>
  <c r="Y27" i="76" s="1"/>
  <c r="BJ45" i="76"/>
  <c r="BJ27" i="76" s="1"/>
  <c r="AJ45" i="76"/>
  <c r="AJ27" i="76" s="1"/>
  <c r="AN45" i="76"/>
  <c r="AN27" i="76" s="1"/>
  <c r="AT45" i="76"/>
  <c r="AT27" i="76" s="1"/>
  <c r="AH45" i="76"/>
  <c r="AH27" i="76" s="1"/>
  <c r="BA45" i="76"/>
  <c r="BA27" i="76" s="1"/>
  <c r="AC45" i="76"/>
  <c r="AC27" i="76" s="1"/>
  <c r="AU45" i="76"/>
  <c r="AU27" i="76" s="1"/>
  <c r="AL45" i="76"/>
  <c r="AL27" i="76" s="1"/>
  <c r="BD45" i="76"/>
  <c r="BD27" i="76" s="1"/>
  <c r="AR45" i="76"/>
  <c r="AR27" i="76" s="1"/>
  <c r="S45" i="76"/>
  <c r="S27" i="76" s="1"/>
  <c r="BH45" i="76"/>
  <c r="BH27" i="76" s="1"/>
  <c r="AX45" i="76"/>
  <c r="AX27" i="76" s="1"/>
  <c r="T45" i="76"/>
  <c r="T27" i="76" s="1"/>
  <c r="AM45" i="76"/>
  <c r="AM27" i="76" s="1"/>
  <c r="Z45" i="76"/>
  <c r="Z27" i="76" s="1"/>
  <c r="AV45" i="76"/>
  <c r="AV27" i="76" s="1"/>
  <c r="AA45" i="76"/>
  <c r="AA27" i="76" s="1"/>
  <c r="BB45" i="76"/>
  <c r="BB27" i="76" s="1"/>
  <c r="AW45" i="76"/>
  <c r="AW27" i="76" s="1"/>
  <c r="BI45" i="76"/>
  <c r="BI27" i="76" s="1"/>
  <c r="AG45" i="76"/>
  <c r="AG27" i="76" s="1"/>
  <c r="BE45" i="76"/>
  <c r="BE27" i="76" s="1"/>
  <c r="W45" i="76"/>
  <c r="W27" i="76" s="1"/>
  <c r="AK45" i="76"/>
  <c r="AK27" i="76" s="1"/>
  <c r="V45" i="76"/>
  <c r="V27" i="76" s="1"/>
  <c r="BN45" i="76"/>
  <c r="BN27" i="76" s="1"/>
  <c r="AI45" i="76"/>
  <c r="AI27" i="76" s="1"/>
  <c r="U45" i="76"/>
  <c r="U27" i="76" s="1"/>
  <c r="AZ45" i="76"/>
  <c r="AZ27" i="76" s="1"/>
  <c r="AB45" i="76"/>
  <c r="AB27" i="76" s="1"/>
  <c r="E15" i="67"/>
  <c r="F21" i="89"/>
  <c r="F22" i="68" l="1"/>
  <c r="F22" i="89"/>
  <c r="G22" i="89"/>
  <c r="M26" i="64"/>
  <c r="G15" i="67"/>
  <c r="G22" i="67" s="1"/>
  <c r="E22" i="67"/>
  <c r="J21" i="89"/>
  <c r="L21" i="89"/>
  <c r="G22" i="68"/>
  <c r="L22" i="89" l="1"/>
  <c r="J22" i="89"/>
  <c r="M30" i="64"/>
  <c r="K16" i="89"/>
  <c r="G17" i="4"/>
  <c r="G7" i="4"/>
  <c r="A26" i="4" s="1"/>
  <c r="G6" i="4"/>
  <c r="E69" i="3"/>
  <c r="AN67" i="3"/>
  <c r="AO67" i="3"/>
  <c r="AP67" i="3"/>
  <c r="AQ67" i="3"/>
  <c r="AR67" i="3"/>
  <c r="AS67" i="3"/>
  <c r="AT67" i="3"/>
  <c r="AU67" i="3"/>
  <c r="AV67" i="3"/>
  <c r="AW67" i="3"/>
  <c r="AX67" i="3"/>
  <c r="AY67" i="3"/>
  <c r="AZ67" i="3"/>
  <c r="BA67" i="3"/>
  <c r="BB67" i="3"/>
  <c r="E8" i="3"/>
  <c r="E44" i="3" s="1"/>
  <c r="AN63" i="3"/>
  <c r="AO63" i="3"/>
  <c r="AP63" i="3"/>
  <c r="AQ63" i="3"/>
  <c r="AR63" i="3"/>
  <c r="AS63" i="3"/>
  <c r="AT63" i="3"/>
  <c r="AU63" i="3"/>
  <c r="AV63" i="3"/>
  <c r="AW63" i="3"/>
  <c r="AX63" i="3"/>
  <c r="AY63" i="3"/>
  <c r="AZ63" i="3"/>
  <c r="BA63" i="3"/>
  <c r="BB63" i="3"/>
  <c r="BB93" i="3"/>
  <c r="BB94" i="3" s="1"/>
  <c r="BB82" i="3" s="1"/>
  <c r="BA93" i="3"/>
  <c r="BA94" i="3" s="1"/>
  <c r="BA82" i="3" s="1"/>
  <c r="AZ93" i="3"/>
  <c r="AZ94" i="3" s="1"/>
  <c r="AZ82" i="3" s="1"/>
  <c r="AY93" i="3"/>
  <c r="AY94" i="3" s="1"/>
  <c r="AY82" i="3" s="1"/>
  <c r="AX93" i="3"/>
  <c r="AX94" i="3" s="1"/>
  <c r="AX82" i="3" s="1"/>
  <c r="AW93" i="3"/>
  <c r="AW94" i="3" s="1"/>
  <c r="AW82" i="3" s="1"/>
  <c r="AV93" i="3"/>
  <c r="AV94" i="3" s="1"/>
  <c r="AV82" i="3" s="1"/>
  <c r="AU93" i="3"/>
  <c r="AU94" i="3" s="1"/>
  <c r="AU82" i="3" s="1"/>
  <c r="AT93" i="3"/>
  <c r="AT94" i="3" s="1"/>
  <c r="AT82" i="3" s="1"/>
  <c r="AS93" i="3"/>
  <c r="AS94" i="3" s="1"/>
  <c r="AS82" i="3" s="1"/>
  <c r="AR93" i="3"/>
  <c r="AR94" i="3" s="1"/>
  <c r="AR82" i="3" s="1"/>
  <c r="AQ93" i="3"/>
  <c r="AQ94" i="3" s="1"/>
  <c r="AQ82" i="3" s="1"/>
  <c r="AP93" i="3"/>
  <c r="AP94" i="3" s="1"/>
  <c r="AP82" i="3" s="1"/>
  <c r="AO93" i="3"/>
  <c r="AN93" i="3"/>
  <c r="AN94" i="3" s="1"/>
  <c r="AN82" i="3" s="1"/>
  <c r="BB85" i="3"/>
  <c r="BB86" i="3" s="1"/>
  <c r="BB79" i="3" s="1"/>
  <c r="BA85" i="3"/>
  <c r="BA86" i="3" s="1"/>
  <c r="BA79" i="3" s="1"/>
  <c r="AZ85" i="3"/>
  <c r="AZ86" i="3" s="1"/>
  <c r="AZ79" i="3" s="1"/>
  <c r="AY85" i="3"/>
  <c r="AY86" i="3" s="1"/>
  <c r="AY79" i="3" s="1"/>
  <c r="AX85" i="3"/>
  <c r="AX86" i="3" s="1"/>
  <c r="AX79" i="3" s="1"/>
  <c r="AW85" i="3"/>
  <c r="AW86" i="3" s="1"/>
  <c r="AW79" i="3" s="1"/>
  <c r="AV85" i="3"/>
  <c r="AU85" i="3"/>
  <c r="AU86" i="3" s="1"/>
  <c r="AU79" i="3" s="1"/>
  <c r="AT85" i="3"/>
  <c r="AT86" i="3" s="1"/>
  <c r="AT79" i="3" s="1"/>
  <c r="AS85" i="3"/>
  <c r="AS86" i="3" s="1"/>
  <c r="AS79" i="3" s="1"/>
  <c r="AR85" i="3"/>
  <c r="AQ85" i="3"/>
  <c r="AQ86" i="3" s="1"/>
  <c r="AQ79" i="3" s="1"/>
  <c r="AP85" i="3"/>
  <c r="AP86" i="3" s="1"/>
  <c r="AP79" i="3" s="1"/>
  <c r="AO85" i="3"/>
  <c r="AO86" i="3" s="1"/>
  <c r="AO79" i="3" s="1"/>
  <c r="AN85" i="3"/>
  <c r="C82" i="3"/>
  <c r="C79" i="3"/>
  <c r="M31" i="64" l="1"/>
  <c r="K21" i="89"/>
  <c r="F15" i="67"/>
  <c r="F22" i="67" s="1"/>
  <c r="L24" i="4"/>
  <c r="H17" i="4"/>
  <c r="AS100" i="3"/>
  <c r="AP100" i="3"/>
  <c r="AN100" i="3"/>
  <c r="AT100" i="3"/>
  <c r="AU100" i="3"/>
  <c r="AV100" i="3"/>
  <c r="AO100" i="3"/>
  <c r="BB100" i="3"/>
  <c r="AW100" i="3"/>
  <c r="AX100" i="3"/>
  <c r="AR100" i="3"/>
  <c r="AZ100" i="3"/>
  <c r="AS69" i="3"/>
  <c r="Y69" i="3"/>
  <c r="G69" i="3"/>
  <c r="AO69" i="3"/>
  <c r="X69" i="3"/>
  <c r="AI69" i="3"/>
  <c r="Q69" i="3"/>
  <c r="AZ69" i="3"/>
  <c r="AG69" i="3"/>
  <c r="M69" i="3"/>
  <c r="AW69" i="3"/>
  <c r="AN69" i="3"/>
  <c r="AE69" i="3"/>
  <c r="T69" i="3"/>
  <c r="L69" i="3"/>
  <c r="AU69" i="3"/>
  <c r="AM69" i="3"/>
  <c r="AB69" i="3"/>
  <c r="S69" i="3"/>
  <c r="I69" i="3"/>
  <c r="AY69" i="3"/>
  <c r="AR69" i="3"/>
  <c r="AJ69" i="3"/>
  <c r="AC69" i="3"/>
  <c r="W69" i="3"/>
  <c r="O69" i="3"/>
  <c r="H69" i="3"/>
  <c r="AV86" i="3"/>
  <c r="AV79" i="3" s="1"/>
  <c r="AR86" i="3"/>
  <c r="AR79" i="3" s="1"/>
  <c r="AQ100" i="3"/>
  <c r="BA100" i="3"/>
  <c r="AO94" i="3"/>
  <c r="AO82" i="3" s="1"/>
  <c r="AN86" i="3"/>
  <c r="AN79" i="3" s="1"/>
  <c r="AY100" i="3"/>
  <c r="D34" i="3"/>
  <c r="BA69" i="3"/>
  <c r="AV69" i="3"/>
  <c r="AQ69" i="3"/>
  <c r="AK69" i="3"/>
  <c r="AF69" i="3"/>
  <c r="AA69" i="3"/>
  <c r="U69" i="3"/>
  <c r="P69" i="3"/>
  <c r="K69" i="3"/>
  <c r="F69" i="3"/>
  <c r="J69" i="3"/>
  <c r="N69" i="3"/>
  <c r="R69" i="3"/>
  <c r="V69" i="3"/>
  <c r="Z69" i="3"/>
  <c r="AD69" i="3"/>
  <c r="AH69" i="3"/>
  <c r="AL69" i="3"/>
  <c r="AP69" i="3"/>
  <c r="AT69" i="3"/>
  <c r="AX69" i="3"/>
  <c r="BB69" i="3"/>
  <c r="K22" i="89" l="1"/>
  <c r="AA24" i="4"/>
  <c r="J24" i="4"/>
  <c r="I24" i="4"/>
  <c r="AN24" i="4"/>
  <c r="S24" i="4"/>
  <c r="N24" i="4"/>
  <c r="O24" i="4"/>
  <c r="AL24" i="4"/>
  <c r="AG24" i="4"/>
  <c r="X24" i="4"/>
  <c r="G24" i="4"/>
  <c r="AD24" i="4"/>
  <c r="AC24" i="4"/>
  <c r="T24" i="4"/>
  <c r="AM24" i="4"/>
  <c r="M24" i="4"/>
  <c r="F24" i="4"/>
  <c r="Z24" i="4"/>
  <c r="AS24" i="4"/>
  <c r="U24" i="4"/>
  <c r="AJ24" i="4"/>
  <c r="P24" i="4"/>
  <c r="AE24" i="4"/>
  <c r="AI24" i="4"/>
  <c r="AP24" i="4"/>
  <c r="V24" i="4"/>
  <c r="AK24" i="4"/>
  <c r="Q24" i="4"/>
  <c r="AF24" i="4"/>
  <c r="H24" i="4"/>
  <c r="W24" i="4"/>
  <c r="AQ24" i="4"/>
  <c r="K24" i="4"/>
  <c r="AH24" i="4"/>
  <c r="R24" i="4"/>
  <c r="AO24" i="4"/>
  <c r="Y24" i="4"/>
  <c r="AR24" i="4"/>
  <c r="AB24" i="4"/>
  <c r="I17" i="4"/>
  <c r="F26" i="4" l="1"/>
  <c r="J17" i="4"/>
  <c r="K17" i="4" l="1"/>
  <c r="L17" i="4" l="1"/>
  <c r="AV64" i="3"/>
  <c r="AN64" i="3"/>
  <c r="AW64" i="3"/>
  <c r="AO64" i="3"/>
  <c r="BB64" i="3"/>
  <c r="AT64" i="3"/>
  <c r="AU64" i="3"/>
  <c r="AZ64" i="3"/>
  <c r="AR64" i="3"/>
  <c r="BA64" i="3"/>
  <c r="AS64" i="3"/>
  <c r="AX64" i="3"/>
  <c r="AP64" i="3"/>
  <c r="AY64" i="3"/>
  <c r="AQ64" i="3"/>
  <c r="M17" i="4" l="1"/>
  <c r="N17" i="4" l="1"/>
  <c r="O17" i="4" l="1"/>
  <c r="P17" i="4" l="1"/>
  <c r="Q17" i="4" l="1"/>
  <c r="R17" i="4" l="1"/>
  <c r="S17" i="4" l="1"/>
  <c r="T17" i="4" l="1"/>
  <c r="U17" i="4" l="1"/>
  <c r="V17" i="4" l="1"/>
  <c r="W17" i="4" l="1"/>
  <c r="X17" i="4" l="1"/>
  <c r="Y17" i="4" l="1"/>
  <c r="Z17" i="4" l="1"/>
  <c r="AA17" i="4" l="1"/>
  <c r="AB17" i="4" l="1"/>
  <c r="AC17" i="4" l="1"/>
  <c r="AD17" i="4" l="1"/>
  <c r="AE17" i="4" l="1"/>
  <c r="AF17" i="4" l="1"/>
  <c r="AG17" i="4" l="1"/>
  <c r="AH17" i="4" l="1"/>
  <c r="AI17" i="4" l="1"/>
  <c r="AJ17" i="4" l="1"/>
  <c r="AK17" i="4" l="1"/>
  <c r="AL17" i="4" l="1"/>
  <c r="AM17" i="4" l="1"/>
  <c r="AN17" i="4" l="1"/>
  <c r="AO17" i="4" l="1"/>
  <c r="AP17" i="4" l="1"/>
  <c r="AQ17" i="4" l="1"/>
  <c r="AR17" i="4" l="1"/>
  <c r="AS17" i="4" l="1"/>
  <c r="AS26" i="4" l="1"/>
  <c r="AP26" i="4" l="1"/>
  <c r="AQ26" i="4" l="1"/>
  <c r="AR26" i="4" l="1"/>
  <c r="F46" i="97" l="1"/>
  <c r="F40" i="97" l="1"/>
  <c r="F48" i="97" s="1"/>
  <c r="F50" i="97" s="1"/>
  <c r="F53" i="97" s="1"/>
  <c r="F54" i="97" s="1"/>
  <c r="E44" i="60"/>
  <c r="E46" i="60" l="1"/>
  <c r="I48" i="57"/>
  <c r="E49" i="60" l="1"/>
  <c r="E50" i="60" s="1"/>
  <c r="E51" i="60" s="1"/>
  <c r="E54" i="60" s="1"/>
  <c r="E36" i="88"/>
  <c r="I50" i="57"/>
  <c r="E55" i="60" l="1"/>
  <c r="E48" i="60"/>
  <c r="E38" i="88"/>
  <c r="I52" i="57"/>
  <c r="I53" i="57" l="1"/>
  <c r="I54" i="57" l="1"/>
  <c r="E40" i="88"/>
  <c r="G21" i="76"/>
  <c r="Q21" i="76" s="1"/>
  <c r="I56" i="57" l="1"/>
  <c r="E41" i="88"/>
  <c r="I59" i="57"/>
  <c r="AQ21" i="76"/>
  <c r="AQ9" i="76" s="1"/>
  <c r="AR21" i="76"/>
  <c r="AR9" i="76" s="1"/>
  <c r="AX21" i="76"/>
  <c r="AX9" i="76" s="1"/>
  <c r="BG21" i="76"/>
  <c r="BG9" i="76" s="1"/>
  <c r="X21" i="76"/>
  <c r="X9" i="76" s="1"/>
  <c r="BJ21" i="76"/>
  <c r="BJ9" i="76" s="1"/>
  <c r="BA21" i="76"/>
  <c r="BA9" i="76" s="1"/>
  <c r="AJ21" i="76"/>
  <c r="AJ9" i="76" s="1"/>
  <c r="AB21" i="76"/>
  <c r="AB9" i="76" s="1"/>
  <c r="Y21" i="76"/>
  <c r="Y9" i="76" s="1"/>
  <c r="AO21" i="76"/>
  <c r="AO9" i="76" s="1"/>
  <c r="BF21" i="76"/>
  <c r="BF9" i="76" s="1"/>
  <c r="BP21" i="76"/>
  <c r="BP9" i="76" s="1"/>
  <c r="AP21" i="76"/>
  <c r="AP9" i="76" s="1"/>
  <c r="BH21" i="76"/>
  <c r="BH9" i="76" s="1"/>
  <c r="BL21" i="76"/>
  <c r="BL9" i="76" s="1"/>
  <c r="AF21" i="76"/>
  <c r="AF9" i="76" s="1"/>
  <c r="BC21" i="76"/>
  <c r="BC9" i="76" s="1"/>
  <c r="S21" i="76"/>
  <c r="S9" i="76" s="1"/>
  <c r="BD21" i="76"/>
  <c r="BD9" i="76" s="1"/>
  <c r="AN21" i="76"/>
  <c r="AN9" i="76" s="1"/>
  <c r="AT21" i="76"/>
  <c r="AT9" i="76" s="1"/>
  <c r="BM21" i="76"/>
  <c r="BM9" i="76" s="1"/>
  <c r="BO21" i="76"/>
  <c r="BO9" i="76" s="1"/>
  <c r="BE21" i="76"/>
  <c r="BE9" i="76" s="1"/>
  <c r="AG21" i="76"/>
  <c r="AG9" i="76" s="1"/>
  <c r="AC21" i="76"/>
  <c r="AC9" i="76" s="1"/>
  <c r="T21" i="76"/>
  <c r="T9" i="76" s="1"/>
  <c r="BK21" i="76"/>
  <c r="BK9" i="76" s="1"/>
  <c r="AY21" i="76"/>
  <c r="AY9" i="76" s="1"/>
  <c r="AA21" i="76"/>
  <c r="AA9" i="76" s="1"/>
  <c r="U21" i="76"/>
  <c r="U9" i="76" s="1"/>
  <c r="BB21" i="76"/>
  <c r="BB9" i="76" s="1"/>
  <c r="AS21" i="76"/>
  <c r="AS9" i="76" s="1"/>
  <c r="AK21" i="76"/>
  <c r="AK9" i="76" s="1"/>
  <c r="AI21" i="76"/>
  <c r="AI9" i="76" s="1"/>
  <c r="AV21" i="76"/>
  <c r="AV9" i="76" s="1"/>
  <c r="AH21" i="76"/>
  <c r="AH9" i="76" s="1"/>
  <c r="AL21" i="76"/>
  <c r="AL9" i="76" s="1"/>
  <c r="BN21" i="76"/>
  <c r="BN9" i="76" s="1"/>
  <c r="Z21" i="76"/>
  <c r="Z9" i="76" s="1"/>
  <c r="AD21" i="76"/>
  <c r="AD9" i="76" s="1"/>
  <c r="BI21" i="76"/>
  <c r="BI9" i="76" s="1"/>
  <c r="AZ21" i="76"/>
  <c r="AZ9" i="76" s="1"/>
  <c r="AW21" i="76"/>
  <c r="AW9" i="76" s="1"/>
  <c r="AM21" i="76"/>
  <c r="AM9" i="76" s="1"/>
  <c r="V21" i="76"/>
  <c r="V9" i="76" s="1"/>
  <c r="AE21" i="76"/>
  <c r="AE9" i="76" s="1"/>
  <c r="W21" i="76"/>
  <c r="W9" i="76" s="1"/>
  <c r="AU21" i="76"/>
  <c r="AU9" i="76" s="1"/>
  <c r="H27" i="64" l="1"/>
  <c r="H29" i="64"/>
  <c r="I60" i="57"/>
  <c r="E46" i="88"/>
  <c r="E43" i="88"/>
  <c r="H26" i="64"/>
  <c r="E19" i="89" l="1"/>
  <c r="E17" i="89"/>
  <c r="E47" i="88"/>
  <c r="H30" i="64"/>
  <c r="E16" i="89"/>
  <c r="E21" i="89" l="1"/>
  <c r="E22" i="89" s="1"/>
  <c r="E15" i="68"/>
  <c r="E22" i="68" s="1"/>
  <c r="H31" i="64"/>
  <c r="W117" i="65" l="1"/>
  <c r="X117" i="65"/>
  <c r="X108" i="65"/>
  <c r="W108" i="65"/>
  <c r="X126" i="65"/>
  <c r="W126" i="65"/>
  <c r="E43" i="143" l="1"/>
  <c r="E46" i="143" s="1"/>
  <c r="E47" i="143" l="1"/>
  <c r="E48" i="143"/>
  <c r="D43" i="143"/>
  <c r="D46" i="143" s="1"/>
  <c r="D47" i="143" l="1"/>
  <c r="D48" i="143"/>
  <c r="R99" i="65"/>
  <c r="I99" i="65"/>
  <c r="AW99" i="65"/>
  <c r="S99" i="65"/>
  <c r="P99" i="65"/>
  <c r="L99" i="65"/>
  <c r="K99" i="65"/>
  <c r="T99" i="65"/>
  <c r="O99" i="65"/>
  <c r="V99" i="65"/>
  <c r="J99" i="65"/>
  <c r="U99" i="65"/>
  <c r="Q99" i="65"/>
  <c r="N99" i="65"/>
  <c r="M99" i="65"/>
  <c r="H99" i="65"/>
  <c r="G99" i="65"/>
  <c r="J108" i="65"/>
  <c r="L108" i="65"/>
  <c r="R108" i="65"/>
  <c r="S108" i="65"/>
  <c r="U108" i="65"/>
  <c r="P108" i="65"/>
  <c r="N108" i="65"/>
  <c r="K108" i="65"/>
  <c r="H108" i="65"/>
  <c r="AW108" i="65"/>
  <c r="V108" i="65"/>
  <c r="O108" i="65"/>
  <c r="M108" i="65"/>
  <c r="Q108" i="65"/>
  <c r="I108" i="65"/>
  <c r="T108" i="65"/>
  <c r="G108" i="65"/>
  <c r="AV108" i="65" l="1"/>
  <c r="I35" i="144" s="1" a="1"/>
  <c r="I35" i="144" s="1"/>
  <c r="AV99" i="65"/>
  <c r="H35" i="144" s="1" a="1"/>
  <c r="H35" i="144" s="1"/>
  <c r="J117" i="65"/>
  <c r="R117" i="65"/>
  <c r="N117" i="65"/>
  <c r="I117" i="65"/>
  <c r="AW117" i="65"/>
  <c r="O117" i="65"/>
  <c r="V117" i="65"/>
  <c r="U117" i="65"/>
  <c r="T117" i="65"/>
  <c r="H117" i="65"/>
  <c r="P117" i="65"/>
  <c r="Q117" i="65"/>
  <c r="S117" i="65"/>
  <c r="K117" i="65"/>
  <c r="L117" i="65"/>
  <c r="M117" i="65"/>
  <c r="F41" i="143"/>
  <c r="F42" i="143" s="1"/>
  <c r="G117" i="65"/>
  <c r="D25" i="168" l="1"/>
  <c r="H41" i="144"/>
  <c r="H43" i="144" s="1"/>
  <c r="E25" i="168"/>
  <c r="I41" i="144"/>
  <c r="I43" i="144" s="1"/>
  <c r="F43" i="143"/>
  <c r="F46" i="143" s="1"/>
  <c r="AV117" i="65"/>
  <c r="J35" i="144" s="1" a="1"/>
  <c r="J35" i="144" s="1"/>
  <c r="P126" i="65"/>
  <c r="Q126" i="65"/>
  <c r="M126" i="65"/>
  <c r="R126" i="65"/>
  <c r="V126" i="65"/>
  <c r="O126" i="65"/>
  <c r="H126" i="65"/>
  <c r="U126" i="65"/>
  <c r="L126" i="65"/>
  <c r="N126" i="65"/>
  <c r="K126" i="65"/>
  <c r="J126" i="65"/>
  <c r="AW126" i="65"/>
  <c r="S126" i="65"/>
  <c r="T126" i="65"/>
  <c r="I126" i="65"/>
  <c r="G126" i="65"/>
  <c r="G41" i="143"/>
  <c r="G42" i="143" s="1"/>
  <c r="F25" i="168" l="1"/>
  <c r="J41" i="144"/>
  <c r="J43" i="144" s="1"/>
  <c r="E31" i="168"/>
  <c r="I45" i="144"/>
  <c r="D31" i="168"/>
  <c r="H45" i="144"/>
  <c r="F47" i="143"/>
  <c r="F48" i="143"/>
  <c r="AV126" i="65"/>
  <c r="K35" i="144" s="1" a="1"/>
  <c r="K35" i="144" s="1"/>
  <c r="G43" i="143"/>
  <c r="G46" i="143" s="1"/>
  <c r="I48" i="144" l="1"/>
  <c r="E36" i="168"/>
  <c r="E33" i="168"/>
  <c r="H48" i="144"/>
  <c r="D33" i="168"/>
  <c r="D36" i="168"/>
  <c r="F31" i="168"/>
  <c r="J45" i="144"/>
  <c r="G25" i="168"/>
  <c r="K41" i="144"/>
  <c r="K43" i="144" s="1"/>
  <c r="G47" i="143"/>
  <c r="G48" i="143"/>
  <c r="AL31" i="76"/>
  <c r="T31" i="76"/>
  <c r="BM31" i="76"/>
  <c r="Z31" i="76"/>
  <c r="AG31" i="76"/>
  <c r="BJ31" i="76"/>
  <c r="V31" i="76"/>
  <c r="AU31" i="76"/>
  <c r="AD31" i="76"/>
  <c r="AH31" i="76"/>
  <c r="BL31" i="76"/>
  <c r="AX31" i="76"/>
  <c r="AC31" i="76"/>
  <c r="AJ31" i="76"/>
  <c r="BK31" i="76"/>
  <c r="AZ31" i="76"/>
  <c r="AM31" i="76"/>
  <c r="BA31" i="76"/>
  <c r="BD31" i="76"/>
  <c r="BB31" i="76"/>
  <c r="AO31" i="76"/>
  <c r="BE31" i="76"/>
  <c r="BC31" i="76"/>
  <c r="AQ31" i="76"/>
  <c r="AB31" i="76"/>
  <c r="W31" i="76"/>
  <c r="BN31" i="76"/>
  <c r="U31" i="76"/>
  <c r="AN31" i="76"/>
  <c r="Y31" i="76"/>
  <c r="AE31" i="76"/>
  <c r="S31" i="76"/>
  <c r="AA31" i="76"/>
  <c r="AI31" i="76"/>
  <c r="BH31" i="76"/>
  <c r="BG31" i="76"/>
  <c r="AT31" i="76"/>
  <c r="AP31" i="76"/>
  <c r="BI31" i="76"/>
  <c r="X31" i="76"/>
  <c r="AV31" i="76"/>
  <c r="AF31" i="76"/>
  <c r="AW31" i="76"/>
  <c r="BO31" i="76"/>
  <c r="BP31" i="76"/>
  <c r="AY31" i="76"/>
  <c r="BF31" i="76"/>
  <c r="AK31" i="76"/>
  <c r="AR31" i="76"/>
  <c r="AS31" i="76"/>
  <c r="G31" i="168" l="1"/>
  <c r="K45" i="144"/>
  <c r="J48" i="144"/>
  <c r="I27" i="142" s="1"/>
  <c r="E15" i="167" s="1"/>
  <c r="E17" i="167" s="1"/>
  <c r="E18" i="167" s="1"/>
  <c r="E27" i="167" s="1"/>
  <c r="F36" i="168"/>
  <c r="F33" i="168"/>
  <c r="H49" i="144"/>
  <c r="D37" i="168" s="1"/>
  <c r="H50" i="144"/>
  <c r="D39" i="168" s="1"/>
  <c r="G27" i="142"/>
  <c r="C15" i="167" s="1"/>
  <c r="I50" i="144"/>
  <c r="E39" i="168" s="1"/>
  <c r="I49" i="144"/>
  <c r="E37" i="168" s="1"/>
  <c r="H28" i="142"/>
  <c r="D16" i="167" s="1"/>
  <c r="C17" i="167" l="1"/>
  <c r="C18" i="167" s="1"/>
  <c r="C27" i="167" s="1"/>
  <c r="J50" i="144"/>
  <c r="F39" i="168" s="1"/>
  <c r="J49" i="144"/>
  <c r="F37" i="168" s="1"/>
  <c r="K48" i="144"/>
  <c r="G36" i="168"/>
  <c r="G33" i="168"/>
  <c r="I31" i="142"/>
  <c r="F15" i="145" s="1"/>
  <c r="F22" i="145" s="1"/>
  <c r="I36" i="142"/>
  <c r="G36" i="142"/>
  <c r="G31" i="142"/>
  <c r="H27" i="142"/>
  <c r="K49" i="144" l="1"/>
  <c r="G37" i="168" s="1"/>
  <c r="K50" i="144"/>
  <c r="G39" i="168" s="1"/>
  <c r="F13" i="4"/>
  <c r="H31" i="142"/>
  <c r="E15" i="145" s="1"/>
  <c r="E22" i="145" s="1"/>
  <c r="D15" i="167"/>
  <c r="D17" i="167" s="1"/>
  <c r="D18" i="167" s="1"/>
  <c r="D27" i="167" s="1"/>
  <c r="D15" i="145"/>
  <c r="D22" i="145" s="1"/>
  <c r="H36" i="142"/>
  <c r="G32" i="142"/>
  <c r="G37" i="142"/>
  <c r="G38" i="142"/>
  <c r="I37" i="142"/>
  <c r="I38" i="142"/>
  <c r="G33" i="142"/>
  <c r="I32" i="142"/>
  <c r="I33" i="142"/>
  <c r="S23" i="4" l="1"/>
  <c r="AR23" i="4"/>
  <c r="AR27" i="4" s="1"/>
  <c r="P23" i="4"/>
  <c r="AC23" i="4"/>
  <c r="AP23" i="4"/>
  <c r="AP27" i="4" s="1"/>
  <c r="K23" i="4"/>
  <c r="AA23" i="4"/>
  <c r="M23" i="4"/>
  <c r="O23" i="4"/>
  <c r="W23" i="4"/>
  <c r="U23" i="4"/>
  <c r="AI23" i="4"/>
  <c r="L23" i="4"/>
  <c r="V23" i="4"/>
  <c r="I23" i="4"/>
  <c r="AQ23" i="4"/>
  <c r="AQ27" i="4" s="1"/>
  <c r="AB23" i="4"/>
  <c r="AG23" i="4"/>
  <c r="R23" i="4"/>
  <c r="AH23" i="4"/>
  <c r="AK23" i="4"/>
  <c r="Z23" i="4"/>
  <c r="AE23" i="4"/>
  <c r="Y23" i="4"/>
  <c r="F23" i="4"/>
  <c r="AL23" i="4"/>
  <c r="AF23" i="4"/>
  <c r="X23" i="4"/>
  <c r="AN23" i="4"/>
  <c r="AJ23" i="4"/>
  <c r="AD23" i="4"/>
  <c r="Q23" i="4"/>
  <c r="J23" i="4"/>
  <c r="AO23" i="4"/>
  <c r="T23" i="4"/>
  <c r="G23" i="4"/>
  <c r="AM23" i="4"/>
  <c r="H23" i="4"/>
  <c r="N23" i="4"/>
  <c r="AS23" i="4"/>
  <c r="AS27" i="4" s="1"/>
  <c r="H38" i="142"/>
  <c r="H37" i="142"/>
  <c r="H32" i="142"/>
  <c r="H33" i="142"/>
  <c r="J27" i="142"/>
  <c r="F15" i="167" s="1"/>
  <c r="F17" i="167" s="1"/>
  <c r="F18" i="167" s="1"/>
  <c r="F27" i="167" s="1"/>
  <c r="F27" i="4" l="1"/>
  <c r="F31" i="4"/>
  <c r="F32" i="4"/>
  <c r="J31" i="142"/>
  <c r="J36" i="142"/>
  <c r="F29" i="4" l="1"/>
  <c r="G26" i="4" s="1"/>
  <c r="G27" i="4" s="1"/>
  <c r="G29" i="4" s="1"/>
  <c r="H26" i="4" s="1"/>
  <c r="H27" i="4" s="1"/>
  <c r="H29" i="4" s="1"/>
  <c r="I26" i="4" s="1"/>
  <c r="I27" i="4" s="1"/>
  <c r="I29" i="4" s="1"/>
  <c r="J26" i="4" s="1"/>
  <c r="J27" i="4" s="1"/>
  <c r="J29" i="4" s="1"/>
  <c r="K26" i="4" s="1"/>
  <c r="K27" i="4" s="1"/>
  <c r="K29" i="4" s="1"/>
  <c r="L26" i="4" s="1"/>
  <c r="L27" i="4" s="1"/>
  <c r="L29" i="4" s="1"/>
  <c r="M26" i="4" s="1"/>
  <c r="M27" i="4" s="1"/>
  <c r="M29" i="4" s="1"/>
  <c r="N26" i="4" s="1"/>
  <c r="N27" i="4" s="1"/>
  <c r="N29" i="4" s="1"/>
  <c r="O26" i="4" s="1"/>
  <c r="O27" i="4" s="1"/>
  <c r="O29" i="4" s="1"/>
  <c r="P26" i="4" s="1"/>
  <c r="P27" i="4" s="1"/>
  <c r="P29" i="4" s="1"/>
  <c r="Q26" i="4" s="1"/>
  <c r="Q27" i="4" s="1"/>
  <c r="Q29" i="4" s="1"/>
  <c r="R26" i="4" s="1"/>
  <c r="R27" i="4" s="1"/>
  <c r="R29" i="4" s="1"/>
  <c r="S26" i="4" s="1"/>
  <c r="S27" i="4" s="1"/>
  <c r="S29" i="4" s="1"/>
  <c r="T26" i="4" s="1"/>
  <c r="T27" i="4" s="1"/>
  <c r="T29" i="4" s="1"/>
  <c r="U26" i="4" s="1"/>
  <c r="U27" i="4" s="1"/>
  <c r="U29" i="4" s="1"/>
  <c r="V26" i="4" s="1"/>
  <c r="V27" i="4" s="1"/>
  <c r="V29" i="4" s="1"/>
  <c r="W26" i="4" s="1"/>
  <c r="W27" i="4" s="1"/>
  <c r="W29" i="4" s="1"/>
  <c r="X26" i="4" s="1"/>
  <c r="X27" i="4" s="1"/>
  <c r="X29" i="4" s="1"/>
  <c r="Y26" i="4" s="1"/>
  <c r="Y27" i="4" s="1"/>
  <c r="Y29" i="4" s="1"/>
  <c r="Z26" i="4" s="1"/>
  <c r="Z27" i="4" s="1"/>
  <c r="Z29" i="4" s="1"/>
  <c r="AA26" i="4" s="1"/>
  <c r="AA27" i="4" s="1"/>
  <c r="AA29" i="4" s="1"/>
  <c r="AB26" i="4" s="1"/>
  <c r="AB27" i="4" s="1"/>
  <c r="AB29" i="4" s="1"/>
  <c r="AC26" i="4" s="1"/>
  <c r="AC27" i="4" s="1"/>
  <c r="AC29" i="4" s="1"/>
  <c r="AD26" i="4" s="1"/>
  <c r="AD27" i="4" s="1"/>
  <c r="AD29" i="4" s="1"/>
  <c r="AE26" i="4" s="1"/>
  <c r="AE27" i="4" s="1"/>
  <c r="AE29" i="4" s="1"/>
  <c r="AF26" i="4" s="1"/>
  <c r="AF27" i="4" s="1"/>
  <c r="AF29" i="4" s="1"/>
  <c r="AG26" i="4" s="1"/>
  <c r="AG27" i="4" s="1"/>
  <c r="AG29" i="4" s="1"/>
  <c r="AH26" i="4" s="1"/>
  <c r="AH27" i="4" s="1"/>
  <c r="AH29" i="4" s="1"/>
  <c r="AI26" i="4" s="1"/>
  <c r="AI27" i="4" s="1"/>
  <c r="AI29" i="4" s="1"/>
  <c r="AJ26" i="4" s="1"/>
  <c r="AJ27" i="4" s="1"/>
  <c r="AJ29" i="4" s="1"/>
  <c r="AK26" i="4" s="1"/>
  <c r="AK27" i="4" s="1"/>
  <c r="AK29" i="4" s="1"/>
  <c r="AL26" i="4" s="1"/>
  <c r="AL27" i="4" s="1"/>
  <c r="AL29" i="4" s="1"/>
  <c r="AM26" i="4" s="1"/>
  <c r="AM27" i="4" s="1"/>
  <c r="AM29" i="4" s="1"/>
  <c r="AN26" i="4" s="1"/>
  <c r="AN27" i="4" s="1"/>
  <c r="AN29" i="4" s="1"/>
  <c r="AO26" i="4" s="1"/>
  <c r="AO27" i="4" s="1"/>
  <c r="AO29" i="4" s="1"/>
  <c r="AP29" i="4" s="1"/>
  <c r="AQ29" i="4" s="1"/>
  <c r="AR29" i="4" s="1"/>
  <c r="AS29" i="4" s="1"/>
  <c r="G106" i="3"/>
  <c r="D14" i="3"/>
  <c r="D16" i="3" s="1"/>
  <c r="S11" i="76"/>
  <c r="T11" i="76" s="1"/>
  <c r="U11" i="76" s="1"/>
  <c r="V11" i="76" s="1"/>
  <c r="W11" i="76" s="1"/>
  <c r="X11" i="76" s="1"/>
  <c r="Y11" i="76" s="1"/>
  <c r="Z11" i="76" s="1"/>
  <c r="AA11" i="76" s="1"/>
  <c r="AB11" i="76" s="1"/>
  <c r="AC11" i="76" s="1"/>
  <c r="AD11" i="76" s="1"/>
  <c r="AE11" i="76" s="1"/>
  <c r="AF11" i="76" s="1"/>
  <c r="AG11" i="76" s="1"/>
  <c r="AH11" i="76" s="1"/>
  <c r="AI11" i="76" s="1"/>
  <c r="AJ11" i="76" s="1"/>
  <c r="AK11" i="76" s="1"/>
  <c r="AL11" i="76" s="1"/>
  <c r="AM11" i="76" s="1"/>
  <c r="AN11" i="76" s="1"/>
  <c r="AO11" i="76" s="1"/>
  <c r="AP11" i="76" s="1"/>
  <c r="AQ11" i="76" s="1"/>
  <c r="AR11" i="76" s="1"/>
  <c r="AS11" i="76" s="1"/>
  <c r="AT11" i="76" s="1"/>
  <c r="AU11" i="76" s="1"/>
  <c r="AV11" i="76" s="1"/>
  <c r="AW11" i="76" s="1"/>
  <c r="AX11" i="76" s="1"/>
  <c r="AY11" i="76" s="1"/>
  <c r="AZ11" i="76" s="1"/>
  <c r="BA11" i="76" s="1"/>
  <c r="BB11" i="76" s="1"/>
  <c r="BC11" i="76" s="1"/>
  <c r="BD11" i="76" s="1"/>
  <c r="BE11" i="76" s="1"/>
  <c r="BF11" i="76" s="1"/>
  <c r="BG11" i="76" s="1"/>
  <c r="BH11" i="76" s="1"/>
  <c r="BI11" i="76" s="1"/>
  <c r="BJ11" i="76" s="1"/>
  <c r="BK11" i="76" s="1"/>
  <c r="BL11" i="76" s="1"/>
  <c r="BM11" i="76" s="1"/>
  <c r="BN11" i="76" s="1"/>
  <c r="BO11" i="76" s="1"/>
  <c r="BP11" i="76" s="1"/>
  <c r="D18" i="3"/>
  <c r="F106" i="3"/>
  <c r="G15" i="145"/>
  <c r="G22" i="145" s="1"/>
  <c r="J37" i="142"/>
  <c r="J38" i="142"/>
  <c r="J32" i="142"/>
  <c r="J33" i="142"/>
  <c r="S7" i="76" l="1"/>
  <c r="T7" i="76" s="1"/>
  <c r="I106" i="3"/>
  <c r="J106" i="3"/>
  <c r="D73" i="3"/>
  <c r="D50" i="3"/>
  <c r="E50" i="3" s="1"/>
  <c r="F50" i="3" s="1"/>
  <c r="D95" i="3"/>
  <c r="D87" i="3"/>
  <c r="F33" i="4"/>
  <c r="D15" i="3" s="1"/>
  <c r="D17" i="3" s="1"/>
  <c r="S14" i="76" l="1"/>
  <c r="E66" i="3" s="1"/>
  <c r="E67" i="3" s="1"/>
  <c r="H11" i="171"/>
  <c r="F11" i="171"/>
  <c r="G11" i="171"/>
  <c r="I11" i="171"/>
  <c r="F10" i="171"/>
  <c r="G10" i="171"/>
  <c r="H10" i="171"/>
  <c r="I10" i="171"/>
  <c r="O70" i="3"/>
  <c r="T70" i="3"/>
  <c r="AN70" i="3"/>
  <c r="G70" i="3"/>
  <c r="V70" i="3"/>
  <c r="AI70" i="3"/>
  <c r="AL70" i="3"/>
  <c r="AR70" i="3"/>
  <c r="F70" i="3"/>
  <c r="AT70" i="3"/>
  <c r="H70" i="3"/>
  <c r="AS70" i="3"/>
  <c r="AF70" i="3"/>
  <c r="AC70" i="3"/>
  <c r="J70" i="3"/>
  <c r="W70" i="3"/>
  <c r="M70" i="3"/>
  <c r="AK70" i="3"/>
  <c r="R70" i="3"/>
  <c r="BB70" i="3"/>
  <c r="S70" i="3"/>
  <c r="AY70" i="3"/>
  <c r="U70" i="3"/>
  <c r="N70" i="3"/>
  <c r="X70" i="3"/>
  <c r="Z70" i="3"/>
  <c r="AE70" i="3"/>
  <c r="BA70" i="3"/>
  <c r="AQ70" i="3"/>
  <c r="AD70" i="3"/>
  <c r="AU70" i="3"/>
  <c r="AB70" i="3"/>
  <c r="AX70" i="3"/>
  <c r="AJ70" i="3"/>
  <c r="AH70" i="3"/>
  <c r="AG70" i="3"/>
  <c r="I70" i="3"/>
  <c r="P70" i="3"/>
  <c r="E70" i="3"/>
  <c r="AV70" i="3"/>
  <c r="AM70" i="3"/>
  <c r="AZ70" i="3"/>
  <c r="AO70" i="3"/>
  <c r="L70" i="3"/>
  <c r="AP70" i="3"/>
  <c r="Y70" i="3"/>
  <c r="AA70" i="3"/>
  <c r="Q70" i="3"/>
  <c r="K70" i="3"/>
  <c r="AW70" i="3"/>
  <c r="E85" i="3"/>
  <c r="D88" i="3"/>
  <c r="E93" i="3"/>
  <c r="E94" i="3" s="1"/>
  <c r="E82" i="3" s="1"/>
  <c r="D96" i="3"/>
  <c r="T14" i="76"/>
  <c r="F66" i="3" s="1"/>
  <c r="F67" i="3" s="1"/>
  <c r="U7" i="76"/>
  <c r="D52" i="3" l="1"/>
  <c r="E52" i="3" s="1"/>
  <c r="F52" i="3" s="1"/>
  <c r="AV71" i="3"/>
  <c r="AV73" i="3" s="1"/>
  <c r="AV80" i="3"/>
  <c r="AV81" i="3" s="1"/>
  <c r="AV83" i="3" s="1"/>
  <c r="AR71" i="3"/>
  <c r="AR73" i="3" s="1"/>
  <c r="AR80" i="3"/>
  <c r="AR81" i="3" s="1"/>
  <c r="AR83" i="3" s="1"/>
  <c r="AY80" i="3"/>
  <c r="AY81" i="3" s="1"/>
  <c r="AY83" i="3" s="1"/>
  <c r="AY71" i="3"/>
  <c r="AY73" i="3" s="1"/>
  <c r="AU80" i="3"/>
  <c r="AU81" i="3" s="1"/>
  <c r="AU83" i="3" s="1"/>
  <c r="AU71" i="3"/>
  <c r="AU73" i="3" s="1"/>
  <c r="AQ80" i="3"/>
  <c r="AQ81" i="3" s="1"/>
  <c r="AQ83" i="3" s="1"/>
  <c r="AQ71" i="3"/>
  <c r="AQ73" i="3" s="1"/>
  <c r="BA80" i="3"/>
  <c r="BA81" i="3" s="1"/>
  <c r="BA83" i="3" s="1"/>
  <c r="BA71" i="3"/>
  <c r="BA73" i="3" s="1"/>
  <c r="BB80" i="3"/>
  <c r="BB81" i="3" s="1"/>
  <c r="BB83" i="3" s="1"/>
  <c r="BB71" i="3"/>
  <c r="BB73" i="3" s="1"/>
  <c r="AS80" i="3"/>
  <c r="AS81" i="3" s="1"/>
  <c r="AS83" i="3" s="1"/>
  <c r="AS71" i="3"/>
  <c r="AS73" i="3" s="1"/>
  <c r="AP71" i="3"/>
  <c r="AP73" i="3" s="1"/>
  <c r="AP80" i="3"/>
  <c r="AP81" i="3" s="1"/>
  <c r="AP83" i="3" s="1"/>
  <c r="E86" i="3"/>
  <c r="E79" i="3" s="1"/>
  <c r="E100" i="3"/>
  <c r="AO80" i="3"/>
  <c r="AO81" i="3" s="1"/>
  <c r="AO83" i="3" s="1"/>
  <c r="AO71" i="3"/>
  <c r="AO73" i="3" s="1"/>
  <c r="AN71" i="3"/>
  <c r="AN73" i="3" s="1"/>
  <c r="AN80" i="3"/>
  <c r="AN81" i="3" s="1"/>
  <c r="AN83" i="3" s="1"/>
  <c r="AW80" i="3"/>
  <c r="AW81" i="3" s="1"/>
  <c r="AW83" i="3" s="1"/>
  <c r="AW71" i="3"/>
  <c r="AW73" i="3" s="1"/>
  <c r="AZ80" i="3"/>
  <c r="AZ81" i="3" s="1"/>
  <c r="AZ83" i="3" s="1"/>
  <c r="AZ71" i="3"/>
  <c r="AZ73" i="3" s="1"/>
  <c r="AT80" i="3"/>
  <c r="AT81" i="3" s="1"/>
  <c r="AT83" i="3" s="1"/>
  <c r="AT71" i="3"/>
  <c r="AT73" i="3" s="1"/>
  <c r="AX71" i="3"/>
  <c r="AX73" i="3" s="1"/>
  <c r="AX80" i="3"/>
  <c r="AX81" i="3" s="1"/>
  <c r="AX83" i="3" s="1"/>
  <c r="V7" i="76"/>
  <c r="U14" i="76"/>
  <c r="G66" i="3" s="1"/>
  <c r="G67" i="3" s="1"/>
  <c r="AX95" i="3" l="1"/>
  <c r="AX96" i="3" s="1"/>
  <c r="AX87" i="3"/>
  <c r="AX88" i="3" s="1"/>
  <c r="AN87" i="3"/>
  <c r="AN88" i="3" s="1"/>
  <c r="AN95" i="3"/>
  <c r="AN96" i="3" s="1"/>
  <c r="AU87" i="3"/>
  <c r="AU88" i="3" s="1"/>
  <c r="AU95" i="3"/>
  <c r="AU96" i="3" s="1"/>
  <c r="AO95" i="3"/>
  <c r="AO96" i="3" s="1"/>
  <c r="AO87" i="3"/>
  <c r="AO88" i="3" s="1"/>
  <c r="BB87" i="3"/>
  <c r="BB88" i="3" s="1"/>
  <c r="BB95" i="3"/>
  <c r="BB96" i="3" s="1"/>
  <c r="AY87" i="3"/>
  <c r="AY88" i="3" s="1"/>
  <c r="AY95" i="3"/>
  <c r="AY96" i="3" s="1"/>
  <c r="AT95" i="3"/>
  <c r="AT96" i="3" s="1"/>
  <c r="AT87" i="3"/>
  <c r="AT88" i="3" s="1"/>
  <c r="AR87" i="3"/>
  <c r="AR88" i="3" s="1"/>
  <c r="AR95" i="3"/>
  <c r="AR96" i="3" s="1"/>
  <c r="AP87" i="3"/>
  <c r="AP88" i="3" s="1"/>
  <c r="AP95" i="3"/>
  <c r="AP96" i="3" s="1"/>
  <c r="AS87" i="3"/>
  <c r="AS88" i="3" s="1"/>
  <c r="AS95" i="3"/>
  <c r="AS96" i="3" s="1"/>
  <c r="AZ95" i="3"/>
  <c r="AZ96" i="3" s="1"/>
  <c r="AZ87" i="3"/>
  <c r="AZ88" i="3" s="1"/>
  <c r="BA87" i="3"/>
  <c r="BA88" i="3" s="1"/>
  <c r="BA95" i="3"/>
  <c r="BA96" i="3" s="1"/>
  <c r="AV95" i="3"/>
  <c r="AV96" i="3" s="1"/>
  <c r="AV87" i="3"/>
  <c r="AV88" i="3" s="1"/>
  <c r="AW87" i="3"/>
  <c r="AW88" i="3" s="1"/>
  <c r="AW95" i="3"/>
  <c r="AW96" i="3" s="1"/>
  <c r="AQ95" i="3"/>
  <c r="AQ96" i="3" s="1"/>
  <c r="AQ87" i="3"/>
  <c r="AQ88" i="3" s="1"/>
  <c r="V14" i="76"/>
  <c r="H66" i="3" s="1"/>
  <c r="H67" i="3" s="1"/>
  <c r="W7" i="76"/>
  <c r="X7" i="76" l="1"/>
  <c r="W14" i="76"/>
  <c r="I66" i="3" s="1"/>
  <c r="I67" i="3" s="1"/>
  <c r="X14" i="76" l="1"/>
  <c r="J66" i="3" s="1"/>
  <c r="J67" i="3" s="1"/>
  <c r="Y7" i="76"/>
  <c r="Z7" i="76" l="1"/>
  <c r="Y14" i="76"/>
  <c r="K66" i="3" s="1"/>
  <c r="K67" i="3" s="1"/>
  <c r="Z14" i="76" l="1"/>
  <c r="L66" i="3" s="1"/>
  <c r="L67" i="3" s="1"/>
  <c r="AA7" i="76"/>
  <c r="AB7" i="76" l="1"/>
  <c r="AA14" i="76"/>
  <c r="M66" i="3" s="1"/>
  <c r="M67" i="3" s="1"/>
  <c r="AC7" i="76" l="1"/>
  <c r="AB14" i="76"/>
  <c r="N66" i="3" s="1"/>
  <c r="N67" i="3" s="1"/>
  <c r="AD7" i="76" l="1"/>
  <c r="AC14" i="76"/>
  <c r="O66" i="3" s="1"/>
  <c r="O67" i="3" s="1"/>
  <c r="AE7" i="76" l="1"/>
  <c r="AD14" i="76"/>
  <c r="P66" i="3" s="1"/>
  <c r="P67" i="3" s="1"/>
  <c r="AF7" i="76" l="1"/>
  <c r="AE14" i="76"/>
  <c r="Q66" i="3" s="1"/>
  <c r="Q67" i="3" s="1"/>
  <c r="AG7" i="76" l="1"/>
  <c r="AF14" i="76"/>
  <c r="R66" i="3" s="1"/>
  <c r="R67" i="3" s="1"/>
  <c r="AH7" i="76" l="1"/>
  <c r="AG14" i="76"/>
  <c r="S66" i="3" s="1"/>
  <c r="S67" i="3" s="1"/>
  <c r="AI7" i="76" l="1"/>
  <c r="AH14" i="76"/>
  <c r="T66" i="3" s="1"/>
  <c r="T67" i="3" s="1"/>
  <c r="AJ7" i="76" l="1"/>
  <c r="AI14" i="76"/>
  <c r="U66" i="3" s="1"/>
  <c r="U67" i="3" s="1"/>
  <c r="AK7" i="76" l="1"/>
  <c r="AJ14" i="76"/>
  <c r="V66" i="3" s="1"/>
  <c r="V67" i="3" s="1"/>
  <c r="AL7" i="76" l="1"/>
  <c r="AK14" i="76"/>
  <c r="W66" i="3" s="1"/>
  <c r="W67" i="3" s="1"/>
  <c r="AM7" i="76" l="1"/>
  <c r="AL14" i="76"/>
  <c r="X66" i="3" s="1"/>
  <c r="X67" i="3" s="1"/>
  <c r="AN7" i="76" l="1"/>
  <c r="AM14" i="76"/>
  <c r="Y66" i="3" s="1"/>
  <c r="Y67" i="3" s="1"/>
  <c r="AO7" i="76" l="1"/>
  <c r="AN14" i="76"/>
  <c r="Z66" i="3" s="1"/>
  <c r="Z67" i="3" s="1"/>
  <c r="AP7" i="76" l="1"/>
  <c r="AO14" i="76"/>
  <c r="AA66" i="3" s="1"/>
  <c r="AA67" i="3" s="1"/>
  <c r="AQ7" i="76" l="1"/>
  <c r="AP14" i="76"/>
  <c r="AB66" i="3" s="1"/>
  <c r="AB67" i="3" s="1"/>
  <c r="AR7" i="76" l="1"/>
  <c r="AQ14" i="76"/>
  <c r="AC66" i="3" s="1"/>
  <c r="AC67" i="3" s="1"/>
  <c r="AS7" i="76" l="1"/>
  <c r="AR14" i="76"/>
  <c r="AD66" i="3" s="1"/>
  <c r="AD67" i="3" s="1"/>
  <c r="AT7" i="76" l="1"/>
  <c r="AS14" i="76"/>
  <c r="AE66" i="3" s="1"/>
  <c r="AE67" i="3" s="1"/>
  <c r="AT14" i="76" l="1"/>
  <c r="AF66" i="3" s="1"/>
  <c r="AF67" i="3" s="1"/>
  <c r="AU7" i="76"/>
  <c r="AI66" i="3"/>
  <c r="AI67" i="3" s="1"/>
  <c r="AV7" i="76" l="1"/>
  <c r="AU14" i="76"/>
  <c r="AG66" i="3" s="1"/>
  <c r="AG67" i="3" s="1"/>
  <c r="AJ66" i="3"/>
  <c r="AJ67" i="3" s="1"/>
  <c r="AW7" i="76" l="1"/>
  <c r="AV14" i="76"/>
  <c r="AH66" i="3" s="1"/>
  <c r="AH67" i="3" s="1"/>
  <c r="AK66" i="3"/>
  <c r="AK67" i="3" s="1"/>
  <c r="AX7" i="76" l="1"/>
  <c r="AW14" i="76"/>
  <c r="AL66" i="3"/>
  <c r="AL67" i="3" s="1"/>
  <c r="AY7" i="76" l="1"/>
  <c r="AX14" i="76"/>
  <c r="AM66" i="3"/>
  <c r="AM67" i="3" s="1"/>
  <c r="D51" i="3" s="1"/>
  <c r="AY14" i="76" l="1"/>
  <c r="AZ7" i="76"/>
  <c r="E51" i="3"/>
  <c r="D54" i="3"/>
  <c r="AZ14" i="76" l="1"/>
  <c r="BA7" i="76"/>
  <c r="F51" i="3"/>
  <c r="E54" i="3"/>
  <c r="BB7" i="76" l="1"/>
  <c r="BA14" i="76"/>
  <c r="F54" i="3"/>
  <c r="L106" i="3"/>
  <c r="BB14" i="76" l="1"/>
  <c r="BC7" i="76"/>
  <c r="AI63" i="3"/>
  <c r="AI64" i="3" s="1"/>
  <c r="AK63" i="3"/>
  <c r="AK64" i="3" s="1"/>
  <c r="AL63" i="3"/>
  <c r="AL64" i="3" s="1"/>
  <c r="AM63" i="3"/>
  <c r="AM64" i="3" s="1"/>
  <c r="AJ63" i="3"/>
  <c r="AJ64" i="3" s="1"/>
  <c r="L63" i="3"/>
  <c r="L64" i="3" s="1"/>
  <c r="L71" i="3" s="1"/>
  <c r="L73" i="3" s="1"/>
  <c r="W63" i="3"/>
  <c r="W64" i="3" s="1"/>
  <c r="W71" i="3" s="1"/>
  <c r="W73" i="3" s="1"/>
  <c r="K63" i="3"/>
  <c r="K64" i="3" s="1"/>
  <c r="K71" i="3" s="1"/>
  <c r="K73" i="3" s="1"/>
  <c r="Z63" i="3"/>
  <c r="Z64" i="3" s="1"/>
  <c r="Z71" i="3" s="1"/>
  <c r="Z73" i="3" s="1"/>
  <c r="N63" i="3"/>
  <c r="N64" i="3" s="1"/>
  <c r="N71" i="3" s="1"/>
  <c r="N73" i="3" s="1"/>
  <c r="T63" i="3"/>
  <c r="T64" i="3" s="1"/>
  <c r="T71" i="3" s="1"/>
  <c r="T73" i="3" s="1"/>
  <c r="AA63" i="3"/>
  <c r="AA64" i="3" s="1"/>
  <c r="AA71" i="3" s="1"/>
  <c r="AA73" i="3" s="1"/>
  <c r="AD63" i="3"/>
  <c r="AD64" i="3" s="1"/>
  <c r="AD71" i="3" s="1"/>
  <c r="AD73" i="3" s="1"/>
  <c r="V63" i="3"/>
  <c r="V64" i="3" s="1"/>
  <c r="V71" i="3" s="1"/>
  <c r="V73" i="3" s="1"/>
  <c r="P63" i="3"/>
  <c r="P64" i="3" s="1"/>
  <c r="P71" i="3" s="1"/>
  <c r="P73" i="3" s="1"/>
  <c r="Y63" i="3"/>
  <c r="Y64" i="3" s="1"/>
  <c r="Y71" i="3" s="1"/>
  <c r="Y73" i="3" s="1"/>
  <c r="X63" i="3"/>
  <c r="X64" i="3" s="1"/>
  <c r="X71" i="3" s="1"/>
  <c r="X73" i="3" s="1"/>
  <c r="AH63" i="3"/>
  <c r="AH64" i="3" s="1"/>
  <c r="AH71" i="3" s="1"/>
  <c r="AH73" i="3" s="1"/>
  <c r="AC63" i="3"/>
  <c r="AC64" i="3" s="1"/>
  <c r="AC71" i="3" s="1"/>
  <c r="AC73" i="3" s="1"/>
  <c r="Q63" i="3"/>
  <c r="Q64" i="3" s="1"/>
  <c r="Q71" i="3" s="1"/>
  <c r="Q73" i="3" s="1"/>
  <c r="U63" i="3"/>
  <c r="U64" i="3" s="1"/>
  <c r="U71" i="3" s="1"/>
  <c r="U73" i="3" s="1"/>
  <c r="F63" i="3"/>
  <c r="F64" i="3" s="1"/>
  <c r="O63" i="3"/>
  <c r="O64" i="3" s="1"/>
  <c r="O71" i="3" s="1"/>
  <c r="O73" i="3" s="1"/>
  <c r="I63" i="3"/>
  <c r="I64" i="3" s="1"/>
  <c r="I71" i="3" s="1"/>
  <c r="I73" i="3" s="1"/>
  <c r="AE63" i="3"/>
  <c r="AE64" i="3" s="1"/>
  <c r="AE71" i="3" s="1"/>
  <c r="AE73" i="3" s="1"/>
  <c r="G63" i="3"/>
  <c r="G64" i="3" s="1"/>
  <c r="G71" i="3" s="1"/>
  <c r="G73" i="3" s="1"/>
  <c r="H63" i="3"/>
  <c r="H64" i="3" s="1"/>
  <c r="H71" i="3" s="1"/>
  <c r="H73" i="3" s="1"/>
  <c r="R63" i="3"/>
  <c r="R64" i="3" s="1"/>
  <c r="R71" i="3" s="1"/>
  <c r="R73" i="3" s="1"/>
  <c r="AF63" i="3"/>
  <c r="AF64" i="3" s="1"/>
  <c r="AF71" i="3" s="1"/>
  <c r="AF73" i="3" s="1"/>
  <c r="E63" i="3"/>
  <c r="E64" i="3" s="1"/>
  <c r="S63" i="3"/>
  <c r="S64" i="3" s="1"/>
  <c r="S71" i="3" s="1"/>
  <c r="S73" i="3" s="1"/>
  <c r="D10" i="3"/>
  <c r="J63" i="3"/>
  <c r="J64" i="3" s="1"/>
  <c r="J71" i="3" s="1"/>
  <c r="J73" i="3" s="1"/>
  <c r="AB63" i="3"/>
  <c r="AB64" i="3" s="1"/>
  <c r="AB71" i="3" s="1"/>
  <c r="AB73" i="3" s="1"/>
  <c r="M63" i="3"/>
  <c r="M64" i="3" s="1"/>
  <c r="M71" i="3" s="1"/>
  <c r="M73" i="3" s="1"/>
  <c r="AG63" i="3"/>
  <c r="AG64" i="3" s="1"/>
  <c r="AG71" i="3" s="1"/>
  <c r="AG73" i="3" s="1"/>
  <c r="BC14" i="76" l="1"/>
  <c r="BD7" i="76"/>
  <c r="AJ71" i="3"/>
  <c r="AJ73" i="3" s="1"/>
  <c r="AM71" i="3"/>
  <c r="AM73" i="3" s="1"/>
  <c r="AL71" i="3"/>
  <c r="AL73" i="3" s="1"/>
  <c r="AK71" i="3"/>
  <c r="AK73" i="3" s="1"/>
  <c r="AI71" i="3"/>
  <c r="AI73" i="3" s="1"/>
  <c r="D11" i="3"/>
  <c r="H106" i="3"/>
  <c r="E80" i="3"/>
  <c r="E81" i="3" s="1"/>
  <c r="E83" i="3" s="1"/>
  <c r="E71" i="3"/>
  <c r="E73" i="3" s="1"/>
  <c r="F71" i="3"/>
  <c r="F73" i="3" s="1"/>
  <c r="M106" i="3" l="1"/>
  <c r="BE7" i="76"/>
  <c r="BD14" i="76"/>
  <c r="D74" i="3"/>
  <c r="D75" i="3" s="1"/>
  <c r="E87" i="3"/>
  <c r="E95" i="3"/>
  <c r="BF7" i="76" l="1"/>
  <c r="BE14" i="76"/>
  <c r="F93" i="3"/>
  <c r="E96" i="3"/>
  <c r="F85" i="3"/>
  <c r="E88" i="3"/>
  <c r="G26" i="171" l="1"/>
  <c r="G25" i="171"/>
  <c r="I26" i="171"/>
  <c r="I25" i="171"/>
  <c r="F26" i="171"/>
  <c r="F25" i="171"/>
  <c r="H26" i="171"/>
  <c r="H25" i="171"/>
  <c r="BG7" i="76"/>
  <c r="BF14" i="76"/>
  <c r="F86" i="3"/>
  <c r="F79" i="3" s="1"/>
  <c r="F100" i="3"/>
  <c r="F94" i="3"/>
  <c r="BH7" i="76" l="1"/>
  <c r="BG14" i="76"/>
  <c r="F82" i="3"/>
  <c r="F80" i="3"/>
  <c r="F81" i="3" s="1"/>
  <c r="BI7" i="76" l="1"/>
  <c r="BH14" i="76"/>
  <c r="F83" i="3"/>
  <c r="F95" i="3" s="1"/>
  <c r="BJ7" i="76" l="1"/>
  <c r="BI14" i="76"/>
  <c r="F87" i="3"/>
  <c r="G85" i="3" s="1"/>
  <c r="G93" i="3"/>
  <c r="F96" i="3"/>
  <c r="BK7" i="76" l="1"/>
  <c r="BJ14" i="76"/>
  <c r="F88" i="3"/>
  <c r="G94" i="3"/>
  <c r="G100" i="3"/>
  <c r="G86" i="3"/>
  <c r="BL7" i="76" l="1"/>
  <c r="BK14" i="76"/>
  <c r="G79" i="3"/>
  <c r="G80" i="3" s="1"/>
  <c r="G81" i="3" s="1"/>
  <c r="G82" i="3"/>
  <c r="BL14" i="76" l="1"/>
  <c r="BM7" i="76"/>
  <c r="G83" i="3"/>
  <c r="G87" i="3" s="1"/>
  <c r="BN7" i="76" l="1"/>
  <c r="BM14" i="76"/>
  <c r="G95" i="3"/>
  <c r="H93" i="3" s="1"/>
  <c r="H94" i="3" s="1"/>
  <c r="H82" i="3" s="1"/>
  <c r="H85" i="3"/>
  <c r="G88" i="3"/>
  <c r="BN14" i="76" l="1"/>
  <c r="BO7" i="76"/>
  <c r="G96" i="3"/>
  <c r="H100" i="3"/>
  <c r="H86" i="3"/>
  <c r="BP7" i="76" l="1"/>
  <c r="BP14" i="76" s="1"/>
  <c r="BO14" i="76"/>
  <c r="H79" i="3"/>
  <c r="H80" i="3" s="1"/>
  <c r="H81" i="3" s="1"/>
  <c r="H83" i="3" s="1"/>
  <c r="H95" i="3" l="1"/>
  <c r="H87" i="3"/>
  <c r="I85" i="3" l="1"/>
  <c r="H88" i="3"/>
  <c r="H96" i="3"/>
  <c r="I93" i="3"/>
  <c r="I94" i="3" s="1"/>
  <c r="I82" i="3" s="1"/>
  <c r="I86" i="3" l="1"/>
  <c r="I79" i="3" s="1"/>
  <c r="I100" i="3"/>
  <c r="I80" i="3" l="1"/>
  <c r="I81" i="3" s="1"/>
  <c r="I83" i="3" s="1"/>
  <c r="I95" i="3" l="1"/>
  <c r="I87" i="3"/>
  <c r="J93" i="3" l="1"/>
  <c r="J94" i="3" s="1"/>
  <c r="J82" i="3" s="1"/>
  <c r="I96" i="3"/>
  <c r="I88" i="3"/>
  <c r="J85" i="3"/>
  <c r="J86" i="3" l="1"/>
  <c r="J79" i="3" s="1"/>
  <c r="J80" i="3" s="1"/>
  <c r="J81" i="3" s="1"/>
  <c r="J83" i="3" s="1"/>
  <c r="J100" i="3"/>
  <c r="J95" i="3" l="1"/>
  <c r="J87" i="3"/>
  <c r="K85" i="3" s="1"/>
  <c r="K86" i="3" s="1"/>
  <c r="J88" i="3" l="1"/>
  <c r="K93" i="3"/>
  <c r="J96" i="3"/>
  <c r="K79" i="3"/>
  <c r="K80" i="3" s="1"/>
  <c r="K81" i="3" s="1"/>
  <c r="K100" i="3" l="1"/>
  <c r="K94" i="3"/>
  <c r="K82" i="3" s="1"/>
  <c r="K83" i="3" s="1"/>
  <c r="K87" i="3" s="1"/>
  <c r="K95" i="3" l="1"/>
  <c r="L93" i="3" s="1"/>
  <c r="L85" i="3"/>
  <c r="K88" i="3"/>
  <c r="K96" i="3" l="1"/>
  <c r="L100" i="3"/>
  <c r="L86" i="3"/>
  <c r="L94" i="3"/>
  <c r="L82" i="3" l="1"/>
  <c r="L79" i="3"/>
  <c r="L80" i="3" s="1"/>
  <c r="L81" i="3" s="1"/>
  <c r="L83" i="3" l="1"/>
  <c r="L87" i="3" s="1"/>
  <c r="L95" i="3" l="1"/>
  <c r="M93" i="3" s="1"/>
  <c r="M85" i="3"/>
  <c r="L88" i="3"/>
  <c r="L96" i="3" l="1"/>
  <c r="M86" i="3"/>
  <c r="M100" i="3"/>
  <c r="M94" i="3"/>
  <c r="M82" i="3" l="1"/>
  <c r="M79" i="3"/>
  <c r="M80" i="3" s="1"/>
  <c r="M81" i="3" s="1"/>
  <c r="M83" i="3" l="1"/>
  <c r="M95" i="3" s="1"/>
  <c r="M87" i="3" l="1"/>
  <c r="N85" i="3" s="1"/>
  <c r="N93" i="3"/>
  <c r="M96" i="3"/>
  <c r="M88" i="3" l="1"/>
  <c r="N94" i="3"/>
  <c r="N100" i="3"/>
  <c r="N86" i="3"/>
  <c r="N79" i="3" l="1"/>
  <c r="N80" i="3" s="1"/>
  <c r="N81" i="3" s="1"/>
  <c r="N82" i="3"/>
  <c r="N83" i="3" l="1"/>
  <c r="N95" i="3" l="1"/>
  <c r="N87" i="3"/>
  <c r="O85" i="3" l="1"/>
  <c r="N88" i="3"/>
  <c r="O93" i="3"/>
  <c r="N96" i="3"/>
  <c r="O94" i="3" l="1"/>
  <c r="O86" i="3"/>
  <c r="O100" i="3"/>
  <c r="O79" i="3" l="1"/>
  <c r="O80" i="3" s="1"/>
  <c r="O81" i="3" s="1"/>
  <c r="O82" i="3"/>
  <c r="O83" i="3" l="1"/>
  <c r="O87" i="3" l="1"/>
  <c r="O95" i="3"/>
  <c r="P93" i="3" l="1"/>
  <c r="O96" i="3"/>
  <c r="P85" i="3"/>
  <c r="O88" i="3"/>
  <c r="P100" i="3" l="1"/>
  <c r="P86" i="3"/>
  <c r="P94" i="3"/>
  <c r="P79" i="3" l="1"/>
  <c r="P80" i="3" s="1"/>
  <c r="P81" i="3" s="1"/>
  <c r="P82" i="3"/>
  <c r="P83" i="3" l="1"/>
  <c r="P87" i="3" l="1"/>
  <c r="P95" i="3"/>
  <c r="Q93" i="3" l="1"/>
  <c r="P96" i="3"/>
  <c r="Q85" i="3"/>
  <c r="P88" i="3"/>
  <c r="Q100" i="3" l="1"/>
  <c r="Q86" i="3"/>
  <c r="Q94" i="3"/>
  <c r="Q79" i="3" l="1"/>
  <c r="Q80" i="3" s="1"/>
  <c r="Q81" i="3" s="1"/>
  <c r="Q82" i="3"/>
  <c r="Q83" i="3" l="1"/>
  <c r="Q87" i="3" l="1"/>
  <c r="Q95" i="3"/>
  <c r="R93" i="3" l="1"/>
  <c r="Q96" i="3"/>
  <c r="R85" i="3"/>
  <c r="Q88" i="3"/>
  <c r="R100" i="3" l="1"/>
  <c r="R86" i="3"/>
  <c r="R94" i="3"/>
  <c r="R82" i="3" l="1"/>
  <c r="R79" i="3"/>
  <c r="R80" i="3" s="1"/>
  <c r="R81" i="3" s="1"/>
  <c r="R83" i="3" l="1"/>
  <c r="R95" i="3" s="1"/>
  <c r="R87" i="3" l="1"/>
  <c r="S85" i="3" s="1"/>
  <c r="S93" i="3"/>
  <c r="R96" i="3"/>
  <c r="R88" i="3" l="1"/>
  <c r="S94" i="3"/>
  <c r="S100" i="3"/>
  <c r="S86" i="3"/>
  <c r="S82" i="3" l="1"/>
  <c r="S79" i="3"/>
  <c r="S80" i="3" s="1"/>
  <c r="S81" i="3" s="1"/>
  <c r="S83" i="3" l="1"/>
  <c r="S87" i="3" s="1"/>
  <c r="S95" i="3" l="1"/>
  <c r="T93" i="3" s="1"/>
  <c r="T85" i="3"/>
  <c r="S88" i="3"/>
  <c r="S96" i="3" l="1"/>
  <c r="T94" i="3"/>
  <c r="T100" i="3"/>
  <c r="T86" i="3"/>
  <c r="T82" i="3" l="1"/>
  <c r="T79" i="3"/>
  <c r="T80" i="3" s="1"/>
  <c r="T81" i="3" s="1"/>
  <c r="T83" i="3" l="1"/>
  <c r="T87" i="3" l="1"/>
  <c r="T95" i="3"/>
  <c r="U93" i="3" l="1"/>
  <c r="T96" i="3"/>
  <c r="U85" i="3"/>
  <c r="T88" i="3"/>
  <c r="U94" i="3" l="1"/>
  <c r="U100" i="3"/>
  <c r="U86" i="3"/>
  <c r="U82" i="3" l="1"/>
  <c r="U79" i="3"/>
  <c r="U80" i="3" s="1"/>
  <c r="U81" i="3" s="1"/>
  <c r="U83" i="3" l="1"/>
  <c r="U87" i="3" l="1"/>
  <c r="U95" i="3"/>
  <c r="V93" i="3" l="1"/>
  <c r="U96" i="3"/>
  <c r="V85" i="3"/>
  <c r="U88" i="3"/>
  <c r="V100" i="3" l="1"/>
  <c r="V86" i="3"/>
  <c r="V94" i="3"/>
  <c r="V82" i="3" l="1"/>
  <c r="V79" i="3"/>
  <c r="V80" i="3" s="1"/>
  <c r="V81" i="3" s="1"/>
  <c r="V83" i="3" l="1"/>
  <c r="V95" i="3" s="1"/>
  <c r="V87" i="3" l="1"/>
  <c r="W85" i="3" s="1"/>
  <c r="W93" i="3"/>
  <c r="V96" i="3"/>
  <c r="V88" i="3" l="1"/>
  <c r="W94" i="3"/>
  <c r="W86" i="3"/>
  <c r="W100" i="3"/>
  <c r="W79" i="3" l="1"/>
  <c r="W82" i="3"/>
  <c r="W80" i="3" l="1"/>
  <c r="W81" i="3" s="1"/>
  <c r="W83" i="3" s="1"/>
  <c r="W95" i="3" l="1"/>
  <c r="W87" i="3"/>
  <c r="X85" i="3" l="1"/>
  <c r="W88" i="3"/>
  <c r="X93" i="3"/>
  <c r="W96" i="3"/>
  <c r="X94" i="3" l="1"/>
  <c r="X86" i="3"/>
  <c r="X100" i="3"/>
  <c r="X79" i="3" l="1"/>
  <c r="X80" i="3" s="1"/>
  <c r="X81" i="3" s="1"/>
  <c r="X82" i="3"/>
  <c r="X83" i="3" l="1"/>
  <c r="X95" i="3" s="1"/>
  <c r="X87" i="3" l="1"/>
  <c r="Y85" i="3" s="1"/>
  <c r="Y93" i="3"/>
  <c r="Y94" i="3" s="1"/>
  <c r="X96" i="3"/>
  <c r="X88" i="3" l="1"/>
  <c r="Y82" i="3"/>
  <c r="Y86" i="3"/>
  <c r="Y100" i="3"/>
  <c r="Y79" i="3" l="1"/>
  <c r="Y80" i="3" l="1"/>
  <c r="Y81" i="3" s="1"/>
  <c r="Y83" i="3" s="1"/>
  <c r="Y87" i="3" l="1"/>
  <c r="Y95" i="3"/>
  <c r="Z93" i="3" l="1"/>
  <c r="Y96" i="3"/>
  <c r="Z85" i="3"/>
  <c r="Y88" i="3"/>
  <c r="Z86" i="3" l="1"/>
  <c r="Z100" i="3"/>
  <c r="Z94" i="3"/>
  <c r="Z82" i="3" l="1"/>
  <c r="Z79" i="3"/>
  <c r="Z80" i="3" s="1"/>
  <c r="Z81" i="3" s="1"/>
  <c r="Z83" i="3" l="1"/>
  <c r="Z87" i="3" s="1"/>
  <c r="Z95" i="3" l="1"/>
  <c r="AA93" i="3" s="1"/>
  <c r="AA85" i="3"/>
  <c r="Z88" i="3"/>
  <c r="Z96" i="3" l="1"/>
  <c r="AA86" i="3"/>
  <c r="AA100" i="3"/>
  <c r="AA94" i="3"/>
  <c r="AA82" i="3" l="1"/>
  <c r="AA79" i="3"/>
  <c r="AA80" i="3" l="1"/>
  <c r="AA81" i="3" s="1"/>
  <c r="AA83" i="3" s="1"/>
  <c r="AA87" i="3" l="1"/>
  <c r="AA95" i="3"/>
  <c r="AB93" i="3" l="1"/>
  <c r="AA96" i="3"/>
  <c r="AB85" i="3"/>
  <c r="AA88" i="3"/>
  <c r="AB94" i="3" l="1"/>
  <c r="AB100" i="3"/>
  <c r="AB86" i="3"/>
  <c r="AB79" i="3" s="1"/>
  <c r="AB80" i="3" l="1"/>
  <c r="AB81" i="3" s="1"/>
  <c r="AB82" i="3"/>
  <c r="AB83" i="3" l="1"/>
  <c r="AB95" i="3" s="1"/>
  <c r="AB87" i="3" l="1"/>
  <c r="AB88" i="3" s="1"/>
  <c r="AC93" i="3"/>
  <c r="AB96" i="3"/>
  <c r="AC85" i="3" l="1"/>
  <c r="AC100" i="3" s="1"/>
  <c r="AC94" i="3"/>
  <c r="AC86" i="3" l="1"/>
  <c r="AC79" i="3" s="1"/>
  <c r="AC80" i="3" s="1"/>
  <c r="AC81" i="3" s="1"/>
  <c r="AC82" i="3"/>
  <c r="AC83" i="3" l="1"/>
  <c r="AC95" i="3" s="1"/>
  <c r="AC87" i="3" l="1"/>
  <c r="AC88" i="3" s="1"/>
  <c r="AD93" i="3"/>
  <c r="AC96" i="3"/>
  <c r="AD85" i="3" l="1"/>
  <c r="AD86" i="3" s="1"/>
  <c r="AD94" i="3"/>
  <c r="AD100" i="3" l="1"/>
  <c r="AD79" i="3"/>
  <c r="AD82" i="3"/>
  <c r="AD80" i="3" l="1"/>
  <c r="AD81" i="3" s="1"/>
  <c r="AD83" i="3" s="1"/>
  <c r="AD87" i="3" l="1"/>
  <c r="AD95" i="3"/>
  <c r="AE85" i="3" l="1"/>
  <c r="AD88" i="3"/>
  <c r="AE93" i="3"/>
  <c r="AD96" i="3"/>
  <c r="AE86" i="3" l="1"/>
  <c r="AE100" i="3"/>
  <c r="AE94" i="3"/>
  <c r="AE79" i="3" l="1"/>
  <c r="AE80" i="3" s="1"/>
  <c r="AE81" i="3" s="1"/>
  <c r="AE82" i="3"/>
  <c r="AE83" i="3" l="1"/>
  <c r="AE95" i="3" s="1"/>
  <c r="AE87" i="3" l="1"/>
  <c r="AF85" i="3" s="1"/>
  <c r="AF93" i="3"/>
  <c r="AE96" i="3"/>
  <c r="AE88" i="3" l="1"/>
  <c r="AF94" i="3"/>
  <c r="AF86" i="3"/>
  <c r="AF79" i="3" s="1"/>
  <c r="AF100" i="3"/>
  <c r="AF80" i="3" l="1"/>
  <c r="AF81" i="3" s="1"/>
  <c r="AF82" i="3"/>
  <c r="AF83" i="3" l="1"/>
  <c r="AF95" i="3" s="1"/>
  <c r="AF87" i="3" l="1"/>
  <c r="AF88" i="3" s="1"/>
  <c r="AG93" i="3"/>
  <c r="AF96" i="3"/>
  <c r="AG85" i="3" l="1"/>
  <c r="AG86" i="3" s="1"/>
  <c r="AG94" i="3"/>
  <c r="AG100" i="3" l="1"/>
  <c r="AG79" i="3"/>
  <c r="AG82" i="3"/>
  <c r="AG80" i="3" l="1"/>
  <c r="AG81" i="3" s="1"/>
  <c r="AG83" i="3" s="1"/>
  <c r="AG87" i="3" l="1"/>
  <c r="AG95" i="3"/>
  <c r="AH93" i="3" l="1"/>
  <c r="AG96" i="3"/>
  <c r="AH85" i="3"/>
  <c r="AG88" i="3"/>
  <c r="AH94" i="3" l="1"/>
  <c r="AH82" i="3" s="1"/>
  <c r="AH86" i="3"/>
  <c r="AH79" i="3" s="1"/>
  <c r="AH80" i="3" s="1"/>
  <c r="AH81" i="3" s="1"/>
  <c r="AH100" i="3"/>
  <c r="AH83" i="3" l="1"/>
  <c r="AH87" i="3" s="1"/>
  <c r="AH95" i="3" l="1"/>
  <c r="AH96" i="3" s="1"/>
  <c r="AH88" i="3"/>
  <c r="AI85" i="3"/>
  <c r="AI93" i="3" l="1"/>
  <c r="AI94" i="3" s="1"/>
  <c r="AI82" i="3" s="1"/>
  <c r="AI86" i="3"/>
  <c r="AI79" i="3" s="1"/>
  <c r="AI80" i="3" s="1"/>
  <c r="AI81" i="3" s="1"/>
  <c r="AI100" i="3" l="1"/>
  <c r="AI83" i="3"/>
  <c r="AI95" i="3" l="1"/>
  <c r="AI87" i="3"/>
  <c r="AI88" i="3" l="1"/>
  <c r="AJ85" i="3"/>
  <c r="AI96" i="3"/>
  <c r="AJ93" i="3"/>
  <c r="AJ100" i="3" l="1"/>
  <c r="AJ86" i="3"/>
  <c r="AJ79" i="3" s="1"/>
  <c r="AJ80" i="3" s="1"/>
  <c r="AJ81" i="3" s="1"/>
  <c r="AJ94" i="3"/>
  <c r="AJ82" i="3" s="1"/>
  <c r="AJ83" i="3" l="1"/>
  <c r="AJ87" i="3" l="1"/>
  <c r="AJ95" i="3"/>
  <c r="AJ96" i="3" l="1"/>
  <c r="AK93" i="3"/>
  <c r="AJ88" i="3"/>
  <c r="AK85" i="3"/>
  <c r="AK86" i="3" l="1"/>
  <c r="AK79" i="3" s="1"/>
  <c r="AK80" i="3" s="1"/>
  <c r="AK81" i="3" s="1"/>
  <c r="AK100" i="3"/>
  <c r="AK94" i="3"/>
  <c r="AK82" i="3" s="1"/>
  <c r="AK83" i="3" l="1"/>
  <c r="AK87" i="3" l="1"/>
  <c r="AK95" i="3"/>
  <c r="AK96" i="3" l="1"/>
  <c r="AL93" i="3"/>
  <c r="AK88" i="3"/>
  <c r="AL85" i="3"/>
  <c r="AL86" i="3" l="1"/>
  <c r="AL79" i="3" s="1"/>
  <c r="AL80" i="3" s="1"/>
  <c r="AL81" i="3" s="1"/>
  <c r="AL100" i="3"/>
  <c r="AL94" i="3"/>
  <c r="AL82" i="3" s="1"/>
  <c r="AL83" i="3" l="1"/>
  <c r="AL87" i="3" l="1"/>
  <c r="AL95" i="3"/>
  <c r="AL96" i="3" l="1"/>
  <c r="AM93" i="3"/>
  <c r="AM94" i="3" s="1"/>
  <c r="AM82" i="3" s="1"/>
  <c r="AL88" i="3"/>
  <c r="AM85" i="3"/>
  <c r="AM86" i="3" l="1"/>
  <c r="AM79" i="3" s="1"/>
  <c r="AM80" i="3" s="1"/>
  <c r="AM81" i="3" s="1"/>
  <c r="AM83" i="3" s="1"/>
  <c r="AM100" i="3"/>
  <c r="AM95" i="3" l="1"/>
  <c r="AM96" i="3" s="1"/>
  <c r="D97" i="3" s="1"/>
  <c r="D98" i="3" s="1"/>
  <c r="AM87" i="3"/>
  <c r="AM88" i="3" s="1"/>
  <c r="D89" i="3" s="1"/>
  <c r="D90" i="3" s="1"/>
  <c r="I19" i="171" l="1"/>
  <c r="H19" i="171"/>
  <c r="G19" i="171"/>
  <c r="F19" i="171"/>
  <c r="L18" i="171" l="1"/>
  <c r="M18" i="171"/>
  <c r="N18" i="171"/>
  <c r="K17" i="171"/>
  <c r="K22" i="171" s="1"/>
  <c r="K18" i="171"/>
  <c r="L17" i="171"/>
  <c r="L22" i="171" s="1"/>
  <c r="N17" i="171"/>
  <c r="N22" i="171"/>
  <c r="M17" i="171"/>
  <c r="M22" i="171"/>
  <c r="I18" i="171" l="1"/>
  <c r="F18" i="171"/>
  <c r="H17" i="171"/>
  <c r="H22" i="171"/>
  <c r="H18" i="171"/>
  <c r="F17" i="171"/>
  <c r="F22" i="171"/>
  <c r="G18" i="171"/>
  <c r="G17" i="171"/>
  <c r="G22" i="171"/>
  <c r="I17" i="171"/>
  <c r="I22" i="171" s="1"/>
  <c r="F20" i="166" l="1"/>
  <c r="I19" i="166"/>
  <c r="I24" i="166"/>
  <c r="H20" i="166"/>
  <c r="G19" i="166"/>
  <c r="G24" i="166"/>
  <c r="I20" i="166"/>
  <c r="H19" i="166"/>
  <c r="H24" i="166" s="1"/>
  <c r="G20" i="166"/>
  <c r="F19" i="166"/>
  <c r="F24" i="166"/>
  <c r="U18" i="4"/>
  <c r="V18" i="4" s="1"/>
  <c r="W18" i="4" s="1"/>
  <c r="X18" i="4" s="1"/>
  <c r="Y18" i="4" s="1"/>
  <c r="Z18" i="4" s="1"/>
  <c r="AA18" i="4" s="1"/>
  <c r="AB18" i="4" s="1"/>
  <c r="AC18" i="4" s="1"/>
  <c r="AD18" i="4" s="1"/>
  <c r="AE18" i="4" s="1"/>
  <c r="AF18" i="4" s="1"/>
  <c r="AG18" i="4" s="1"/>
  <c r="AH18" i="4" s="1"/>
  <c r="AI18" i="4" s="1"/>
  <c r="AJ18" i="4" s="1"/>
  <c r="AK18" i="4" s="1"/>
  <c r="AL18" i="4" s="1"/>
  <c r="AM18" i="4" s="1"/>
  <c r="AN18" i="4" s="1"/>
  <c r="AO18" i="4" s="1"/>
  <c r="AP18" i="4" s="1"/>
  <c r="AQ18" i="4" s="1"/>
  <c r="AR18" i="4" s="1"/>
  <c r="AS18" i="4" s="1"/>
  <c r="T18" i="4"/>
  <c r="S18" i="4" s="1"/>
  <c r="R18" i="4" s="1"/>
  <c r="Q18" i="4" s="1"/>
  <c r="P18" i="4" s="1"/>
  <c r="O18" i="4" s="1"/>
  <c r="N18" i="4" s="1"/>
  <c r="M18" i="4" s="1"/>
  <c r="L18" i="4" s="1"/>
  <c r="K18" i="4" s="1"/>
  <c r="J18" i="4" s="1"/>
  <c r="I18" i="4" s="1"/>
  <c r="H18" i="4" s="1"/>
  <c r="G18" i="4" s="1"/>
  <c r="F18" i="4" s="1"/>
</calcChain>
</file>

<file path=xl/comments1.xml><?xml version="1.0" encoding="utf-8"?>
<comments xmlns="http://schemas.openxmlformats.org/spreadsheetml/2006/main">
  <authors>
    <author>Author</author>
  </authors>
  <commentList>
    <comment ref="A2" authorId="0" shapeId="0">
      <text>
        <r>
          <rPr>
            <b/>
            <sz val="9"/>
            <color indexed="81"/>
            <rFont val="Tahoma"/>
            <family val="2"/>
          </rPr>
          <t>Author:</t>
        </r>
        <r>
          <rPr>
            <sz val="9"/>
            <color indexed="81"/>
            <rFont val="Tahoma"/>
            <family val="2"/>
          </rPr>
          <t xml:space="preserve">
Carried over from the 2014 analysis to the 2018. We will keep it the same for now</t>
        </r>
      </text>
    </comment>
    <comment ref="M77" authorId="0" shapeId="0">
      <text>
        <r>
          <rPr>
            <b/>
            <sz val="9"/>
            <color indexed="81"/>
            <rFont val="Tahoma"/>
            <family val="2"/>
          </rPr>
          <t>Author:</t>
        </r>
        <r>
          <rPr>
            <sz val="9"/>
            <color indexed="81"/>
            <rFont val="Tahoma"/>
            <family val="2"/>
          </rPr>
          <t xml:space="preserve">
Exhibit K 'Cost of Facilities' does not break out costs for each individual station </t>
        </r>
      </text>
    </comment>
  </commentList>
</comments>
</file>

<file path=xl/comments2.xml><?xml version="1.0" encoding="utf-8"?>
<comments xmlns="http://schemas.openxmlformats.org/spreadsheetml/2006/main">
  <authors>
    <author>Author</author>
  </authors>
  <commentList>
    <comment ref="B40" authorId="0" shapeId="0">
      <text>
        <r>
          <rPr>
            <b/>
            <sz val="9"/>
            <color indexed="81"/>
            <rFont val="Tahoma"/>
            <family val="2"/>
          </rPr>
          <t>Author:</t>
        </r>
        <r>
          <rPr>
            <sz val="9"/>
            <color indexed="81"/>
            <rFont val="Tahoma"/>
            <family val="2"/>
          </rPr>
          <t xml:space="preserve">
Brattle should calculate this since we did for CCs and CTs</t>
        </r>
      </text>
    </comment>
  </commentList>
</comments>
</file>

<file path=xl/sharedStrings.xml><?xml version="1.0" encoding="utf-8"?>
<sst xmlns="http://schemas.openxmlformats.org/spreadsheetml/2006/main" count="2397" uniqueCount="831">
  <si>
    <t>Assumptions</t>
  </si>
  <si>
    <t>Financial Assumptions</t>
  </si>
  <si>
    <t>Economic Life (years)</t>
  </si>
  <si>
    <t>Debt Fraction (%)</t>
  </si>
  <si>
    <t>Debt Rate (%)</t>
  </si>
  <si>
    <t>Equity Rate (%)</t>
  </si>
  <si>
    <t>Tax Depreciation Schedule</t>
  </si>
  <si>
    <t>5yr MACRS</t>
  </si>
  <si>
    <t>10yr MACRS</t>
  </si>
  <si>
    <t>15yr MACRS</t>
  </si>
  <si>
    <t>20yr MACRS</t>
  </si>
  <si>
    <t>5yr SLD</t>
  </si>
  <si>
    <t>10yr SLD</t>
  </si>
  <si>
    <t>20yr SLD</t>
  </si>
  <si>
    <t>30yr SLD</t>
  </si>
  <si>
    <t>40yr SLD</t>
  </si>
  <si>
    <t>50yr SLD</t>
  </si>
  <si>
    <t>Annual Inflation Rate (%)</t>
  </si>
  <si>
    <t>ATWACC Nominal (%)</t>
  </si>
  <si>
    <t>ATWACC Real (%)</t>
  </si>
  <si>
    <t>Interest During Construction (%)</t>
  </si>
  <si>
    <t>Calculations</t>
  </si>
  <si>
    <t>Summary of Cash Flows</t>
  </si>
  <si>
    <t>Project Year</t>
  </si>
  <si>
    <t>Fixed O&amp;M ($m)</t>
  </si>
  <si>
    <t>Operating Costs ($m)</t>
  </si>
  <si>
    <t>Tax Depreciation (%)</t>
  </si>
  <si>
    <t>Tax Depreciation ($m)</t>
  </si>
  <si>
    <t>All-Equity Cash Flow ($m)</t>
  </si>
  <si>
    <t>Taxable Income ($m)</t>
  </si>
  <si>
    <t>Net Income Tax ($m)</t>
  </si>
  <si>
    <t>Discretionary Cash ($m)</t>
  </si>
  <si>
    <t>Debt Balance ($m)</t>
  </si>
  <si>
    <t>Interest Payments ($m)</t>
  </si>
  <si>
    <t>Principal Repayment ($m)</t>
  </si>
  <si>
    <t>Total Payments to Debt Holders ($m)</t>
  </si>
  <si>
    <t>Equity Balance ($m)</t>
  </si>
  <si>
    <t>ROE Payments ($m)</t>
  </si>
  <si>
    <t>Dividend Payments ($m)</t>
  </si>
  <si>
    <t>Total Payments to Equity Holders ($m)</t>
  </si>
  <si>
    <t>Source:</t>
  </si>
  <si>
    <t>MACRS from IRS website</t>
  </si>
  <si>
    <t>Year</t>
  </si>
  <si>
    <t>TOTAL</t>
  </si>
  <si>
    <t>Federal Tax Rate (%)</t>
  </si>
  <si>
    <t>State Tax Rate (%)</t>
  </si>
  <si>
    <t>($m)</t>
  </si>
  <si>
    <t>Present
Value</t>
  </si>
  <si>
    <t>($/kW-yr)</t>
  </si>
  <si>
    <t>($m/yr)</t>
  </si>
  <si>
    <t>MOY</t>
  </si>
  <si>
    <t>EOY</t>
  </si>
  <si>
    <t>MOY 1</t>
  </si>
  <si>
    <t>EOY 0</t>
  </si>
  <si>
    <t>(1+ATWACC)/(1+Price_Growth)-1 =</t>
  </si>
  <si>
    <t>(+) Investment Costs</t>
  </si>
  <si>
    <t>(+) Operating Costs</t>
  </si>
  <si>
    <t>(-) Depreciation Tax Shield</t>
  </si>
  <si>
    <t>Total</t>
  </si>
  <si>
    <t>Revenue Requirement ($m)</t>
  </si>
  <si>
    <r>
      <t xml:space="preserve">Note: </t>
    </r>
    <r>
      <rPr>
        <sz val="10"/>
        <rFont val="Times New Roman"/>
        <family val="1"/>
      </rPr>
      <t>All dollar numbers are in nominal $.</t>
    </r>
  </si>
  <si>
    <t>Revenue Requirement ($/kW-yr)</t>
  </si>
  <si>
    <t>Select Options</t>
  </si>
  <si>
    <t>Select Technology &gt;&gt;&gt;</t>
  </si>
  <si>
    <t>Select Region &gt;&gt;&gt;</t>
  </si>
  <si>
    <t>Plant Capacity (MW)</t>
  </si>
  <si>
    <t>Total Income Tax Rate (%)</t>
  </si>
  <si>
    <t>Depreciable Cost ($/kW)</t>
  </si>
  <si>
    <t>Installed Cost ($/kW)</t>
  </si>
  <si>
    <t>First Year Revenue Req.</t>
  </si>
  <si>
    <t>Net Present Value Discounted at ATWACC ($m)</t>
  </si>
  <si>
    <t>Net Present Value Discounted at Debt Rate ($m)</t>
  </si>
  <si>
    <t>Net Present Value Discounted at Equity Rate ($m)</t>
  </si>
  <si>
    <t>Single Cycle</t>
  </si>
  <si>
    <t>Combined Cycle</t>
  </si>
  <si>
    <r>
      <t xml:space="preserve">Income Tax ($m) </t>
    </r>
    <r>
      <rPr>
        <i/>
        <sz val="10"/>
        <color indexed="55"/>
        <rFont val="Times New Roman"/>
        <family val="1"/>
      </rPr>
      <t>ALL-EQUITY</t>
    </r>
  </si>
  <si>
    <t>CT</t>
  </si>
  <si>
    <t>CC</t>
  </si>
  <si>
    <t xml:space="preserve">Month Of Construction = </t>
  </si>
  <si>
    <t xml:space="preserve">Date = </t>
  </si>
  <si>
    <t xml:space="preserve">Interest During Construction ($m) = </t>
  </si>
  <si>
    <t xml:space="preserve">IDC + Depreciable Assets ($m) = </t>
  </si>
  <si>
    <t xml:space="preserve">Cumulative Dollars Spent ($m) = </t>
  </si>
  <si>
    <t xml:space="preserve">Installed Cost ($m) = </t>
  </si>
  <si>
    <t xml:space="preserve">CONE Area &gt;&gt;&gt; </t>
  </si>
  <si>
    <t xml:space="preserve">Technology &gt;&gt;&gt; </t>
  </si>
  <si>
    <t xml:space="preserve">Debt Ratio &gt;&gt;&gt; </t>
  </si>
  <si>
    <t xml:space="preserve">Interest During Construction &gt;&gt;&gt; </t>
  </si>
  <si>
    <t xml:space="preserve">ATWACC &gt;&gt;&gt; </t>
  </si>
  <si>
    <t xml:space="preserve">Construction Assumptions </t>
  </si>
  <si>
    <t>Construction Debt Fraction (%)</t>
  </si>
  <si>
    <t xml:space="preserve">Depreciable Cost ($m) = </t>
  </si>
  <si>
    <t>Installed Cost ($m)</t>
  </si>
  <si>
    <t>Depreciable Cost ($m)</t>
  </si>
  <si>
    <t>Level-Real</t>
  </si>
  <si>
    <t>Level-Nominal</t>
  </si>
  <si>
    <t>(%)</t>
  </si>
  <si>
    <t>Property Taxes</t>
  </si>
  <si>
    <t>Gas Interconnection</t>
  </si>
  <si>
    <t>Technology</t>
  </si>
  <si>
    <t>n/a</t>
  </si>
  <si>
    <t>Mon. Until</t>
  </si>
  <si>
    <t>Completion</t>
  </si>
  <si>
    <t>Months To</t>
  </si>
  <si>
    <t>EPC Costs</t>
  </si>
  <si>
    <t>Levelized Revenue Requirements ($/kW-yr)</t>
  </si>
  <si>
    <t>Levelized Revenue Requirements ($/MW-day)</t>
  </si>
  <si>
    <t>Levelization Method &gt;&gt;&gt;</t>
  </si>
  <si>
    <t>(MW)</t>
  </si>
  <si>
    <t>Net Summer ICAP</t>
  </si>
  <si>
    <t>($/kW)</t>
  </si>
  <si>
    <t>Rest of RTO</t>
  </si>
  <si>
    <t>Dominion</t>
  </si>
  <si>
    <t>Asset Management</t>
  </si>
  <si>
    <t>Owner's Contingency</t>
  </si>
  <si>
    <t>Financing Fees</t>
  </si>
  <si>
    <t>Total Capital Costs</t>
  </si>
  <si>
    <t>Frame-Type 
Combustion Turbine</t>
  </si>
  <si>
    <t>Combined Cycle 
Gas Turbine</t>
  </si>
  <si>
    <t>Location</t>
  </si>
  <si>
    <t>EMAAC</t>
  </si>
  <si>
    <t>SWMAAC</t>
  </si>
  <si>
    <t>WMAAC</t>
  </si>
  <si>
    <t xml:space="preserve">    </t>
  </si>
  <si>
    <t>Capital Costs</t>
  </si>
  <si>
    <t>Units</t>
  </si>
  <si>
    <t>Comments</t>
  </si>
  <si>
    <t>Project Costs</t>
  </si>
  <si>
    <t>Owner Furnished Equipment</t>
  </si>
  <si>
    <t>Gas Turbines</t>
  </si>
  <si>
    <t>HRSG / SCR</t>
  </si>
  <si>
    <t>Sales Tax</t>
  </si>
  <si>
    <t>Total Owner Furnished Equipment</t>
  </si>
  <si>
    <t>Equipment</t>
  </si>
  <si>
    <t>Condenser</t>
  </si>
  <si>
    <t>Steam Turbines</t>
  </si>
  <si>
    <t>Other Equipment</t>
  </si>
  <si>
    <t>Equipment Subtotal</t>
  </si>
  <si>
    <t>Construction Labor</t>
  </si>
  <si>
    <t xml:space="preserve">Other Labor </t>
  </si>
  <si>
    <t>Materials</t>
  </si>
  <si>
    <t>EPC Contractor Fee</t>
  </si>
  <si>
    <t>EPC Contingency</t>
  </si>
  <si>
    <t>Total EPC Costs</t>
  </si>
  <si>
    <t>Total Project Costs</t>
  </si>
  <si>
    <t>Non-EPC Costs</t>
  </si>
  <si>
    <t>Project Development</t>
  </si>
  <si>
    <t>Mobilization and Start-Up</t>
  </si>
  <si>
    <t>Net Start-Up Fuel Costs</t>
  </si>
  <si>
    <t>Electrical Interconnection</t>
  </si>
  <si>
    <t>Land</t>
  </si>
  <si>
    <t>Fuel Inventories</t>
  </si>
  <si>
    <t>Non-Fuel Inventories</t>
  </si>
  <si>
    <t>Working Capital</t>
  </si>
  <si>
    <t>Subtotal - Non-EPC Costs w/o Financing Fees</t>
  </si>
  <si>
    <t>Total Non-EPC Costs</t>
  </si>
  <si>
    <t>Overnight Capital Costs ($)</t>
  </si>
  <si>
    <t>Overnight Capital Costs ($/kW)</t>
  </si>
  <si>
    <t>O&amp;M Costs</t>
  </si>
  <si>
    <t>Firm Gas Contract</t>
  </si>
  <si>
    <t xml:space="preserve">     Major Maintenance - Hours Based</t>
  </si>
  <si>
    <t>Variable O&amp;M - Starts Based ($/factored start, per turbine)</t>
  </si>
  <si>
    <t>MW</t>
  </si>
  <si>
    <t>%</t>
  </si>
  <si>
    <t>$m</t>
  </si>
  <si>
    <t>Construction Month</t>
  </si>
  <si>
    <t>Annual Escalation Rate</t>
  </si>
  <si>
    <t>Inflation Adder</t>
  </si>
  <si>
    <t>$/kW</t>
  </si>
  <si>
    <t>Simple Cycle</t>
  </si>
  <si>
    <t xml:space="preserve">50% of </t>
  </si>
  <si>
    <t>Drawdown</t>
  </si>
  <si>
    <t>Cash Flow (%)</t>
  </si>
  <si>
    <t>Months to Completion</t>
  </si>
  <si>
    <t>Monthly Escalation Rate</t>
  </si>
  <si>
    <t>Number of Months to Escalate</t>
  </si>
  <si>
    <t>Total in Nominal $</t>
  </si>
  <si>
    <t xml:space="preserve">Capital Cost (Nominal $m) = </t>
  </si>
  <si>
    <t xml:space="preserve">Capital Cost Cash Flow ($m) = </t>
  </si>
  <si>
    <t>Depreciable
(1 = Yes)</t>
  </si>
  <si>
    <t>Non-Depreciable Costs ($)</t>
  </si>
  <si>
    <t xml:space="preserve">Non-depreciable Cost (Nominal $m) = </t>
  </si>
  <si>
    <t xml:space="preserve">Non-Depreciable Assets ($m) = </t>
  </si>
  <si>
    <t>&lt;&lt; Monthly debt rate</t>
  </si>
  <si>
    <t>&lt;&lt; Monthly ATWAAC</t>
  </si>
  <si>
    <t>RTO</t>
  </si>
  <si>
    <t>Labor</t>
  </si>
  <si>
    <t>HRSG/SCR</t>
  </si>
  <si>
    <t xml:space="preserve">Insurance  </t>
  </si>
  <si>
    <t>CONE Area</t>
  </si>
  <si>
    <t>Gross Costs</t>
  </si>
  <si>
    <t>Overnight Costs</t>
  </si>
  <si>
    <t>Installed Costs</t>
  </si>
  <si>
    <t>First Year FOM Costs</t>
  </si>
  <si>
    <t>Unitized Costs</t>
  </si>
  <si>
    <t>After-Tax WACC</t>
  </si>
  <si>
    <t>Levelized Gross CONE</t>
  </si>
  <si>
    <t xml:space="preserve">Level-Nominal CONE </t>
  </si>
  <si>
    <t>EPC Sales Tax</t>
  </si>
  <si>
    <t>OFE Sales Tax</t>
  </si>
  <si>
    <t>Net Start-up Fuel Costs</t>
  </si>
  <si>
    <t>Mobilization and Start-up</t>
  </si>
  <si>
    <t>Inventories</t>
  </si>
  <si>
    <t xml:space="preserve">Overnight Cost ($m Nominal) = </t>
  </si>
  <si>
    <t>LTSA</t>
  </si>
  <si>
    <t xml:space="preserve">Labor </t>
  </si>
  <si>
    <t>Consumables</t>
  </si>
  <si>
    <t>Maintenance and Minor Repairs</t>
  </si>
  <si>
    <t>Administrative and General</t>
  </si>
  <si>
    <t>Overnight</t>
  </si>
  <si>
    <t>Installed</t>
  </si>
  <si>
    <t>IDC</t>
  </si>
  <si>
    <t>First Year FOM</t>
  </si>
  <si>
    <t>Annual Fixed O&amp;M Costs (Nominal $million)</t>
  </si>
  <si>
    <t>Area</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</si>
  <si>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</si>
  <si>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</si>
  <si>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</si>
  <si>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</si>
  <si>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</si>
  <si>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</si>
  <si>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</si>
  <si>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</si>
  <si>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</si>
  <si>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</si>
  <si>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</si>
  <si>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</si>
  <si>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</si>
  <si>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</si>
  <si>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</si>
  <si>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</si>
  <si>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</si>
  <si>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</si>
  <si>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</si>
  <si>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</si>
  <si>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Year 21</t>
  </si>
  <si>
    <t>Year 22</t>
  </si>
  <si>
    <t>Year 23</t>
  </si>
  <si>
    <t>Year 24</t>
  </si>
  <si>
    <t>Year 25</t>
  </si>
  <si>
    <t>Year 26</t>
  </si>
  <si>
    <t>Year 27</t>
  </si>
  <si>
    <t>Year 28</t>
  </si>
  <si>
    <t>Year 29</t>
  </si>
  <si>
    <t>Year 30</t>
  </si>
  <si>
    <t>Year 31</t>
  </si>
  <si>
    <t>Year 32</t>
  </si>
  <si>
    <t>Year 33</t>
  </si>
  <si>
    <t>Year 34</t>
  </si>
  <si>
    <t>Year 35</t>
  </si>
  <si>
    <t>Year 36</t>
  </si>
  <si>
    <t>Year 37</t>
  </si>
  <si>
    <t>Year 38</t>
  </si>
  <si>
    <t>Year 39</t>
  </si>
  <si>
    <t>Year 40</t>
  </si>
  <si>
    <t>Year 41</t>
  </si>
  <si>
    <t>Year 42</t>
  </si>
  <si>
    <t>Year 43</t>
  </si>
  <si>
    <t>Year 44</t>
  </si>
  <si>
    <t>Year 45</t>
  </si>
  <si>
    <t>Year 46</t>
  </si>
  <si>
    <t>Year 47</t>
  </si>
  <si>
    <t>Year 48</t>
  </si>
  <si>
    <t>Year 49</t>
  </si>
  <si>
    <t>Year 50</t>
  </si>
  <si>
    <t>Taxable Real</t>
  </si>
  <si>
    <t>Taxable Personal</t>
  </si>
  <si>
    <t>Real Rate</t>
  </si>
  <si>
    <t>Personal Rate</t>
  </si>
  <si>
    <t>Depreciation</t>
  </si>
  <si>
    <t>Escalator</t>
  </si>
  <si>
    <t>Assess. Ratio</t>
  </si>
  <si>
    <t>Dep. Floor</t>
  </si>
  <si>
    <t>(Personal)</t>
  </si>
  <si>
    <t>(Real)</t>
  </si>
  <si>
    <t>Real/Personal Tax</t>
  </si>
  <si>
    <t>P</t>
  </si>
  <si>
    <t>R</t>
  </si>
  <si>
    <t>Real Tax Base</t>
  </si>
  <si>
    <t>Personal Tax Base</t>
  </si>
  <si>
    <t>See below</t>
  </si>
  <si>
    <t>Assessment %</t>
  </si>
  <si>
    <t>Tax Rate %</t>
  </si>
  <si>
    <t>Tax Base ($m)</t>
  </si>
  <si>
    <t>Personal&gt;&gt;</t>
  </si>
  <si>
    <t>Personal</t>
  </si>
  <si>
    <t>Real</t>
  </si>
  <si>
    <t>Property Tax Costs (Nominal $million)</t>
  </si>
  <si>
    <t>Property Tax</t>
  </si>
  <si>
    <t>Firm Gas</t>
  </si>
  <si>
    <t>Total FOM Cost</t>
  </si>
  <si>
    <t>Turbine</t>
  </si>
  <si>
    <t>Material</t>
  </si>
  <si>
    <t>Plant Capacity (MW) - Max Summer</t>
  </si>
  <si>
    <t xml:space="preserve">     Consumables, Waste Disposal, Other VOM</t>
  </si>
  <si>
    <t>Overnight Capital Costs ($million)</t>
  </si>
  <si>
    <t>Capital Costs (in $millions)</t>
  </si>
  <si>
    <t>Levelized FOM</t>
  </si>
  <si>
    <t>Startup Fuel Cost (in $million)</t>
  </si>
  <si>
    <t>Personal vs. Real property breakdown</t>
  </si>
  <si>
    <t>Gas CT</t>
  </si>
  <si>
    <t>Gas CC</t>
  </si>
  <si>
    <t>FOM (excl. prop. tax, firm gas and working capital)</t>
  </si>
  <si>
    <t>CONE</t>
  </si>
  <si>
    <t>$/kW-yr</t>
  </si>
  <si>
    <t>Results Matrix</t>
  </si>
  <si>
    <t>Cost Estimate Year Dollars</t>
  </si>
  <si>
    <t>Future Estimate Year Dollars</t>
  </si>
  <si>
    <t>(%/yr)</t>
  </si>
  <si>
    <t>(%/mo)</t>
  </si>
  <si>
    <t>Note: You must update Installed Cost values on Capital Costs_Nominal$ sheet.</t>
  </si>
  <si>
    <t>ATWAAC</t>
  </si>
  <si>
    <t>Installed Capital Costs</t>
  </si>
  <si>
    <t>Reference CT Plant</t>
  </si>
  <si>
    <t>Reference CC Plant</t>
  </si>
  <si>
    <t>Annual Real Escalation Rate</t>
  </si>
  <si>
    <t>Comments (Please describe assumptions for each line item)</t>
  </si>
  <si>
    <t>Values estimated by S&amp;L</t>
  </si>
  <si>
    <t>Calculated by % of other costs based on values in the Cost Assumptions tab.</t>
  </si>
  <si>
    <t>Values estimated by Brattle</t>
  </si>
  <si>
    <t>DUAL FUEL CATEGORIES</t>
  </si>
  <si>
    <t>Total Delta</t>
  </si>
  <si>
    <t>Combustion Turbines w/ Accessories</t>
  </si>
  <si>
    <t>SCR w/ Exhaust Stack</t>
  </si>
  <si>
    <t>Water Supply</t>
  </si>
  <si>
    <t>Field Erected Tanks</t>
  </si>
  <si>
    <t>Fire Protection</t>
  </si>
  <si>
    <t>BOP Piping</t>
  </si>
  <si>
    <t>Foundations</t>
  </si>
  <si>
    <t>Site Preparation, Drainage, &amp; Yard Work</t>
  </si>
  <si>
    <t>Freight, Duties, Taxes, Etc.</t>
  </si>
  <si>
    <t>Total Direct Project Costs</t>
  </si>
  <si>
    <t>Indirect Project Costs</t>
  </si>
  <si>
    <t>Engineering, Procurement, &amp; Project Services</t>
  </si>
  <si>
    <t>Construction Management/Field Engineering</t>
  </si>
  <si>
    <t>S-U/Commissioning</t>
  </si>
  <si>
    <t>EPC Contractor's Fee</t>
  </si>
  <si>
    <t>Contingency @ 10%</t>
  </si>
  <si>
    <t>Total EPC Project Cost for DF</t>
  </si>
  <si>
    <t>Fixed O&amp;M</t>
  </si>
  <si>
    <t xml:space="preserve">     Major Maintenance - LTSA Fixed Payments</t>
  </si>
  <si>
    <t>Fixed component of LTSA for CTs only. Independent of unit operating hours or starts.</t>
  </si>
  <si>
    <t xml:space="preserve">     Labor </t>
  </si>
  <si>
    <t>Routine staffing for all shifts. Simple cycle plants are primarily peakers. Combined cycle plants run intermediate to base load.</t>
  </si>
  <si>
    <t xml:space="preserve">     Consumables</t>
  </si>
  <si>
    <t>Former "fixed" consumables category now included within Maintenance and Minor Repairs.</t>
  </si>
  <si>
    <t xml:space="preserve">     Maintenance, Supplies, and Minor Repairs</t>
  </si>
  <si>
    <t>Covers routine maintenance, supplies, and services not under the scope of the LTSA or BOP major maintenance activities.</t>
  </si>
  <si>
    <t xml:space="preserve">     Administrative and General</t>
  </si>
  <si>
    <t>Typical costs for legal, audit, tax, accounting, finance, human resources, and relatived services.</t>
  </si>
  <si>
    <t xml:space="preserve">     Asset Management</t>
  </si>
  <si>
    <t>Typical costs for fuel procurement, power marketing, energy management, and related services.</t>
  </si>
  <si>
    <t xml:space="preserve">     Insurance  </t>
  </si>
  <si>
    <t xml:space="preserve">     Property Taxes</t>
  </si>
  <si>
    <t xml:space="preserve">  Firm Gas Contract</t>
  </si>
  <si>
    <t>Variable O&amp;M</t>
  </si>
  <si>
    <t xml:space="preserve">     CT Major Maintenance - (If Hours Based)</t>
  </si>
  <si>
    <t>Variable component of LTSA for CTs only if frequency of major maintenance events is based on hours of CT operation. Covers the cost of required combustion inspections, hot gas path inspections, and major inspections, normalized to a $/MWh basis.</t>
  </si>
  <si>
    <t xml:space="preserve">     BOP Major Maintenance</t>
  </si>
  <si>
    <t>Major maintenance for steam turbine and HRSG, normalized to a $/MWh basis. Timing may coincide with CT major maintenance outage events, but at different frequencies.</t>
  </si>
  <si>
    <t xml:space="preserve">     Consumables, Waste Disposal, and Other VOM</t>
  </si>
  <si>
    <t>Covers SCR catalyst replacement and disposal, CO catalyst, ammonia, water supply, water treatment, and other chemicals and consumables.</t>
  </si>
  <si>
    <t>Variable O&amp;M Total - If Hours Based ($/MWh)</t>
  </si>
  <si>
    <t>CT Major Maintenance - If Starts Based ($/factored start, per turbine)</t>
  </si>
  <si>
    <t>Variable component of LTSA for CTs only if frequency of major maintenance events is based on the number of CT starts. Covers the cost of required combustion inspections, hot gas path inspections, and major inspections, normalized to a $/factored start, per turbine basis.</t>
  </si>
  <si>
    <t>Plant Characteristics</t>
  </si>
  <si>
    <t>Net Plant Capacity without Duct Firing</t>
  </si>
  <si>
    <t>Net Plant Capacity - Max Summer</t>
  </si>
  <si>
    <t>Net Plant Capacity - Average (ISO)</t>
  </si>
  <si>
    <t>Net Plant Capacity with Duct Firing</t>
  </si>
  <si>
    <t>--</t>
  </si>
  <si>
    <t>Net Plant Heat Rate without Duct Firing</t>
  </si>
  <si>
    <t>Net Plant Heat Rate - Max Summer</t>
  </si>
  <si>
    <t>Btu/kWh, HHV</t>
  </si>
  <si>
    <t>Net Plant Heat Rate with Duct Firing</t>
  </si>
  <si>
    <t>Start-Up Time *</t>
  </si>
  <si>
    <t>minutes</t>
  </si>
  <si>
    <t>Start-Up Fuel Consumption *</t>
  </si>
  <si>
    <t>mmBtu/start</t>
  </si>
  <si>
    <t xml:space="preserve">Equivalent Forced Outage Rate - Demand Based </t>
  </si>
  <si>
    <t>EFORd</t>
  </si>
  <si>
    <t>% of other EPC costs</t>
  </si>
  <si>
    <t>Project Development Cost</t>
  </si>
  <si>
    <t>% of EPC costs</t>
  </si>
  <si>
    <t>Mobilization and Start-Up Cost</t>
  </si>
  <si>
    <t>% of other Owner's costs</t>
  </si>
  <si>
    <t>Construction Debt Financing</t>
  </si>
  <si>
    <t>Electric Interconnection</t>
  </si>
  <si>
    <t>Per kW cost</t>
  </si>
  <si>
    <t>Pipeline Cost</t>
  </si>
  <si>
    <t>Miles</t>
  </si>
  <si>
    <t>miles</t>
  </si>
  <si>
    <t>Substation</t>
  </si>
  <si>
    <t xml:space="preserve">Land Purchase Cost </t>
  </si>
  <si>
    <t>$/acre</t>
  </si>
  <si>
    <t>Acreage</t>
  </si>
  <si>
    <t>acre</t>
  </si>
  <si>
    <t>Sales Tax Rates</t>
  </si>
  <si>
    <t>State Income Tax Rates</t>
  </si>
  <si>
    <t>Fuel Oil Inventory Cost</t>
  </si>
  <si>
    <t>$</t>
  </si>
  <si>
    <t>Days of Fuel Oil Inventory</t>
  </si>
  <si>
    <t>days</t>
  </si>
  <si>
    <t>Capacity Factor for Inventory Days</t>
  </si>
  <si>
    <t>Fuel Oil Price</t>
  </si>
  <si>
    <t>$/mmBtu</t>
  </si>
  <si>
    <t>Fuel Oil Heating Value</t>
  </si>
  <si>
    <t>Btu/gallon</t>
  </si>
  <si>
    <t>Fuel Oil Inventory</t>
  </si>
  <si>
    <t>gallons</t>
  </si>
  <si>
    <t>$/gallon</t>
  </si>
  <si>
    <t>Depreciation Schedule</t>
  </si>
  <si>
    <t>Natural Gas Consumed During Start*</t>
  </si>
  <si>
    <t>mmBtu/start, per Unit</t>
  </si>
  <si>
    <t>See comments for Start-up Fuel Consumption above</t>
  </si>
  <si>
    <t>Insurance</t>
  </si>
  <si>
    <t>% of Overnight Capital Costs</t>
  </si>
  <si>
    <t>*Simple Cycle Start: Simple cycle start assumes conventional cold start of the CTG with purge credit.</t>
  </si>
  <si>
    <t>** Combined Cycle Start: Combined cycle start assumes a warm start, with purge credit, and ramping of the combustion turbines to minimum emission compliant load before loading the steam turbine (rapid response lite start).</t>
  </si>
  <si>
    <t>Gas Testing</t>
  </si>
  <si>
    <t>Fuel Use</t>
  </si>
  <si>
    <t>mmBtu</t>
  </si>
  <si>
    <t>Startup Days</t>
  </si>
  <si>
    <t>full-load days</t>
  </si>
  <si>
    <t>Fuel Oil Testing</t>
  </si>
  <si>
    <t>Energy Revenue Credit</t>
  </si>
  <si>
    <t>Energy Production</t>
  </si>
  <si>
    <t>MWh</t>
  </si>
  <si>
    <t>Total Construction Labor Hours</t>
  </si>
  <si>
    <t>hours</t>
  </si>
  <si>
    <t>Price</t>
  </si>
  <si>
    <t>($/acre)</t>
  </si>
  <si>
    <t>(acres)</t>
  </si>
  <si>
    <t>Notes:</t>
  </si>
  <si>
    <t>&lt; 500 MW</t>
  </si>
  <si>
    <t>500-750 MW</t>
  </si>
  <si>
    <t>&gt; 750 MW</t>
  </si>
  <si>
    <t>Capacity Weighted Average</t>
  </si>
  <si>
    <t>Plant Size</t>
  </si>
  <si>
    <t>Observations</t>
  </si>
  <si>
    <t>(count)</t>
  </si>
  <si>
    <t>Gas Lateral Project</t>
  </si>
  <si>
    <t>State</t>
  </si>
  <si>
    <t>In-Service Year</t>
  </si>
  <si>
    <t>Pipeline Width</t>
  </si>
  <si>
    <t>Pipeline Length</t>
  </si>
  <si>
    <t>Pipeline 
Cost</t>
  </si>
  <si>
    <t>Meter Station</t>
  </si>
  <si>
    <t>Station Cost</t>
  </si>
  <si>
    <t>(inches)</t>
  </si>
  <si>
    <t>(miles)</t>
  </si>
  <si>
    <t>($m in service year)</t>
  </si>
  <si>
    <t>($m/mile)</t>
  </si>
  <si>
    <t>(Y/N)</t>
  </si>
  <si>
    <t>PA</t>
  </si>
  <si>
    <t>NJ</t>
  </si>
  <si>
    <t>TX</t>
  </si>
  <si>
    <t>Western Kentucky Lateral Project</t>
  </si>
  <si>
    <t>KY</t>
  </si>
  <si>
    <t>Rock Springs Expansion</t>
  </si>
  <si>
    <t>PA,MD</t>
  </si>
  <si>
    <t>Woodbridge lateral</t>
  </si>
  <si>
    <t>Average</t>
  </si>
  <si>
    <t>Overnight Cost</t>
  </si>
  <si>
    <t>New Jersey</t>
  </si>
  <si>
    <t>Gloucester</t>
  </si>
  <si>
    <t>Pennsylvania</t>
  </si>
  <si>
    <t>Maryland</t>
  </si>
  <si>
    <t>Charles</t>
  </si>
  <si>
    <t>Prince George's</t>
  </si>
  <si>
    <t>Lawrence</t>
  </si>
  <si>
    <t>Ohio</t>
  </si>
  <si>
    <t>Trumbull</t>
  </si>
  <si>
    <t>Carroll</t>
  </si>
  <si>
    <t>Luzerne</t>
  </si>
  <si>
    <t>Lycoming</t>
  </si>
  <si>
    <t>Bradford</t>
  </si>
  <si>
    <t>Real Property Tax</t>
  </si>
  <si>
    <t>Personal Property Tax</t>
  </si>
  <si>
    <t>Nominal Tax Rate</t>
  </si>
  <si>
    <t>Assessment Ratio</t>
  </si>
  <si>
    <t>Effective Tax Rate</t>
  </si>
  <si>
    <t>[a]</t>
  </si>
  <si>
    <t>[b]</t>
  </si>
  <si>
    <t>[a] X [b]</t>
  </si>
  <si>
    <t>[c]</t>
  </si>
  <si>
    <t>[d]</t>
  </si>
  <si>
    <t>[c] X [d]</t>
  </si>
  <si>
    <t>[e]</t>
  </si>
  <si>
    <t xml:space="preserve"> </t>
  </si>
  <si>
    <t>Emission Reduction Credit</t>
  </si>
  <si>
    <t>Emission Reduction Credits</t>
  </si>
  <si>
    <t>Levelized CONE</t>
  </si>
  <si>
    <t>$m/yr</t>
  </si>
  <si>
    <t>$/MW-yr</t>
  </si>
  <si>
    <t xml:space="preserve">Camden </t>
  </si>
  <si>
    <t xml:space="preserve">Sources and Notes: </t>
  </si>
  <si>
    <t>[1]</t>
  </si>
  <si>
    <t>[2]</t>
  </si>
  <si>
    <t>[3]</t>
  </si>
  <si>
    <t>[4]</t>
  </si>
  <si>
    <t>[5]</t>
  </si>
  <si>
    <t>[1c],[1d] No personal property tax assessed on power plants in New Jersey; NJ Rev Stat § 54:4-1 (2016).</t>
  </si>
  <si>
    <t>[1a],[1b] New Jersey rates estimated based on the average effective tax rates from Gloucester and Camden counties. For Gloucester County see:</t>
  </si>
  <si>
    <t>[2d]         MD Tax-Prop Code § 7-237 (2016)</t>
  </si>
  <si>
    <t>http://www.tax.ohio.gov/Portals/0/communications/publications/annual_reports/2016AnnualReport/2016AnnualReport.pdf</t>
  </si>
  <si>
    <t>[4a]         Pennsylvania county tax rates for RTO based on the county of Lawrence, available at:</t>
  </si>
  <si>
    <t>http://www.revenue.pa.gov/FormsandPublications/FormsforIndividuals/Documents/Realty%20Transfer%20Tax/clr_factor_current.pdf</t>
  </si>
  <si>
    <t>[5a]         Pennsylvania county tax rates for WMAAC based on average effective tax rate between Luzerne, Lycoming, and Bradford counties:</t>
  </si>
  <si>
    <t xml:space="preserve">[3e]         Depreciation schedules for utility assets found in Form U-El by Ohio Department of Taxation: </t>
  </si>
  <si>
    <t>http://www.tax.ohio.gov/portals/0/forms/public_utility_excise/2017/PUE_UEL.xls</t>
  </si>
  <si>
    <t>Ohio Tax Breakdown (CC):</t>
  </si>
  <si>
    <t>PA Tax (CC):</t>
  </si>
  <si>
    <t>Ohio Tax Breakdown (CT):</t>
  </si>
  <si>
    <t>PA Tax (CT):</t>
  </si>
  <si>
    <t>Y</t>
  </si>
  <si>
    <t>Note: All values highlighted in the following color are used:</t>
  </si>
  <si>
    <t>&lt;&lt; Approx. Capital Charge Rate for CC</t>
  </si>
  <si>
    <t xml:space="preserve">[2a],[2c] Maryland tax rates estimated based on average county tax rates in Charles county and Prince George's county in 2017-2018. Data obtained from Maryland </t>
  </si>
  <si>
    <t>FOM</t>
  </si>
  <si>
    <t>VOM</t>
  </si>
  <si>
    <t>Scenario (Switch on KW-yr Tab):</t>
  </si>
  <si>
    <t>&lt;&lt; # hours in a year</t>
  </si>
  <si>
    <t>Average MW (Non-Ductfiring)</t>
  </si>
  <si>
    <t>&lt;&lt; CT Starts/Year</t>
  </si>
  <si>
    <t>&lt;&lt; CC Capacity factor</t>
  </si>
  <si>
    <t>*Provided by S&amp;L</t>
  </si>
  <si>
    <t>To convert MW &gt;&gt;</t>
  </si>
  <si>
    <t>To convert millions &gt;&gt;</t>
  </si>
  <si>
    <t>To convert days to hours &gt;&gt;</t>
  </si>
  <si>
    <t>&lt;&lt; Million converter</t>
  </si>
  <si>
    <t>Representative State</t>
  </si>
  <si>
    <t>Corporate Income Tax Rate</t>
  </si>
  <si>
    <t>Sales Tax Rate</t>
  </si>
  <si>
    <t>Eastern MAAC</t>
  </si>
  <si>
    <t>Southwest MAAC</t>
  </si>
  <si>
    <t>Western MAAC</t>
  </si>
  <si>
    <t>Income and Sales Taxes</t>
  </si>
  <si>
    <t>*CT Major Maintenance (hours based) - Applicable to combined cycles only. Combined cycle operating profile is assumed to be a base loaded unit.</t>
  </si>
  <si>
    <t>**CT Major Maintenance (starts based) - Applicable to simple cycles only. Simple cycle operating profile is assumed to be a peaker unit.</t>
  </si>
  <si>
    <t>Substation Cost</t>
  </si>
  <si>
    <t>*From Additional Estimates (converted to millions)</t>
  </si>
  <si>
    <t>*From Cost Assumptions (converted to millions)</t>
  </si>
  <si>
    <t>Year of Cost &gt;&gt;</t>
  </si>
  <si>
    <t>Online Year&gt;&gt;</t>
  </si>
  <si>
    <t>Escalate to middle of drawdown schedule &gt;&gt;</t>
  </si>
  <si>
    <t>Number of year to online date&gt;&gt;</t>
  </si>
  <si>
    <t>Number of months in a year &gt;&gt;</t>
  </si>
  <si>
    <t>Escalation for electric interconnection (7 months prior to online year) &gt;&gt;</t>
  </si>
  <si>
    <t>Escalation for gas interconnection (8 months prior to online year) &gt;&gt;</t>
  </si>
  <si>
    <t xml:space="preserve">                 Department of Assessments &amp; Taxation website: </t>
  </si>
  <si>
    <t>[2e]         Phone conversation with representative at Charles County Treasury Department.</t>
  </si>
  <si>
    <t xml:space="preserve">[4b]         Pennsylvania assessment ratios available at: </t>
  </si>
  <si>
    <t xml:space="preserve">[5b]         Pennsylvania assessment ratios available at: </t>
  </si>
  <si>
    <t>$/kW-year</t>
  </si>
  <si>
    <t>Major maintence FROM VOM SCENARIO&gt;&gt;</t>
  </si>
  <si>
    <t>Bonus Depreciation %</t>
  </si>
  <si>
    <t>Online Year</t>
  </si>
  <si>
    <t>Online Years</t>
  </si>
  <si>
    <t>Effective Charge Rate</t>
  </si>
  <si>
    <t>= [5] x [9] + [7]</t>
  </si>
  <si>
    <t>Installed (inc. IDC)</t>
  </si>
  <si>
    <t>$/MW-day</t>
  </si>
  <si>
    <t>** Hard pasted VOM values used in FOM scenario</t>
  </si>
  <si>
    <t>LTSA Cost Scenario &gt;&gt;</t>
  </si>
  <si>
    <t>Operating Costs (Levelized FOM)</t>
  </si>
  <si>
    <t>Update with Values Below</t>
  </si>
  <si>
    <t>Major Maintenance - Starts Based ($/factored start, per turbine)</t>
  </si>
  <si>
    <t>PJM Combined-Cycle 2022/23 CONE Summary</t>
  </si>
  <si>
    <t>PJM Simple-Cycle 2022/23 CONE Summary</t>
  </si>
  <si>
    <t>WC Needed (% of Overnight Costs) &gt;&gt;</t>
  </si>
  <si>
    <t>Financing Costs on WC (Annual Rate) &gt;&gt;</t>
  </si>
  <si>
    <t>Months Prior</t>
  </si>
  <si>
    <t xml:space="preserve">Note: Sales tax rate of 0% due to equipment being sales tax exempt. </t>
  </si>
  <si>
    <t>&lt;&lt;From Net Start Up Workbook</t>
  </si>
  <si>
    <t>It is assumed that land is bought in 2022, i.e., 6 months to 1 year before the start of construction.</t>
  </si>
  <si>
    <t>Land cost (in 2022$)</t>
  </si>
  <si>
    <t>&lt;&lt; Year 2026$. Do NOT increase with inflation</t>
  </si>
  <si>
    <t>(2021$m)</t>
  </si>
  <si>
    <t>(2021$/kW)</t>
  </si>
  <si>
    <t>Electrical Interconnection Cost (in 2021$)</t>
  </si>
  <si>
    <t>Panda Power Lateral Project</t>
  </si>
  <si>
    <t>UGI Sunbury Pipeline</t>
  </si>
  <si>
    <t>Willis Lateral Project</t>
  </si>
  <si>
    <t>Gas Interconnection Cost (in 2021$)</t>
  </si>
  <si>
    <t>follow annual report "SchC-NewProd (NG)"</t>
  </si>
  <si>
    <t>https://tax1.co.monmouth.nj.us/cgi-bin/prc6.cgi?&amp;ms_user=monm&amp;passwd=data&amp;srch_type=0&amp;adv=0&amp;out_type=0&amp;district=0801</t>
  </si>
  <si>
    <t xml:space="preserve">For Camden county see: </t>
  </si>
  <si>
    <t>https://www.camdencounty.com/wp-content/uploads/2020/11/04CAMDEN.2021-Ratios.pdf</t>
  </si>
  <si>
    <t>https://www.camdencounty.com/wp-content/uploads/2020/11/2021-County-Tax-Rates.pdf</t>
  </si>
  <si>
    <t>https://dat.maryland.gov/Documents/statistics/Taxrates_2021.pdf</t>
  </si>
  <si>
    <t xml:space="preserve">[3a],[3c] Ohio rates estimated based on the average effective tax rates from Trumbull and Carroll counties. For Trumbull county see:  </t>
  </si>
  <si>
    <t>http://auditor.co.trumbull.oh.us/pdfs/2020%20RATE%20OF%20TAXATION.pdf</t>
  </si>
  <si>
    <t>For Caroll County see:</t>
  </si>
  <si>
    <t>http://www.carrollcountyauditor.us/auditorsadvisory/Rates%20of%20Taxation%202020.pdf</t>
  </si>
  <si>
    <t>[3b],[3d] Assessment ratios for real property and personal property taxes found on pages 124 and 129:</t>
  </si>
  <si>
    <t>https://lawrencecountypa.gov/wp-content/uploads/2021/07/2021-millage.pdf</t>
  </si>
  <si>
    <t>https://www.luzernecounty.org/DocumentCenter/View/26403/2021-MILLAGES-JULY</t>
  </si>
  <si>
    <t>https://www.lyco.org/Portals/1/Assessment/Documents/2021%20Millage.pdf?ver=2021-01-29-090920-517</t>
  </si>
  <si>
    <t>https://bradfordcountypa.org/wp-content/uploads/2021/09/Bradford-County-Mill-Rates.pdf</t>
  </si>
  <si>
    <t xml:space="preserve">Note assessment ratios above 100% are capped at 100% in our calculations. </t>
  </si>
  <si>
    <t xml:space="preserve">[5c]-[5e] According to Pennsylvania Legislator's Municipal Deskbook Taxation &amp; Finance (Real Estate Assessment Process, pg. 1), only real estate tax assessed by local governments. </t>
  </si>
  <si>
    <r>
      <t xml:space="preserve">[4c]-[4e] According to </t>
    </r>
    <r>
      <rPr>
        <i/>
        <sz val="11"/>
        <color theme="1"/>
        <rFont val="Calibri"/>
        <family val="2"/>
        <scheme val="minor"/>
      </rPr>
      <t>Pennsylvania Legislator's Municipal Deskbook Taxation &amp; Finance (Real Estate Assessment Process, pg. 1)</t>
    </r>
    <r>
      <rPr>
        <sz val="10"/>
        <rFont val="Arial"/>
        <family val="2"/>
      </rPr>
      <t xml:space="preserve">, only real estate tax assessed by local governments. </t>
    </r>
  </si>
  <si>
    <t>https://www.irs.gov/pub/irs-pdf/p946.pdf</t>
  </si>
  <si>
    <t>Page 71 -&gt; 3-, 5-, 7-, 10-, 15-, and 20-Year Property Mid-Quarter Convention Placed in Service in First Quarter</t>
  </si>
  <si>
    <t>Other Labor</t>
  </si>
  <si>
    <t>% of EPC Costs</t>
  </si>
  <si>
    <t xml:space="preserve">From 2018 report. </t>
  </si>
  <si>
    <t>-</t>
  </si>
  <si>
    <t>2021$m</t>
  </si>
  <si>
    <t>2021$/kW</t>
  </si>
  <si>
    <t>2021$/mile</t>
  </si>
  <si>
    <t>Fuel Oil Price (in 2021$)</t>
  </si>
  <si>
    <t>*Assumed - Hasn't changed from 2018 Brattle report (should be 5 miles).</t>
  </si>
  <si>
    <t>Reference Year Overnight Costs (2021$)</t>
  </si>
  <si>
    <t>Cost in 2021$</t>
  </si>
  <si>
    <t>Reference Year Overnight Costs (2026$)</t>
  </si>
  <si>
    <t>Fixed O&amp;M (2026$)</t>
  </si>
  <si>
    <t>Total Fixed O&amp;M (2026$)</t>
  </si>
  <si>
    <t>Total Fixed O&amp;M (2026$/kW-year)</t>
  </si>
  <si>
    <t>Variable O&amp;M (2026$/MWh)</t>
  </si>
  <si>
    <t>Total Variable O&amp;M (2026$/MWh)</t>
  </si>
  <si>
    <t>Reference Year O&amp;M Costs (2021$)</t>
  </si>
  <si>
    <t>Fixed O&amp;M (2026$ million)</t>
  </si>
  <si>
    <t>Total Fixed O&amp;M (2026$ million)</t>
  </si>
  <si>
    <t>&lt;&lt; Inputs from 'CONE Calculations' cell F51 as First Year Revenue Req. Also see results matrix from CONE_Calculations cell E103</t>
  </si>
  <si>
    <t>Levelized Fixed O&amp;M (2026$/MW-yr)</t>
  </si>
  <si>
    <t xml:space="preserve">Date of Construction Assumptions </t>
  </si>
  <si>
    <t xml:space="preserve"> Year &gt;&gt;&gt;</t>
  </si>
  <si>
    <t>Month &gt;&gt;&gt;</t>
  </si>
  <si>
    <t>Day &gt;&gt;&gt;</t>
  </si>
  <si>
    <t>Battery Power Capacity Costs ($/kW)</t>
  </si>
  <si>
    <t>Battery Energy Capital Costs ($/kWh)</t>
  </si>
  <si>
    <t>4% of Subtotal Non-EPC Costs Per BESS Cost Assumptions</t>
  </si>
  <si>
    <t>1% of Total EPC Costs Per BESS Cost Assumptions</t>
  </si>
  <si>
    <t>5% of Total EPC Costs Per BESS Cost Assumptions</t>
  </si>
  <si>
    <t>Optional Augmentation to Maintain Nameplate over 15 Years</t>
  </si>
  <si>
    <t>Levelized $/kWh Value x Gross Plant Capacity Installed (MWh) x Regional Adjustment Factor</t>
  </si>
  <si>
    <t>Included</t>
  </si>
  <si>
    <t>19.53% of Total EPC Costs per project cost data</t>
  </si>
  <si>
    <t>Construction &amp; Materials</t>
  </si>
  <si>
    <t>4.02% of Total EPC Costs per project cost data</t>
  </si>
  <si>
    <t>Project Management</t>
  </si>
  <si>
    <t>BESS Equipment Subtotal</t>
  </si>
  <si>
    <t>9.80% of Total EPC Costs per project cost data</t>
  </si>
  <si>
    <t>PCS and BOP Equipment</t>
  </si>
  <si>
    <t>66.65% of Total EPC Costs per project cost data</t>
  </si>
  <si>
    <t>Batteries and Enclosures</t>
  </si>
  <si>
    <r>
      <t>Gross BOL Capacity at POI (MWh</t>
    </r>
    <r>
      <rPr>
        <b/>
        <sz val="8"/>
        <rFont val="Calibri"/>
        <family val="2"/>
        <scheme val="minor"/>
      </rPr>
      <t>AC</t>
    </r>
    <r>
      <rPr>
        <b/>
        <sz val="11"/>
        <rFont val="Calibri"/>
        <family val="2"/>
        <scheme val="minor"/>
      </rPr>
      <t>)</t>
    </r>
  </si>
  <si>
    <r>
      <t>Gross Plant Capacity Installed (MWh</t>
    </r>
    <r>
      <rPr>
        <b/>
        <sz val="8"/>
        <rFont val="Calibri"/>
        <family val="2"/>
        <scheme val="minor"/>
      </rPr>
      <t>DC</t>
    </r>
    <r>
      <rPr>
        <b/>
        <sz val="11"/>
        <rFont val="Calibri"/>
        <family val="2"/>
        <scheme val="minor"/>
      </rPr>
      <t>)</t>
    </r>
  </si>
  <si>
    <t>Overbuild (%)</t>
  </si>
  <si>
    <t>Storage Duration</t>
  </si>
  <si>
    <t>Plant Nameplate Power (MW)</t>
  </si>
  <si>
    <r>
      <t xml:space="preserve">Comments </t>
    </r>
    <r>
      <rPr>
        <b/>
        <sz val="11"/>
        <color theme="7"/>
        <rFont val="Calibri"/>
        <family val="2"/>
        <scheme val="minor"/>
      </rPr>
      <t>(Please describe assumptions for each line item)</t>
    </r>
  </si>
  <si>
    <t>Lithium-Ion 4-hour Batteries</t>
  </si>
  <si>
    <r>
      <t>Reference Year Overnight Costs (</t>
    </r>
    <r>
      <rPr>
        <b/>
        <sz val="12"/>
        <rFont val="Calibri"/>
        <family val="2"/>
        <scheme val="minor"/>
      </rPr>
      <t>2021$</t>
    </r>
    <r>
      <rPr>
        <b/>
        <sz val="11"/>
        <rFont val="Calibri"/>
        <family val="2"/>
        <scheme val="minor"/>
      </rPr>
      <t>)</t>
    </r>
  </si>
  <si>
    <t>It is assumed that the project owner would receive a tax exemption certificate for capital purchases. Construction supplies and consumables would be taxable. As applicable, consumable material unit costs in the EPC estimates account for sales tax.</t>
  </si>
  <si>
    <t>Based on 1.2 acres/100 MWh Gross per S&amp;L experience. Note: 2021 Analysis group reference lists 9-12 acres for similarly sized BESS which were inclusive of laydown and parking requirements during construction.</t>
  </si>
  <si>
    <t>Owner Contingency</t>
  </si>
  <si>
    <t>Gross MWh Overbuild</t>
  </si>
  <si>
    <t>Gross Energy Initial Installation</t>
  </si>
  <si>
    <t>Minimum State of Charge</t>
  </si>
  <si>
    <t>Battery Capacity Loss (at 1st aug)</t>
  </si>
  <si>
    <t>yrs</t>
  </si>
  <si>
    <t>Augmentation Period</t>
  </si>
  <si>
    <t>Annual Degradation (after 1st year)</t>
  </si>
  <si>
    <t>Battery Capacity Loss (1st year)</t>
  </si>
  <si>
    <t>Battery Capacity Losses</t>
  </si>
  <si>
    <t>Inverter Loss</t>
  </si>
  <si>
    <t xml:space="preserve">Inverter Power </t>
  </si>
  <si>
    <t>MWac</t>
  </si>
  <si>
    <t>Gross Inverter Output Power Required</t>
  </si>
  <si>
    <t>Total AC Loss (for PCS Inverter Sizing)</t>
  </si>
  <si>
    <t>PCS XFMR Loss</t>
  </si>
  <si>
    <t>Line Loss PCS XFMR to GSU</t>
  </si>
  <si>
    <t>Auxuliary Load</t>
  </si>
  <si>
    <t>GSU Loss</t>
  </si>
  <si>
    <t>Line Loss GSU to POI</t>
  </si>
  <si>
    <t>AC Losses</t>
  </si>
  <si>
    <t>EFOR (annual)</t>
  </si>
  <si>
    <t>Hz</t>
  </si>
  <si>
    <t>Rated Output Frequency</t>
  </si>
  <si>
    <t>years</t>
  </si>
  <si>
    <t>Design Life (amortization period)</t>
  </si>
  <si>
    <t>Rated Output Power (POI Rating)</t>
  </si>
  <si>
    <t>Lithium-Ion</t>
  </si>
  <si>
    <t>Chemistry</t>
  </si>
  <si>
    <t>4. Misc. Owner Costs may include but are not limited to maintenance and repair of interconnecting facilities, environmental compliance and monitoring, possessory interest tax, asset management, and owner administration, fees and taxes</t>
  </si>
  <si>
    <t>3. Property Taxes apply to land only, exlcudes tangible property tax</t>
  </si>
  <si>
    <t>2. No augmentation or performance maintenance has been included in the Fixed O&amp;M costs</t>
  </si>
  <si>
    <t>1. All operating costs have been allocated to the Fixed O&amp;M cost with noted exclusions</t>
  </si>
  <si>
    <t>Included in FOM Above (Assumes 1 Cycle/Day)</t>
  </si>
  <si>
    <t>Fixed O&amp;M ($/kW-yr)</t>
  </si>
  <si>
    <t>Fixed O&amp;M ($/kWh-yr)</t>
  </si>
  <si>
    <t>Land Lease or Property Taxes</t>
  </si>
  <si>
    <t xml:space="preserve">Operating Insurance  </t>
  </si>
  <si>
    <t>Miscellaneous Owner Costs</t>
  </si>
  <si>
    <t>Station Load / Aux Load</t>
  </si>
  <si>
    <t>BOP and Substation O&amp;M</t>
  </si>
  <si>
    <t>O&amp;M Contract Fixed Payments</t>
  </si>
  <si>
    <t>BESS</t>
  </si>
  <si>
    <t>Battery Storage</t>
  </si>
  <si>
    <t>7yr MACRS</t>
  </si>
  <si>
    <t>Total Fixed O&amp;M ($/kWh-yr)</t>
  </si>
  <si>
    <t>Total Fixed O&amp;M ($/kW-yr)</t>
  </si>
  <si>
    <t>EPC Contingency Fee</t>
  </si>
  <si>
    <t>PJM Battery Energy Storage System 2022/23 CONE Summary</t>
  </si>
  <si>
    <t>Rated Output Power</t>
  </si>
  <si>
    <t>Note: Update by copying and pasting values from CONE summary tables in CC, CT and BESS sheets because of the CC/CT/BESS switch on the CONE_Calculations tab</t>
  </si>
  <si>
    <t>BESS Equipment</t>
  </si>
  <si>
    <t>Optional Augmentation</t>
  </si>
  <si>
    <t>4-Hour Battery Storage</t>
  </si>
  <si>
    <t>Note: Copied from cells CONE Calculations J107:J110 (confirm technology is correct)</t>
  </si>
  <si>
    <t>Share</t>
  </si>
  <si>
    <t>% of Non-EPC Total</t>
  </si>
  <si>
    <t>5% applied to the BESS Equipment Subtotal only</t>
  </si>
  <si>
    <t>Assume these are included in EPC Costs Per BESS Cost Assumptions</t>
  </si>
  <si>
    <t>Spare Parts Inventories</t>
  </si>
  <si>
    <t>Sum of EPC and Non-EPC Costs (not including Augmentation)</t>
  </si>
  <si>
    <t>Overnight Capital Costs ($) / Nameplate Capacity Installed (kW) x Storage Duration (hours)</t>
  </si>
  <si>
    <t>Number of Augmentations</t>
  </si>
  <si>
    <t>Gross MWh per Augmentation</t>
  </si>
  <si>
    <t>Maximum State of Charge</t>
  </si>
  <si>
    <t>Total Output Restriction at BOL</t>
  </si>
  <si>
    <t xml:space="preserve">Assumes any spare parts inventories are included with the EPC contracted equipment supply. </t>
  </si>
  <si>
    <t>% of BESS Equipment Costs</t>
  </si>
  <si>
    <t>Subtotal - EPC Costs w/o Augmentation</t>
  </si>
  <si>
    <t>Total Fixed O&amp;M Costs ($) / Nameplate Capacity Installed (kW)</t>
  </si>
  <si>
    <t>Total Fixed O&amp;M Costs ($) / Nameplate Capacity Installed (kW) x Storage Duration (hours)</t>
  </si>
  <si>
    <t>Overnight Capital Costs ($) / Nameplate Capacity Installed (kW)</t>
  </si>
  <si>
    <t>Study</t>
  </si>
  <si>
    <t>Year 5 Augmentation</t>
  </si>
  <si>
    <t>Year 10 Augmentation</t>
  </si>
  <si>
    <t>Year 5 Augmentation in 2031</t>
  </si>
  <si>
    <t>Year 10 Augmentation in 2036</t>
  </si>
  <si>
    <t>Augmentation</t>
  </si>
  <si>
    <t>With Augmentation</t>
  </si>
  <si>
    <t>Combined Cycle Wet Cooling Tower</t>
  </si>
  <si>
    <t>Combined Cycle Dry ACC</t>
  </si>
  <si>
    <t>LIVE</t>
  </si>
  <si>
    <t>No Fuel Oil</t>
  </si>
  <si>
    <t>Fuel Oil</t>
  </si>
  <si>
    <t>Firm Gas for CC ACC ($/year):</t>
  </si>
  <si>
    <t>Firm Gas for CC Wet ($/year):</t>
  </si>
  <si>
    <t>Firm Gas for CT ($/year):</t>
  </si>
  <si>
    <t>X</t>
  </si>
  <si>
    <t>Wet and Firm Gas</t>
  </si>
  <si>
    <t>ACC and Firm Gas</t>
  </si>
  <si>
    <t>Wet Cooling</t>
  </si>
  <si>
    <t>Dry Cooling</t>
  </si>
  <si>
    <t xml:space="preserve"> = [10] / 365</t>
  </si>
  <si>
    <t xml:space="preserve">Rated Capacity </t>
  </si>
  <si>
    <t>Augmentation Costs to Maintain Nameplate over 15 Years (assuming 2 augmentations)</t>
  </si>
  <si>
    <t>$228.5/kWh Augmentation Value x 2 Augmentations x  123,597 Gross kWh per Augmentation. Value given in 2021 $USD does not account for battery cost escalation which may impact price at the time of augmentation. Given $/kWh value may be escalated according to NREL "4Hr Battery Storage - Moderate" projections for battery energy storage CAPEX for 5 and 10 year augmentations.</t>
  </si>
  <si>
    <t>Firm Gas (CC for SWMAAC Only)</t>
  </si>
  <si>
    <t>Utility-Scale Battery Storage</t>
  </si>
  <si>
    <t>https://atb.nrel.gov/electricity/2021/utility-scale_battery_storage</t>
  </si>
  <si>
    <t>Inputs</t>
  </si>
  <si>
    <t xml:space="preserve">Take me to: </t>
  </si>
  <si>
    <t>Calculated</t>
  </si>
  <si>
    <t>Basis Year:</t>
  </si>
  <si>
    <t>All values are given in 2019 U.S. dollars, using the Consumer Price Index (BLS, 2020) for dollar year conversions. Projections use an inflation assumption of 2.5% per year.</t>
  </si>
  <si>
    <t>Utility Scale Battery Storage</t>
  </si>
  <si>
    <r>
      <t xml:space="preserve">Representative Li-Ion Battery </t>
    </r>
    <r>
      <rPr>
        <b/>
        <sz val="10"/>
        <rFont val="Arial"/>
        <family val="2"/>
      </rPr>
      <t>Storage, 60 MW, 240 MWh</t>
    </r>
    <r>
      <rPr>
        <sz val="10"/>
        <rFont val="Arial"/>
        <family val="2"/>
      </rPr>
      <t xml:space="preserve"> storage (4 hours)</t>
    </r>
  </si>
  <si>
    <t xml:space="preserve">Reference: Battery Storage cost values from C. Augustine and N. Blair, “Energy Storage Futures Study Storage Technology Modeling Input Data Report,” NREL/TP-5700-78694. Golden, CO: National Renewable Energy Laboratory. https://www.nrel.gov/docs/fy21osti/78694.pdf.
</t>
  </si>
  <si>
    <t>Capital Cost ($/kWh)</t>
  </si>
  <si>
    <t>Battery Energy Capital Cost ($/kWh)</t>
  </si>
  <si>
    <t>Advanced</t>
  </si>
  <si>
    <t>Moderate</t>
  </si>
  <si>
    <t>Conservative</t>
  </si>
  <si>
    <t>Battery Power Capital Cost ($/kW)</t>
  </si>
  <si>
    <t>Total System Cost ($/kW) = Battery Energy Cost ($/kWh) * Storage Duration (hr) + Battery Power Cost ($/kW)</t>
  </si>
  <si>
    <t>Future Projections</t>
  </si>
  <si>
    <t>For  15-year life (values in 2019$):</t>
  </si>
  <si>
    <t>Techno-Economic Cost and Performance Parameters</t>
  </si>
  <si>
    <t>CAPEX ($/kW)</t>
  </si>
  <si>
    <t>2Hr Battery Storage - Advanced</t>
  </si>
  <si>
    <t>2Hr Battery Storage - Moderate</t>
  </si>
  <si>
    <t>2Hr Battery Storage - Conservative</t>
  </si>
  <si>
    <t>4Hr Battery Storage - Advanced</t>
  </si>
  <si>
    <t>4Hr Battery Storage - Moderate</t>
  </si>
  <si>
    <t>4Hr Battery Storage - Conservative</t>
  </si>
  <si>
    <t>6Hr Battery Storage - Advanced</t>
  </si>
  <si>
    <t>6Hr Battery Storage - Moderate</t>
  </si>
  <si>
    <t>6Hr Battery Storage - Conservative</t>
  </si>
  <si>
    <t>8Hr Battery Storage - Advanced</t>
  </si>
  <si>
    <t>8Hr Battery Storage - Moderate</t>
  </si>
  <si>
    <t>8Hr Battery Storage - Conservative</t>
  </si>
  <si>
    <t>10Hr Battery Storage - Advanced</t>
  </si>
  <si>
    <t>10Hr Battery Storage - Moderate</t>
  </si>
  <si>
    <t>10Hr Battery Storage - Conservative</t>
  </si>
  <si>
    <t>ATB Annual Escalation Rate (real)</t>
  </si>
  <si>
    <t>Annual Escalation (real)</t>
  </si>
  <si>
    <t>Index Value (2021 = 100) in 2021$</t>
  </si>
  <si>
    <t>NREL Index (2021 = 100) in 2021$</t>
  </si>
  <si>
    <t>Average Escalation from 2021 (real)</t>
  </si>
  <si>
    <t>Index Value (2021 = 100) in Nominal$</t>
  </si>
  <si>
    <t>NREL Index (2021 = 100) in Nominal$</t>
  </si>
  <si>
    <t>Fixed Operation and Maintenance Expenses ($/kW-yr)</t>
  </si>
  <si>
    <t>Variable Operation and Maintenance Expenses ($/MWh)</t>
  </si>
  <si>
    <t>Round-Trip Efficiency</t>
  </si>
  <si>
    <t>Capacity Factor (%)</t>
  </si>
  <si>
    <t>($/MW-day)</t>
  </si>
  <si>
    <t>Updated CONE</t>
  </si>
  <si>
    <t>= [1] / [6]</t>
  </si>
  <si>
    <t>= [2] / [6]</t>
  </si>
  <si>
    <t xml:space="preserve"> = [12] / 365</t>
  </si>
  <si>
    <t>= [7] x [11] + [9]</t>
  </si>
  <si>
    <t xml:space="preserve">Augmentation </t>
  </si>
  <si>
    <t>Year 5 Costs (2031$ million)</t>
  </si>
  <si>
    <t>Year 10 Costs (2036$ million)</t>
  </si>
  <si>
    <t>2026$ million</t>
  </si>
  <si>
    <t>2026$ million/yr</t>
  </si>
  <si>
    <t>2026$/kW</t>
  </si>
  <si>
    <t>2026$/kW-yr</t>
  </si>
  <si>
    <t>2026$/ICAP MW-yr</t>
  </si>
  <si>
    <t>2026$/ICAP MW-day</t>
  </si>
  <si>
    <t>= [2] / [1]</t>
  </si>
  <si>
    <t>= [3] / [1]</t>
  </si>
  <si>
    <t>1 x 1 Double Train Combined Cycle</t>
  </si>
  <si>
    <t>Installed Capital Costs ($/kWh)</t>
  </si>
  <si>
    <t>Levelized Augmentation Costs ($/kW-yr)</t>
  </si>
  <si>
    <t>Fixed O&amp;M Components</t>
  </si>
  <si>
    <t>Total Levelized Fixed Costs ($/kW-yr)</t>
  </si>
  <si>
    <t>Installed Capital Costs ($/kW)</t>
  </si>
  <si>
    <t>Levelized Fixed Costs</t>
  </si>
  <si>
    <t>LTSA Fixed Payments</t>
  </si>
  <si>
    <t>CONE With Levelized Augmentation Cost</t>
  </si>
  <si>
    <t>CONE Without Levelized Augmentation Cost</t>
  </si>
  <si>
    <t>$/KW-yr</t>
  </si>
  <si>
    <t>Levelized Augmentation Cost ($/kW-Yr)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</si>
</sst>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
    <numFmt numFmtId="165" formatCode="0.0"/>
    <numFmt numFmtId="166" formatCode="&quot;$&quot;#,##0"/>
    <numFmt numFmtId="167" formatCode="&quot;$&quot;#,##0.0"/>
    <numFmt numFmtId="168" formatCode="&quot;$&quot;#,##0.00"/>
    <numFmt numFmtId="169" formatCode="&quot;$&quot;#,##0\ ;\(&quot;$&quot;#,##0\)"/>
    <numFmt numFmtId="170" formatCode="General_)"/>
    <numFmt numFmtId="171" formatCode="0.000000"/>
    <numFmt numFmtId="172" formatCode="&quot;$&quot;#,##0.000"/>
    <numFmt numFmtId="173" formatCode="0.000%"/>
    <numFmt numFmtId="174" formatCode="_(* #,##0_);_(* \(#,##0\);_(* &quot;-&quot;??_);_(@_)"/>
    <numFmt numFmtId="175" formatCode="#,##0.0"/>
    <numFmt numFmtId="176" formatCode="m/d/yy\ h:mm"/>
    <numFmt numFmtId="177" formatCode="0.00000000%"/>
    <numFmt numFmtId="178" formatCode="0E+00"/>
    <numFmt numFmtId="179" formatCode="0.0000%"/>
    <numFmt numFmtId="180" formatCode="&quot;$&quot;#,##0.0_);\(&quot;$&quot;#,##0.0\)"/>
    <numFmt numFmtId="181" formatCode="m/d/yyyy;;"/>
    <numFmt numFmtId="182" formatCode="#.00;\-#.00;0.00"/>
    <numFmt numFmtId="183" formatCode="#.00%;\-#.00%;0.00%;&quot;%&quot;"/>
    <numFmt numFmtId="184" formatCode="#;;"/>
    <numFmt numFmtId="185" formatCode="&quot;$&quot;#,##0.0000_);\(&quot;$&quot;#,##0.0000\)"/>
    <numFmt numFmtId="186" formatCode="&quot;[&quot;#,###&quot;]&quot;"/>
    <numFmt numFmtId="187" formatCode="&quot;$&quot;#,##0.000_);\(&quot;$&quot;#,##0.000\)"/>
    <numFmt numFmtId="188" formatCode="0.000000%"/>
  </numFmts>
  <fonts count="24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theme="1"/>
      <name val="Calibri"/>
      <family val="2"/>
    </font>
    <font>
      <sz val="10"/>
      <name val="Times New Roman"/>
      <family val="1"/>
    </font>
    <font>
      <sz val="10"/>
      <name val="Arial"/>
      <family val="2"/>
    </font>
    <font>
      <sz val="11"/>
      <color indexed="8"/>
      <name val="Arial"/>
      <family val="2"/>
    </font>
    <font>
      <sz val="11"/>
      <color indexed="8"/>
      <name val="Calibri"/>
      <family val="2"/>
    </font>
    <font>
      <sz val="11"/>
      <color indexed="9"/>
      <name val="Arial"/>
      <family val="2"/>
    </font>
    <font>
      <sz val="11"/>
      <color indexed="20"/>
      <name val="Arial"/>
      <family val="2"/>
    </font>
    <font>
      <b/>
      <sz val="10"/>
      <name val="Arial"/>
      <family val="2"/>
    </font>
    <font>
      <b/>
      <sz val="11"/>
      <color indexed="52"/>
      <name val="Arial"/>
      <family val="2"/>
    </font>
    <font>
      <b/>
      <sz val="11"/>
      <color indexed="9"/>
      <name val="Arial"/>
      <family val="2"/>
    </font>
    <font>
      <sz val="10"/>
      <name val="Arial"/>
      <family val="2"/>
    </font>
    <font>
      <i/>
      <sz val="11"/>
      <color indexed="23"/>
      <name val="Arial"/>
      <family val="2"/>
    </font>
    <font>
      <sz val="11"/>
      <color indexed="17"/>
      <name val="Arial"/>
      <family val="2"/>
    </font>
    <font>
      <b/>
      <sz val="18"/>
      <name val="Arial"/>
      <family val="2"/>
    </font>
    <font>
      <b/>
      <sz val="15"/>
      <color indexed="56"/>
      <name val="Arial"/>
      <family val="2"/>
    </font>
    <font>
      <b/>
      <sz val="18"/>
      <name val="Arial"/>
      <family val="2"/>
    </font>
    <font>
      <b/>
      <sz val="13"/>
      <color indexed="56"/>
      <name val="Arial"/>
      <family val="2"/>
    </font>
    <font>
      <b/>
      <sz val="12"/>
      <name val="Arial"/>
      <family val="2"/>
    </font>
    <font>
      <b/>
      <sz val="11"/>
      <color indexed="56"/>
      <name val="Arial"/>
      <family val="2"/>
    </font>
    <font>
      <u/>
      <sz val="10"/>
      <color indexed="12"/>
      <name val="Arial"/>
      <family val="2"/>
    </font>
    <font>
      <u/>
      <sz val="10"/>
      <color indexed="12"/>
      <name val="Arial"/>
      <family val="2"/>
    </font>
    <font>
      <u/>
      <sz val="11"/>
      <color indexed="12"/>
      <name val="Calibri"/>
      <family val="2"/>
    </font>
    <font>
      <sz val="11"/>
      <color indexed="62"/>
      <name val="Arial"/>
      <family val="2"/>
    </font>
    <font>
      <sz val="11"/>
      <color indexed="52"/>
      <name val="Arial"/>
      <family val="2"/>
    </font>
    <font>
      <sz val="11"/>
      <color indexed="60"/>
      <name val="Arial"/>
      <family val="2"/>
    </font>
    <font>
      <sz val="10"/>
      <name val="MS Sans Serif"/>
      <family val="2"/>
    </font>
    <font>
      <sz val="10"/>
      <name val="Gill Sans MT"/>
      <family val="2"/>
    </font>
    <font>
      <sz val="10"/>
      <name val="MS Sans Serif"/>
      <family val="2"/>
    </font>
    <font>
      <sz val="10"/>
      <name val="Times New Roman"/>
      <family val="1"/>
    </font>
    <font>
      <b/>
      <sz val="11"/>
      <color indexed="63"/>
      <name val="Arial"/>
      <family val="2"/>
    </font>
    <font>
      <i/>
      <sz val="8"/>
      <name val="Arial"/>
      <family val="2"/>
    </font>
    <font>
      <b/>
      <sz val="11"/>
      <color indexed="43"/>
      <name val="Arial"/>
      <family val="2"/>
    </font>
    <font>
      <sz val="8"/>
      <name val="Arial"/>
      <family val="2"/>
    </font>
    <font>
      <b/>
      <sz val="18"/>
      <color indexed="56"/>
      <name val="Cambria"/>
      <family val="2"/>
    </font>
    <font>
      <b/>
      <sz val="11"/>
      <color indexed="8"/>
      <name val="Arial"/>
      <family val="2"/>
    </font>
    <font>
      <sz val="11"/>
      <color indexed="10"/>
      <name val="Arial"/>
      <family val="2"/>
    </font>
    <font>
      <sz val="8"/>
      <name val="Times New Roman"/>
      <family val="1"/>
    </font>
    <font>
      <b/>
      <sz val="10"/>
      <color indexed="9"/>
      <name val="Times New Roman"/>
      <family val="1"/>
    </font>
    <font>
      <b/>
      <sz val="20"/>
      <color indexed="9"/>
      <name val="Times New Roman"/>
      <family val="1"/>
    </font>
    <font>
      <b/>
      <sz val="12"/>
      <name val="Times New Roman"/>
      <family val="1"/>
    </font>
    <font>
      <b/>
      <sz val="10"/>
      <name val="Times New Roman"/>
      <family val="1"/>
    </font>
    <font>
      <i/>
      <sz val="10"/>
      <color indexed="23"/>
      <name val="Times New Roman"/>
      <family val="1"/>
    </font>
    <font>
      <sz val="10"/>
      <name val="Times New Roman"/>
      <family val="1"/>
    </font>
    <font>
      <sz val="10"/>
      <color indexed="12"/>
      <name val="Times New Roman"/>
      <family val="1"/>
    </font>
    <font>
      <sz val="10"/>
      <color indexed="12"/>
      <name val="Times New Roman"/>
      <family val="1"/>
    </font>
    <font>
      <i/>
      <sz val="10"/>
      <name val="Times New Roman"/>
      <family val="1"/>
    </font>
    <font>
      <i/>
      <sz val="10"/>
      <color indexed="22"/>
      <name val="Times New Roman"/>
      <family val="1"/>
    </font>
    <font>
      <b/>
      <sz val="10"/>
      <color indexed="12"/>
      <name val="Times New Roman"/>
      <family val="1"/>
    </font>
    <font>
      <b/>
      <sz val="16"/>
      <name val="Times New Roman"/>
      <family val="1"/>
    </font>
    <font>
      <i/>
      <sz val="10"/>
      <color indexed="55"/>
      <name val="Times New Roman"/>
      <family val="1"/>
    </font>
    <font>
      <b/>
      <sz val="10"/>
      <color indexed="10"/>
      <name val="Times New Roman"/>
      <family val="1"/>
    </font>
    <font>
      <sz val="10"/>
      <color indexed="17"/>
      <name val="Times New Roman"/>
      <family val="1"/>
    </font>
    <font>
      <sz val="10"/>
      <color indexed="17"/>
      <name val="Times New Roman"/>
      <family val="1"/>
    </font>
    <font>
      <sz val="10"/>
      <color indexed="22"/>
      <name val="Times New Roman"/>
      <family val="1"/>
    </font>
    <font>
      <sz val="10"/>
      <color indexed="10"/>
      <name val="Times New Roman"/>
      <family val="1"/>
    </font>
    <font>
      <i/>
      <sz val="10"/>
      <color theme="0" tint="-0.34998626667073579"/>
      <name val="Times New Roman"/>
      <family val="1"/>
    </font>
    <font>
      <sz val="10"/>
      <color rgb="FF0000FF"/>
      <name val="Times New Roman"/>
      <family val="1"/>
    </font>
    <font>
      <sz val="10"/>
      <color rgb="FF660066"/>
      <name val="Times New Roman"/>
      <family val="1"/>
    </font>
    <font>
      <sz val="10"/>
      <color rgb="FF008000"/>
      <name val="Times New Roman"/>
      <family val="1"/>
    </font>
    <font>
      <b/>
      <sz val="10"/>
      <color rgb="FF0000FF"/>
      <name val="Times New Roman"/>
      <family val="1"/>
    </font>
    <font>
      <sz val="11"/>
      <color theme="1"/>
      <name val="Calibri"/>
      <family val="2"/>
      <scheme val="minor"/>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2"/>
      <name val="Arial"/>
      <family val="2"/>
    </font>
    <font>
      <sz val="11"/>
      <name val="Times New Roman"/>
      <family val="1"/>
    </font>
    <font>
      <sz val="10"/>
      <color indexed="8"/>
      <name val="Arial"/>
      <family val="2"/>
    </font>
    <font>
      <sz val="8"/>
      <name val="Courier 10 CPI"/>
    </font>
    <font>
      <b/>
      <sz val="10"/>
      <color rgb="FF3F3F3F"/>
      <name val="Arial"/>
      <family val="2"/>
    </font>
    <font>
      <sz val="10"/>
      <color rgb="FFFF0000"/>
      <name val="Arial"/>
      <family val="2"/>
    </font>
    <font>
      <sz val="10"/>
      <name val="Arial"/>
      <family val="2"/>
    </font>
    <font>
      <b/>
      <sz val="10"/>
      <color rgb="FFFF0000"/>
      <name val="Times New Roman"/>
      <family val="1"/>
    </font>
    <font>
      <sz val="8"/>
      <name val="Times"/>
    </font>
    <font>
      <sz val="10"/>
      <color rgb="FF00B050"/>
      <name val="Times New Roman"/>
      <family val="1"/>
    </font>
    <font>
      <sz val="10"/>
      <color indexed="9"/>
      <name val="Arial"/>
      <family val="2"/>
    </font>
    <font>
      <sz val="11"/>
      <color indexed="9"/>
      <name val="Calibri"/>
      <family val="2"/>
    </font>
    <font>
      <sz val="11"/>
      <color indexed="16"/>
      <name val="Calibri"/>
      <family val="2"/>
    </font>
    <font>
      <b/>
      <sz val="11"/>
      <color indexed="53"/>
      <name val="Calibri"/>
      <family val="2"/>
    </font>
    <font>
      <b/>
      <sz val="11"/>
      <color indexed="9"/>
      <name val="Calibri"/>
      <family val="2"/>
    </font>
    <font>
      <b/>
      <sz val="11"/>
      <color indexed="8"/>
      <name val="Calibri"/>
      <family val="2"/>
    </font>
    <font>
      <i/>
      <sz val="10"/>
      <color indexed="23"/>
      <name val="Arial"/>
      <family val="2"/>
    </font>
    <font>
      <sz val="11"/>
      <color indexed="17"/>
      <name val="Calibri"/>
      <family val="2"/>
    </font>
    <font>
      <b/>
      <sz val="11"/>
      <color indexed="62"/>
      <name val="Calibri"/>
      <family val="2"/>
    </font>
    <font>
      <u/>
      <sz val="11"/>
      <color theme="10"/>
      <name val="Calibri"/>
      <family val="2"/>
      <scheme val="minor"/>
    </font>
    <font>
      <sz val="11"/>
      <color indexed="48"/>
      <name val="Calibri"/>
      <family val="2"/>
    </font>
    <font>
      <sz val="11"/>
      <color indexed="53"/>
      <name val="Calibri"/>
      <family val="2"/>
    </font>
    <font>
      <sz val="11"/>
      <color indexed="60"/>
      <name val="Calibri"/>
      <family val="2"/>
    </font>
    <font>
      <sz val="8"/>
      <name val="Univers"/>
      <family val="2"/>
    </font>
    <font>
      <sz val="10"/>
      <name val="Gill Sans MT"/>
      <family val="2"/>
    </font>
    <font>
      <b/>
      <sz val="9"/>
      <color indexed="8"/>
      <name val="Tahoma"/>
      <family val="2"/>
    </font>
    <font>
      <b/>
      <sz val="11"/>
      <color indexed="63"/>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4"/>
      <name val="Arial"/>
      <family val="2"/>
    </font>
    <font>
      <b/>
      <sz val="10"/>
      <color indexed="23"/>
      <name val="Lucida Console"/>
      <family val="3"/>
    </font>
    <font>
      <b/>
      <i/>
      <sz val="10"/>
      <color indexed="10"/>
      <name val="Arial"/>
      <family val="2"/>
    </font>
    <font>
      <b/>
      <i/>
      <sz val="10"/>
      <color indexed="63"/>
      <name val="Arial"/>
      <family val="2"/>
    </font>
    <font>
      <sz val="11"/>
      <color indexed="10"/>
      <name val="Calibri"/>
      <family val="2"/>
    </font>
    <font>
      <b/>
      <u/>
      <sz val="10"/>
      <name val="Times New Roman"/>
      <family val="1"/>
    </font>
    <font>
      <sz val="10"/>
      <color rgb="FF7030A0"/>
      <name val="Times New Roman"/>
      <family val="1"/>
    </font>
    <font>
      <b/>
      <sz val="14"/>
      <color rgb="FF00467F"/>
      <name val="Calibri"/>
      <family val="2"/>
    </font>
    <font>
      <b/>
      <sz val="11"/>
      <color theme="1"/>
      <name val="Calibri"/>
      <family val="2"/>
    </font>
    <font>
      <i/>
      <sz val="11"/>
      <color theme="1"/>
      <name val="Calibri"/>
      <family val="2"/>
    </font>
    <font>
      <sz val="11"/>
      <name val="Calibri"/>
      <family val="2"/>
    </font>
    <font>
      <b/>
      <i/>
      <sz val="11"/>
      <color rgb="FFFF0000"/>
      <name val="Calibri"/>
      <family val="2"/>
    </font>
    <font>
      <i/>
      <sz val="10"/>
      <name val="Arial"/>
      <family val="2"/>
    </font>
    <font>
      <b/>
      <sz val="11"/>
      <name val="Calibri"/>
      <family val="2"/>
    </font>
    <font>
      <b/>
      <sz val="14"/>
      <name val="Calibri"/>
      <family val="2"/>
    </font>
    <font>
      <sz val="11"/>
      <name val="Calibri"/>
      <family val="2"/>
      <scheme val="minor"/>
    </font>
    <font>
      <b/>
      <sz val="11"/>
      <color theme="1"/>
      <name val="Calibri"/>
      <family val="2"/>
      <scheme val="minor"/>
    </font>
    <font>
      <i/>
      <sz val="11"/>
      <color theme="1"/>
      <name val="Calibri"/>
      <family val="2"/>
      <scheme val="minor"/>
    </font>
    <font>
      <b/>
      <i/>
      <sz val="11"/>
      <color theme="1"/>
      <name val="Calibri"/>
      <family val="2"/>
    </font>
    <font>
      <sz val="11"/>
      <color rgb="FF00B050"/>
      <name val="Calibri"/>
      <family val="2"/>
    </font>
    <font>
      <sz val="10"/>
      <color theme="7"/>
      <name val="Times New Roman"/>
      <family val="1"/>
    </font>
    <font>
      <sz val="10"/>
      <color theme="0"/>
      <name val="Times New Roman"/>
      <family val="1"/>
    </font>
    <font>
      <sz val="10"/>
      <name val="Arial"/>
      <family val="2"/>
    </font>
    <font>
      <i/>
      <sz val="10"/>
      <color rgb="FF0000FF"/>
      <name val="Times New Roman"/>
      <family val="1"/>
    </font>
    <font>
      <sz val="10"/>
      <color theme="0" tint="-0.14999847407452621"/>
      <name val="Times New Roman"/>
      <family val="1"/>
    </font>
    <font>
      <i/>
      <sz val="11"/>
      <name val="Calibri"/>
      <family val="2"/>
      <scheme val="minor"/>
    </font>
    <font>
      <b/>
      <sz val="11"/>
      <name val="Calibri"/>
      <family val="2"/>
      <scheme val="minor"/>
    </font>
    <font>
      <sz val="11"/>
      <color rgb="FF0000CC"/>
      <name val="Calibri"/>
      <family val="2"/>
      <scheme val="minor"/>
    </font>
    <font>
      <sz val="11"/>
      <color rgb="FF00B050"/>
      <name val="Calibri"/>
      <family val="2"/>
      <scheme val="minor"/>
    </font>
    <font>
      <i/>
      <sz val="11"/>
      <name val="Calibri"/>
      <family val="2"/>
    </font>
    <font>
      <b/>
      <i/>
      <sz val="11"/>
      <name val="Calibri"/>
      <family val="2"/>
    </font>
    <font>
      <sz val="11"/>
      <color rgb="FF0000CC"/>
      <name val="Calibri"/>
      <family val="2"/>
    </font>
    <font>
      <sz val="11"/>
      <color rgb="FF7030A0"/>
      <name val="Calibri"/>
      <family val="2"/>
    </font>
    <font>
      <b/>
      <sz val="11"/>
      <color rgb="FF0000CC"/>
      <name val="Calibri"/>
      <family val="2"/>
      <scheme val="minor"/>
    </font>
    <font>
      <b/>
      <sz val="11"/>
      <color rgb="FF00B050"/>
      <name val="Calibri"/>
      <family val="2"/>
      <scheme val="minor"/>
    </font>
    <font>
      <sz val="11"/>
      <color rgb="FF7030A0"/>
      <name val="Calibri"/>
      <family val="2"/>
      <scheme val="minor"/>
    </font>
    <font>
      <b/>
      <i/>
      <sz val="11"/>
      <name val="Calibri"/>
      <family val="2"/>
      <scheme val="minor"/>
    </font>
    <font>
      <b/>
      <i/>
      <u/>
      <sz val="11"/>
      <name val="Calibri"/>
      <family val="2"/>
      <scheme val="minor"/>
    </font>
    <font>
      <sz val="11"/>
      <color rgb="FF0000FF"/>
      <name val="Calibri"/>
      <family val="2"/>
      <scheme val="minor"/>
    </font>
    <font>
      <b/>
      <u/>
      <sz val="11"/>
      <name val="Calibri"/>
      <family val="2"/>
      <scheme val="minor"/>
    </font>
    <font>
      <sz val="11"/>
      <color rgb="FFFF0000"/>
      <name val="Calibri"/>
      <family val="2"/>
      <scheme val="minor"/>
    </font>
    <font>
      <b/>
      <sz val="11"/>
      <color indexed="8"/>
      <name val="Calibri"/>
      <family val="2"/>
      <scheme val="minor"/>
    </font>
    <font>
      <b/>
      <sz val="11"/>
      <color rgb="FF0000FF"/>
      <name val="Calibri"/>
      <family val="2"/>
      <scheme val="minor"/>
    </font>
    <font>
      <sz val="11"/>
      <color rgb="FF302F35"/>
      <name val="Calibri"/>
      <family val="2"/>
      <scheme val="minor"/>
    </font>
    <font>
      <sz val="11"/>
      <color indexed="10"/>
      <name val="Calibri"/>
      <family val="2"/>
      <scheme val="minor"/>
    </font>
    <font>
      <u/>
      <sz val="11"/>
      <name val="Calibri"/>
      <family val="2"/>
      <scheme val="minor"/>
    </font>
    <font>
      <sz val="10"/>
      <name val="Calibri"/>
      <family val="2"/>
      <scheme val="major"/>
    </font>
    <font>
      <b/>
      <sz val="11"/>
      <color theme="3"/>
      <name val="Calibri"/>
      <family val="2"/>
      <scheme val="minor"/>
    </font>
    <font>
      <sz val="11"/>
      <color theme="3"/>
      <name val="Calibri"/>
      <family val="2"/>
      <scheme val="minor"/>
    </font>
    <font>
      <strike/>
      <sz val="11"/>
      <name val="Calibri"/>
      <family val="2"/>
      <scheme val="minor"/>
    </font>
    <font>
      <sz val="10"/>
      <color rgb="FF7030A0"/>
      <name val="Calibri"/>
      <family val="2"/>
      <scheme val="minor"/>
    </font>
    <font>
      <sz val="10"/>
      <color rgb="FF0000FF"/>
      <name val="Calibri"/>
      <family val="2"/>
      <scheme val="minor"/>
    </font>
    <font>
      <b/>
      <sz val="10"/>
      <color rgb="FF0000FF"/>
      <name val="Calibri"/>
      <family val="2"/>
      <scheme val="minor"/>
    </font>
    <font>
      <sz val="10"/>
      <name val="Calibri"/>
      <family val="2"/>
      <scheme val="minor"/>
    </font>
    <font>
      <sz val="10"/>
      <color rgb="FFFF0000"/>
      <name val="Calibri"/>
      <family val="2"/>
      <scheme val="minor"/>
    </font>
    <font>
      <b/>
      <sz val="15"/>
      <color theme="3"/>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9"/>
      <color indexed="8"/>
      <name val="Calibri"/>
      <family val="2"/>
    </font>
    <font>
      <sz val="18"/>
      <color theme="3"/>
      <name val="Calibri"/>
      <family val="2"/>
      <scheme val="major"/>
    </font>
    <font>
      <b/>
      <sz val="9"/>
      <color indexed="8"/>
      <name val="Calibri"/>
      <family val="2"/>
    </font>
    <font>
      <b/>
      <sz val="12"/>
      <color indexed="30"/>
      <name val="Calibri"/>
      <family val="2"/>
    </font>
    <font>
      <sz val="10"/>
      <color rgb="FFFF0000"/>
      <name val="Times New Roman"/>
      <family val="1"/>
    </font>
    <font>
      <sz val="9"/>
      <color theme="1"/>
      <name val="Calibri"/>
      <family val="2"/>
    </font>
    <font>
      <b/>
      <sz val="9"/>
      <color theme="1"/>
      <name val="Calibri"/>
      <family val="2"/>
    </font>
    <font>
      <sz val="10"/>
      <color theme="1"/>
      <name val="Calibri"/>
      <family val="2"/>
    </font>
    <font>
      <b/>
      <sz val="10"/>
      <color theme="1"/>
      <name val="Calibri"/>
      <family val="2"/>
    </font>
    <font>
      <b/>
      <sz val="11"/>
      <color rgb="FFFF0000"/>
      <name val="Calibri"/>
      <family val="2"/>
      <scheme val="minor"/>
    </font>
    <font>
      <b/>
      <sz val="10"/>
      <color theme="7"/>
      <name val="Arial"/>
      <family val="2"/>
    </font>
    <font>
      <b/>
      <i/>
      <sz val="10"/>
      <color theme="7"/>
      <name val="Arial"/>
      <family val="2"/>
    </font>
    <font>
      <b/>
      <sz val="10"/>
      <color rgb="FFFF0000"/>
      <name val="Arial"/>
      <family val="2"/>
    </font>
    <font>
      <b/>
      <sz val="9"/>
      <color indexed="81"/>
      <name val="Tahoma"/>
      <family val="2"/>
    </font>
    <font>
      <sz val="9"/>
      <color indexed="81"/>
      <name val="Tahoma"/>
      <family val="2"/>
    </font>
    <font>
      <b/>
      <sz val="11"/>
      <color rgb="FF00B52B"/>
      <name val="Calibri"/>
      <family val="2"/>
      <scheme val="minor"/>
    </font>
    <font>
      <sz val="11"/>
      <color rgb="FF0082C8"/>
      <name val="Calibri"/>
      <family val="2"/>
      <scheme val="minor"/>
    </font>
    <font>
      <sz val="11"/>
      <color rgb="FF00B52B"/>
      <name val="Calibri"/>
      <family val="2"/>
      <scheme val="minor"/>
    </font>
    <font>
      <b/>
      <sz val="11"/>
      <color rgb="FF0082C8"/>
      <name val="Calibri"/>
      <family val="2"/>
      <scheme val="minor"/>
    </font>
    <font>
      <sz val="11"/>
      <color rgb="FF7E3983"/>
      <name val="Calibri"/>
      <family val="2"/>
      <scheme val="minor"/>
    </font>
    <font>
      <b/>
      <sz val="11"/>
      <color rgb="FF7E3983"/>
      <name val="Calibri"/>
      <family val="2"/>
      <scheme val="minor"/>
    </font>
    <font>
      <sz val="11"/>
      <color rgb="FFFF0000"/>
      <name val="Calibri"/>
      <family val="2"/>
    </font>
    <font>
      <b/>
      <sz val="12"/>
      <name val="Calibri"/>
      <family val="2"/>
      <scheme val="minor"/>
    </font>
    <font>
      <sz val="10"/>
      <color rgb="FF000000"/>
      <name val="Times New Roman"/>
      <family val="1"/>
    </font>
    <font>
      <b/>
      <sz val="8"/>
      <name val="Calibri"/>
      <family val="2"/>
      <scheme val="minor"/>
    </font>
    <font>
      <b/>
      <sz val="11"/>
      <color theme="7"/>
      <name val="Calibri"/>
      <family val="2"/>
      <scheme val="minor"/>
    </font>
    <font>
      <sz val="11"/>
      <color theme="7"/>
      <name val="Calibri"/>
      <family val="2"/>
      <scheme val="minor"/>
    </font>
    <font>
      <i/>
      <sz val="11"/>
      <color rgb="FF0082C8"/>
      <name val="Calibri"/>
      <family val="2"/>
      <scheme val="minor"/>
    </font>
    <font>
      <sz val="4"/>
      <name val="Calibri"/>
      <family val="2"/>
      <scheme val="minor"/>
    </font>
    <font>
      <sz val="10"/>
      <color rgb="FF00B52B"/>
      <name val="Calibri"/>
      <family val="2"/>
      <scheme val="minor"/>
    </font>
    <font>
      <b/>
      <sz val="11"/>
      <color rgb="FF000000"/>
      <name val="Calibri"/>
      <family val="2"/>
    </font>
    <font>
      <b/>
      <sz val="14"/>
      <color theme="1"/>
      <name val="Arial"/>
      <family val="2"/>
    </font>
    <font>
      <b/>
      <sz val="10"/>
      <color theme="1"/>
      <name val="Arial"/>
      <family val="2"/>
    </font>
    <font>
      <sz val="10"/>
      <color theme="0" tint="-0.14999847407452621"/>
      <name val="Arial"/>
      <family val="2"/>
    </font>
    <font>
      <sz val="10"/>
      <color rgb="FFFFFFFF"/>
      <name val="Arial"/>
      <family val="2"/>
    </font>
    <font>
      <sz val="11"/>
      <color indexed="8"/>
      <name val="Calibri"/>
      <family val="2"/>
      <scheme val="minor"/>
    </font>
    <font>
      <b/>
      <sz val="4"/>
      <name val="Calibri"/>
      <family val="2"/>
      <scheme val="minor"/>
    </font>
    <font>
      <sz val="10"/>
      <color theme="1"/>
      <name val="Times New Roman"/>
      <family val="1"/>
    </font>
  </fonts>
  <fills count="134">
    <fill>
      <patternFill patternType="none"/>
    </fill>
    <fill>
      <patternFill patternType="gray125"/>
    </fill>
    <fill>
      <patternFill patternType="solid">
        <fgColor indexed="31"/>
      </patternFill>
    </fill>
    <fill>
      <patternFill patternType="solid">
        <fgColor indexed="9"/>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5"/>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mediumGray">
        <fgColor indexed="55"/>
        <bgColor indexed="54"/>
      </patternFill>
    </fill>
    <fill>
      <patternFill patternType="solid">
        <fgColor indexed="56"/>
        <bgColor indexed="64"/>
      </patternFill>
    </fill>
    <fill>
      <patternFill patternType="solid">
        <fgColor indexed="22"/>
        <bgColor indexed="64"/>
      </patternFill>
    </fill>
    <fill>
      <patternFill patternType="solid">
        <fgColor indexed="15"/>
        <bgColor indexed="64"/>
      </patternFill>
    </fill>
    <fill>
      <patternFill patternType="solid">
        <fgColor indexed="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34998626667073579"/>
        <bgColor indexed="64"/>
      </patternFill>
    </fill>
    <fill>
      <patternFill patternType="solid">
        <fgColor theme="4" tint="0.79995117038483843"/>
        <bgColor indexed="65"/>
      </patternFill>
    </fill>
    <fill>
      <patternFill patternType="solid">
        <fgColor indexed="40"/>
      </patternFill>
    </fill>
    <fill>
      <patternFill patternType="solid">
        <fgColor theme="5" tint="0.79995117038483843"/>
        <bgColor indexed="65"/>
      </patternFill>
    </fill>
    <fill>
      <patternFill patternType="solid">
        <fgColor theme="6" tint="0.79995117038483843"/>
        <bgColor indexed="65"/>
      </patternFill>
    </fill>
    <fill>
      <patternFill patternType="solid">
        <fgColor theme="7" tint="0.79995117038483843"/>
        <bgColor indexed="65"/>
      </patternFill>
    </fill>
    <fill>
      <patternFill patternType="solid">
        <fgColor theme="8" tint="0.79995117038483843"/>
        <bgColor indexed="65"/>
      </patternFill>
    </fill>
    <fill>
      <patternFill patternType="solid">
        <fgColor theme="9" tint="0.79995117038483843"/>
        <bgColor indexed="65"/>
      </patternFill>
    </fill>
    <fill>
      <patternFill patternType="solid">
        <fgColor theme="4" tint="0.59996337778862885"/>
        <bgColor indexed="65"/>
      </patternFill>
    </fill>
    <fill>
      <patternFill patternType="solid">
        <fgColor indexed="54"/>
      </patternFill>
    </fill>
    <fill>
      <patternFill patternType="solid">
        <fgColor theme="5" tint="0.59996337778862885"/>
        <bgColor indexed="65"/>
      </patternFill>
    </fill>
    <fill>
      <patternFill patternType="solid">
        <fgColor theme="6" tint="0.59996337778862885"/>
        <bgColor indexed="65"/>
      </patternFill>
    </fill>
    <fill>
      <patternFill patternType="solid">
        <fgColor theme="7" tint="0.59996337778862885"/>
        <bgColor indexed="65"/>
      </patternFill>
    </fill>
    <fill>
      <patternFill patternType="solid">
        <fgColor theme="8" tint="0.59996337778862885"/>
        <bgColor indexed="65"/>
      </patternFill>
    </fill>
    <fill>
      <patternFill patternType="solid">
        <fgColor theme="9" tint="0.59996337778862885"/>
        <bgColor indexed="65"/>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62"/>
        <bgColor indexed="64"/>
      </patternFill>
    </fill>
    <fill>
      <patternFill patternType="solid">
        <fgColor indexed="61"/>
        <bgColor indexed="64"/>
      </patternFill>
    </fill>
    <fill>
      <patternFill patternType="solid">
        <fgColor indexed="60"/>
        <bgColor indexed="64"/>
      </patternFill>
    </fill>
    <fill>
      <patternFill patternType="solid">
        <fgColor indexed="59"/>
        <bgColor indexed="64"/>
      </patternFill>
    </fill>
    <fill>
      <patternFill patternType="solid">
        <fgColor indexed="58"/>
        <bgColor indexed="64"/>
      </patternFill>
    </fill>
    <fill>
      <patternFill patternType="solid">
        <fgColor indexed="57"/>
        <bgColor indexed="64"/>
      </patternFill>
    </fill>
    <fill>
      <patternFill patternType="solid">
        <fgColor indexed="9"/>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2" tint="0.79998168889431442"/>
        <bgColor indexed="64"/>
      </patternFill>
    </fill>
    <fill>
      <patternFill patternType="solid">
        <fgColor theme="4"/>
        <bgColor indexed="64"/>
      </patternFill>
    </fill>
    <fill>
      <patternFill patternType="solid">
        <fgColor theme="7"/>
        <bgColor indexed="64"/>
      </patternFill>
    </fill>
    <fill>
      <patternFill patternType="solid">
        <fgColor theme="9"/>
        <bgColor indexed="64"/>
      </patternFill>
    </fill>
    <fill>
      <patternFill patternType="solid">
        <fgColor theme="3" tint="-4.9989318521683403E-2"/>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3"/>
        <bgColor indexed="64"/>
      </patternFill>
    </fill>
    <fill>
      <patternFill patternType="solid">
        <fgColor theme="2"/>
        <bgColor indexed="64"/>
      </patternFill>
    </fill>
    <fill>
      <patternFill patternType="solid">
        <fgColor rgb="FFFFC000"/>
        <bgColor indexed="64"/>
      </patternFill>
    </fill>
    <fill>
      <patternFill patternType="solid">
        <fgColor theme="8" tint="0.59999389629810485"/>
        <bgColor indexed="64"/>
      </patternFill>
    </fill>
    <fill>
      <patternFill patternType="solid">
        <fgColor rgb="FF0070C0"/>
        <bgColor indexed="64"/>
      </patternFill>
    </fill>
    <fill>
      <patternFill patternType="solid">
        <fgColor rgb="FF007BBD"/>
        <bgColor indexed="64"/>
      </patternFill>
    </fill>
    <fill>
      <patternFill patternType="solid">
        <fgColor rgb="FF0070C0"/>
        <bgColor rgb="FF000000"/>
      </patternFill>
    </fill>
    <fill>
      <patternFill patternType="solid">
        <fgColor theme="4" tint="0.79998168889431442"/>
        <bgColor indexed="64"/>
      </patternFill>
    </fill>
    <fill>
      <patternFill patternType="solid">
        <fgColor rgb="FF002060"/>
        <bgColor indexed="64"/>
      </patternFill>
    </fill>
    <fill>
      <patternFill patternType="solid">
        <fgColor theme="0" tint="-4.9989318521683403E-2"/>
        <bgColor indexed="64"/>
      </patternFill>
    </fill>
  </fills>
  <borders count="8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0"/>
      </top>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style="thin">
        <color indexed="64"/>
      </right>
      <top/>
      <bottom style="double">
        <color indexed="64"/>
      </bottom>
      <diagonal/>
    </border>
    <border>
      <left/>
      <right style="thin">
        <color indexed="64"/>
      </right>
      <top/>
      <bottom/>
      <diagonal/>
    </border>
    <border>
      <left/>
      <right style="thin">
        <color indexed="64"/>
      </right>
      <top style="double">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right/>
      <top/>
      <bottom style="medium">
        <color indexed="24"/>
      </bottom>
      <diagonal/>
    </border>
    <border>
      <left/>
      <right/>
      <top/>
      <bottom style="double">
        <color indexed="5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indexed="23"/>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61"/>
      </left>
      <right/>
      <top/>
      <bottom/>
      <diagonal/>
    </border>
    <border>
      <left style="medium">
        <color indexed="60"/>
      </left>
      <right/>
      <top/>
      <bottom/>
      <diagonal/>
    </border>
    <border>
      <left style="medium">
        <color indexed="59"/>
      </left>
      <right/>
      <top/>
      <bottom/>
      <diagonal/>
    </border>
    <border>
      <left style="medium">
        <color indexed="61"/>
      </left>
      <right style="medium">
        <color indexed="61"/>
      </right>
      <top style="medium">
        <color indexed="61"/>
      </top>
      <bottom style="medium">
        <color indexed="61"/>
      </bottom>
      <diagonal/>
    </border>
    <border>
      <left style="medium">
        <color indexed="60"/>
      </left>
      <right style="medium">
        <color indexed="60"/>
      </right>
      <top style="medium">
        <color indexed="60"/>
      </top>
      <bottom style="medium">
        <color indexed="60"/>
      </bottom>
      <diagonal/>
    </border>
    <border>
      <left style="medium">
        <color indexed="59"/>
      </left>
      <right style="medium">
        <color indexed="59"/>
      </right>
      <top style="medium">
        <color indexed="59"/>
      </top>
      <bottom style="medium">
        <color indexed="59"/>
      </bottom>
      <diagonal/>
    </border>
    <border>
      <left/>
      <right/>
      <top/>
      <bottom style="medium">
        <color indexed="8"/>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double">
        <color indexed="64"/>
      </top>
      <bottom/>
      <diagonal/>
    </border>
    <border>
      <left style="thin">
        <color indexed="64"/>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
      <left/>
      <right/>
      <top/>
      <bottom style="dashed">
        <color rgb="FFBFBFBF"/>
      </bottom>
      <diagonal/>
    </border>
    <border>
      <left/>
      <right/>
      <top style="medium">
        <color rgb="FF0096D7"/>
      </top>
      <bottom/>
      <diagonal/>
    </border>
    <border>
      <left/>
      <right/>
      <top/>
      <bottom style="thick">
        <color rgb="FF0096D7"/>
      </bottom>
      <diagonal/>
    </border>
    <border>
      <left/>
      <right/>
      <top/>
      <bottom style="thin">
        <color rgb="FFBFBFBF"/>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auto="1"/>
      </top>
      <bottom/>
      <diagonal/>
    </border>
    <border>
      <left style="hair">
        <color theme="0" tint="-0.24994659260841701"/>
      </left>
      <right/>
      <top style="hair">
        <color theme="0" tint="-0.24994659260841701"/>
      </top>
      <bottom/>
      <diagonal/>
    </border>
    <border>
      <left/>
      <right/>
      <top style="hair">
        <color theme="0" tint="-0.24994659260841701"/>
      </top>
      <bottom/>
      <diagonal/>
    </border>
    <border>
      <left/>
      <right style="hair">
        <color theme="0" tint="-0.24994659260841701"/>
      </right>
      <top style="hair">
        <color theme="0" tint="-0.24994659260841701"/>
      </top>
      <bottom/>
      <diagonal/>
    </border>
    <border>
      <left style="hair">
        <color theme="0" tint="-0.24994659260841701"/>
      </left>
      <right/>
      <top/>
      <bottom/>
      <diagonal/>
    </border>
    <border>
      <left/>
      <right style="hair">
        <color theme="0" tint="-0.24994659260841701"/>
      </right>
      <top/>
      <bottom/>
      <diagonal/>
    </border>
    <border>
      <left style="medium">
        <color theme="0" tint="-0.24994659260841701"/>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medium">
        <color theme="0" tint="-0.24994659260841701"/>
      </left>
      <right/>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right/>
      <top style="thin">
        <color theme="0" tint="-0.14996795556505021"/>
      </top>
      <bottom/>
      <diagonal/>
    </border>
    <border>
      <left/>
      <right/>
      <top style="thin">
        <color theme="0"/>
      </top>
      <bottom style="thin">
        <color theme="0"/>
      </bottom>
      <diagonal/>
    </border>
    <border>
      <left/>
      <right/>
      <top/>
      <bottom style="thin">
        <color theme="0" tint="-0.14996795556505021"/>
      </bottom>
      <diagonal/>
    </border>
  </borders>
  <cellStyleXfs count="38004">
    <xf numFmtId="0" fontId="0" fillId="0" borderId="0"/>
    <xf numFmtId="0" fontId="31" fillId="0" borderId="0"/>
    <xf numFmtId="171" fontId="31" fillId="0" borderId="0">
      <alignment horizontal="left" wrapText="1"/>
    </xf>
    <xf numFmtId="0" fontId="31" fillId="0" borderId="0" applyNumberFormat="0" applyFill="0" applyBorder="0" applyAlignment="0" applyProtection="0"/>
    <xf numFmtId="0" fontId="32" fillId="2" borderId="0" applyNumberFormat="0" applyBorder="0" applyAlignment="0" applyProtection="0"/>
    <xf numFmtId="0" fontId="33" fillId="3" borderId="0" applyNumberFormat="0" applyBorder="0" applyAlignment="0" applyProtection="0"/>
    <xf numFmtId="0" fontId="32" fillId="4" borderId="0" applyNumberFormat="0" applyBorder="0" applyAlignment="0" applyProtection="0"/>
    <xf numFmtId="0" fontId="33" fillId="3" borderId="0" applyNumberFormat="0" applyBorder="0" applyAlignment="0" applyProtection="0"/>
    <xf numFmtId="0" fontId="32" fillId="5" borderId="0" applyNumberFormat="0" applyBorder="0" applyAlignment="0" applyProtection="0"/>
    <xf numFmtId="0" fontId="33" fillId="3" borderId="0" applyNumberFormat="0" applyBorder="0" applyAlignment="0" applyProtection="0"/>
    <xf numFmtId="0" fontId="32" fillId="6" borderId="0" applyNumberFormat="0" applyBorder="0" applyAlignment="0" applyProtection="0"/>
    <xf numFmtId="0" fontId="33" fillId="3" borderId="0" applyNumberFormat="0" applyBorder="0" applyAlignment="0" applyProtection="0"/>
    <xf numFmtId="0" fontId="32" fillId="7" borderId="0" applyNumberFormat="0" applyBorder="0" applyAlignment="0" applyProtection="0"/>
    <xf numFmtId="0" fontId="33" fillId="8" borderId="0" applyNumberFormat="0" applyBorder="0" applyAlignment="0" applyProtection="0"/>
    <xf numFmtId="0" fontId="32" fillId="9" borderId="0" applyNumberFormat="0" applyBorder="0" applyAlignment="0" applyProtection="0"/>
    <xf numFmtId="0" fontId="33" fillId="8" borderId="0" applyNumberFormat="0" applyBorder="0" applyAlignment="0" applyProtection="0"/>
    <xf numFmtId="0" fontId="32" fillId="10" borderId="0" applyNumberFormat="0" applyBorder="0" applyAlignment="0" applyProtection="0"/>
    <xf numFmtId="0" fontId="33" fillId="3" borderId="0" applyNumberFormat="0" applyBorder="0" applyAlignment="0" applyProtection="0"/>
    <xf numFmtId="0" fontId="32" fillId="11" borderId="0" applyNumberFormat="0" applyBorder="0" applyAlignment="0" applyProtection="0"/>
    <xf numFmtId="0" fontId="33" fillId="3" borderId="0" applyNumberFormat="0" applyBorder="0" applyAlignment="0" applyProtection="0"/>
    <xf numFmtId="0" fontId="32" fillId="12" borderId="0" applyNumberFormat="0" applyBorder="0" applyAlignment="0" applyProtection="0"/>
    <xf numFmtId="0" fontId="33" fillId="8" borderId="0" applyNumberFormat="0" applyBorder="0" applyAlignment="0" applyProtection="0"/>
    <xf numFmtId="0" fontId="32" fillId="6" borderId="0" applyNumberFormat="0" applyBorder="0" applyAlignment="0" applyProtection="0"/>
    <xf numFmtId="0" fontId="33" fillId="8" borderId="0" applyNumberFormat="0" applyBorder="0" applyAlignment="0" applyProtection="0"/>
    <xf numFmtId="0" fontId="32" fillId="10" borderId="0" applyNumberFormat="0" applyBorder="0" applyAlignment="0" applyProtection="0"/>
    <xf numFmtId="0" fontId="33" fillId="13" borderId="0" applyNumberFormat="0" applyBorder="0" applyAlignment="0" applyProtection="0"/>
    <xf numFmtId="0" fontId="32" fillId="14" borderId="0" applyNumberFormat="0" applyBorder="0" applyAlignment="0" applyProtection="0"/>
    <xf numFmtId="0" fontId="33" fillId="8" borderId="0" applyNumberFormat="0" applyBorder="0" applyAlignment="0" applyProtection="0"/>
    <xf numFmtId="0" fontId="34" fillId="15" borderId="0" applyNumberFormat="0" applyBorder="0" applyAlignment="0" applyProtection="0"/>
    <xf numFmtId="0" fontId="34" fillId="11" borderId="0" applyNumberFormat="0" applyBorder="0" applyAlignment="0" applyProtection="0"/>
    <xf numFmtId="0" fontId="34" fillId="12"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22" borderId="0" applyNumberFormat="0" applyBorder="0" applyAlignment="0" applyProtection="0"/>
    <xf numFmtId="0" fontId="35" fillId="4" borderId="0" applyNumberFormat="0" applyBorder="0" applyAlignment="0" applyProtection="0"/>
    <xf numFmtId="0" fontId="36" fillId="0" borderId="0" applyNumberFormat="0" applyFont="0" applyAlignment="0"/>
    <xf numFmtId="0" fontId="37" fillId="8" borderId="1" applyNumberFormat="0" applyAlignment="0" applyProtection="0"/>
    <xf numFmtId="0" fontId="38" fillId="13" borderId="2" applyNumberFormat="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3" fontId="31" fillId="0" borderId="0" applyFont="0" applyFill="0" applyBorder="0" applyAlignment="0" applyProtection="0"/>
    <xf numFmtId="44" fontId="39" fillId="0" borderId="0" applyFont="0" applyFill="0" applyBorder="0" applyAlignment="0" applyProtection="0"/>
    <xf numFmtId="169" fontId="31" fillId="0" borderId="0" applyFont="0" applyFill="0" applyBorder="0" applyAlignment="0" applyProtection="0"/>
    <xf numFmtId="0" fontId="31" fillId="0" borderId="0" applyFont="0" applyFill="0" applyBorder="0" applyAlignment="0" applyProtection="0"/>
    <xf numFmtId="0" fontId="40" fillId="0" borderId="0" applyNumberFormat="0" applyFill="0" applyBorder="0" applyAlignment="0" applyProtection="0"/>
    <xf numFmtId="2" fontId="31" fillId="0" borderId="0" applyFont="0" applyFill="0" applyBorder="0" applyAlignment="0" applyProtection="0"/>
    <xf numFmtId="0" fontId="41" fillId="5" borderId="0" applyNumberFormat="0" applyBorder="0" applyAlignment="0" applyProtection="0"/>
    <xf numFmtId="170" fontId="42" fillId="0" borderId="0"/>
    <xf numFmtId="0" fontId="43" fillId="0" borderId="3" applyNumberForma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0" fontId="45" fillId="0" borderId="4" applyNumberFormat="0" applyFill="0" applyAlignment="0" applyProtection="0"/>
    <xf numFmtId="0" fontId="46" fillId="0" borderId="0" applyNumberFormat="0" applyFont="0" applyFill="0" applyAlignment="0" applyProtection="0"/>
    <xf numFmtId="0" fontId="46" fillId="0" borderId="0" applyNumberFormat="0" applyFont="0" applyFill="0" applyAlignment="0" applyProtection="0"/>
    <xf numFmtId="0" fontId="46" fillId="0" borderId="0" applyNumberFormat="0" applyFont="0" applyFill="0" applyAlignment="0" applyProtection="0"/>
    <xf numFmtId="0" fontId="46" fillId="0" borderId="0" applyNumberFormat="0" applyFont="0" applyFill="0" applyAlignment="0" applyProtection="0"/>
    <xf numFmtId="0" fontId="46" fillId="0" borderId="0" applyNumberFormat="0" applyFont="0" applyFill="0" applyAlignment="0" applyProtection="0"/>
    <xf numFmtId="0" fontId="46" fillId="0" borderId="0" applyNumberFormat="0" applyFont="0" applyFill="0" applyAlignment="0" applyProtection="0"/>
    <xf numFmtId="0" fontId="46" fillId="0" borderId="0" applyNumberFormat="0" applyFont="0" applyFill="0" applyAlignment="0" applyProtection="0"/>
    <xf numFmtId="0" fontId="46" fillId="0" borderId="0" applyNumberFormat="0" applyFont="0" applyFill="0" applyAlignment="0" applyProtection="0"/>
    <xf numFmtId="0" fontId="46" fillId="0" borderId="0" applyNumberFormat="0" applyFont="0" applyFill="0" applyAlignment="0" applyProtection="0"/>
    <xf numFmtId="0" fontId="46" fillId="0" borderId="0" applyNumberFormat="0" applyFont="0" applyFill="0" applyAlignment="0" applyProtection="0"/>
    <xf numFmtId="0" fontId="46" fillId="0" borderId="0" applyNumberFormat="0" applyFont="0" applyFill="0" applyAlignment="0" applyProtection="0"/>
    <xf numFmtId="0" fontId="46" fillId="0" borderId="0" applyNumberFormat="0" applyFont="0" applyFill="0" applyAlignment="0" applyProtection="0"/>
    <xf numFmtId="0" fontId="46" fillId="0" borderId="0" applyNumberFormat="0" applyFont="0" applyFill="0" applyAlignment="0" applyProtection="0"/>
    <xf numFmtId="0" fontId="47" fillId="0" borderId="5" applyNumberFormat="0" applyFill="0" applyAlignment="0" applyProtection="0"/>
    <xf numFmtId="0" fontId="47" fillId="0" borderId="0" applyNumberFormat="0" applyFill="0" applyBorder="0" applyAlignment="0" applyProtection="0"/>
    <xf numFmtId="0" fontId="48"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1" fillId="9" borderId="1" applyNumberFormat="0" applyAlignment="0" applyProtection="0"/>
    <xf numFmtId="0" fontId="52" fillId="0" borderId="6" applyNumberFormat="0" applyFill="0" applyAlignment="0" applyProtection="0"/>
    <xf numFmtId="0" fontId="53" fillId="23" borderId="0" applyNumberFormat="0" applyBorder="0" applyAlignment="0" applyProtection="0"/>
    <xf numFmtId="0" fontId="39" fillId="0" borderId="0"/>
    <xf numFmtId="0" fontId="33"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4" fillId="0" borderId="0"/>
    <xf numFmtId="0" fontId="33" fillId="0" borderId="0"/>
    <xf numFmtId="0" fontId="33" fillId="0" borderId="0"/>
    <xf numFmtId="0" fontId="54" fillId="0" borderId="0"/>
    <xf numFmtId="0" fontId="33" fillId="0" borderId="0"/>
    <xf numFmtId="0" fontId="33" fillId="0" borderId="0"/>
    <xf numFmtId="0" fontId="54" fillId="0" borderId="0"/>
    <xf numFmtId="0" fontId="33" fillId="0" borderId="0"/>
    <xf numFmtId="0" fontId="33" fillId="0" borderId="0"/>
    <xf numFmtId="0" fontId="54" fillId="0" borderId="0"/>
    <xf numFmtId="0" fontId="54" fillId="0" borderId="0"/>
    <xf numFmtId="0" fontId="5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3" fillId="0" borderId="0"/>
    <xf numFmtId="0" fontId="55" fillId="0" borderId="0"/>
    <xf numFmtId="0" fontId="39" fillId="0" borderId="0"/>
    <xf numFmtId="0" fontId="39" fillId="0" borderId="0"/>
    <xf numFmtId="0" fontId="39" fillId="0" borderId="0"/>
    <xf numFmtId="0" fontId="39" fillId="0" borderId="0"/>
    <xf numFmtId="0" fontId="39" fillId="0" borderId="0"/>
    <xf numFmtId="0" fontId="39" fillId="0" borderId="0"/>
    <xf numFmtId="0" fontId="54" fillId="0" borderId="0"/>
    <xf numFmtId="0" fontId="56" fillId="0" borderId="0"/>
    <xf numFmtId="0" fontId="39" fillId="0" borderId="0"/>
    <xf numFmtId="0" fontId="57" fillId="0" borderId="0"/>
    <xf numFmtId="0" fontId="31" fillId="0" borderId="0"/>
    <xf numFmtId="0" fontId="31" fillId="24" borderId="7" applyNumberFormat="0" applyFont="0" applyAlignment="0" applyProtection="0"/>
    <xf numFmtId="0" fontId="33" fillId="24" borderId="7" applyNumberFormat="0" applyFont="0" applyAlignment="0" applyProtection="0"/>
    <xf numFmtId="0" fontId="33" fillId="24" borderId="7" applyNumberFormat="0" applyFont="0" applyAlignment="0" applyProtection="0"/>
    <xf numFmtId="3" fontId="39" fillId="0" borderId="0"/>
    <xf numFmtId="3" fontId="39" fillId="0" borderId="0"/>
    <xf numFmtId="3" fontId="39" fillId="0" borderId="0"/>
    <xf numFmtId="3" fontId="39" fillId="0" borderId="0"/>
    <xf numFmtId="3" fontId="39" fillId="0" borderId="0"/>
    <xf numFmtId="0" fontId="58" fillId="8" borderId="8" applyNumberFormat="0" applyAlignment="0" applyProtection="0"/>
    <xf numFmtId="0" fontId="39" fillId="0" borderId="0">
      <alignment horizontal="left" wrapText="1"/>
    </xf>
    <xf numFmtId="165" fontId="59" fillId="0" borderId="0"/>
    <xf numFmtId="9" fontId="3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171" fontId="39" fillId="0" borderId="0">
      <alignment horizontal="left" wrapText="1"/>
    </xf>
    <xf numFmtId="0" fontId="60" fillId="25" borderId="0" applyNumberFormat="0">
      <alignment vertical="center"/>
    </xf>
    <xf numFmtId="2" fontId="61" fillId="0" borderId="0"/>
    <xf numFmtId="0" fontId="62" fillId="0" borderId="0" applyNumberFormat="0" applyFill="0" applyBorder="0" applyAlignment="0" applyProtection="0"/>
    <xf numFmtId="0" fontId="63" fillId="0" borderId="9" applyNumberFormat="0" applyFill="0" applyAlignment="0" applyProtection="0"/>
    <xf numFmtId="0" fontId="39" fillId="0" borderId="10" applyNumberFormat="0" applyFont="0" applyBorder="0" applyAlignment="0" applyProtection="0"/>
    <xf numFmtId="0" fontId="39" fillId="0" borderId="10" applyNumberFormat="0" applyFont="0" applyBorder="0" applyAlignment="0" applyProtection="0"/>
    <xf numFmtId="0" fontId="39" fillId="0" borderId="10" applyNumberFormat="0" applyFont="0" applyBorder="0" applyAlignment="0" applyProtection="0"/>
    <xf numFmtId="0" fontId="39" fillId="0" borderId="10" applyNumberFormat="0" applyFont="0" applyBorder="0" applyAlignment="0" applyProtection="0"/>
    <xf numFmtId="0" fontId="39" fillId="0" borderId="10" applyNumberFormat="0" applyFont="0" applyBorder="0" applyAlignment="0" applyProtection="0"/>
    <xf numFmtId="0" fontId="39" fillId="0" borderId="10" applyNumberFormat="0" applyFont="0" applyBorder="0" applyAlignment="0" applyProtection="0"/>
    <xf numFmtId="0" fontId="39" fillId="0" borderId="10" applyNumberFormat="0" applyFont="0" applyBorder="0" applyAlignment="0" applyProtection="0"/>
    <xf numFmtId="0" fontId="39" fillId="0" borderId="10" applyNumberFormat="0" applyFont="0" applyBorder="0" applyAlignment="0" applyProtection="0"/>
    <xf numFmtId="0" fontId="39" fillId="0" borderId="10" applyNumberFormat="0" applyFont="0" applyBorder="0" applyAlignment="0" applyProtection="0"/>
    <xf numFmtId="0" fontId="39" fillId="0" borderId="10" applyNumberFormat="0" applyFont="0" applyBorder="0" applyAlignment="0" applyProtection="0"/>
    <xf numFmtId="0" fontId="39" fillId="0" borderId="10" applyNumberFormat="0" applyFont="0" applyBorder="0" applyAlignment="0" applyProtection="0"/>
    <xf numFmtId="0" fontId="39" fillId="0" borderId="10" applyNumberFormat="0" applyFont="0" applyBorder="0" applyAlignment="0" applyProtection="0"/>
    <xf numFmtId="0" fontId="39" fillId="0" borderId="10" applyNumberFormat="0" applyFont="0" applyBorder="0" applyAlignment="0" applyProtection="0"/>
    <xf numFmtId="0" fontId="64" fillId="0" borderId="0" applyNumberFormat="0" applyFill="0" applyBorder="0" applyAlignment="0" applyProtection="0"/>
    <xf numFmtId="0" fontId="31" fillId="0" borderId="0"/>
    <xf numFmtId="0" fontId="89" fillId="0" borderId="0"/>
    <xf numFmtId="43" fontId="89" fillId="0" borderId="0" applyFont="0" applyFill="0" applyBorder="0" applyAlignment="0" applyProtection="0"/>
    <xf numFmtId="9" fontId="89" fillId="0" borderId="0" applyFont="0" applyFill="0" applyBorder="0" applyAlignment="0" applyProtection="0"/>
    <xf numFmtId="44" fontId="89" fillId="0" borderId="0" applyFont="0" applyFill="0" applyBorder="0" applyAlignment="0" applyProtection="0"/>
    <xf numFmtId="0" fontId="89" fillId="0" borderId="0"/>
    <xf numFmtId="44" fontId="31" fillId="0" borderId="0" applyFont="0" applyFill="0" applyBorder="0" applyAlignment="0" applyProtection="0"/>
    <xf numFmtId="9" fontId="31" fillId="0" borderId="0" applyFont="0" applyFill="0" applyBorder="0" applyAlignment="0" applyProtection="0"/>
    <xf numFmtId="0" fontId="91" fillId="33" borderId="0" applyNumberFormat="0" applyBorder="0" applyAlignment="0" applyProtection="0"/>
    <xf numFmtId="0" fontId="91" fillId="34" borderId="0" applyNumberFormat="0" applyBorder="0" applyAlignment="0" applyProtection="0"/>
    <xf numFmtId="0" fontId="91" fillId="35" borderId="0" applyNumberFormat="0" applyBorder="0" applyAlignment="0" applyProtection="0"/>
    <xf numFmtId="0" fontId="91" fillId="36" borderId="0" applyNumberFormat="0" applyBorder="0" applyAlignment="0" applyProtection="0"/>
    <xf numFmtId="0" fontId="91" fillId="37" borderId="0" applyNumberFormat="0" applyBorder="0" applyAlignment="0" applyProtection="0"/>
    <xf numFmtId="0" fontId="91" fillId="38" borderId="0" applyNumberFormat="0" applyBorder="0" applyAlignment="0" applyProtection="0"/>
    <xf numFmtId="0" fontId="91" fillId="39" borderId="0" applyNumberFormat="0" applyBorder="0" applyAlignment="0" applyProtection="0"/>
    <xf numFmtId="0" fontId="91" fillId="40" borderId="0" applyNumberFormat="0" applyBorder="0" applyAlignment="0" applyProtection="0"/>
    <xf numFmtId="0" fontId="91" fillId="41" borderId="0" applyNumberFormat="0" applyBorder="0" applyAlignment="0" applyProtection="0"/>
    <xf numFmtId="0" fontId="91" fillId="42" borderId="0" applyNumberFormat="0" applyBorder="0" applyAlignment="0" applyProtection="0"/>
    <xf numFmtId="0" fontId="91" fillId="43" borderId="0" applyNumberFormat="0" applyBorder="0" applyAlignment="0" applyProtection="0"/>
    <xf numFmtId="0" fontId="91" fillId="44" borderId="0" applyNumberFormat="0" applyBorder="0" applyAlignment="0" applyProtection="0"/>
    <xf numFmtId="0" fontId="92" fillId="45" borderId="0" applyNumberFormat="0" applyBorder="0" applyAlignment="0" applyProtection="0"/>
    <xf numFmtId="0" fontId="93" fillId="46" borderId="15" applyNumberFormat="0" applyAlignment="0" applyProtection="0"/>
    <xf numFmtId="0" fontId="94" fillId="47" borderId="16" applyNumberFormat="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2" fontId="31" fillId="0" borderId="0" applyFont="0" applyFill="0" applyBorder="0" applyAlignment="0" applyProtection="0"/>
    <xf numFmtId="42" fontId="31" fillId="0" borderId="0" applyFont="0" applyFill="0" applyBorder="0" applyAlignment="0" applyProtection="0"/>
    <xf numFmtId="42" fontId="31"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31"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90" fillId="0" borderId="0" applyFont="0" applyFill="0" applyBorder="0" applyAlignment="0" applyProtection="0"/>
    <xf numFmtId="0" fontId="95" fillId="0" borderId="0" applyNumberFormat="0" applyFill="0" applyBorder="0" applyAlignment="0" applyProtection="0"/>
    <xf numFmtId="0" fontId="96" fillId="48" borderId="0" applyNumberFormat="0" applyBorder="0" applyAlignment="0" applyProtection="0"/>
    <xf numFmtId="0" fontId="97" fillId="0" borderId="17" applyNumberFormat="0" applyFill="0" applyAlignment="0" applyProtection="0"/>
    <xf numFmtId="0" fontId="97" fillId="0" borderId="0" applyNumberFormat="0" applyFill="0" applyBorder="0" applyAlignment="0" applyProtection="0"/>
    <xf numFmtId="0" fontId="98" fillId="49" borderId="15" applyNumberFormat="0" applyAlignment="0" applyProtection="0"/>
    <xf numFmtId="0" fontId="99" fillId="0" borderId="18" applyNumberFormat="0" applyFill="0" applyAlignment="0" applyProtection="0"/>
    <xf numFmtId="0" fontId="100" fillId="50" borderId="0" applyNumberFormat="0" applyBorder="0" applyAlignment="0" applyProtection="0"/>
    <xf numFmtId="0" fontId="31" fillId="0" borderId="0"/>
    <xf numFmtId="0" fontId="101" fillId="0" borderId="0"/>
    <xf numFmtId="0" fontId="31" fillId="0" borderId="0"/>
    <xf numFmtId="0" fontId="101" fillId="0" borderId="0"/>
    <xf numFmtId="0" fontId="31" fillId="0" borderId="0"/>
    <xf numFmtId="0" fontId="101" fillId="0" borderId="0"/>
    <xf numFmtId="0" fontId="102" fillId="0" borderId="0"/>
    <xf numFmtId="0" fontId="101" fillId="0" borderId="0"/>
    <xf numFmtId="0" fontId="89" fillId="0" borderId="0"/>
    <xf numFmtId="0" fontId="10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90"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3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31" fillId="0" borderId="0"/>
    <xf numFmtId="0" fontId="101" fillId="0" borderId="0"/>
    <xf numFmtId="0" fontId="103" fillId="51" borderId="19" applyNumberFormat="0" applyFont="0" applyAlignment="0" applyProtection="0"/>
    <xf numFmtId="0" fontId="103" fillId="51" borderId="19" applyNumberFormat="0" applyFont="0" applyAlignment="0" applyProtection="0"/>
    <xf numFmtId="0" fontId="103" fillId="51" borderId="19" applyNumberFormat="0" applyFont="0" applyAlignment="0" applyProtection="0"/>
    <xf numFmtId="0" fontId="103" fillId="51" borderId="19" applyNumberFormat="0" applyFont="0" applyAlignment="0" applyProtection="0"/>
    <xf numFmtId="0" fontId="103" fillId="51" borderId="19" applyNumberFormat="0" applyFont="0" applyAlignment="0" applyProtection="0"/>
    <xf numFmtId="0" fontId="103" fillId="51" borderId="19" applyNumberFormat="0" applyFont="0" applyAlignment="0" applyProtection="0"/>
    <xf numFmtId="0" fontId="103" fillId="51" borderId="19" applyNumberFormat="0" applyFont="0" applyAlignment="0" applyProtection="0"/>
    <xf numFmtId="0" fontId="103" fillId="51" borderId="19" applyNumberFormat="0" applyFont="0" applyAlignment="0" applyProtection="0"/>
    <xf numFmtId="0" fontId="104" fillId="0" borderId="0" applyFill="0" applyBorder="0"/>
    <xf numFmtId="0" fontId="105" fillId="46" borderId="20" applyNumberFormat="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0" fontId="106" fillId="0" borderId="0" applyNumberFormat="0" applyFill="0" applyBorder="0" applyAlignment="0" applyProtection="0"/>
    <xf numFmtId="0" fontId="31" fillId="24" borderId="0" applyNumberFormat="0" applyFont="0" applyBorder="0" applyAlignment="0" applyProtection="0"/>
    <xf numFmtId="43" fontId="107" fillId="0" borderId="0" applyFont="0" applyFill="0" applyBorder="0" applyAlignment="0" applyProtection="0"/>
    <xf numFmtId="0" fontId="89" fillId="0" borderId="0"/>
    <xf numFmtId="43" fontId="89" fillId="0" borderId="0" applyFont="0" applyFill="0" applyBorder="0" applyAlignment="0" applyProtection="0"/>
    <xf numFmtId="9" fontId="89" fillId="0" borderId="0" applyFont="0" applyFill="0" applyBorder="0" applyAlignment="0" applyProtection="0"/>
    <xf numFmtId="44"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0" fontId="31" fillId="0" borderId="0"/>
    <xf numFmtId="0" fontId="61" fillId="0" borderId="0"/>
    <xf numFmtId="0" fontId="65" fillId="0" borderId="0" applyNumberFormat="0" applyFill="0" applyBorder="0" applyAlignment="0" applyProtection="0"/>
    <xf numFmtId="0" fontId="109" fillId="0" borderId="0"/>
    <xf numFmtId="0" fontId="30" fillId="0" borderId="0"/>
    <xf numFmtId="9" fontId="65" fillId="0" borderId="0" applyFont="0" applyFill="0" applyBorder="0" applyAlignment="0" applyProtection="0"/>
    <xf numFmtId="0" fontId="89" fillId="53" borderId="0" applyNumberFormat="0" applyBorder="0" applyAlignment="0" applyProtection="0"/>
    <xf numFmtId="0" fontId="33" fillId="3"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32" fillId="2" borderId="0" applyNumberFormat="0" applyBorder="0" applyAlignment="0" applyProtection="0"/>
    <xf numFmtId="0" fontId="89" fillId="55" borderId="0" applyNumberFormat="0" applyBorder="0" applyAlignment="0" applyProtection="0"/>
    <xf numFmtId="0" fontId="33" fillId="3" borderId="0" applyNumberFormat="0" applyBorder="0" applyAlignment="0" applyProtection="0"/>
    <xf numFmtId="0" fontId="103" fillId="11" borderId="0" applyNumberFormat="0" applyBorder="0" applyAlignment="0" applyProtection="0"/>
    <xf numFmtId="0" fontId="103" fillId="11" borderId="0" applyNumberFormat="0" applyBorder="0" applyAlignment="0" applyProtection="0"/>
    <xf numFmtId="0" fontId="103" fillId="11" borderId="0" applyNumberFormat="0" applyBorder="0" applyAlignment="0" applyProtection="0"/>
    <xf numFmtId="0" fontId="103" fillId="11" borderId="0" applyNumberFormat="0" applyBorder="0" applyAlignment="0" applyProtection="0"/>
    <xf numFmtId="0" fontId="32" fillId="4" borderId="0" applyNumberFormat="0" applyBorder="0" applyAlignment="0" applyProtection="0"/>
    <xf numFmtId="0" fontId="89" fillId="56" borderId="0" applyNumberFormat="0" applyBorder="0" applyAlignment="0" applyProtection="0"/>
    <xf numFmtId="0" fontId="33" fillId="3"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32" fillId="5" borderId="0" applyNumberFormat="0" applyBorder="0" applyAlignment="0" applyProtection="0"/>
    <xf numFmtId="0" fontId="89" fillId="57" borderId="0" applyNumberFormat="0" applyBorder="0" applyAlignment="0" applyProtection="0"/>
    <xf numFmtId="0" fontId="33" fillId="3" borderId="0" applyNumberFormat="0" applyBorder="0" applyAlignment="0" applyProtection="0"/>
    <xf numFmtId="0" fontId="103" fillId="3" borderId="0" applyNumberFormat="0" applyBorder="0" applyAlignment="0" applyProtection="0"/>
    <xf numFmtId="0" fontId="103" fillId="3" borderId="0" applyNumberFormat="0" applyBorder="0" applyAlignment="0" applyProtection="0"/>
    <xf numFmtId="0" fontId="103" fillId="3" borderId="0" applyNumberFormat="0" applyBorder="0" applyAlignment="0" applyProtection="0"/>
    <xf numFmtId="0" fontId="103" fillId="3" borderId="0" applyNumberFormat="0" applyBorder="0" applyAlignment="0" applyProtection="0"/>
    <xf numFmtId="0" fontId="32" fillId="6" borderId="0" applyNumberFormat="0" applyBorder="0" applyAlignment="0" applyProtection="0"/>
    <xf numFmtId="0" fontId="89" fillId="58" borderId="0" applyNumberFormat="0" applyBorder="0" applyAlignment="0" applyProtection="0"/>
    <xf numFmtId="0" fontId="33" fillId="8" borderId="0" applyNumberFormat="0" applyBorder="0" applyAlignment="0" applyProtection="0"/>
    <xf numFmtId="0" fontId="103" fillId="10" borderId="0" applyNumberFormat="0" applyBorder="0" applyAlignment="0" applyProtection="0"/>
    <xf numFmtId="0" fontId="103" fillId="10" borderId="0" applyNumberFormat="0" applyBorder="0" applyAlignment="0" applyProtection="0"/>
    <xf numFmtId="0" fontId="103" fillId="10" borderId="0" applyNumberFormat="0" applyBorder="0" applyAlignment="0" applyProtection="0"/>
    <xf numFmtId="0" fontId="103" fillId="10" borderId="0" applyNumberFormat="0" applyBorder="0" applyAlignment="0" applyProtection="0"/>
    <xf numFmtId="0" fontId="32" fillId="7" borderId="0" applyNumberFormat="0" applyBorder="0" applyAlignment="0" applyProtection="0"/>
    <xf numFmtId="0" fontId="89" fillId="59" borderId="0" applyNumberFormat="0" applyBorder="0" applyAlignment="0" applyProtection="0"/>
    <xf numFmtId="0" fontId="33" fillId="8"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32" fillId="9" borderId="0" applyNumberFormat="0" applyBorder="0" applyAlignment="0" applyProtection="0"/>
    <xf numFmtId="0" fontId="89" fillId="60" borderId="0" applyNumberFormat="0" applyBorder="0" applyAlignment="0" applyProtection="0"/>
    <xf numFmtId="0" fontId="33" fillId="3" borderId="0" applyNumberFormat="0" applyBorder="0" applyAlignment="0" applyProtection="0"/>
    <xf numFmtId="0" fontId="103" fillId="61" borderId="0" applyNumberFormat="0" applyBorder="0" applyAlignment="0" applyProtection="0"/>
    <xf numFmtId="0" fontId="103" fillId="61" borderId="0" applyNumberFormat="0" applyBorder="0" applyAlignment="0" applyProtection="0"/>
    <xf numFmtId="0" fontId="103" fillId="61" borderId="0" applyNumberFormat="0" applyBorder="0" applyAlignment="0" applyProtection="0"/>
    <xf numFmtId="0" fontId="103" fillId="61" borderId="0" applyNumberFormat="0" applyBorder="0" applyAlignment="0" applyProtection="0"/>
    <xf numFmtId="0" fontId="32" fillId="10" borderId="0" applyNumberFormat="0" applyBorder="0" applyAlignment="0" applyProtection="0"/>
    <xf numFmtId="0" fontId="89" fillId="62" borderId="0" applyNumberFormat="0" applyBorder="0" applyAlignment="0" applyProtection="0"/>
    <xf numFmtId="0" fontId="33" fillId="3" borderId="0" applyNumberFormat="0" applyBorder="0" applyAlignment="0" applyProtection="0"/>
    <xf numFmtId="0" fontId="103" fillId="11" borderId="0" applyNumberFormat="0" applyBorder="0" applyAlignment="0" applyProtection="0"/>
    <xf numFmtId="0" fontId="103" fillId="11" borderId="0" applyNumberFormat="0" applyBorder="0" applyAlignment="0" applyProtection="0"/>
    <xf numFmtId="0" fontId="103" fillId="11" borderId="0" applyNumberFormat="0" applyBorder="0" applyAlignment="0" applyProtection="0"/>
    <xf numFmtId="0" fontId="103" fillId="11" borderId="0" applyNumberFormat="0" applyBorder="0" applyAlignment="0" applyProtection="0"/>
    <xf numFmtId="0" fontId="32" fillId="11" borderId="0" applyNumberFormat="0" applyBorder="0" applyAlignment="0" applyProtection="0"/>
    <xf numFmtId="0" fontId="89" fillId="63" borderId="0" applyNumberFormat="0" applyBorder="0" applyAlignment="0" applyProtection="0"/>
    <xf numFmtId="0" fontId="33" fillId="8" borderId="0" applyNumberFormat="0" applyBorder="0" applyAlignment="0" applyProtection="0"/>
    <xf numFmtId="0" fontId="103" fillId="21" borderId="0" applyNumberFormat="0" applyBorder="0" applyAlignment="0" applyProtection="0"/>
    <xf numFmtId="0" fontId="103" fillId="21" borderId="0" applyNumberFormat="0" applyBorder="0" applyAlignment="0" applyProtection="0"/>
    <xf numFmtId="0" fontId="103" fillId="21" borderId="0" applyNumberFormat="0" applyBorder="0" applyAlignment="0" applyProtection="0"/>
    <xf numFmtId="0" fontId="103" fillId="21" borderId="0" applyNumberFormat="0" applyBorder="0" applyAlignment="0" applyProtection="0"/>
    <xf numFmtId="0" fontId="32" fillId="12" borderId="0" applyNumberFormat="0" applyBorder="0" applyAlignment="0" applyProtection="0"/>
    <xf numFmtId="0" fontId="89" fillId="64" borderId="0" applyNumberFormat="0" applyBorder="0" applyAlignment="0" applyProtection="0"/>
    <xf numFmtId="0" fontId="33" fillId="8" borderId="0" applyNumberFormat="0" applyBorder="0" applyAlignment="0" applyProtection="0"/>
    <xf numFmtId="0" fontId="103" fillId="8" borderId="0" applyNumberFormat="0" applyBorder="0" applyAlignment="0" applyProtection="0"/>
    <xf numFmtId="0" fontId="103" fillId="8" borderId="0" applyNumberFormat="0" applyBorder="0" applyAlignment="0" applyProtection="0"/>
    <xf numFmtId="0" fontId="103" fillId="8" borderId="0" applyNumberFormat="0" applyBorder="0" applyAlignment="0" applyProtection="0"/>
    <xf numFmtId="0" fontId="103" fillId="8" borderId="0" applyNumberFormat="0" applyBorder="0" applyAlignment="0" applyProtection="0"/>
    <xf numFmtId="0" fontId="32" fillId="6" borderId="0" applyNumberFormat="0" applyBorder="0" applyAlignment="0" applyProtection="0"/>
    <xf numFmtId="0" fontId="89" fillId="65" borderId="0" applyNumberFormat="0" applyBorder="0" applyAlignment="0" applyProtection="0"/>
    <xf numFmtId="0" fontId="33" fillId="13" borderId="0" applyNumberFormat="0" applyBorder="0" applyAlignment="0" applyProtection="0"/>
    <xf numFmtId="0" fontId="103" fillId="61" borderId="0" applyNumberFormat="0" applyBorder="0" applyAlignment="0" applyProtection="0"/>
    <xf numFmtId="0" fontId="103" fillId="61" borderId="0" applyNumberFormat="0" applyBorder="0" applyAlignment="0" applyProtection="0"/>
    <xf numFmtId="0" fontId="103" fillId="61" borderId="0" applyNumberFormat="0" applyBorder="0" applyAlignment="0" applyProtection="0"/>
    <xf numFmtId="0" fontId="103" fillId="61" borderId="0" applyNumberFormat="0" applyBorder="0" applyAlignment="0" applyProtection="0"/>
    <xf numFmtId="0" fontId="32" fillId="10" borderId="0" applyNumberFormat="0" applyBorder="0" applyAlignment="0" applyProtection="0"/>
    <xf numFmtId="0" fontId="89" fillId="66" borderId="0" applyNumberFormat="0" applyBorder="0" applyAlignment="0" applyProtection="0"/>
    <xf numFmtId="0" fontId="33" fillId="8" borderId="0" applyNumberFormat="0" applyBorder="0" applyAlignment="0" applyProtection="0"/>
    <xf numFmtId="0" fontId="103" fillId="9" borderId="0" applyNumberFormat="0" applyBorder="0" applyAlignment="0" applyProtection="0"/>
    <xf numFmtId="0" fontId="103" fillId="9" borderId="0" applyNumberFormat="0" applyBorder="0" applyAlignment="0" applyProtection="0"/>
    <xf numFmtId="0" fontId="103" fillId="9" borderId="0" applyNumberFormat="0" applyBorder="0" applyAlignment="0" applyProtection="0"/>
    <xf numFmtId="0" fontId="103" fillId="9" borderId="0" applyNumberFormat="0" applyBorder="0" applyAlignment="0" applyProtection="0"/>
    <xf numFmtId="0" fontId="32" fillId="14" borderId="0" applyNumberFormat="0" applyBorder="0" applyAlignment="0" applyProtection="0"/>
    <xf numFmtId="0" fontId="111" fillId="61" borderId="0" applyNumberFormat="0" applyBorder="0" applyAlignment="0" applyProtection="0"/>
    <xf numFmtId="0" fontId="111" fillId="61" borderId="0" applyNumberFormat="0" applyBorder="0" applyAlignment="0" applyProtection="0"/>
    <xf numFmtId="0" fontId="111" fillId="61" borderId="0" applyNumberFormat="0" applyBorder="0" applyAlignment="0" applyProtection="0"/>
    <xf numFmtId="0" fontId="34" fillId="15" borderId="0" applyNumberFormat="0" applyBorder="0" applyAlignment="0" applyProtection="0"/>
    <xf numFmtId="0" fontId="111" fillId="11" borderId="0" applyNumberFormat="0" applyBorder="0" applyAlignment="0" applyProtection="0"/>
    <xf numFmtId="0" fontId="111" fillId="11" borderId="0" applyNumberFormat="0" applyBorder="0" applyAlignment="0" applyProtection="0"/>
    <xf numFmtId="0" fontId="111" fillId="11" borderId="0" applyNumberFormat="0" applyBorder="0" applyAlignment="0" applyProtection="0"/>
    <xf numFmtId="0" fontId="34" fillId="11" borderId="0" applyNumberFormat="0" applyBorder="0" applyAlignment="0" applyProtection="0"/>
    <xf numFmtId="0" fontId="111" fillId="21" borderId="0" applyNumberFormat="0" applyBorder="0" applyAlignment="0" applyProtection="0"/>
    <xf numFmtId="0" fontId="111" fillId="21" borderId="0" applyNumberFormat="0" applyBorder="0" applyAlignment="0" applyProtection="0"/>
    <xf numFmtId="0" fontId="111" fillId="21" borderId="0" applyNumberFormat="0" applyBorder="0" applyAlignment="0" applyProtection="0"/>
    <xf numFmtId="0" fontId="34" fillId="12" borderId="0" applyNumberFormat="0" applyBorder="0" applyAlignment="0" applyProtection="0"/>
    <xf numFmtId="0" fontId="111" fillId="8" borderId="0" applyNumberFormat="0" applyBorder="0" applyAlignment="0" applyProtection="0"/>
    <xf numFmtId="0" fontId="111" fillId="8" borderId="0" applyNumberFormat="0" applyBorder="0" applyAlignment="0" applyProtection="0"/>
    <xf numFmtId="0" fontId="111" fillId="8" borderId="0" applyNumberFormat="0" applyBorder="0" applyAlignment="0" applyProtection="0"/>
    <xf numFmtId="0" fontId="34" fillId="16" borderId="0" applyNumberFormat="0" applyBorder="0" applyAlignment="0" applyProtection="0"/>
    <xf numFmtId="0" fontId="111" fillId="61" borderId="0" applyNumberFormat="0" applyBorder="0" applyAlignment="0" applyProtection="0"/>
    <xf numFmtId="0" fontId="111" fillId="61" borderId="0" applyNumberFormat="0" applyBorder="0" applyAlignment="0" applyProtection="0"/>
    <xf numFmtId="0" fontId="111" fillId="61" borderId="0" applyNumberFormat="0" applyBorder="0" applyAlignment="0" applyProtection="0"/>
    <xf numFmtId="0" fontId="34" fillId="17"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34" fillId="18" borderId="0" applyNumberFormat="0" applyBorder="0" applyAlignment="0" applyProtection="0"/>
    <xf numFmtId="0" fontId="33" fillId="67" borderId="0" applyNumberFormat="0" applyBorder="0" applyAlignment="0" applyProtection="0"/>
    <xf numFmtId="0" fontId="33" fillId="68" borderId="0" applyNumberFormat="0" applyBorder="0" applyAlignment="0" applyProtection="0"/>
    <xf numFmtId="0" fontId="112" fillId="69"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34" fillId="19" borderId="0" applyNumberFormat="0" applyBorder="0" applyAlignment="0" applyProtection="0"/>
    <xf numFmtId="0" fontId="33" fillId="71" borderId="0" applyNumberFormat="0" applyBorder="0" applyAlignment="0" applyProtection="0"/>
    <xf numFmtId="0" fontId="33" fillId="72" borderId="0" applyNumberFormat="0" applyBorder="0" applyAlignment="0" applyProtection="0"/>
    <xf numFmtId="0" fontId="112" fillId="73"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34" fillId="20" borderId="0" applyNumberFormat="0" applyBorder="0" applyAlignment="0" applyProtection="0"/>
    <xf numFmtId="0" fontId="33" fillId="75" borderId="0" applyNumberFormat="0" applyBorder="0" applyAlignment="0" applyProtection="0"/>
    <xf numFmtId="0" fontId="33" fillId="76" borderId="0" applyNumberFormat="0" applyBorder="0" applyAlignment="0" applyProtection="0"/>
    <xf numFmtId="0" fontId="112" fillId="77" borderId="0" applyNumberFormat="0" applyBorder="0" applyAlignment="0" applyProtection="0"/>
    <xf numFmtId="0" fontId="112" fillId="73" borderId="0" applyNumberFormat="0" applyBorder="0" applyAlignment="0" applyProtection="0"/>
    <xf numFmtId="0" fontId="112" fillId="73" borderId="0" applyNumberFormat="0" applyBorder="0" applyAlignment="0" applyProtection="0"/>
    <xf numFmtId="0" fontId="112" fillId="73" borderId="0" applyNumberFormat="0" applyBorder="0" applyAlignment="0" applyProtection="0"/>
    <xf numFmtId="0" fontId="34" fillId="21" borderId="0" applyNumberFormat="0" applyBorder="0" applyAlignment="0" applyProtection="0"/>
    <xf numFmtId="0" fontId="33" fillId="76" borderId="0" applyNumberFormat="0" applyBorder="0" applyAlignment="0" applyProtection="0"/>
    <xf numFmtId="0" fontId="33" fillId="77" borderId="0" applyNumberFormat="0" applyBorder="0" applyAlignment="0" applyProtection="0"/>
    <xf numFmtId="0" fontId="112" fillId="77"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34" fillId="16" borderId="0" applyNumberFormat="0" applyBorder="0" applyAlignment="0" applyProtection="0"/>
    <xf numFmtId="0" fontId="33" fillId="67" borderId="0" applyNumberFormat="0" applyBorder="0" applyAlignment="0" applyProtection="0"/>
    <xf numFmtId="0" fontId="33" fillId="68" borderId="0" applyNumberFormat="0" applyBorder="0" applyAlignment="0" applyProtection="0"/>
    <xf numFmtId="0" fontId="112" fillId="68" borderId="0" applyNumberFormat="0" applyBorder="0" applyAlignment="0" applyProtection="0"/>
    <xf numFmtId="0" fontId="112" fillId="79" borderId="0" applyNumberFormat="0" applyBorder="0" applyAlignment="0" applyProtection="0"/>
    <xf numFmtId="0" fontId="112" fillId="79" borderId="0" applyNumberFormat="0" applyBorder="0" applyAlignment="0" applyProtection="0"/>
    <xf numFmtId="0" fontId="112" fillId="79" borderId="0" applyNumberFormat="0" applyBorder="0" applyAlignment="0" applyProtection="0"/>
    <xf numFmtId="0" fontId="34" fillId="17" borderId="0" applyNumberFormat="0" applyBorder="0" applyAlignment="0" applyProtection="0"/>
    <xf numFmtId="0" fontId="33" fillId="80" borderId="0" applyNumberFormat="0" applyBorder="0" applyAlignment="0" applyProtection="0"/>
    <xf numFmtId="0" fontId="33" fillId="72" borderId="0" applyNumberFormat="0" applyBorder="0" applyAlignment="0" applyProtection="0"/>
    <xf numFmtId="0" fontId="112" fillId="81" borderId="0" applyNumberFormat="0" applyBorder="0" applyAlignment="0" applyProtection="0"/>
    <xf numFmtId="0" fontId="112" fillId="82" borderId="0" applyNumberFormat="0" applyBorder="0" applyAlignment="0" applyProtection="0"/>
    <xf numFmtId="0" fontId="112" fillId="82" borderId="0" applyNumberFormat="0" applyBorder="0" applyAlignment="0" applyProtection="0"/>
    <xf numFmtId="0" fontId="112" fillId="82" borderId="0" applyNumberFormat="0" applyBorder="0" applyAlignment="0" applyProtection="0"/>
    <xf numFmtId="0" fontId="34" fillId="22" borderId="0" applyNumberFormat="0" applyBorder="0" applyAlignment="0" applyProtection="0"/>
    <xf numFmtId="0" fontId="113" fillId="72" borderId="0" applyNumberFormat="0" applyBorder="0" applyAlignment="0" applyProtection="0"/>
    <xf numFmtId="0" fontId="113" fillId="72" borderId="0" applyNumberFormat="0" applyBorder="0" applyAlignment="0" applyProtection="0"/>
    <xf numFmtId="0" fontId="113" fillId="72" borderId="0" applyNumberFormat="0" applyBorder="0" applyAlignment="0" applyProtection="0"/>
    <xf numFmtId="0" fontId="35" fillId="4" borderId="0" applyNumberFormat="0" applyBorder="0" applyAlignment="0" applyProtection="0"/>
    <xf numFmtId="0" fontId="114" fillId="83" borderId="1" applyNumberFormat="0" applyAlignment="0" applyProtection="0"/>
    <xf numFmtId="0" fontId="114" fillId="83" borderId="1" applyNumberFormat="0" applyAlignment="0" applyProtection="0"/>
    <xf numFmtId="0" fontId="114" fillId="83" borderId="1" applyNumberFormat="0" applyAlignment="0" applyProtection="0"/>
    <xf numFmtId="0" fontId="37" fillId="8" borderId="1" applyNumberFormat="0" applyAlignment="0" applyProtection="0"/>
    <xf numFmtId="0" fontId="115" fillId="73" borderId="2" applyNumberFormat="0" applyAlignment="0" applyProtection="0"/>
    <xf numFmtId="0" fontId="115" fillId="73" borderId="2" applyNumberFormat="0" applyAlignment="0" applyProtection="0"/>
    <xf numFmtId="0" fontId="115" fillId="73" borderId="2" applyNumberFormat="0" applyAlignment="0" applyProtection="0"/>
    <xf numFmtId="0" fontId="38" fillId="13" borderId="2" applyNumberFormat="0" applyAlignment="0" applyProtection="0"/>
    <xf numFmtId="43" fontId="89" fillId="0" borderId="0" applyFont="0" applyFill="0" applyBorder="0" applyAlignment="0" applyProtection="0"/>
    <xf numFmtId="43" fontId="3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0" fontId="116" fillId="84" borderId="0" applyNumberFormat="0" applyBorder="0" applyAlignment="0" applyProtection="0"/>
    <xf numFmtId="0" fontId="116" fillId="85" borderId="0" applyNumberFormat="0" applyBorder="0" applyAlignment="0" applyProtection="0"/>
    <xf numFmtId="0" fontId="116" fillId="86" borderId="0" applyNumberFormat="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40" fillId="0" borderId="0" applyNumberFormat="0" applyFill="0" applyBorder="0" applyAlignment="0" applyProtection="0"/>
    <xf numFmtId="0" fontId="118" fillId="87" borderId="0" applyNumberFormat="0" applyBorder="0" applyAlignment="0" applyProtection="0"/>
    <xf numFmtId="0" fontId="118" fillId="87" borderId="0" applyNumberFormat="0" applyBorder="0" applyAlignment="0" applyProtection="0"/>
    <xf numFmtId="0" fontId="118" fillId="87" borderId="0" applyNumberFormat="0" applyBorder="0" applyAlignment="0" applyProtection="0"/>
    <xf numFmtId="0" fontId="41" fillId="5" borderId="0" applyNumberFormat="0" applyBorder="0" applyAlignment="0" applyProtection="0"/>
    <xf numFmtId="0" fontId="43" fillId="0" borderId="3" applyNumberFormat="0" applyFill="0" applyAlignment="0" applyProtection="0"/>
    <xf numFmtId="0" fontId="45" fillId="0" borderId="4" applyNumberFormat="0" applyFill="0" applyAlignment="0" applyProtection="0"/>
    <xf numFmtId="0" fontId="119" fillId="0" borderId="29" applyNumberFormat="0" applyFill="0" applyAlignment="0" applyProtection="0"/>
    <xf numFmtId="0" fontId="119" fillId="0" borderId="29" applyNumberFormat="0" applyFill="0" applyAlignment="0" applyProtection="0"/>
    <xf numFmtId="0" fontId="119" fillId="0" borderId="29" applyNumberFormat="0" applyFill="0" applyAlignment="0" applyProtection="0"/>
    <xf numFmtId="0" fontId="47" fillId="0" borderId="5" applyNumberFormat="0" applyFill="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47" fillId="0" borderId="0" applyNumberFormat="0" applyFill="0" applyBorder="0" applyAlignment="0" applyProtection="0"/>
    <xf numFmtId="0" fontId="120" fillId="0" borderId="0" applyNumberFormat="0" applyFill="0" applyBorder="0" applyAlignment="0" applyProtection="0"/>
    <xf numFmtId="0" fontId="121" fillId="81" borderId="1" applyNumberFormat="0" applyAlignment="0" applyProtection="0"/>
    <xf numFmtId="0" fontId="121" fillId="81" borderId="1" applyNumberFormat="0" applyAlignment="0" applyProtection="0"/>
    <xf numFmtId="0" fontId="121" fillId="81" borderId="1" applyNumberFormat="0" applyAlignment="0" applyProtection="0"/>
    <xf numFmtId="0" fontId="51" fillId="9" borderId="1" applyNumberFormat="0" applyAlignment="0" applyProtection="0"/>
    <xf numFmtId="0" fontId="122" fillId="0" borderId="30" applyNumberFormat="0" applyFill="0" applyAlignment="0" applyProtection="0"/>
    <xf numFmtId="0" fontId="122" fillId="0" borderId="30" applyNumberFormat="0" applyFill="0" applyAlignment="0" applyProtection="0"/>
    <xf numFmtId="0" fontId="122" fillId="0" borderId="30" applyNumberFormat="0" applyFill="0" applyAlignment="0" applyProtection="0"/>
    <xf numFmtId="0" fontId="52" fillId="0" borderId="6" applyNumberFormat="0" applyFill="0" applyAlignment="0" applyProtection="0"/>
    <xf numFmtId="0" fontId="123" fillId="81" borderId="0" applyNumberFormat="0" applyBorder="0" applyAlignment="0" applyProtection="0"/>
    <xf numFmtId="0" fontId="123" fillId="81" borderId="0" applyNumberFormat="0" applyBorder="0" applyAlignment="0" applyProtection="0"/>
    <xf numFmtId="0" fontId="123" fillId="81" borderId="0" applyNumberFormat="0" applyBorder="0" applyAlignment="0" applyProtection="0"/>
    <xf numFmtId="0" fontId="53" fillId="23" borderId="0" applyNumberFormat="0" applyBorder="0" applyAlignment="0" applyProtection="0"/>
    <xf numFmtId="0" fontId="124" fillId="0" borderId="0"/>
    <xf numFmtId="0" fontId="89" fillId="0" borderId="0"/>
    <xf numFmtId="0" fontId="89" fillId="0" borderId="0"/>
    <xf numFmtId="0" fontId="33" fillId="0" borderId="0"/>
    <xf numFmtId="0" fontId="89" fillId="0" borderId="0"/>
    <xf numFmtId="0" fontId="89" fillId="0" borderId="0"/>
    <xf numFmtId="0" fontId="89" fillId="0" borderId="0"/>
    <xf numFmtId="0" fontId="89" fillId="0" borderId="0"/>
    <xf numFmtId="0" fontId="125" fillId="0" borderId="0"/>
    <xf numFmtId="0" fontId="31" fillId="0" borderId="0"/>
    <xf numFmtId="0" fontId="89" fillId="0" borderId="0"/>
    <xf numFmtId="0" fontId="31" fillId="0" borderId="0"/>
    <xf numFmtId="0" fontId="31" fillId="0" borderId="0"/>
    <xf numFmtId="0" fontId="33" fillId="24" borderId="7" applyNumberFormat="0" applyFont="0" applyAlignment="0" applyProtection="0"/>
    <xf numFmtId="0" fontId="33" fillId="24" borderId="7" applyNumberFormat="0" applyFont="0" applyAlignment="0" applyProtection="0"/>
    <xf numFmtId="0" fontId="31" fillId="80" borderId="7" applyNumberFormat="0" applyFont="0" applyAlignment="0" applyProtection="0"/>
    <xf numFmtId="0" fontId="31" fillId="80" borderId="7" applyNumberFormat="0" applyFont="0" applyAlignment="0" applyProtection="0"/>
    <xf numFmtId="0" fontId="31" fillId="80" borderId="7" applyNumberFormat="0" applyFont="0" applyAlignment="0" applyProtection="0"/>
    <xf numFmtId="0" fontId="31" fillId="24" borderId="7" applyNumberFormat="0" applyFont="0" applyAlignment="0" applyProtection="0"/>
    <xf numFmtId="0" fontId="126" fillId="27" borderId="7">
      <alignment vertical="center"/>
    </xf>
    <xf numFmtId="0" fontId="127" fillId="83" borderId="8" applyNumberFormat="0" applyAlignment="0" applyProtection="0"/>
    <xf numFmtId="0" fontId="127" fillId="83" borderId="8" applyNumberFormat="0" applyAlignment="0" applyProtection="0"/>
    <xf numFmtId="0" fontId="127" fillId="83" borderId="8" applyNumberFormat="0" applyAlignment="0" applyProtection="0"/>
    <xf numFmtId="0" fontId="58" fillId="8" borderId="8" applyNumberFormat="0" applyAlignment="0" applyProtection="0"/>
    <xf numFmtId="9" fontId="31"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4" fontId="128" fillId="23" borderId="31" applyNumberFormat="0" applyProtection="0">
      <alignment vertical="center"/>
    </xf>
    <xf numFmtId="4" fontId="129" fillId="23" borderId="31" applyNumberFormat="0" applyProtection="0">
      <alignment vertical="center"/>
    </xf>
    <xf numFmtId="4" fontId="128" fillId="23" borderId="31" applyNumberFormat="0" applyProtection="0">
      <alignment horizontal="left" vertical="center" indent="1"/>
    </xf>
    <xf numFmtId="0" fontId="128" fillId="23" borderId="31" applyNumberFormat="0" applyProtection="0">
      <alignment horizontal="left" vertical="top" indent="1"/>
    </xf>
    <xf numFmtId="4" fontId="128" fillId="54" borderId="0" applyNumberFormat="0" applyProtection="0">
      <alignment horizontal="left" vertical="center" indent="1"/>
    </xf>
    <xf numFmtId="4" fontId="103" fillId="4" borderId="31" applyNumberFormat="0" applyProtection="0">
      <alignment horizontal="right" vertical="center"/>
    </xf>
    <xf numFmtId="4" fontId="103" fillId="11" borderId="31" applyNumberFormat="0" applyProtection="0">
      <alignment horizontal="right" vertical="center"/>
    </xf>
    <xf numFmtId="4" fontId="103" fillId="20" borderId="31" applyNumberFormat="0" applyProtection="0">
      <alignment horizontal="right" vertical="center"/>
    </xf>
    <xf numFmtId="4" fontId="103" fillId="14" borderId="31" applyNumberFormat="0" applyProtection="0">
      <alignment horizontal="right" vertical="center"/>
    </xf>
    <xf numFmtId="4" fontId="103" fillId="18" borderId="31" applyNumberFormat="0" applyProtection="0">
      <alignment horizontal="right" vertical="center"/>
    </xf>
    <xf numFmtId="4" fontId="103" fillId="22" borderId="31" applyNumberFormat="0" applyProtection="0">
      <alignment horizontal="right" vertical="center"/>
    </xf>
    <xf numFmtId="4" fontId="103" fillId="21" borderId="31" applyNumberFormat="0" applyProtection="0">
      <alignment horizontal="right" vertical="center"/>
    </xf>
    <xf numFmtId="4" fontId="103" fillId="88" borderId="31" applyNumberFormat="0" applyProtection="0">
      <alignment horizontal="right" vertical="center"/>
    </xf>
    <xf numFmtId="4" fontId="103" fillId="12" borderId="31" applyNumberFormat="0" applyProtection="0">
      <alignment horizontal="right" vertical="center"/>
    </xf>
    <xf numFmtId="4" fontId="128" fillId="89" borderId="32" applyNumberFormat="0" applyProtection="0">
      <alignment horizontal="left" vertical="center" indent="1"/>
    </xf>
    <xf numFmtId="4" fontId="103" fillId="90" borderId="0" applyNumberFormat="0" applyProtection="0">
      <alignment horizontal="left" vertical="center" indent="1"/>
    </xf>
    <xf numFmtId="4" fontId="130" fillId="61" borderId="0" applyNumberFormat="0" applyProtection="0">
      <alignment horizontal="left" vertical="center" indent="1"/>
    </xf>
    <xf numFmtId="4" fontId="103" fillId="54" borderId="31" applyNumberFormat="0" applyProtection="0">
      <alignment horizontal="right" vertical="center"/>
    </xf>
    <xf numFmtId="4" fontId="103" fillId="90" borderId="0" applyNumberFormat="0" applyProtection="0">
      <alignment horizontal="left" vertical="center" indent="1"/>
    </xf>
    <xf numFmtId="4" fontId="103" fillId="54" borderId="0" applyNumberFormat="0" applyProtection="0">
      <alignment horizontal="left" vertical="center" indent="1"/>
    </xf>
    <xf numFmtId="0" fontId="31" fillId="61" borderId="31" applyNumberFormat="0" applyProtection="0">
      <alignment horizontal="left" vertical="center" indent="1"/>
    </xf>
    <xf numFmtId="0" fontId="31" fillId="61" borderId="31" applyNumberFormat="0" applyProtection="0">
      <alignment horizontal="left" vertical="top" indent="1"/>
    </xf>
    <xf numFmtId="0" fontId="31" fillId="54" borderId="31" applyNumberFormat="0" applyProtection="0">
      <alignment horizontal="left" vertical="center" indent="1"/>
    </xf>
    <xf numFmtId="0" fontId="31" fillId="54" borderId="31" applyNumberFormat="0" applyProtection="0">
      <alignment horizontal="left" vertical="top" indent="1"/>
    </xf>
    <xf numFmtId="0" fontId="31" fillId="10" borderId="31" applyNumberFormat="0" applyProtection="0">
      <alignment horizontal="left" vertical="center" indent="1"/>
    </xf>
    <xf numFmtId="0" fontId="31" fillId="10" borderId="31" applyNumberFormat="0" applyProtection="0">
      <alignment horizontal="left" vertical="top" indent="1"/>
    </xf>
    <xf numFmtId="0" fontId="31" fillId="90" borderId="31" applyNumberFormat="0" applyProtection="0">
      <alignment horizontal="left" vertical="center" indent="1"/>
    </xf>
    <xf numFmtId="0" fontId="31" fillId="90" borderId="31" applyNumberFormat="0" applyProtection="0">
      <alignment horizontal="left" vertical="top" indent="1"/>
    </xf>
    <xf numFmtId="0" fontId="31" fillId="3" borderId="14" applyNumberFormat="0">
      <protection locked="0"/>
    </xf>
    <xf numFmtId="4" fontId="103" fillId="24" borderId="31" applyNumberFormat="0" applyProtection="0">
      <alignment vertical="center"/>
    </xf>
    <xf numFmtId="4" fontId="131" fillId="24" borderId="31" applyNumberFormat="0" applyProtection="0">
      <alignment vertical="center"/>
    </xf>
    <xf numFmtId="4" fontId="103" fillId="24" borderId="31" applyNumberFormat="0" applyProtection="0">
      <alignment horizontal="left" vertical="center" indent="1"/>
    </xf>
    <xf numFmtId="0" fontId="103" fillId="24" borderId="31" applyNumberFormat="0" applyProtection="0">
      <alignment horizontal="left" vertical="top" indent="1"/>
    </xf>
    <xf numFmtId="4" fontId="103" fillId="90" borderId="31" applyNumberFormat="0" applyProtection="0">
      <alignment horizontal="right" vertical="center"/>
    </xf>
    <xf numFmtId="4" fontId="131" fillId="90" borderId="31" applyNumberFormat="0" applyProtection="0">
      <alignment horizontal="right" vertical="center"/>
    </xf>
    <xf numFmtId="4" fontId="103" fillId="54" borderId="31" applyNumberFormat="0" applyProtection="0">
      <alignment horizontal="left" vertical="center" indent="1"/>
    </xf>
    <xf numFmtId="0" fontId="103" fillId="54" borderId="31" applyNumberFormat="0" applyProtection="0">
      <alignment horizontal="left" vertical="top" indent="1"/>
    </xf>
    <xf numFmtId="4" fontId="132" fillId="91" borderId="0" applyNumberFormat="0" applyProtection="0">
      <alignment horizontal="left" vertical="center" indent="1"/>
    </xf>
    <xf numFmtId="4" fontId="133" fillId="90" borderId="31" applyNumberFormat="0" applyProtection="0">
      <alignment horizontal="right" vertical="center"/>
    </xf>
    <xf numFmtId="0" fontId="134"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36" fillId="92" borderId="0" applyNumberFormat="0" applyBorder="0" applyProtection="0">
      <alignment wrapText="1"/>
    </xf>
    <xf numFmtId="0" fontId="36" fillId="0" borderId="0" applyNumberFormat="0" applyFill="0" applyBorder="0" applyProtection="0">
      <alignment wrapText="1"/>
    </xf>
    <xf numFmtId="0" fontId="46" fillId="0" borderId="0" applyNumberFormat="0" applyFill="0" applyBorder="0" applyAlignment="0" applyProtection="0"/>
    <xf numFmtId="0" fontId="61" fillId="0" borderId="0" applyNumberFormat="0" applyFill="0" applyBorder="0" applyProtection="0">
      <alignment vertical="top" wrapText="1"/>
    </xf>
    <xf numFmtId="0" fontId="136" fillId="0" borderId="0" applyNumberFormat="0" applyFill="0" applyBorder="0" applyAlignment="0" applyProtection="0"/>
    <xf numFmtId="0" fontId="31" fillId="0" borderId="33" applyNumberFormat="0" applyFont="0" applyFill="0" applyAlignment="0" applyProtection="0"/>
    <xf numFmtId="0" fontId="31" fillId="0" borderId="34" applyNumberFormat="0" applyFont="0" applyFill="0" applyAlignment="0" applyProtection="0"/>
    <xf numFmtId="0" fontId="31" fillId="0" borderId="35" applyNumberFormat="0" applyFont="0" applyFill="0" applyAlignment="0" applyProtection="0"/>
    <xf numFmtId="0" fontId="111" fillId="93" borderId="36" applyNumberFormat="0" applyAlignment="0" applyProtection="0"/>
    <xf numFmtId="0" fontId="111" fillId="94" borderId="37" applyNumberFormat="0" applyAlignment="0" applyProtection="0"/>
    <xf numFmtId="0" fontId="31" fillId="95" borderId="38" applyNumberFormat="0" applyFont="0" applyAlignment="0" applyProtection="0"/>
    <xf numFmtId="0" fontId="31" fillId="96" borderId="39" applyNumberFormat="0" applyFont="0" applyAlignment="0" applyProtection="0"/>
    <xf numFmtId="0" fontId="31" fillId="97" borderId="40" applyNumberFormat="0" applyFont="0" applyAlignment="0" applyProtection="0"/>
    <xf numFmtId="0" fontId="31" fillId="26" borderId="41" applyNumberFormat="0" applyFont="0" applyAlignment="0" applyProtection="0"/>
    <xf numFmtId="0" fontId="31" fillId="98" borderId="0" applyNumberFormat="0" applyFont="0" applyBorder="0" applyAlignment="0" applyProtection="0"/>
    <xf numFmtId="0" fontId="137" fillId="0" borderId="0" applyNumberFormat="0" applyFill="0" applyBorder="0" applyAlignment="0" applyProtection="0"/>
    <xf numFmtId="0" fontId="138" fillId="0" borderId="0" applyNumberFormat="0" applyFill="0" applyBorder="0" applyAlignment="0" applyProtection="0"/>
    <xf numFmtId="0" fontId="103" fillId="0" borderId="42" applyNumberFormat="0" applyFill="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62" fillId="0" borderId="0" applyNumberFormat="0" applyFill="0" applyBorder="0" applyAlignment="0" applyProtection="0"/>
    <xf numFmtId="0" fontId="63" fillId="0" borderId="9" applyNumberFormat="0" applyFill="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64" fillId="0" borderId="0" applyNumberFormat="0" applyFill="0" applyBorder="0" applyAlignment="0" applyProtection="0"/>
    <xf numFmtId="0" fontId="29" fillId="0" borderId="0"/>
    <xf numFmtId="176" fontId="31" fillId="0" borderId="0" applyFont="0" applyFill="0" applyBorder="0" applyAlignment="0" applyProtection="0">
      <alignment wrapText="1"/>
    </xf>
    <xf numFmtId="0" fontId="31" fillId="0" borderId="0"/>
    <xf numFmtId="0" fontId="31" fillId="0" borderId="0"/>
    <xf numFmtId="0" fontId="31" fillId="0" borderId="0"/>
    <xf numFmtId="9" fontId="30" fillId="0" borderId="0" applyFont="0" applyFill="0" applyBorder="0" applyAlignment="0" applyProtection="0"/>
    <xf numFmtId="0" fontId="31" fillId="0" borderId="0"/>
    <xf numFmtId="9" fontId="28" fillId="0" borderId="0" applyFont="0" applyFill="0" applyBorder="0" applyAlignment="0" applyProtection="0"/>
    <xf numFmtId="44" fontId="157" fillId="0" borderId="0" applyFont="0" applyFill="0" applyBorder="0" applyAlignment="0" applyProtection="0"/>
    <xf numFmtId="0" fontId="26" fillId="0" borderId="0"/>
    <xf numFmtId="171" fontId="31" fillId="0" borderId="0">
      <alignment horizontal="left"/>
    </xf>
    <xf numFmtId="0" fontId="23" fillId="0" borderId="0"/>
    <xf numFmtId="0" fontId="190" fillId="0" borderId="50" applyNumberFormat="0" applyFill="0" applyAlignment="0" applyProtection="0"/>
    <xf numFmtId="0" fontId="191" fillId="0" borderId="51" applyNumberFormat="0" applyFill="0" applyAlignment="0" applyProtection="0"/>
    <xf numFmtId="0" fontId="182" fillId="0" borderId="17" applyNumberFormat="0" applyFill="0" applyAlignment="0" applyProtection="0"/>
    <xf numFmtId="0" fontId="182" fillId="0" borderId="0" applyNumberFormat="0" applyFill="0" applyBorder="0" applyAlignment="0" applyProtection="0"/>
    <xf numFmtId="0" fontId="192" fillId="48" borderId="0" applyNumberFormat="0" applyBorder="0" applyAlignment="0" applyProtection="0"/>
    <xf numFmtId="0" fontId="193" fillId="45" borderId="0" applyNumberFormat="0" applyBorder="0" applyAlignment="0" applyProtection="0"/>
    <xf numFmtId="0" fontId="194" fillId="50" borderId="0" applyNumberFormat="0" applyBorder="0" applyAlignment="0" applyProtection="0"/>
    <xf numFmtId="0" fontId="195" fillId="49" borderId="15" applyNumberFormat="0" applyAlignment="0" applyProtection="0"/>
    <xf numFmtId="0" fontId="196" fillId="46" borderId="20" applyNumberFormat="0" applyAlignment="0" applyProtection="0"/>
    <xf numFmtId="0" fontId="197" fillId="46" borderId="15" applyNumberFormat="0" applyAlignment="0" applyProtection="0"/>
    <xf numFmtId="0" fontId="198" fillId="0" borderId="18" applyNumberFormat="0" applyFill="0" applyAlignment="0" applyProtection="0"/>
    <xf numFmtId="0" fontId="199" fillId="47" borderId="16" applyNumberFormat="0" applyAlignment="0" applyProtection="0"/>
    <xf numFmtId="0" fontId="175" fillId="0" borderId="0" applyNumberFormat="0" applyFill="0" applyBorder="0" applyAlignment="0" applyProtection="0"/>
    <xf numFmtId="0" fontId="23" fillId="51" borderId="19" applyNumberFormat="0" applyFont="0" applyAlignment="0" applyProtection="0"/>
    <xf numFmtId="0" fontId="200" fillId="0" borderId="0" applyNumberFormat="0" applyFill="0" applyBorder="0" applyAlignment="0" applyProtection="0"/>
    <xf numFmtId="0" fontId="151" fillId="0" borderId="52" applyNumberFormat="0" applyFill="0" applyAlignment="0" applyProtection="0"/>
    <xf numFmtId="0" fontId="201" fillId="39" borderId="0" applyNumberFormat="0" applyBorder="0" applyAlignment="0" applyProtection="0"/>
    <xf numFmtId="0" fontId="23" fillId="112" borderId="0" applyNumberFormat="0" applyBorder="0" applyAlignment="0" applyProtection="0"/>
    <xf numFmtId="0" fontId="23" fillId="113" borderId="0" applyNumberFormat="0" applyBorder="0" applyAlignment="0" applyProtection="0"/>
    <xf numFmtId="0" fontId="201" fillId="33" borderId="0" applyNumberFormat="0" applyBorder="0" applyAlignment="0" applyProtection="0"/>
    <xf numFmtId="0" fontId="201" fillId="40" borderId="0" applyNumberFormat="0" applyBorder="0" applyAlignment="0" applyProtection="0"/>
    <xf numFmtId="0" fontId="23" fillId="114" borderId="0" applyNumberFormat="0" applyBorder="0" applyAlignment="0" applyProtection="0"/>
    <xf numFmtId="0" fontId="23" fillId="115" borderId="0" applyNumberFormat="0" applyBorder="0" applyAlignment="0" applyProtection="0"/>
    <xf numFmtId="0" fontId="201" fillId="34" borderId="0" applyNumberFormat="0" applyBorder="0" applyAlignment="0" applyProtection="0"/>
    <xf numFmtId="0" fontId="201" fillId="41" borderId="0" applyNumberFormat="0" applyBorder="0" applyAlignment="0" applyProtection="0"/>
    <xf numFmtId="0" fontId="23" fillId="116" borderId="0" applyNumberFormat="0" applyBorder="0" applyAlignment="0" applyProtection="0"/>
    <xf numFmtId="0" fontId="23" fillId="117" borderId="0" applyNumberFormat="0" applyBorder="0" applyAlignment="0" applyProtection="0"/>
    <xf numFmtId="0" fontId="201" fillId="35" borderId="0" applyNumberFormat="0" applyBorder="0" applyAlignment="0" applyProtection="0"/>
    <xf numFmtId="0" fontId="201" fillId="42" borderId="0" applyNumberFormat="0" applyBorder="0" applyAlignment="0" applyProtection="0"/>
    <xf numFmtId="0" fontId="23" fillId="118" borderId="0" applyNumberFormat="0" applyBorder="0" applyAlignment="0" applyProtection="0"/>
    <xf numFmtId="0" fontId="23" fillId="119" borderId="0" applyNumberFormat="0" applyBorder="0" applyAlignment="0" applyProtection="0"/>
    <xf numFmtId="0" fontId="201" fillId="36" borderId="0" applyNumberFormat="0" applyBorder="0" applyAlignment="0" applyProtection="0"/>
    <xf numFmtId="0" fontId="201" fillId="43" borderId="0" applyNumberFormat="0" applyBorder="0" applyAlignment="0" applyProtection="0"/>
    <xf numFmtId="0" fontId="23" fillId="120" borderId="0" applyNumberFormat="0" applyBorder="0" applyAlignment="0" applyProtection="0"/>
    <xf numFmtId="0" fontId="23" fillId="121" borderId="0" applyNumberFormat="0" applyBorder="0" applyAlignment="0" applyProtection="0"/>
    <xf numFmtId="0" fontId="201" fillId="37" borderId="0" applyNumberFormat="0" applyBorder="0" applyAlignment="0" applyProtection="0"/>
    <xf numFmtId="0" fontId="201" fillId="44" borderId="0" applyNumberFormat="0" applyBorder="0" applyAlignment="0" applyProtection="0"/>
    <xf numFmtId="0" fontId="23" fillId="122" borderId="0" applyNumberFormat="0" applyBorder="0" applyAlignment="0" applyProtection="0"/>
    <xf numFmtId="0" fontId="23" fillId="123" borderId="0" applyNumberFormat="0" applyBorder="0" applyAlignment="0" applyProtection="0"/>
    <xf numFmtId="0" fontId="201" fillId="38" borderId="0" applyNumberFormat="0" applyBorder="0" applyAlignment="0" applyProtection="0"/>
    <xf numFmtId="0" fontId="202" fillId="0" borderId="0"/>
    <xf numFmtId="0" fontId="203" fillId="0" borderId="0" applyNumberFormat="0" applyFill="0" applyBorder="0" applyAlignment="0" applyProtection="0"/>
    <xf numFmtId="0" fontId="31" fillId="0" borderId="0"/>
    <xf numFmtId="0" fontId="202" fillId="0" borderId="53" applyNumberFormat="0" applyFont="0" applyProtection="0">
      <alignment wrapText="1"/>
    </xf>
    <xf numFmtId="0" fontId="202" fillId="0" borderId="0" applyNumberFormat="0" applyFill="0" applyBorder="0" applyAlignment="0" applyProtection="0"/>
    <xf numFmtId="0" fontId="202" fillId="0" borderId="54" applyNumberFormat="0" applyProtection="0">
      <alignment wrapText="1"/>
    </xf>
    <xf numFmtId="0" fontId="204" fillId="0" borderId="55" applyNumberFormat="0" applyProtection="0">
      <alignment wrapText="1"/>
    </xf>
    <xf numFmtId="0" fontId="204" fillId="0" borderId="56" applyNumberFormat="0" applyProtection="0">
      <alignment wrapText="1"/>
    </xf>
    <xf numFmtId="0" fontId="205" fillId="0" borderId="0" applyNumberFormat="0" applyProtection="0">
      <alignment horizontal="left"/>
    </xf>
    <xf numFmtId="0" fontId="54" fillId="0" borderId="0"/>
    <xf numFmtId="182" fontId="54" fillId="0" borderId="0">
      <alignment horizontal="right"/>
    </xf>
    <xf numFmtId="43" fontId="54" fillId="0" borderId="0" applyFont="0" applyFill="0" applyBorder="0" applyAlignment="0" applyProtection="0"/>
    <xf numFmtId="0" fontId="23" fillId="0" borderId="0"/>
    <xf numFmtId="0" fontId="54" fillId="0" borderId="0">
      <alignment horizontal="left"/>
    </xf>
    <xf numFmtId="181" fontId="54" fillId="0" borderId="0">
      <alignment horizontal="right"/>
    </xf>
    <xf numFmtId="184" fontId="54" fillId="0" borderId="0">
      <alignment horizontal="right"/>
    </xf>
    <xf numFmtId="0" fontId="54" fillId="0" borderId="0">
      <alignment horizontal="left"/>
    </xf>
    <xf numFmtId="0" fontId="54" fillId="0" borderId="0">
      <alignment horizontal="left"/>
    </xf>
    <xf numFmtId="0" fontId="31" fillId="0" borderId="0"/>
    <xf numFmtId="0" fontId="31" fillId="0" borderId="0"/>
    <xf numFmtId="0" fontId="54" fillId="0" borderId="0">
      <alignment horizontal="left"/>
    </xf>
    <xf numFmtId="0" fontId="54" fillId="0" borderId="0">
      <alignment horizontal="left"/>
    </xf>
    <xf numFmtId="0" fontId="54" fillId="0" borderId="0">
      <alignment horizontal="left"/>
    </xf>
    <xf numFmtId="0" fontId="54" fillId="0" borderId="0">
      <alignment horizontal="left"/>
    </xf>
    <xf numFmtId="183" fontId="54" fillId="0" borderId="0">
      <alignment horizontal="right"/>
    </xf>
    <xf numFmtId="182" fontId="54" fillId="0" borderId="0">
      <alignment horizontal="right"/>
    </xf>
    <xf numFmtId="0" fontId="201" fillId="39" borderId="0" applyNumberFormat="0" applyBorder="0" applyAlignment="0" applyProtection="0"/>
    <xf numFmtId="0" fontId="201" fillId="40" borderId="0" applyNumberFormat="0" applyBorder="0" applyAlignment="0" applyProtection="0"/>
    <xf numFmtId="0" fontId="201" fillId="41" borderId="0" applyNumberFormat="0" applyBorder="0" applyAlignment="0" applyProtection="0"/>
    <xf numFmtId="0" fontId="201" fillId="42" borderId="0" applyNumberFormat="0" applyBorder="0" applyAlignment="0" applyProtection="0"/>
    <xf numFmtId="0" fontId="201" fillId="43" borderId="0" applyNumberFormat="0" applyBorder="0" applyAlignment="0" applyProtection="0"/>
    <xf numFmtId="0" fontId="201" fillId="44" borderId="0" applyNumberFormat="0" applyBorder="0" applyAlignment="0" applyProtection="0"/>
    <xf numFmtId="0" fontId="31" fillId="0" borderId="0"/>
    <xf numFmtId="0" fontId="23" fillId="0" borderId="0"/>
    <xf numFmtId="0" fontId="23" fillId="0" borderId="0"/>
    <xf numFmtId="43" fontId="23" fillId="0" borderId="0" applyFont="0" applyFill="0" applyBorder="0" applyAlignment="0" applyProtection="0"/>
    <xf numFmtId="0" fontId="23" fillId="0" borderId="0"/>
    <xf numFmtId="0" fontId="22" fillId="0" borderId="0"/>
    <xf numFmtId="9" fontId="22" fillId="0" borderId="0" applyFont="0" applyFill="0" applyBorder="0" applyAlignment="0" applyProtection="0"/>
    <xf numFmtId="0" fontId="22" fillId="0" borderId="0"/>
    <xf numFmtId="0" fontId="22" fillId="0" borderId="0"/>
    <xf numFmtId="0" fontId="22" fillId="0" borderId="0"/>
    <xf numFmtId="43" fontId="22" fillId="0" borderId="0" applyFont="0" applyFill="0" applyBorder="0" applyAlignment="0" applyProtection="0"/>
    <xf numFmtId="0" fontId="22" fillId="0" borderId="0"/>
    <xf numFmtId="9" fontId="31" fillId="0" borderId="0" applyFont="0" applyFill="0" applyBorder="0" applyAlignment="0" applyProtection="0"/>
    <xf numFmtId="0" fontId="18" fillId="0" borderId="0" applyNumberFormat="0" applyBorder="0" applyProtection="0">
      <alignment vertical="center"/>
    </xf>
    <xf numFmtId="0" fontId="17" fillId="0" borderId="0" applyNumberFormat="0" applyBorder="0" applyProtection="0">
      <alignment vertical="center"/>
    </xf>
    <xf numFmtId="0" fontId="225" fillId="0" borderId="0"/>
    <xf numFmtId="0" fontId="16" fillId="0" borderId="0" applyNumberFormat="0" applyBorder="0" applyProtection="0">
      <alignment vertical="center"/>
    </xf>
    <xf numFmtId="0" fontId="16" fillId="0" borderId="0"/>
    <xf numFmtId="0" fontId="15" fillId="0" borderId="0" applyNumberFormat="0" applyBorder="0" applyProtection="0">
      <alignment vertical="center"/>
    </xf>
    <xf numFmtId="44" fontId="14" fillId="0" borderId="0" applyFont="0" applyFill="0" applyBorder="0" applyAlignment="0" applyProtection="0"/>
    <xf numFmtId="0" fontId="13" fillId="0" borderId="0" applyNumberFormat="0" applyBorder="0" applyProtection="0">
      <alignment vertical="center"/>
    </xf>
    <xf numFmtId="0" fontId="12" fillId="0" borderId="0" applyNumberFormat="0" applyBorder="0" applyProtection="0">
      <alignment vertical="center"/>
    </xf>
    <xf numFmtId="0" fontId="11" fillId="0" borderId="0"/>
    <xf numFmtId="0" fontId="9" fillId="0" borderId="0" applyNumberFormat="0" applyBorder="0" applyProtection="0">
      <alignment vertical="center"/>
    </xf>
    <xf numFmtId="0" fontId="8" fillId="0" borderId="0" applyNumberFormat="0" applyBorder="0" applyProtection="0">
      <alignment vertical="center"/>
    </xf>
    <xf numFmtId="0" fontId="7" fillId="0" borderId="0" applyNumberFormat="0" applyBorder="0" applyProtection="0">
      <alignment vertical="center"/>
    </xf>
    <xf numFmtId="0" fontId="6" fillId="0" borderId="0" applyNumberFormat="0" applyBorder="0" applyProtection="0">
      <alignment vertical="center"/>
    </xf>
    <xf numFmtId="0" fontId="237" fillId="0" borderId="0"/>
    <xf numFmtId="0" fontId="237" fillId="0" borderId="0"/>
    <xf numFmtId="0" fontId="237" fillId="0" borderId="0"/>
    <xf numFmtId="0" fontId="5" fillId="0" borderId="0" applyNumberFormat="0" applyBorder="0" applyProtection="0">
      <alignment vertical="center"/>
    </xf>
    <xf numFmtId="0" fontId="4" fillId="0" borderId="0" applyNumberFormat="0" applyBorder="0" applyProtection="0">
      <alignment vertical="center"/>
    </xf>
    <xf numFmtId="0" fontId="3" fillId="0" borderId="0" applyNumberFormat="0" applyBorder="0" applyProtection="0">
      <alignment vertical="center"/>
    </xf>
    <xf numFmtId="0" fontId="2" fillId="0" borderId="0" applyNumberFormat="0" applyBorder="0" applyProtection="0">
      <alignment vertical="center"/>
    </xf>
    <xf numFmtId="0" fontId="1" fillId="0" borderId="0" applyNumberFormat="0" applyBorder="0" applyProtection="0">
      <alignment vertical="center"/>
    </xf>
  </cellStyleXfs>
  <cellXfs count="1937">
    <xf numFmtId="0" fontId="0" fillId="0" borderId="0" xfId="0"/>
    <xf numFmtId="0" fontId="66" fillId="26" borderId="0" xfId="131" applyFont="1" applyFill="1"/>
    <xf numFmtId="0" fontId="67" fillId="26" borderId="0" xfId="131" applyFont="1" applyFill="1"/>
    <xf numFmtId="0" fontId="68" fillId="27" borderId="0" xfId="131" applyFont="1" applyFill="1"/>
    <xf numFmtId="0" fontId="68" fillId="27" borderId="0" xfId="131" applyFont="1" applyFill="1" applyAlignment="1">
      <alignment horizontal="right"/>
    </xf>
    <xf numFmtId="0" fontId="69" fillId="27" borderId="0" xfId="131" applyFont="1" applyFill="1"/>
    <xf numFmtId="0" fontId="57" fillId="0" borderId="0" xfId="131"/>
    <xf numFmtId="0" fontId="57" fillId="0" borderId="0" xfId="131" applyAlignment="1">
      <alignment horizontal="right"/>
    </xf>
    <xf numFmtId="0" fontId="71" fillId="0" borderId="0" xfId="131" applyFont="1"/>
    <xf numFmtId="0" fontId="57" fillId="0" borderId="0" xfId="131" applyFill="1"/>
    <xf numFmtId="0" fontId="57" fillId="0" borderId="0" xfId="131" applyFont="1" applyFill="1"/>
    <xf numFmtId="164" fontId="72" fillId="0" borderId="0" xfId="131" applyNumberFormat="1" applyFont="1" applyFill="1" applyAlignment="1">
      <alignment horizontal="right"/>
    </xf>
    <xf numFmtId="0" fontId="71" fillId="0" borderId="0" xfId="131" applyFont="1" applyFill="1"/>
    <xf numFmtId="164" fontId="73" fillId="0" borderId="0" xfId="132" applyNumberFormat="1" applyFont="1" applyFill="1" applyBorder="1" applyAlignment="1">
      <alignment horizontal="right"/>
    </xf>
    <xf numFmtId="0" fontId="70" fillId="0" borderId="0" xfId="131" applyFont="1" applyAlignment="1">
      <alignment horizontal="left"/>
    </xf>
    <xf numFmtId="0" fontId="57" fillId="0" borderId="0" xfId="131" applyAlignment="1">
      <alignment horizontal="left"/>
    </xf>
    <xf numFmtId="0" fontId="57" fillId="26" borderId="0" xfId="131" applyFill="1"/>
    <xf numFmtId="0" fontId="71" fillId="26" borderId="0" xfId="131" applyFont="1" applyFill="1"/>
    <xf numFmtId="0" fontId="69" fillId="0" borderId="0" xfId="131" applyFont="1" applyFill="1"/>
    <xf numFmtId="0" fontId="57" fillId="0" borderId="0" xfId="131" applyBorder="1"/>
    <xf numFmtId="0" fontId="77" fillId="0" borderId="0" xfId="131" applyFont="1" applyBorder="1"/>
    <xf numFmtId="0" fontId="57" fillId="0" borderId="11" xfId="131" applyBorder="1"/>
    <xf numFmtId="0" fontId="69" fillId="0" borderId="12" xfId="131" applyFont="1" applyBorder="1"/>
    <xf numFmtId="3" fontId="57" fillId="0" borderId="0" xfId="131" applyNumberFormat="1" applyFont="1" applyAlignment="1">
      <alignment horizontal="right"/>
    </xf>
    <xf numFmtId="167" fontId="72" fillId="0" borderId="0" xfId="131" applyNumberFormat="1" applyFont="1"/>
    <xf numFmtId="3" fontId="57" fillId="0" borderId="12" xfId="131" applyNumberFormat="1" applyFont="1" applyBorder="1" applyAlignment="1">
      <alignment horizontal="right"/>
    </xf>
    <xf numFmtId="166" fontId="76" fillId="0" borderId="12" xfId="131" applyNumberFormat="1" applyFont="1" applyBorder="1"/>
    <xf numFmtId="166" fontId="73" fillId="0" borderId="0" xfId="131" applyNumberFormat="1" applyFont="1"/>
    <xf numFmtId="0" fontId="69" fillId="0" borderId="12" xfId="131" applyFont="1" applyFill="1" applyBorder="1"/>
    <xf numFmtId="166" fontId="76" fillId="0" borderId="12" xfId="131" applyNumberFormat="1" applyFont="1" applyFill="1" applyBorder="1"/>
    <xf numFmtId="166" fontId="76" fillId="0" borderId="0" xfId="131" applyNumberFormat="1" applyFont="1" applyFill="1"/>
    <xf numFmtId="166" fontId="79" fillId="0" borderId="0" xfId="131" applyNumberFormat="1" applyFont="1" applyFill="1"/>
    <xf numFmtId="0" fontId="69" fillId="28" borderId="13" xfId="131" applyFont="1" applyFill="1" applyBorder="1"/>
    <xf numFmtId="9" fontId="76" fillId="28" borderId="13" xfId="144" applyFont="1" applyFill="1" applyBorder="1"/>
    <xf numFmtId="9" fontId="76" fillId="28" borderId="13" xfId="144" applyFont="1" applyFill="1" applyBorder="1" applyAlignment="1">
      <alignment horizontal="right"/>
    </xf>
    <xf numFmtId="0" fontId="57" fillId="0" borderId="0" xfId="131" applyFont="1"/>
    <xf numFmtId="164" fontId="57" fillId="0" borderId="0" xfId="131" applyNumberFormat="1"/>
    <xf numFmtId="0" fontId="57" fillId="29" borderId="0" xfId="131" applyNumberFormat="1" applyFill="1" applyAlignment="1">
      <alignment horizontal="right"/>
    </xf>
    <xf numFmtId="0" fontId="69" fillId="0" borderId="0" xfId="131" applyFont="1" applyBorder="1" applyAlignment="1">
      <alignment horizontal="right"/>
    </xf>
    <xf numFmtId="0" fontId="79" fillId="0" borderId="0" xfId="131" applyFont="1" applyBorder="1" applyAlignment="1">
      <alignment horizontal="right"/>
    </xf>
    <xf numFmtId="0" fontId="79" fillId="0" borderId="12" xfId="131" applyFont="1" applyBorder="1"/>
    <xf numFmtId="0" fontId="69" fillId="0" borderId="0" xfId="131" applyFont="1" applyBorder="1"/>
    <xf numFmtId="0" fontId="57" fillId="30" borderId="0" xfId="131" applyFill="1"/>
    <xf numFmtId="0" fontId="80" fillId="30" borderId="0" xfId="131" applyFont="1" applyFill="1"/>
    <xf numFmtId="166" fontId="80" fillId="30" borderId="0" xfId="131" applyNumberFormat="1" applyFont="1" applyFill="1"/>
    <xf numFmtId="166" fontId="72" fillId="30" borderId="0" xfId="131" applyNumberFormat="1" applyFont="1" applyFill="1"/>
    <xf numFmtId="0" fontId="71" fillId="30" borderId="0" xfId="131" applyFont="1" applyFill="1"/>
    <xf numFmtId="166" fontId="73" fillId="30" borderId="0" xfId="131" applyNumberFormat="1" applyFont="1" applyFill="1"/>
    <xf numFmtId="0" fontId="81" fillId="30" borderId="0" xfId="131" applyFont="1" applyFill="1"/>
    <xf numFmtId="166" fontId="81" fillId="30" borderId="0" xfId="131" applyNumberFormat="1" applyFont="1" applyFill="1"/>
    <xf numFmtId="0" fontId="69" fillId="30" borderId="12" xfId="131" applyFont="1" applyFill="1" applyBorder="1"/>
    <xf numFmtId="166" fontId="76" fillId="30" borderId="12" xfId="131" applyNumberFormat="1" applyFont="1" applyFill="1" applyBorder="1"/>
    <xf numFmtId="172" fontId="57" fillId="30" borderId="0" xfId="131" applyNumberFormat="1" applyFill="1"/>
    <xf numFmtId="0" fontId="57" fillId="30" borderId="0" xfId="131" applyFont="1" applyFill="1"/>
    <xf numFmtId="166" fontId="83" fillId="30" borderId="0" xfId="131" applyNumberFormat="1" applyFont="1" applyFill="1"/>
    <xf numFmtId="166" fontId="79" fillId="30" borderId="0" xfId="131" applyNumberFormat="1" applyFont="1" applyFill="1"/>
    <xf numFmtId="0" fontId="69" fillId="30" borderId="0" xfId="131" applyFont="1" applyFill="1"/>
    <xf numFmtId="166" fontId="76" fillId="30" borderId="0" xfId="131" applyNumberFormat="1" applyFont="1" applyFill="1"/>
    <xf numFmtId="172" fontId="76" fillId="30" borderId="0" xfId="131" applyNumberFormat="1" applyFont="1" applyFill="1"/>
    <xf numFmtId="172" fontId="76" fillId="30" borderId="12" xfId="131" applyNumberFormat="1" applyFont="1" applyFill="1" applyBorder="1"/>
    <xf numFmtId="0" fontId="57" fillId="30" borderId="12" xfId="131" applyFill="1" applyBorder="1"/>
    <xf numFmtId="0" fontId="74" fillId="0" borderId="0" xfId="131" applyFont="1" applyFill="1" applyAlignment="1">
      <alignment horizontal="left"/>
    </xf>
    <xf numFmtId="0" fontId="74" fillId="30" borderId="0" xfId="131" applyFont="1" applyFill="1" applyAlignment="1">
      <alignment horizontal="left"/>
    </xf>
    <xf numFmtId="164" fontId="70" fillId="30" borderId="14" xfId="131" applyNumberFormat="1" applyFont="1" applyFill="1" applyBorder="1" applyAlignment="1">
      <alignment horizontal="right"/>
    </xf>
    <xf numFmtId="164" fontId="70" fillId="0" borderId="14" xfId="131" applyNumberFormat="1" applyFont="1" applyBorder="1" applyAlignment="1">
      <alignment horizontal="right"/>
    </xf>
    <xf numFmtId="0" fontId="84" fillId="0" borderId="0" xfId="131" applyFont="1"/>
    <xf numFmtId="0" fontId="84" fillId="0" borderId="0" xfId="131" applyFont="1" applyBorder="1"/>
    <xf numFmtId="0" fontId="84" fillId="0" borderId="0" xfId="131" applyFont="1" applyAlignment="1">
      <alignment horizontal="left"/>
    </xf>
    <xf numFmtId="164" fontId="57" fillId="0" borderId="0" xfId="131" applyNumberFormat="1" applyFill="1" applyAlignment="1">
      <alignment horizontal="right"/>
    </xf>
    <xf numFmtId="164" fontId="85" fillId="0" borderId="0" xfId="131" applyNumberFormat="1" applyFont="1" applyFill="1" applyAlignment="1">
      <alignment horizontal="right"/>
    </xf>
    <xf numFmtId="0" fontId="69" fillId="0" borderId="0" xfId="0" applyFont="1"/>
    <xf numFmtId="0" fontId="71" fillId="30" borderId="0" xfId="131" applyFont="1" applyFill="1" applyAlignment="1">
      <alignment horizontal="right"/>
    </xf>
    <xf numFmtId="164" fontId="76" fillId="30" borderId="0" xfId="144" applyNumberFormat="1" applyFont="1" applyFill="1" applyAlignment="1">
      <alignment horizontal="right"/>
    </xf>
    <xf numFmtId="0" fontId="71" fillId="30" borderId="0" xfId="131" applyFont="1" applyFill="1" applyBorder="1" applyAlignment="1">
      <alignment horizontal="right"/>
    </xf>
    <xf numFmtId="164" fontId="76" fillId="30" borderId="11" xfId="144" applyNumberFormat="1" applyFont="1" applyFill="1" applyBorder="1"/>
    <xf numFmtId="0" fontId="69" fillId="30" borderId="11" xfId="131" applyFont="1" applyFill="1" applyBorder="1"/>
    <xf numFmtId="0" fontId="69" fillId="30" borderId="0" xfId="131" applyFont="1" applyFill="1" applyBorder="1"/>
    <xf numFmtId="0" fontId="69" fillId="30" borderId="0" xfId="131" applyFont="1" applyFill="1" applyAlignment="1">
      <alignment horizontal="right" wrapText="1"/>
    </xf>
    <xf numFmtId="0" fontId="57" fillId="30" borderId="0" xfId="131" applyFill="1" applyBorder="1"/>
    <xf numFmtId="0" fontId="74" fillId="30" borderId="12" xfId="131" applyFont="1" applyFill="1" applyBorder="1" applyAlignment="1">
      <alignment horizontal="right" wrapText="1"/>
    </xf>
    <xf numFmtId="0" fontId="74" fillId="30" borderId="12" xfId="131" applyFont="1" applyFill="1" applyBorder="1" applyAlignment="1">
      <alignment horizontal="right"/>
    </xf>
    <xf numFmtId="0" fontId="71" fillId="30" borderId="0" xfId="131" applyFont="1" applyFill="1" applyBorder="1" applyAlignment="1">
      <alignment horizontal="right" wrapText="1"/>
    </xf>
    <xf numFmtId="0" fontId="57" fillId="30" borderId="0" xfId="131" applyFont="1" applyFill="1" applyBorder="1" applyAlignment="1">
      <alignment horizontal="right"/>
    </xf>
    <xf numFmtId="167" fontId="72" fillId="30" borderId="0" xfId="131" applyNumberFormat="1" applyFont="1" applyFill="1" applyAlignment="1">
      <alignment horizontal="right"/>
    </xf>
    <xf numFmtId="167" fontId="72" fillId="30" borderId="12" xfId="131" applyNumberFormat="1" applyFont="1" applyFill="1" applyBorder="1" applyAlignment="1">
      <alignment horizontal="right"/>
    </xf>
    <xf numFmtId="0" fontId="69" fillId="30" borderId="0" xfId="131" applyFont="1" applyFill="1" applyBorder="1" applyAlignment="1">
      <alignment horizontal="right"/>
    </xf>
    <xf numFmtId="167" fontId="76" fillId="30" borderId="0" xfId="131" applyNumberFormat="1" applyFont="1" applyFill="1" applyAlignment="1">
      <alignment horizontal="right"/>
    </xf>
    <xf numFmtId="166" fontId="76" fillId="30" borderId="11" xfId="131" applyNumberFormat="1" applyFont="1" applyFill="1" applyBorder="1"/>
    <xf numFmtId="167" fontId="75" fillId="30" borderId="11" xfId="131" applyNumberFormat="1" applyFont="1" applyFill="1" applyBorder="1"/>
    <xf numFmtId="164" fontId="82" fillId="30" borderId="0" xfId="144" applyNumberFormat="1" applyFont="1" applyFill="1" applyBorder="1"/>
    <xf numFmtId="0" fontId="57" fillId="32" borderId="0" xfId="131" applyFill="1"/>
    <xf numFmtId="0" fontId="69" fillId="32" borderId="0" xfId="131" applyFont="1" applyFill="1"/>
    <xf numFmtId="0" fontId="71" fillId="32" borderId="0" xfId="131" applyFont="1" applyFill="1"/>
    <xf numFmtId="0" fontId="84" fillId="32" borderId="0" xfId="131" applyFont="1" applyFill="1" applyAlignment="1">
      <alignment horizontal="left"/>
    </xf>
    <xf numFmtId="0" fontId="74" fillId="0" borderId="12" xfId="0" applyFont="1" applyBorder="1" applyAlignment="1">
      <alignment horizontal="center"/>
    </xf>
    <xf numFmtId="166" fontId="108" fillId="32" borderId="0" xfId="131" applyNumberFormat="1" applyFont="1" applyFill="1" applyAlignment="1">
      <alignment horizontal="right"/>
    </xf>
    <xf numFmtId="3" fontId="86" fillId="0" borderId="0" xfId="131" applyNumberFormat="1" applyFont="1" applyFill="1" applyAlignment="1">
      <alignment horizontal="right"/>
    </xf>
    <xf numFmtId="166" fontId="87" fillId="0" borderId="0" xfId="131" applyNumberFormat="1" applyFont="1" applyFill="1" applyAlignment="1">
      <alignment horizontal="right"/>
    </xf>
    <xf numFmtId="0" fontId="30" fillId="0" borderId="0" xfId="0" applyFont="1"/>
    <xf numFmtId="0" fontId="30" fillId="0" borderId="0" xfId="0" applyFont="1" applyAlignment="1">
      <alignment horizontal="right"/>
    </xf>
    <xf numFmtId="0" fontId="69" fillId="0" borderId="0" xfId="0" applyFont="1" applyAlignment="1">
      <alignment horizontal="right"/>
    </xf>
    <xf numFmtId="0" fontId="30" fillId="0" borderId="0" xfId="0" applyFont="1" applyBorder="1" applyAlignment="1">
      <alignment horizontal="center"/>
    </xf>
    <xf numFmtId="0" fontId="69" fillId="0" borderId="0" xfId="0" applyFont="1" applyBorder="1" applyAlignment="1">
      <alignment horizontal="center"/>
    </xf>
    <xf numFmtId="164" fontId="110" fillId="0" borderId="0" xfId="131" applyNumberFormat="1" applyFont="1" applyFill="1" applyAlignment="1">
      <alignment horizontal="right"/>
    </xf>
    <xf numFmtId="0" fontId="29" fillId="0" borderId="0" xfId="37885" applyFont="1"/>
    <xf numFmtId="0" fontId="143" fillId="0" borderId="12" xfId="37885" applyFont="1" applyBorder="1" applyAlignment="1">
      <alignment horizontal="centerContinuous"/>
    </xf>
    <xf numFmtId="0" fontId="144" fillId="0" borderId="0" xfId="37885" applyFont="1"/>
    <xf numFmtId="0" fontId="144" fillId="0" borderId="0" xfId="37885" applyFont="1" applyBorder="1"/>
    <xf numFmtId="0" fontId="143" fillId="0" borderId="0" xfId="37885" applyFont="1" applyBorder="1"/>
    <xf numFmtId="0" fontId="145" fillId="0" borderId="0" xfId="37885" applyFont="1"/>
    <xf numFmtId="0" fontId="142" fillId="0" borderId="11" xfId="37885" applyFont="1" applyBorder="1" applyAlignment="1">
      <alignment horizontal="centerContinuous"/>
    </xf>
    <xf numFmtId="0" fontId="142" fillId="0" borderId="0" xfId="37885" applyFont="1" applyBorder="1" applyAlignment="1">
      <alignment horizontal="centerContinuous"/>
    </xf>
    <xf numFmtId="0" fontId="143" fillId="0" borderId="0" xfId="37885" applyFont="1" applyFill="1" applyBorder="1" applyAlignment="1">
      <alignment horizontal="left"/>
    </xf>
    <xf numFmtId="0" fontId="146" fillId="0" borderId="11" xfId="37885" applyFont="1" applyBorder="1" applyAlignment="1">
      <alignment horizontal="right"/>
    </xf>
    <xf numFmtId="0" fontId="144" fillId="0" borderId="0" xfId="37885" applyFont="1" applyAlignment="1">
      <alignment horizontal="right"/>
    </xf>
    <xf numFmtId="0" fontId="57" fillId="101" borderId="0" xfId="131" applyFill="1"/>
    <xf numFmtId="0" fontId="30" fillId="101" borderId="0" xfId="131" applyFont="1" applyFill="1"/>
    <xf numFmtId="0" fontId="30" fillId="0" borderId="0" xfId="131" applyFont="1"/>
    <xf numFmtId="168" fontId="30" fillId="101" borderId="0" xfId="131" applyNumberFormat="1" applyFont="1" applyFill="1"/>
    <xf numFmtId="0" fontId="0" fillId="0" borderId="0" xfId="0" applyFont="1"/>
    <xf numFmtId="0" fontId="144" fillId="0" borderId="0" xfId="37885" applyFont="1" applyBorder="1" applyAlignment="1">
      <alignment horizontal="right"/>
    </xf>
    <xf numFmtId="0" fontId="31" fillId="0" borderId="0" xfId="0" applyFont="1"/>
    <xf numFmtId="0" fontId="144" fillId="0" borderId="11" xfId="37885" applyFont="1" applyBorder="1" applyAlignment="1">
      <alignment horizontal="centerContinuous"/>
    </xf>
    <xf numFmtId="0" fontId="144" fillId="0" borderId="0" xfId="37885" applyFont="1" applyBorder="1" applyAlignment="1">
      <alignment horizontal="centerContinuous"/>
    </xf>
    <xf numFmtId="0" fontId="144" fillId="0" borderId="12" xfId="37885" applyFont="1" applyBorder="1"/>
    <xf numFmtId="0" fontId="147" fillId="0" borderId="0" xfId="0" applyFont="1"/>
    <xf numFmtId="0" fontId="148" fillId="0" borderId="0" xfId="37885" applyFont="1"/>
    <xf numFmtId="0" fontId="145" fillId="0" borderId="0" xfId="37885" applyFont="1" applyAlignment="1">
      <alignment horizontal="left" indent="1"/>
    </xf>
    <xf numFmtId="0" fontId="145" fillId="0" borderId="0" xfId="37885" applyFont="1" applyBorder="1" applyAlignment="1">
      <alignment horizontal="left" indent="1"/>
    </xf>
    <xf numFmtId="0" fontId="145" fillId="0" borderId="0" xfId="37885" applyFont="1" applyBorder="1"/>
    <xf numFmtId="0" fontId="148" fillId="0" borderId="0" xfId="37885" applyFont="1" applyBorder="1"/>
    <xf numFmtId="0" fontId="145" fillId="0" borderId="12" xfId="37885" applyFont="1" applyBorder="1"/>
    <xf numFmtId="0" fontId="149" fillId="0" borderId="11" xfId="37885" applyFont="1" applyBorder="1" applyAlignment="1">
      <alignment horizontal="centerContinuous"/>
    </xf>
    <xf numFmtId="0" fontId="149" fillId="0" borderId="0" xfId="37885" applyFont="1" applyBorder="1" applyAlignment="1">
      <alignment horizontal="centerContinuous"/>
    </xf>
    <xf numFmtId="0" fontId="145" fillId="0" borderId="0" xfId="37885" applyFont="1" applyFill="1" applyBorder="1" applyAlignment="1">
      <alignment horizontal="left" indent="1"/>
    </xf>
    <xf numFmtId="0" fontId="148" fillId="0" borderId="0" xfId="37885" applyFont="1" applyFill="1" applyBorder="1" applyAlignment="1">
      <alignment horizontal="left"/>
    </xf>
    <xf numFmtId="0" fontId="145" fillId="0" borderId="0" xfId="37885" applyFont="1" applyFill="1" applyBorder="1"/>
    <xf numFmtId="0" fontId="30" fillId="0" borderId="0" xfId="0" applyFont="1" applyAlignment="1">
      <alignment horizontal="center"/>
    </xf>
    <xf numFmtId="0" fontId="30" fillId="104" borderId="0" xfId="0" applyFont="1" applyFill="1"/>
    <xf numFmtId="0" fontId="30" fillId="0" borderId="0" xfId="0" applyFont="1" applyBorder="1"/>
    <xf numFmtId="0" fontId="30" fillId="0" borderId="0" xfId="0" applyFont="1" applyBorder="1" applyAlignment="1">
      <alignment horizontal="right"/>
    </xf>
    <xf numFmtId="0" fontId="74" fillId="0" borderId="12" xfId="0" applyFont="1" applyBorder="1"/>
    <xf numFmtId="0" fontId="74" fillId="0" borderId="12" xfId="0" applyFont="1" applyBorder="1" applyAlignment="1">
      <alignment horizontal="right"/>
    </xf>
    <xf numFmtId="0" fontId="74" fillId="0" borderId="0" xfId="0" applyFont="1" applyBorder="1"/>
    <xf numFmtId="0" fontId="143" fillId="0" borderId="0" xfId="37885" applyFont="1" applyBorder="1" applyAlignment="1">
      <alignment horizontal="centerContinuous"/>
    </xf>
    <xf numFmtId="168" fontId="30" fillId="0" borderId="0" xfId="0" applyNumberFormat="1" applyFont="1"/>
    <xf numFmtId="164" fontId="30" fillId="0" borderId="0" xfId="144" applyNumberFormat="1" applyFont="1"/>
    <xf numFmtId="0" fontId="30" fillId="104" borderId="0" xfId="0" applyFont="1" applyFill="1" applyAlignment="1">
      <alignment horizontal="right"/>
    </xf>
    <xf numFmtId="164" fontId="30" fillId="104" borderId="0" xfId="144" applyNumberFormat="1" applyFont="1" applyFill="1"/>
    <xf numFmtId="164" fontId="30" fillId="0" borderId="0" xfId="144" applyNumberFormat="1" applyFont="1" applyBorder="1" applyAlignment="1">
      <alignment horizontal="right"/>
    </xf>
    <xf numFmtId="164" fontId="74" fillId="0" borderId="12" xfId="144" applyNumberFormat="1" applyFont="1" applyBorder="1" applyAlignment="1">
      <alignment horizontal="right"/>
    </xf>
    <xf numFmtId="164" fontId="30" fillId="0" borderId="0" xfId="144" applyNumberFormat="1" applyFont="1" applyAlignment="1">
      <alignment horizontal="right"/>
    </xf>
    <xf numFmtId="168" fontId="85" fillId="0" borderId="0" xfId="0" applyNumberFormat="1" applyFont="1"/>
    <xf numFmtId="164" fontId="30" fillId="103" borderId="0" xfId="144" applyNumberFormat="1" applyFont="1" applyFill="1"/>
    <xf numFmtId="0" fontId="30" fillId="103" borderId="0" xfId="0" applyFont="1" applyFill="1" applyAlignment="1">
      <alignment horizontal="left"/>
    </xf>
    <xf numFmtId="168" fontId="30" fillId="103" borderId="0" xfId="0" applyNumberFormat="1" applyFont="1" applyFill="1"/>
    <xf numFmtId="0" fontId="30" fillId="103" borderId="0" xfId="0" applyFont="1" applyFill="1" applyAlignment="1">
      <alignment horizontal="right"/>
    </xf>
    <xf numFmtId="0" fontId="30" fillId="103" borderId="0" xfId="0" applyFont="1" applyFill="1"/>
    <xf numFmtId="9" fontId="30" fillId="103" borderId="0" xfId="144" applyNumberFormat="1" applyFont="1" applyFill="1"/>
    <xf numFmtId="164" fontId="110" fillId="103" borderId="0" xfId="144" applyNumberFormat="1" applyFont="1" applyFill="1" applyAlignment="1">
      <alignment horizontal="right"/>
    </xf>
    <xf numFmtId="164" fontId="110" fillId="103" borderId="0" xfId="0" applyNumberFormat="1" applyFont="1" applyFill="1"/>
    <xf numFmtId="168" fontId="110" fillId="103" borderId="0" xfId="0" applyNumberFormat="1" applyFont="1" applyFill="1"/>
    <xf numFmtId="168" fontId="85" fillId="103" borderId="0" xfId="0" applyNumberFormat="1" applyFont="1" applyFill="1"/>
    <xf numFmtId="9" fontId="85" fillId="103" borderId="0" xfId="144" applyNumberFormat="1" applyFont="1" applyFill="1"/>
    <xf numFmtId="168" fontId="85" fillId="0" borderId="0" xfId="0" applyNumberFormat="1" applyFont="1" applyFill="1"/>
    <xf numFmtId="168" fontId="85" fillId="0" borderId="0" xfId="0" applyNumberFormat="1" applyFont="1" applyFill="1" applyAlignment="1">
      <alignment horizontal="right"/>
    </xf>
    <xf numFmtId="0" fontId="74" fillId="0" borderId="0" xfId="0" applyFont="1" applyBorder="1" applyAlignment="1">
      <alignment horizontal="center"/>
    </xf>
    <xf numFmtId="168" fontId="141" fillId="0" borderId="0" xfId="0" applyNumberFormat="1" applyFont="1"/>
    <xf numFmtId="164" fontId="69" fillId="0" borderId="0" xfId="144" applyNumberFormat="1" applyFont="1"/>
    <xf numFmtId="164" fontId="69" fillId="0" borderId="0" xfId="144" applyNumberFormat="1" applyFont="1" applyAlignment="1">
      <alignment horizontal="right"/>
    </xf>
    <xf numFmtId="168" fontId="88" fillId="0" borderId="0" xfId="0" applyNumberFormat="1" applyFont="1"/>
    <xf numFmtId="164" fontId="140" fillId="103" borderId="0" xfId="144" applyNumberFormat="1" applyFont="1" applyFill="1"/>
    <xf numFmtId="5" fontId="29" fillId="0" borderId="0" xfId="37885" applyNumberFormat="1" applyFont="1"/>
    <xf numFmtId="0" fontId="36" fillId="0" borderId="0" xfId="0" applyFont="1"/>
    <xf numFmtId="0" fontId="89" fillId="0" borderId="0" xfId="17981" applyFont="1" applyFill="1" applyAlignment="1">
      <alignment vertical="top"/>
    </xf>
    <xf numFmtId="0" fontId="89" fillId="0" borderId="0" xfId="17981" applyFont="1" applyFill="1" applyAlignment="1">
      <alignment horizontal="center" vertical="top"/>
    </xf>
    <xf numFmtId="168" fontId="155" fillId="0" borderId="0" xfId="0" applyNumberFormat="1" applyFont="1"/>
    <xf numFmtId="164" fontId="110" fillId="0" borderId="0" xfId="144" applyNumberFormat="1" applyFont="1"/>
    <xf numFmtId="164" fontId="110" fillId="0" borderId="0" xfId="144" applyNumberFormat="1" applyFont="1" applyAlignment="1">
      <alignment horizontal="right"/>
    </xf>
    <xf numFmtId="0" fontId="57" fillId="0" borderId="0" xfId="131" applyAlignment="1">
      <alignment horizontal="centerContinuous"/>
    </xf>
    <xf numFmtId="0" fontId="30" fillId="0" borderId="0" xfId="131" applyFont="1" applyAlignment="1">
      <alignment horizontal="right"/>
    </xf>
    <xf numFmtId="9" fontId="110" fillId="0" borderId="0" xfId="131" applyNumberFormat="1" applyFont="1" applyFill="1" applyAlignment="1">
      <alignment horizontal="right"/>
    </xf>
    <xf numFmtId="164" fontId="158" fillId="0" borderId="0" xfId="144" applyNumberFormat="1" applyFont="1"/>
    <xf numFmtId="164" fontId="30" fillId="29" borderId="0" xfId="131" applyNumberFormat="1" applyFont="1" applyFill="1" applyAlignment="1">
      <alignment horizontal="right"/>
    </xf>
    <xf numFmtId="166" fontId="110" fillId="0" borderId="0" xfId="131" applyNumberFormat="1" applyFont="1" applyFill="1"/>
    <xf numFmtId="164" fontId="141" fillId="0" borderId="0" xfId="144" applyNumberFormat="1" applyFont="1"/>
    <xf numFmtId="167" fontId="76" fillId="0" borderId="12" xfId="131" applyNumberFormat="1" applyFont="1" applyFill="1" applyBorder="1"/>
    <xf numFmtId="0" fontId="69" fillId="101" borderId="0" xfId="131" applyFont="1" applyFill="1" applyAlignment="1">
      <alignment horizontal="left"/>
    </xf>
    <xf numFmtId="0" fontId="30" fillId="52" borderId="0" xfId="0" applyFont="1" applyFill="1"/>
    <xf numFmtId="0" fontId="69" fillId="52" borderId="0" xfId="0" applyFont="1" applyFill="1"/>
    <xf numFmtId="0" fontId="30" fillId="52" borderId="0" xfId="0" applyFont="1" applyFill="1" applyBorder="1"/>
    <xf numFmtId="0" fontId="74" fillId="52" borderId="0" xfId="0" applyFont="1" applyFill="1" applyBorder="1"/>
    <xf numFmtId="164" fontId="30" fillId="52" borderId="0" xfId="144" applyNumberFormat="1" applyFont="1" applyFill="1"/>
    <xf numFmtId="168" fontId="30" fillId="101" borderId="14" xfId="131" applyNumberFormat="1" applyFont="1" applyFill="1" applyBorder="1" applyAlignment="1">
      <alignment horizontal="left"/>
    </xf>
    <xf numFmtId="0" fontId="30" fillId="101" borderId="14" xfId="131" applyFont="1" applyFill="1" applyBorder="1" applyAlignment="1">
      <alignment horizontal="right"/>
    </xf>
    <xf numFmtId="168" fontId="30" fillId="101" borderId="14" xfId="131" applyNumberFormat="1" applyFont="1" applyFill="1" applyBorder="1" applyAlignment="1">
      <alignment horizontal="right"/>
    </xf>
    <xf numFmtId="0" fontId="74" fillId="101" borderId="14" xfId="131" applyFont="1" applyFill="1" applyBorder="1" applyAlignment="1">
      <alignment horizontal="right"/>
    </xf>
    <xf numFmtId="0" fontId="30" fillId="101" borderId="14" xfId="131" applyFont="1" applyFill="1" applyBorder="1"/>
    <xf numFmtId="166" fontId="159" fillId="101" borderId="14" xfId="131" applyNumberFormat="1" applyFont="1" applyFill="1" applyBorder="1"/>
    <xf numFmtId="166" fontId="159" fillId="101" borderId="14" xfId="131" applyNumberFormat="1" applyFont="1" applyFill="1" applyBorder="1" applyAlignment="1">
      <alignment horizontal="right"/>
    </xf>
    <xf numFmtId="166" fontId="30" fillId="101" borderId="14" xfId="37893" applyNumberFormat="1" applyFont="1" applyFill="1" applyBorder="1"/>
    <xf numFmtId="0" fontId="151" fillId="0" borderId="0" xfId="17981" applyFont="1" applyFill="1" applyAlignment="1">
      <alignment vertical="top"/>
    </xf>
    <xf numFmtId="0" fontId="89" fillId="0" borderId="0" xfId="17981" applyFont="1" applyFill="1" applyAlignment="1">
      <alignment vertical="center" wrapText="1"/>
    </xf>
    <xf numFmtId="0" fontId="89" fillId="0" borderId="0" xfId="17981" applyFont="1" applyFill="1" applyAlignment="1">
      <alignment horizontal="center" vertical="top" wrapText="1"/>
    </xf>
    <xf numFmtId="0" fontId="152" fillId="0" borderId="0" xfId="17981" applyFont="1" applyFill="1" applyAlignment="1">
      <alignment horizontal="center" vertical="top"/>
    </xf>
    <xf numFmtId="0" fontId="30" fillId="52" borderId="0" xfId="0" applyFont="1" applyFill="1" applyAlignment="1">
      <alignment horizontal="right"/>
    </xf>
    <xf numFmtId="0" fontId="145" fillId="0" borderId="0" xfId="37885" applyFont="1" applyBorder="1" applyAlignment="1">
      <alignment horizontal="right"/>
    </xf>
    <xf numFmtId="0" fontId="145" fillId="0" borderId="0" xfId="37885" applyFont="1" applyBorder="1" applyAlignment="1"/>
    <xf numFmtId="0" fontId="145" fillId="0" borderId="0" xfId="37885" applyFont="1" applyAlignment="1">
      <alignment horizontal="right"/>
    </xf>
    <xf numFmtId="177" fontId="30" fillId="0" borderId="0" xfId="0" applyNumberFormat="1" applyFont="1"/>
    <xf numFmtId="0" fontId="150" fillId="0" borderId="0" xfId="17981" applyFont="1" applyFill="1" applyAlignment="1">
      <alignment horizontal="center" vertical="top"/>
    </xf>
    <xf numFmtId="164" fontId="30" fillId="0" borderId="0" xfId="144" applyNumberFormat="1" applyFont="1" applyAlignment="1">
      <alignment horizontal="left"/>
    </xf>
    <xf numFmtId="164" fontId="156" fillId="31" borderId="0" xfId="144" applyNumberFormat="1" applyFont="1" applyFill="1" applyAlignment="1">
      <alignment horizontal="centerContinuous"/>
    </xf>
    <xf numFmtId="10" fontId="30" fillId="101" borderId="14" xfId="144" applyNumberFormat="1" applyFont="1" applyFill="1" applyBorder="1"/>
    <xf numFmtId="10" fontId="159" fillId="101" borderId="14" xfId="144" applyNumberFormat="1" applyFont="1" applyFill="1" applyBorder="1" applyAlignment="1">
      <alignment horizontal="right"/>
    </xf>
    <xf numFmtId="164" fontId="57" fillId="0" borderId="0" xfId="144" applyNumberFormat="1" applyFont="1" applyFill="1"/>
    <xf numFmtId="9" fontId="71" fillId="0" borderId="0" xfId="131" applyNumberFormat="1" applyFont="1"/>
    <xf numFmtId="179" fontId="71" fillId="0" borderId="0" xfId="144" applyNumberFormat="1" applyFont="1"/>
    <xf numFmtId="0" fontId="145" fillId="0" borderId="0" xfId="37885" applyFont="1" applyFill="1" applyBorder="1" applyAlignment="1"/>
    <xf numFmtId="0" fontId="150" fillId="0" borderId="0" xfId="0" applyFont="1"/>
    <xf numFmtId="0" fontId="145" fillId="0" borderId="11" xfId="37885" applyFont="1" applyBorder="1" applyAlignment="1">
      <alignment horizontal="centerContinuous"/>
    </xf>
    <xf numFmtId="0" fontId="145" fillId="0" borderId="0" xfId="37885" applyFont="1" applyBorder="1" applyAlignment="1">
      <alignment horizontal="centerContinuous"/>
    </xf>
    <xf numFmtId="0" fontId="148" fillId="0" borderId="12" xfId="37885" applyFont="1" applyBorder="1" applyAlignment="1">
      <alignment horizontal="center"/>
    </xf>
    <xf numFmtId="0" fontId="145" fillId="0" borderId="12" xfId="37885" applyFont="1" applyBorder="1" applyAlignment="1">
      <alignment horizontal="center"/>
    </xf>
    <xf numFmtId="0" fontId="145" fillId="0" borderId="0" xfId="37885" applyFont="1" applyBorder="1" applyAlignment="1">
      <alignment horizontal="center"/>
    </xf>
    <xf numFmtId="0" fontId="150" fillId="0" borderId="0" xfId="17981" applyFont="1" applyFill="1" applyAlignment="1">
      <alignment vertical="top"/>
    </xf>
    <xf numFmtId="0" fontId="161" fillId="0" borderId="0" xfId="17981" applyFont="1" applyFill="1" applyAlignment="1">
      <alignment vertical="top"/>
    </xf>
    <xf numFmtId="0" fontId="150" fillId="0" borderId="0" xfId="17981" applyFont="1" applyFill="1" applyAlignment="1">
      <alignment vertical="center" wrapText="1"/>
    </xf>
    <xf numFmtId="0" fontId="150" fillId="0" borderId="0" xfId="17981" applyFont="1" applyFill="1" applyAlignment="1">
      <alignment horizontal="center" vertical="top" wrapText="1"/>
    </xf>
    <xf numFmtId="0" fontId="160" fillId="0" borderId="0" xfId="17981" applyFont="1" applyFill="1" applyAlignment="1">
      <alignment horizontal="center" vertical="top"/>
    </xf>
    <xf numFmtId="0" fontId="164" fillId="0" borderId="11" xfId="37885" applyFont="1" applyBorder="1" applyAlignment="1">
      <alignment horizontal="centerContinuous"/>
    </xf>
    <xf numFmtId="0" fontId="164" fillId="0" borderId="0" xfId="37885" applyFont="1" applyBorder="1" applyAlignment="1">
      <alignment horizontal="centerContinuous"/>
    </xf>
    <xf numFmtId="0" fontId="148" fillId="0" borderId="12" xfId="37885" applyFont="1" applyBorder="1" applyAlignment="1">
      <alignment horizontal="centerContinuous"/>
    </xf>
    <xf numFmtId="0" fontId="164" fillId="0" borderId="0" xfId="37885" applyFont="1" applyBorder="1"/>
    <xf numFmtId="0" fontId="164" fillId="0" borderId="12" xfId="37885" applyFont="1" applyBorder="1"/>
    <xf numFmtId="0" fontId="164" fillId="0" borderId="0" xfId="37885" applyFont="1" applyBorder="1" applyAlignment="1">
      <alignment horizontal="right"/>
    </xf>
    <xf numFmtId="3" fontId="145" fillId="0" borderId="0" xfId="37885" applyNumberFormat="1" applyFont="1" applyBorder="1" applyAlignment="1">
      <alignment horizontal="center"/>
    </xf>
    <xf numFmtId="0" fontId="165" fillId="0" borderId="0" xfId="37885" applyFont="1" applyFill="1" applyBorder="1" applyAlignment="1">
      <alignment horizontal="right"/>
    </xf>
    <xf numFmtId="164" fontId="148" fillId="0" borderId="0" xfId="144" applyNumberFormat="1" applyFont="1" applyAlignment="1">
      <alignment horizontal="right" indent="1"/>
    </xf>
    <xf numFmtId="0" fontId="164" fillId="0" borderId="0" xfId="37885" applyFont="1" applyAlignment="1">
      <alignment horizontal="right"/>
    </xf>
    <xf numFmtId="0" fontId="145" fillId="0" borderId="11" xfId="37885" applyFont="1" applyBorder="1"/>
    <xf numFmtId="0" fontId="165" fillId="0" borderId="11" xfId="37885" applyFont="1" applyBorder="1" applyAlignment="1">
      <alignment horizontal="right"/>
    </xf>
    <xf numFmtId="3" fontId="167" fillId="102" borderId="0" xfId="37885" applyNumberFormat="1" applyFont="1" applyFill="1" applyAlignment="1">
      <alignment horizontal="center"/>
    </xf>
    <xf numFmtId="0" fontId="149" fillId="99" borderId="0" xfId="37885" applyFont="1" applyFill="1" applyBorder="1" applyAlignment="1">
      <alignment horizontal="centerContinuous"/>
    </xf>
    <xf numFmtId="0" fontId="145" fillId="99" borderId="0" xfId="37885" applyFont="1" applyFill="1" applyBorder="1" applyAlignment="1">
      <alignment horizontal="centerContinuous"/>
    </xf>
    <xf numFmtId="178" fontId="145" fillId="0" borderId="0" xfId="37885" applyNumberFormat="1" applyFont="1"/>
    <xf numFmtId="1" fontId="166" fillId="0" borderId="0" xfId="37885" applyNumberFormat="1" applyFont="1" applyBorder="1" applyAlignment="1">
      <alignment horizontal="center"/>
    </xf>
    <xf numFmtId="1" fontId="145" fillId="0" borderId="0" xfId="37885" applyNumberFormat="1" applyFont="1"/>
    <xf numFmtId="3" fontId="166" fillId="0" borderId="0" xfId="37885" applyNumberFormat="1" applyFont="1" applyBorder="1" applyAlignment="1">
      <alignment horizontal="center"/>
    </xf>
    <xf numFmtId="3" fontId="154" fillId="0" borderId="0" xfId="37885" applyNumberFormat="1" applyFont="1" applyBorder="1" applyAlignment="1">
      <alignment horizontal="center"/>
    </xf>
    <xf numFmtId="0" fontId="164" fillId="0" borderId="0" xfId="37885" applyFont="1" applyFill="1" applyBorder="1" applyAlignment="1">
      <alignment horizontal="right"/>
    </xf>
    <xf numFmtId="164" fontId="166" fillId="0" borderId="0" xfId="144" applyNumberFormat="1" applyFont="1" applyBorder="1" applyAlignment="1">
      <alignment horizontal="center"/>
    </xf>
    <xf numFmtId="175" fontId="166" fillId="0" borderId="0" xfId="37885" applyNumberFormat="1" applyFont="1" applyBorder="1" applyAlignment="1">
      <alignment horizontal="center"/>
    </xf>
    <xf numFmtId="0" fontId="145" fillId="0" borderId="0" xfId="37885" applyFont="1" applyBorder="1" applyAlignment="1">
      <alignment horizontal="left"/>
    </xf>
    <xf numFmtId="0" fontId="145" fillId="0" borderId="0" xfId="37885" applyFont="1" applyFill="1" applyBorder="1" applyAlignment="1">
      <alignment horizontal="left"/>
    </xf>
    <xf numFmtId="0" fontId="150" fillId="52" borderId="0" xfId="17973" applyFont="1" applyFill="1"/>
    <xf numFmtId="0" fontId="150" fillId="0" borderId="0" xfId="17973" applyFont="1"/>
    <xf numFmtId="0" fontId="150" fillId="0" borderId="0" xfId="17973" applyFont="1" applyFill="1"/>
    <xf numFmtId="0" fontId="150" fillId="0" borderId="0" xfId="17973" applyFont="1" applyAlignment="1"/>
    <xf numFmtId="17" fontId="150" fillId="0" borderId="0" xfId="17973" quotePrefix="1" applyNumberFormat="1" applyFont="1"/>
    <xf numFmtId="0" fontId="161" fillId="0" borderId="0" xfId="17973" applyFont="1"/>
    <xf numFmtId="0" fontId="150" fillId="0" borderId="0" xfId="37578" applyFont="1" applyFill="1" applyBorder="1" applyAlignment="1">
      <alignment horizontal="left" indent="1"/>
    </xf>
    <xf numFmtId="0" fontId="150" fillId="0" borderId="11" xfId="17973" applyFont="1" applyBorder="1"/>
    <xf numFmtId="0" fontId="150" fillId="0" borderId="11" xfId="17973" applyFont="1" applyFill="1" applyBorder="1"/>
    <xf numFmtId="0" fontId="150" fillId="0" borderId="11" xfId="17973" applyFont="1" applyBorder="1" applyAlignment="1"/>
    <xf numFmtId="0" fontId="150" fillId="0" borderId="0" xfId="17973" applyFont="1" applyBorder="1" applyAlignment="1">
      <alignment horizontal="center"/>
    </xf>
    <xf numFmtId="0" fontId="150" fillId="0" borderId="45" xfId="17973" applyFont="1" applyFill="1" applyBorder="1"/>
    <xf numFmtId="0" fontId="150" fillId="0" borderId="28" xfId="17973" applyFont="1" applyFill="1" applyBorder="1"/>
    <xf numFmtId="0" fontId="150" fillId="0" borderId="23" xfId="17973" applyFont="1" applyFill="1" applyBorder="1"/>
    <xf numFmtId="0" fontId="150" fillId="0" borderId="23" xfId="17973" applyFont="1" applyFill="1" applyBorder="1" applyAlignment="1">
      <alignment horizontal="center"/>
    </xf>
    <xf numFmtId="0" fontId="161" fillId="0" borderId="0" xfId="37578" applyFont="1" applyFill="1" applyBorder="1" applyAlignment="1">
      <alignment vertical="center"/>
    </xf>
    <xf numFmtId="0" fontId="150" fillId="0" borderId="0" xfId="37578" applyFont="1" applyBorder="1"/>
    <xf numFmtId="0" fontId="161" fillId="0" borderId="0" xfId="17973" applyFont="1" applyFill="1" applyBorder="1" applyAlignment="1">
      <alignment horizontal="center" wrapText="1"/>
    </xf>
    <xf numFmtId="0" fontId="150" fillId="0" borderId="0" xfId="37578" applyFont="1" applyBorder="1" applyAlignment="1"/>
    <xf numFmtId="0" fontId="168" fillId="0" borderId="43" xfId="17973" applyFont="1" applyFill="1" applyBorder="1" applyAlignment="1">
      <alignment horizontal="center" wrapText="1"/>
    </xf>
    <xf numFmtId="0" fontId="168" fillId="0" borderId="44" xfId="17973" applyFont="1" applyFill="1" applyBorder="1" applyAlignment="1">
      <alignment horizontal="center" vertical="center" wrapText="1"/>
    </xf>
    <xf numFmtId="0" fontId="161" fillId="0" borderId="0" xfId="17973" applyFont="1" applyFill="1" applyBorder="1" applyAlignment="1">
      <alignment horizontal="center" vertical="center" wrapText="1"/>
    </xf>
    <xf numFmtId="0" fontId="161" fillId="0" borderId="0" xfId="17973" applyFont="1" applyBorder="1" applyAlignment="1">
      <alignment horizontal="left" vertical="center"/>
    </xf>
    <xf numFmtId="0" fontId="150" fillId="0" borderId="0" xfId="37578" applyFont="1" applyFill="1" applyBorder="1" applyAlignment="1">
      <alignment vertical="center"/>
    </xf>
    <xf numFmtId="1" fontId="169" fillId="0" borderId="0" xfId="37747" applyNumberFormat="1" applyFont="1" applyFill="1" applyBorder="1" applyAlignment="1">
      <alignment horizontal="center"/>
    </xf>
    <xf numFmtId="1" fontId="169" fillId="0" borderId="44" xfId="37747" applyNumberFormat="1" applyFont="1" applyFill="1" applyBorder="1" applyAlignment="1">
      <alignment horizontal="center"/>
    </xf>
    <xf numFmtId="0" fontId="161" fillId="0" borderId="0" xfId="17973" applyFont="1" applyBorder="1" applyAlignment="1">
      <alignment horizontal="center"/>
    </xf>
    <xf numFmtId="0" fontId="150" fillId="0" borderId="12" xfId="37578" applyFont="1" applyFill="1" applyBorder="1" applyAlignment="1">
      <alignment vertical="center"/>
    </xf>
    <xf numFmtId="0" fontId="161" fillId="0" borderId="25" xfId="17973" applyFont="1" applyFill="1" applyBorder="1" applyAlignment="1">
      <alignment horizontal="center" wrapText="1"/>
    </xf>
    <xf numFmtId="0" fontId="161" fillId="0" borderId="12" xfId="17973" applyFont="1" applyFill="1" applyBorder="1" applyAlignment="1">
      <alignment horizontal="center" wrapText="1"/>
    </xf>
    <xf numFmtId="0" fontId="161" fillId="0" borderId="24" xfId="17973" applyFont="1" applyFill="1" applyBorder="1" applyAlignment="1">
      <alignment horizontal="center" wrapText="1"/>
    </xf>
    <xf numFmtId="0" fontId="161" fillId="0" borderId="12" xfId="17973" applyFont="1" applyBorder="1" applyAlignment="1">
      <alignment horizontal="center"/>
    </xf>
    <xf numFmtId="0" fontId="161" fillId="0" borderId="44" xfId="17973" applyFont="1" applyFill="1" applyBorder="1" applyAlignment="1">
      <alignment horizontal="center" wrapText="1"/>
    </xf>
    <xf numFmtId="0" fontId="161" fillId="0" borderId="22" xfId="17973" applyFont="1" applyFill="1" applyBorder="1" applyAlignment="1">
      <alignment horizontal="center" wrapText="1"/>
    </xf>
    <xf numFmtId="0" fontId="161" fillId="0" borderId="0" xfId="37578" applyFont="1" applyFill="1" applyBorder="1"/>
    <xf numFmtId="0" fontId="161" fillId="0" borderId="0" xfId="37578" applyFont="1" applyBorder="1"/>
    <xf numFmtId="0" fontId="150" fillId="0" borderId="44" xfId="37578" applyFont="1" applyFill="1" applyBorder="1"/>
    <xf numFmtId="0" fontId="150" fillId="0" borderId="0" xfId="37578" applyFont="1" applyFill="1" applyBorder="1"/>
    <xf numFmtId="0" fontId="150" fillId="0" borderId="22" xfId="37578" applyFont="1" applyFill="1" applyBorder="1"/>
    <xf numFmtId="0" fontId="150" fillId="0" borderId="44" xfId="37578" applyFont="1" applyFill="1" applyBorder="1" applyAlignment="1">
      <alignment horizontal="center" wrapText="1"/>
    </xf>
    <xf numFmtId="0" fontId="150" fillId="0" borderId="0" xfId="37578" applyFont="1" applyFill="1" applyBorder="1" applyAlignment="1">
      <alignment horizontal="center" wrapText="1"/>
    </xf>
    <xf numFmtId="0" fontId="150" fillId="0" borderId="22" xfId="37578" applyFont="1" applyFill="1" applyBorder="1" applyAlignment="1">
      <alignment horizontal="center" wrapText="1"/>
    </xf>
    <xf numFmtId="3" fontId="150" fillId="0" borderId="44" xfId="37579" applyNumberFormat="1" applyFont="1" applyFill="1" applyBorder="1" applyAlignment="1">
      <alignment horizontal="right" wrapText="1" indent="1"/>
    </xf>
    <xf numFmtId="3" fontId="150" fillId="0" borderId="0" xfId="37579" applyNumberFormat="1" applyFont="1" applyFill="1" applyBorder="1" applyAlignment="1">
      <alignment horizontal="right" wrapText="1" indent="1"/>
    </xf>
    <xf numFmtId="3" fontId="150" fillId="0" borderId="22" xfId="37579" applyNumberFormat="1" applyFont="1" applyFill="1" applyBorder="1" applyAlignment="1">
      <alignment horizontal="right" wrapText="1" indent="1"/>
    </xf>
    <xf numFmtId="0" fontId="150" fillId="0" borderId="0" xfId="37578" applyFont="1" applyFill="1" applyBorder="1" applyAlignment="1">
      <alignment horizontal="left" indent="2"/>
    </xf>
    <xf numFmtId="3" fontId="162" fillId="0" borderId="44" xfId="37578" applyNumberFormat="1" applyFont="1" applyFill="1" applyBorder="1" applyAlignment="1">
      <alignment horizontal="right" wrapText="1" indent="1"/>
    </xf>
    <xf numFmtId="3" fontId="162" fillId="0" borderId="0" xfId="37578" applyNumberFormat="1" applyFont="1" applyFill="1" applyBorder="1" applyAlignment="1">
      <alignment horizontal="right" wrapText="1" indent="1"/>
    </xf>
    <xf numFmtId="174" fontId="150" fillId="0" borderId="0" xfId="37747" applyNumberFormat="1" applyFont="1" applyFill="1" applyBorder="1" applyAlignment="1">
      <alignment horizontal="left" indent="2"/>
    </xf>
    <xf numFmtId="0" fontId="160" fillId="0" borderId="0" xfId="37578" applyFont="1" applyFill="1" applyBorder="1" applyAlignment="1">
      <alignment horizontal="left" indent="1"/>
    </xf>
    <xf numFmtId="3" fontId="150" fillId="0" borderId="0" xfId="37578" applyNumberFormat="1" applyFont="1" applyFill="1" applyBorder="1" applyAlignment="1">
      <alignment horizontal="right" wrapText="1" indent="1"/>
    </xf>
    <xf numFmtId="0" fontId="150" fillId="0" borderId="0" xfId="37578" applyFont="1" applyFill="1" applyBorder="1" applyAlignment="1">
      <alignment horizontal="left" wrapText="1" indent="1"/>
    </xf>
    <xf numFmtId="174" fontId="161" fillId="0" borderId="0" xfId="37747" applyNumberFormat="1" applyFont="1" applyFill="1" applyBorder="1" applyAlignment="1">
      <alignment horizontal="left" indent="2"/>
    </xf>
    <xf numFmtId="3" fontId="161" fillId="0" borderId="0" xfId="37578" applyNumberFormat="1" applyFont="1" applyFill="1" applyBorder="1" applyAlignment="1">
      <alignment horizontal="right" wrapText="1" indent="1"/>
    </xf>
    <xf numFmtId="0" fontId="150" fillId="0" borderId="12" xfId="37578" applyFont="1" applyFill="1" applyBorder="1"/>
    <xf numFmtId="3" fontId="150" fillId="0" borderId="25" xfId="37578" applyNumberFormat="1" applyFont="1" applyFill="1" applyBorder="1" applyAlignment="1">
      <alignment horizontal="right" wrapText="1" indent="1"/>
    </xf>
    <xf numFmtId="3" fontId="150" fillId="0" borderId="12" xfId="37578" applyNumberFormat="1" applyFont="1" applyFill="1" applyBorder="1" applyAlignment="1">
      <alignment horizontal="right" wrapText="1" indent="1"/>
    </xf>
    <xf numFmtId="3" fontId="150" fillId="0" borderId="24" xfId="37578" applyNumberFormat="1" applyFont="1" applyFill="1" applyBorder="1" applyAlignment="1">
      <alignment horizontal="right" wrapText="1" indent="1"/>
    </xf>
    <xf numFmtId="3" fontId="150" fillId="0" borderId="12" xfId="37578" applyNumberFormat="1" applyFont="1" applyBorder="1" applyAlignment="1">
      <alignment horizontal="right" wrapText="1" indent="1"/>
    </xf>
    <xf numFmtId="3" fontId="150" fillId="0" borderId="44" xfId="37578" applyNumberFormat="1" applyFont="1" applyFill="1" applyBorder="1" applyAlignment="1">
      <alignment horizontal="right" wrapText="1" indent="1"/>
    </xf>
    <xf numFmtId="3" fontId="150" fillId="0" borderId="22" xfId="37578" applyNumberFormat="1" applyFont="1" applyFill="1" applyBorder="1" applyAlignment="1">
      <alignment horizontal="right" wrapText="1" indent="1"/>
    </xf>
    <xf numFmtId="3" fontId="150" fillId="0" borderId="0" xfId="37578" applyNumberFormat="1" applyFont="1" applyBorder="1" applyAlignment="1">
      <alignment horizontal="right" wrapText="1" indent="1"/>
    </xf>
    <xf numFmtId="0" fontId="160" fillId="0" borderId="0" xfId="37578" applyFont="1" applyFill="1" applyBorder="1" applyAlignment="1">
      <alignment horizontal="left"/>
    </xf>
    <xf numFmtId="3" fontId="161" fillId="0" borderId="0" xfId="37578" applyNumberFormat="1" applyFont="1" applyBorder="1" applyAlignment="1">
      <alignment horizontal="right" wrapText="1" indent="1"/>
    </xf>
    <xf numFmtId="0" fontId="160" fillId="0" borderId="12" xfId="37578" applyFont="1" applyBorder="1"/>
    <xf numFmtId="0" fontId="160" fillId="0" borderId="0" xfId="37578" applyFont="1" applyBorder="1"/>
    <xf numFmtId="174" fontId="161" fillId="0" borderId="0" xfId="37747" applyNumberFormat="1" applyFont="1" applyBorder="1" applyAlignment="1">
      <alignment horizontal="left" indent="2"/>
    </xf>
    <xf numFmtId="0" fontId="161" fillId="0" borderId="11" xfId="37578" applyFont="1" applyBorder="1"/>
    <xf numFmtId="3" fontId="150" fillId="0" borderId="46" xfId="37578" applyNumberFormat="1" applyFont="1" applyFill="1" applyBorder="1" applyAlignment="1">
      <alignment horizontal="center" wrapText="1"/>
    </xf>
    <xf numFmtId="3" fontId="150" fillId="0" borderId="11" xfId="37578" applyNumberFormat="1" applyFont="1" applyFill="1" applyBorder="1" applyAlignment="1">
      <alignment horizontal="center" wrapText="1"/>
    </xf>
    <xf numFmtId="3" fontId="150" fillId="0" borderId="21" xfId="37578" applyNumberFormat="1" applyFont="1" applyFill="1" applyBorder="1" applyAlignment="1">
      <alignment horizontal="center" wrapText="1"/>
    </xf>
    <xf numFmtId="0" fontId="150" fillId="0" borderId="11" xfId="37578" applyFont="1" applyBorder="1" applyAlignment="1"/>
    <xf numFmtId="3" fontId="150" fillId="0" borderId="0" xfId="37578" applyNumberFormat="1" applyFont="1" applyFill="1" applyBorder="1" applyAlignment="1">
      <alignment horizontal="center" wrapText="1"/>
    </xf>
    <xf numFmtId="0" fontId="150" fillId="0" borderId="0" xfId="37578" applyFont="1"/>
    <xf numFmtId="0" fontId="150" fillId="0" borderId="0" xfId="37578" applyFont="1" applyFill="1"/>
    <xf numFmtId="0" fontId="150" fillId="0" borderId="0" xfId="37578" applyFont="1" applyAlignment="1"/>
    <xf numFmtId="0" fontId="162" fillId="0" borderId="0" xfId="17973" applyFont="1" applyFill="1"/>
    <xf numFmtId="0" fontId="160" fillId="0" borderId="0" xfId="0" applyFont="1"/>
    <xf numFmtId="0" fontId="161" fillId="0" borderId="0" xfId="0" applyFont="1"/>
    <xf numFmtId="0" fontId="150" fillId="101" borderId="0" xfId="0" applyFont="1" applyFill="1" applyAlignment="1">
      <alignment horizontal="left"/>
    </xf>
    <xf numFmtId="0" fontId="150" fillId="101" borderId="0" xfId="0" applyFont="1" applyFill="1"/>
    <xf numFmtId="0" fontId="150" fillId="101" borderId="0" xfId="37578" applyFont="1" applyFill="1" applyBorder="1" applyAlignment="1">
      <alignment horizontal="left" indent="1"/>
    </xf>
    <xf numFmtId="0" fontId="150" fillId="101" borderId="0" xfId="17973" applyFont="1" applyFill="1"/>
    <xf numFmtId="0" fontId="150" fillId="101" borderId="11" xfId="0" applyFont="1" applyFill="1" applyBorder="1"/>
    <xf numFmtId="0" fontId="150" fillId="101" borderId="0" xfId="0" applyFont="1" applyFill="1" applyBorder="1" applyAlignment="1">
      <alignment horizontal="center"/>
    </xf>
    <xf numFmtId="0" fontId="150" fillId="101" borderId="0" xfId="0" applyFont="1" applyFill="1" applyBorder="1"/>
    <xf numFmtId="0" fontId="161" fillId="101" borderId="0" xfId="37578" applyFont="1" applyFill="1" applyBorder="1" applyAlignment="1">
      <alignment vertical="center"/>
    </xf>
    <xf numFmtId="0" fontId="150" fillId="101" borderId="0" xfId="37578" applyFont="1" applyFill="1" applyBorder="1"/>
    <xf numFmtId="0" fontId="161" fillId="101" borderId="12" xfId="0" applyFont="1" applyFill="1" applyBorder="1" applyAlignment="1">
      <alignment horizontal="centerContinuous"/>
    </xf>
    <xf numFmtId="0" fontId="161" fillId="101" borderId="0" xfId="0" applyFont="1" applyFill="1" applyBorder="1" applyAlignment="1">
      <alignment horizontal="center"/>
    </xf>
    <xf numFmtId="0" fontId="161" fillId="101" borderId="0" xfId="17973" applyFont="1" applyFill="1" applyBorder="1" applyAlignment="1">
      <alignment horizontal="center" wrapText="1"/>
    </xf>
    <xf numFmtId="0" fontId="150" fillId="101" borderId="0" xfId="37578" applyFont="1" applyFill="1" applyBorder="1" applyAlignment="1">
      <alignment vertical="center"/>
    </xf>
    <xf numFmtId="0" fontId="160" fillId="101" borderId="0" xfId="17973" applyFont="1" applyFill="1"/>
    <xf numFmtId="0" fontId="150" fillId="101" borderId="12" xfId="37578" applyFont="1" applyFill="1" applyBorder="1" applyAlignment="1">
      <alignment vertical="center"/>
    </xf>
    <xf numFmtId="0" fontId="161" fillId="101" borderId="12" xfId="17973" applyFont="1" applyFill="1" applyBorder="1" applyAlignment="1">
      <alignment horizontal="center" wrapText="1"/>
    </xf>
    <xf numFmtId="0" fontId="161" fillId="101" borderId="0" xfId="37578" applyFont="1" applyFill="1" applyBorder="1"/>
    <xf numFmtId="3" fontId="150" fillId="101" borderId="0" xfId="37579" applyNumberFormat="1" applyFont="1" applyFill="1" applyBorder="1" applyAlignment="1">
      <alignment horizontal="right" wrapText="1" indent="1"/>
    </xf>
    <xf numFmtId="0" fontId="150" fillId="101" borderId="0" xfId="37578" applyFont="1" applyFill="1" applyBorder="1" applyAlignment="1">
      <alignment horizontal="left" indent="2"/>
    </xf>
    <xf numFmtId="0" fontId="161" fillId="101" borderId="0" xfId="0" applyFont="1" applyFill="1" applyAlignment="1">
      <alignment horizontal="left"/>
    </xf>
    <xf numFmtId="0" fontId="161" fillId="101" borderId="0" xfId="37578" applyFont="1" applyFill="1" applyBorder="1" applyAlignment="1">
      <alignment horizontal="left" indent="2"/>
    </xf>
    <xf numFmtId="3" fontId="161" fillId="101" borderId="0" xfId="37578" applyNumberFormat="1" applyFont="1" applyFill="1" applyBorder="1" applyAlignment="1">
      <alignment horizontal="right" wrapText="1" indent="1"/>
    </xf>
    <xf numFmtId="0" fontId="161" fillId="101" borderId="0" xfId="17973" applyFont="1" applyFill="1"/>
    <xf numFmtId="167" fontId="150" fillId="101" borderId="0" xfId="37579" applyNumberFormat="1" applyFont="1" applyFill="1" applyBorder="1" applyAlignment="1">
      <alignment horizontal="right" wrapText="1" indent="1"/>
    </xf>
    <xf numFmtId="174" fontId="150" fillId="101" borderId="0" xfId="37747" applyNumberFormat="1" applyFont="1" applyFill="1" applyBorder="1" applyAlignment="1">
      <alignment horizontal="left" indent="2"/>
    </xf>
    <xf numFmtId="174" fontId="161" fillId="101" borderId="0" xfId="37747" applyNumberFormat="1" applyFont="1" applyFill="1" applyBorder="1" applyAlignment="1">
      <alignment horizontal="left" indent="2"/>
    </xf>
    <xf numFmtId="3" fontId="150" fillId="101" borderId="0" xfId="37578" applyNumberFormat="1" applyFont="1" applyFill="1" applyBorder="1" applyAlignment="1">
      <alignment horizontal="right" wrapText="1" indent="1"/>
    </xf>
    <xf numFmtId="0" fontId="150" fillId="101" borderId="0" xfId="17973" applyFont="1" applyFill="1" applyAlignment="1">
      <alignment horizontal="left"/>
    </xf>
    <xf numFmtId="0" fontId="160" fillId="101" borderId="12" xfId="37578" applyFont="1" applyFill="1" applyBorder="1"/>
    <xf numFmtId="3" fontId="150" fillId="101" borderId="12" xfId="37578" applyNumberFormat="1" applyFont="1" applyFill="1" applyBorder="1" applyAlignment="1">
      <alignment horizontal="right" wrapText="1" indent="1"/>
    </xf>
    <xf numFmtId="0" fontId="160" fillId="101" borderId="0" xfId="37578" applyFont="1" applyFill="1" applyBorder="1"/>
    <xf numFmtId="166" fontId="161" fillId="101" borderId="0" xfId="37578" applyNumberFormat="1" applyFont="1" applyFill="1" applyBorder="1" applyAlignment="1">
      <alignment horizontal="right" wrapText="1" indent="1"/>
    </xf>
    <xf numFmtId="0" fontId="161" fillId="101" borderId="11" xfId="37578" applyFont="1" applyFill="1" applyBorder="1"/>
    <xf numFmtId="3" fontId="150" fillId="101" borderId="11" xfId="37578" applyNumberFormat="1" applyFont="1" applyFill="1" applyBorder="1" applyAlignment="1">
      <alignment horizontal="center" wrapText="1"/>
    </xf>
    <xf numFmtId="3" fontId="150" fillId="101" borderId="0" xfId="37578" applyNumberFormat="1" applyFont="1" applyFill="1" applyBorder="1" applyAlignment="1">
      <alignment horizontal="center" wrapText="1"/>
    </xf>
    <xf numFmtId="0" fontId="161" fillId="101" borderId="0" xfId="37578" applyFont="1" applyFill="1"/>
    <xf numFmtId="4" fontId="150" fillId="101" borderId="0" xfId="37578" applyNumberFormat="1" applyFont="1" applyFill="1"/>
    <xf numFmtId="0" fontId="150" fillId="101" borderId="0" xfId="37578" applyFont="1" applyFill="1"/>
    <xf numFmtId="0" fontId="150" fillId="101" borderId="0" xfId="37580" applyFont="1" applyFill="1"/>
    <xf numFmtId="0" fontId="150" fillId="101" borderId="0" xfId="37580" applyFont="1" applyFill="1" applyBorder="1" applyAlignment="1"/>
    <xf numFmtId="0" fontId="150" fillId="101" borderId="0" xfId="37580" applyFont="1" applyFill="1" applyAlignment="1">
      <alignment horizontal="center"/>
    </xf>
    <xf numFmtId="0" fontId="150" fillId="101" borderId="11" xfId="37580" applyFont="1" applyFill="1" applyBorder="1"/>
    <xf numFmtId="0" fontId="150" fillId="101" borderId="11" xfId="37580" applyFont="1" applyFill="1" applyBorder="1" applyAlignment="1">
      <alignment horizontal="center"/>
    </xf>
    <xf numFmtId="0" fontId="150" fillId="101" borderId="28" xfId="37580" applyFont="1" applyFill="1" applyBorder="1" applyAlignment="1">
      <alignment horizontal="center"/>
    </xf>
    <xf numFmtId="0" fontId="161" fillId="101" borderId="0" xfId="37580" applyFont="1" applyFill="1" applyBorder="1" applyAlignment="1">
      <alignment horizontal="center" vertical="center" wrapText="1"/>
    </xf>
    <xf numFmtId="0" fontId="161" fillId="101" borderId="0" xfId="37581" applyFont="1" applyFill="1" applyBorder="1" applyAlignment="1"/>
    <xf numFmtId="0" fontId="150" fillId="101" borderId="0" xfId="0" applyFont="1" applyFill="1" applyBorder="1" applyAlignment="1"/>
    <xf numFmtId="0" fontId="150" fillId="101" borderId="0" xfId="17973" applyFont="1" applyFill="1" applyBorder="1" applyAlignment="1"/>
    <xf numFmtId="0" fontId="161" fillId="101" borderId="0" xfId="17973" applyFont="1" applyFill="1" applyBorder="1" applyAlignment="1">
      <alignment wrapText="1"/>
    </xf>
    <xf numFmtId="0" fontId="161" fillId="101" borderId="0" xfId="37580" applyFont="1" applyFill="1"/>
    <xf numFmtId="3" fontId="161" fillId="101" borderId="0" xfId="37578" applyNumberFormat="1" applyFont="1" applyFill="1" applyBorder="1"/>
    <xf numFmtId="0" fontId="161" fillId="101" borderId="0" xfId="37580" applyFont="1" applyFill="1" applyBorder="1"/>
    <xf numFmtId="3" fontId="160" fillId="101" borderId="0" xfId="37580" applyNumberFormat="1" applyFont="1" applyFill="1" applyBorder="1" applyAlignment="1">
      <alignment horizontal="center"/>
    </xf>
    <xf numFmtId="0" fontId="161" fillId="101" borderId="12" xfId="37580" applyFont="1" applyFill="1" applyBorder="1"/>
    <xf numFmtId="0" fontId="161" fillId="101" borderId="12" xfId="37580" applyFont="1" applyFill="1" applyBorder="1" applyAlignment="1">
      <alignment horizontal="center" wrapText="1"/>
    </xf>
    <xf numFmtId="0" fontId="150" fillId="101" borderId="0" xfId="37580" applyFont="1" applyFill="1" applyBorder="1"/>
    <xf numFmtId="4" fontId="150" fillId="101" borderId="0" xfId="37580" applyNumberFormat="1" applyFont="1" applyFill="1" applyBorder="1" applyAlignment="1">
      <alignment horizontal="center" wrapText="1"/>
    </xf>
    <xf numFmtId="0" fontId="150" fillId="101" borderId="0" xfId="37580" applyFont="1" applyFill="1" applyBorder="1" applyAlignment="1">
      <alignment horizontal="center"/>
    </xf>
    <xf numFmtId="0" fontId="161" fillId="101" borderId="0" xfId="37580" applyFont="1" applyFill="1" applyBorder="1" applyAlignment="1">
      <alignment horizontal="center" wrapText="1"/>
    </xf>
    <xf numFmtId="0" fontId="150" fillId="101" borderId="0" xfId="37580" applyFont="1" applyFill="1" applyBorder="1" applyAlignment="1">
      <alignment horizontal="left" indent="1"/>
    </xf>
    <xf numFmtId="167" fontId="150" fillId="101" borderId="0" xfId="37580" applyNumberFormat="1" applyFont="1" applyFill="1" applyBorder="1" applyAlignment="1">
      <alignment horizontal="right" wrapText="1" indent="1"/>
    </xf>
    <xf numFmtId="167" fontId="161" fillId="101" borderId="0" xfId="37580" applyNumberFormat="1" applyFont="1" applyFill="1" applyBorder="1" applyAlignment="1">
      <alignment horizontal="right" wrapText="1" indent="1"/>
    </xf>
    <xf numFmtId="166" fontId="161" fillId="101" borderId="0" xfId="37580" applyNumberFormat="1" applyFont="1" applyFill="1" applyBorder="1" applyAlignment="1">
      <alignment horizontal="right" wrapText="1" indent="1"/>
    </xf>
    <xf numFmtId="0" fontId="150" fillId="101" borderId="12" xfId="37580" applyFont="1" applyFill="1" applyBorder="1"/>
    <xf numFmtId="4" fontId="150" fillId="101" borderId="12" xfId="37580" applyNumberFormat="1" applyFont="1" applyFill="1" applyBorder="1" applyAlignment="1">
      <alignment horizontal="right" indent="1"/>
    </xf>
    <xf numFmtId="4" fontId="150" fillId="101" borderId="12" xfId="37580" applyNumberFormat="1" applyFont="1" applyFill="1" applyBorder="1" applyAlignment="1">
      <alignment horizontal="right"/>
    </xf>
    <xf numFmtId="3" fontId="150" fillId="101" borderId="0" xfId="37580" applyNumberFormat="1" applyFont="1" applyFill="1" applyBorder="1" applyAlignment="1">
      <alignment horizontal="right" indent="1"/>
    </xf>
    <xf numFmtId="3" fontId="150" fillId="101" borderId="0" xfId="37580" applyNumberFormat="1" applyFont="1" applyFill="1" applyBorder="1" applyAlignment="1">
      <alignment horizontal="right"/>
    </xf>
    <xf numFmtId="0" fontId="161" fillId="101" borderId="0" xfId="37580" applyFont="1" applyFill="1" applyBorder="1" applyAlignment="1">
      <alignment horizontal="left"/>
    </xf>
    <xf numFmtId="0" fontId="171" fillId="101" borderId="0" xfId="37580" applyFont="1" applyFill="1" applyBorder="1" applyAlignment="1">
      <alignment horizontal="left"/>
    </xf>
    <xf numFmtId="3" fontId="150" fillId="101" borderId="11" xfId="37580" applyNumberFormat="1" applyFont="1" applyFill="1" applyBorder="1" applyAlignment="1">
      <alignment horizontal="center"/>
    </xf>
    <xf numFmtId="166" fontId="150" fillId="101" borderId="0" xfId="37580" applyNumberFormat="1" applyFont="1" applyFill="1" applyBorder="1" applyAlignment="1">
      <alignment horizontal="center"/>
    </xf>
    <xf numFmtId="0" fontId="161" fillId="101" borderId="0" xfId="37582" applyFont="1" applyFill="1"/>
    <xf numFmtId="1" fontId="150" fillId="101" borderId="0" xfId="37580" applyNumberFormat="1" applyFont="1" applyFill="1" applyBorder="1" applyAlignment="1">
      <alignment horizontal="center"/>
    </xf>
    <xf numFmtId="0" fontId="150" fillId="101" borderId="0" xfId="37580" quotePrefix="1" applyFont="1" applyFill="1" applyBorder="1" applyAlignment="1">
      <alignment horizontal="left"/>
    </xf>
    <xf numFmtId="0" fontId="150" fillId="101" borderId="0" xfId="37580" quotePrefix="1" applyFont="1" applyFill="1"/>
    <xf numFmtId="0" fontId="150" fillId="101" borderId="0" xfId="17973" applyFont="1" applyFill="1" applyAlignment="1">
      <alignment horizontal="justify" vertical="center"/>
    </xf>
    <xf numFmtId="0" fontId="150" fillId="31" borderId="0" xfId="177" applyFont="1" applyFill="1"/>
    <xf numFmtId="0" fontId="150" fillId="31" borderId="0" xfId="177" applyFont="1" applyFill="1" applyAlignment="1">
      <alignment horizontal="right"/>
    </xf>
    <xf numFmtId="0" fontId="172" fillId="31" borderId="0" xfId="177" applyFont="1" applyFill="1" applyAlignment="1">
      <alignment horizontal="right"/>
    </xf>
    <xf numFmtId="0" fontId="160" fillId="31" borderId="0" xfId="177" applyFont="1" applyFill="1" applyAlignment="1">
      <alignment horizontal="left"/>
    </xf>
    <xf numFmtId="0" fontId="170" fillId="31" borderId="0" xfId="177" applyFont="1" applyFill="1" applyAlignment="1">
      <alignment horizontal="left"/>
    </xf>
    <xf numFmtId="0" fontId="150" fillId="0" borderId="0" xfId="177" applyFont="1"/>
    <xf numFmtId="0" fontId="150" fillId="31" borderId="0" xfId="177" applyFont="1" applyFill="1" applyAlignment="1"/>
    <xf numFmtId="0" fontId="150" fillId="0" borderId="0" xfId="177" applyFont="1" applyAlignment="1">
      <alignment horizontal="right"/>
    </xf>
    <xf numFmtId="167" fontId="170" fillId="0" borderId="0" xfId="144" applyNumberFormat="1" applyFont="1" applyAlignment="1">
      <alignment horizontal="right"/>
    </xf>
    <xf numFmtId="14" fontId="150" fillId="0" borderId="0" xfId="177" applyNumberFormat="1" applyFont="1"/>
    <xf numFmtId="0" fontId="162" fillId="0" borderId="0" xfId="177" applyFont="1"/>
    <xf numFmtId="14" fontId="170" fillId="0" borderId="12" xfId="177" applyNumberFormat="1" applyFont="1" applyBorder="1"/>
    <xf numFmtId="10" fontId="170" fillId="0" borderId="0" xfId="144" applyNumberFormat="1" applyFont="1"/>
    <xf numFmtId="11" fontId="150" fillId="31" borderId="0" xfId="177" applyNumberFormat="1" applyFont="1" applyFill="1"/>
    <xf numFmtId="168" fontId="162" fillId="0" borderId="0" xfId="177" applyNumberFormat="1" applyFont="1"/>
    <xf numFmtId="10" fontId="162" fillId="31" borderId="0" xfId="177" applyNumberFormat="1" applyFont="1" applyFill="1"/>
    <xf numFmtId="168" fontId="170" fillId="0" borderId="0" xfId="177" applyNumberFormat="1" applyFont="1"/>
    <xf numFmtId="10" fontId="150" fillId="31" borderId="0" xfId="177" applyNumberFormat="1" applyFont="1" applyFill="1"/>
    <xf numFmtId="168" fontId="150" fillId="0" borderId="0" xfId="177" applyNumberFormat="1" applyFont="1"/>
    <xf numFmtId="0" fontId="161" fillId="0" borderId="0" xfId="177" applyFont="1" applyAlignment="1">
      <alignment horizontal="right"/>
    </xf>
    <xf numFmtId="168" fontId="168" fillId="0" borderId="0" xfId="144" applyNumberFormat="1" applyFont="1"/>
    <xf numFmtId="168" fontId="150" fillId="0" borderId="0" xfId="144" applyNumberFormat="1" applyFont="1"/>
    <xf numFmtId="168" fontId="168" fillId="0" borderId="0" xfId="144" applyNumberFormat="1" applyFont="1" applyFill="1"/>
    <xf numFmtId="9" fontId="150" fillId="0" borderId="0" xfId="177" applyNumberFormat="1" applyFont="1"/>
    <xf numFmtId="8" fontId="150" fillId="0" borderId="0" xfId="177" applyNumberFormat="1" applyFont="1"/>
    <xf numFmtId="0" fontId="150" fillId="52" borderId="0" xfId="17973" applyFont="1" applyFill="1" applyAlignment="1">
      <alignment horizontal="left"/>
    </xf>
    <xf numFmtId="0" fontId="162" fillId="52" borderId="0" xfId="17973" applyFont="1" applyFill="1" applyAlignment="1">
      <alignment horizontal="right"/>
    </xf>
    <xf numFmtId="0" fontId="150" fillId="52" borderId="0" xfId="17973" applyFont="1" applyFill="1" applyAlignment="1">
      <alignment horizontal="right"/>
    </xf>
    <xf numFmtId="2" fontId="162" fillId="52" borderId="0" xfId="17973" applyNumberFormat="1" applyFont="1" applyFill="1" applyAlignment="1">
      <alignment horizontal="right"/>
    </xf>
    <xf numFmtId="2" fontId="162" fillId="52" borderId="0" xfId="0" applyNumberFormat="1" applyFont="1" applyFill="1"/>
    <xf numFmtId="0" fontId="150" fillId="52" borderId="0" xfId="0" applyFont="1" applyFill="1" applyAlignment="1">
      <alignment horizontal="left"/>
    </xf>
    <xf numFmtId="0" fontId="150" fillId="0" borderId="0" xfId="0" applyFont="1" applyAlignment="1">
      <alignment horizontal="right"/>
    </xf>
    <xf numFmtId="0" fontId="150" fillId="0" borderId="0" xfId="17973" applyFont="1" applyAlignment="1">
      <alignment horizontal="right"/>
    </xf>
    <xf numFmtId="0" fontId="150" fillId="0" borderId="0" xfId="0" applyFont="1" applyFill="1"/>
    <xf numFmtId="0" fontId="150" fillId="0" borderId="11" xfId="0" applyFont="1" applyBorder="1"/>
    <xf numFmtId="0" fontId="150" fillId="0" borderId="11" xfId="0" applyFont="1" applyFill="1" applyBorder="1"/>
    <xf numFmtId="0" fontId="150" fillId="0" borderId="0" xfId="0" applyFont="1" applyBorder="1" applyAlignment="1">
      <alignment horizontal="center"/>
    </xf>
    <xf numFmtId="0" fontId="150" fillId="0" borderId="0" xfId="0" applyFont="1" applyFill="1" applyBorder="1"/>
    <xf numFmtId="0" fontId="150" fillId="0" borderId="0" xfId="0" applyFont="1" applyFill="1" applyBorder="1" applyAlignment="1">
      <alignment horizontal="center"/>
    </xf>
    <xf numFmtId="0" fontId="161" fillId="0" borderId="0" xfId="0" applyFont="1" applyBorder="1" applyAlignment="1">
      <alignment horizontal="centerContinuous"/>
    </xf>
    <xf numFmtId="0" fontId="161" fillId="0" borderId="0" xfId="0" applyFont="1" applyFill="1" applyBorder="1" applyAlignment="1">
      <alignment horizontal="centerContinuous"/>
    </xf>
    <xf numFmtId="0" fontId="161" fillId="0" borderId="0" xfId="0" applyFont="1" applyFill="1" applyBorder="1" applyAlignment="1">
      <alignment horizontal="center" wrapText="1"/>
    </xf>
    <xf numFmtId="0" fontId="161" fillId="0" borderId="12" xfId="0" applyFont="1" applyBorder="1" applyAlignment="1">
      <alignment horizontal="centerContinuous"/>
    </xf>
    <xf numFmtId="0" fontId="161" fillId="0" borderId="0" xfId="37578" applyFont="1" applyBorder="1" applyAlignment="1">
      <alignment horizontal="center"/>
    </xf>
    <xf numFmtId="0" fontId="161" fillId="0" borderId="0" xfId="0" applyFont="1" applyBorder="1" applyAlignment="1">
      <alignment horizontal="center"/>
    </xf>
    <xf numFmtId="0" fontId="150" fillId="102" borderId="0" xfId="17973" applyFont="1" applyFill="1" applyAlignment="1">
      <alignment horizontal="centerContinuous"/>
    </xf>
    <xf numFmtId="0" fontId="160" fillId="0" borderId="0" xfId="37578" applyFont="1" applyBorder="1" applyAlignment="1">
      <alignment horizontal="center"/>
    </xf>
    <xf numFmtId="0" fontId="150" fillId="52" borderId="0" xfId="0" applyFont="1" applyFill="1" applyAlignment="1">
      <alignment horizontal="left" vertical="top" wrapText="1"/>
    </xf>
    <xf numFmtId="0" fontId="161" fillId="0" borderId="0" xfId="17973" applyFont="1" applyBorder="1" applyAlignment="1">
      <alignment horizontal="right" vertical="top" wrapText="1"/>
    </xf>
    <xf numFmtId="0" fontId="168" fillId="0" borderId="0" xfId="17973" applyFont="1" applyFill="1" applyBorder="1" applyAlignment="1">
      <alignment horizontal="center" vertical="center" wrapText="1"/>
    </xf>
    <xf numFmtId="0" fontId="161" fillId="0" borderId="0" xfId="0" applyFont="1" applyFill="1" applyBorder="1" applyAlignment="1">
      <alignment horizontal="center" vertical="center" wrapText="1"/>
    </xf>
    <xf numFmtId="0" fontId="150" fillId="0" borderId="0" xfId="17973" applyFont="1" applyBorder="1" applyAlignment="1">
      <alignment horizontal="right"/>
    </xf>
    <xf numFmtId="0" fontId="150" fillId="0" borderId="0" xfId="17973" applyFont="1" applyBorder="1"/>
    <xf numFmtId="0" fontId="150" fillId="0" borderId="12" xfId="17973" applyFont="1" applyBorder="1" applyAlignment="1">
      <alignment horizontal="right"/>
    </xf>
    <xf numFmtId="0" fontId="150" fillId="0" borderId="12" xfId="17973" applyFont="1" applyBorder="1"/>
    <xf numFmtId="0" fontId="161" fillId="0" borderId="12" xfId="0" applyFont="1" applyFill="1" applyBorder="1" applyAlignment="1">
      <alignment horizontal="center" wrapText="1"/>
    </xf>
    <xf numFmtId="10" fontId="162" fillId="0" borderId="0" xfId="17973" applyNumberFormat="1" applyFont="1" applyBorder="1" applyAlignment="1">
      <alignment horizontal="right" indent="2"/>
    </xf>
    <xf numFmtId="0" fontId="150" fillId="0" borderId="0" xfId="17973" applyFont="1" applyAlignment="1">
      <alignment horizontal="center"/>
    </xf>
    <xf numFmtId="0" fontId="150" fillId="0" borderId="0" xfId="17973" applyFont="1" applyBorder="1" applyAlignment="1">
      <alignment horizontal="right" indent="2"/>
    </xf>
    <xf numFmtId="0" fontId="161" fillId="52" borderId="0" xfId="0" applyFont="1" applyFill="1" applyAlignment="1">
      <alignment horizontal="left"/>
    </xf>
    <xf numFmtId="0" fontId="161" fillId="0" borderId="0" xfId="17973" applyFont="1" applyBorder="1" applyAlignment="1">
      <alignment horizontal="right" indent="2"/>
    </xf>
    <xf numFmtId="0" fontId="150" fillId="0" borderId="0" xfId="17973" quotePrefix="1" applyFont="1" applyBorder="1" applyAlignment="1">
      <alignment horizontal="right"/>
    </xf>
    <xf numFmtId="0" fontId="161" fillId="0" borderId="0" xfId="17973" applyFont="1" applyBorder="1" applyAlignment="1">
      <alignment horizontal="right"/>
    </xf>
    <xf numFmtId="0" fontId="161" fillId="0" borderId="0" xfId="17973" applyFont="1" applyBorder="1"/>
    <xf numFmtId="0" fontId="161" fillId="0" borderId="0" xfId="37578" applyFont="1"/>
    <xf numFmtId="3" fontId="150" fillId="0" borderId="0" xfId="37578" applyNumberFormat="1" applyFont="1" applyFill="1"/>
    <xf numFmtId="164" fontId="150" fillId="0" borderId="0" xfId="144" applyNumberFormat="1" applyFont="1"/>
    <xf numFmtId="0" fontId="150" fillId="31" borderId="0" xfId="0" applyFont="1" applyFill="1"/>
    <xf numFmtId="0" fontId="161" fillId="0" borderId="0" xfId="0" applyFont="1" applyAlignment="1">
      <alignment horizontal="right"/>
    </xf>
    <xf numFmtId="0" fontId="162" fillId="0" borderId="0" xfId="0" applyFont="1"/>
    <xf numFmtId="0" fontId="173" fillId="0" borderId="0" xfId="0" applyFont="1"/>
    <xf numFmtId="0" fontId="161" fillId="31" borderId="0" xfId="0" applyFont="1" applyFill="1"/>
    <xf numFmtId="0" fontId="161" fillId="0" borderId="0" xfId="0" applyFont="1" applyAlignment="1">
      <alignment horizontal="right" wrapText="1"/>
    </xf>
    <xf numFmtId="0" fontId="162" fillId="0" borderId="0" xfId="0" applyFont="1" applyAlignment="1">
      <alignment horizontal="right"/>
    </xf>
    <xf numFmtId="10" fontId="163" fillId="0" borderId="0" xfId="0" applyNumberFormat="1" applyFont="1"/>
    <xf numFmtId="0" fontId="174" fillId="0" borderId="0" xfId="0" applyFont="1"/>
    <xf numFmtId="0" fontId="162" fillId="31" borderId="0" xfId="0" applyFont="1" applyFill="1"/>
    <xf numFmtId="0" fontId="150" fillId="31" borderId="0" xfId="0" applyFont="1" applyFill="1" applyAlignment="1">
      <alignment horizontal="left"/>
    </xf>
    <xf numFmtId="10" fontId="170" fillId="0" borderId="0" xfId="144" applyNumberFormat="1" applyFont="1" applyAlignment="1">
      <alignment horizontal="right"/>
    </xf>
    <xf numFmtId="3" fontId="170" fillId="0" borderId="0" xfId="0" applyNumberFormat="1" applyFont="1"/>
    <xf numFmtId="3" fontId="150" fillId="0" borderId="0" xfId="0" applyNumberFormat="1" applyFont="1"/>
    <xf numFmtId="0" fontId="150" fillId="52" borderId="0" xfId="37580" applyFont="1" applyFill="1"/>
    <xf numFmtId="0" fontId="150" fillId="0" borderId="0" xfId="37580" applyFont="1" applyAlignment="1">
      <alignment horizontal="center"/>
    </xf>
    <xf numFmtId="0" fontId="150" fillId="0" borderId="0" xfId="37580" applyFont="1"/>
    <xf numFmtId="0" fontId="150" fillId="0" borderId="0" xfId="37580" applyFont="1" applyFill="1" applyAlignment="1">
      <alignment horizontal="center"/>
    </xf>
    <xf numFmtId="0" fontId="175" fillId="0" borderId="0" xfId="37580" applyFont="1" applyFill="1" applyBorder="1" applyAlignment="1"/>
    <xf numFmtId="0" fontId="150" fillId="0" borderId="11" xfId="37580" applyFont="1" applyBorder="1"/>
    <xf numFmtId="0" fontId="150" fillId="0" borderId="11" xfId="37580" applyFont="1" applyBorder="1" applyAlignment="1">
      <alignment horizontal="center"/>
    </xf>
    <xf numFmtId="0" fontId="150" fillId="0" borderId="28" xfId="37580" applyFont="1" applyBorder="1" applyAlignment="1">
      <alignment horizontal="center"/>
    </xf>
    <xf numFmtId="0" fontId="176" fillId="0" borderId="0" xfId="37581" applyFont="1" applyBorder="1" applyAlignment="1"/>
    <xf numFmtId="0" fontId="161" fillId="0" borderId="0" xfId="17973" applyFont="1" applyFill="1" applyBorder="1" applyAlignment="1">
      <alignment horizontal="centerContinuous"/>
    </xf>
    <xf numFmtId="0" fontId="150" fillId="0" borderId="0" xfId="17973" applyFont="1" applyBorder="1" applyAlignment="1">
      <alignment horizontal="centerContinuous"/>
    </xf>
    <xf numFmtId="0" fontId="161" fillId="0" borderId="0" xfId="37580" applyFont="1" applyBorder="1" applyAlignment="1">
      <alignment vertical="center"/>
    </xf>
    <xf numFmtId="0" fontId="161" fillId="0" borderId="0" xfId="17973" applyFont="1" applyAlignment="1">
      <alignment horizontal="right" vertical="top" wrapText="1"/>
    </xf>
    <xf numFmtId="0" fontId="161" fillId="0" borderId="0" xfId="37580" applyFont="1" applyFill="1" applyBorder="1" applyAlignment="1">
      <alignment horizontal="center" vertical="center" wrapText="1"/>
    </xf>
    <xf numFmtId="0" fontId="161" fillId="0" borderId="12" xfId="37580" applyFont="1" applyBorder="1"/>
    <xf numFmtId="0" fontId="161" fillId="0" borderId="12" xfId="37580" applyFont="1" applyFill="1" applyBorder="1" applyAlignment="1">
      <alignment horizontal="center" wrapText="1"/>
    </xf>
    <xf numFmtId="0" fontId="150" fillId="0" borderId="0" xfId="37580" applyFont="1" applyBorder="1"/>
    <xf numFmtId="4" fontId="150" fillId="0" borderId="0" xfId="37580" applyNumberFormat="1" applyFont="1" applyBorder="1" applyAlignment="1">
      <alignment horizontal="center" wrapText="1"/>
    </xf>
    <xf numFmtId="0" fontId="150" fillId="0" borderId="0" xfId="37580" applyFont="1" applyBorder="1" applyAlignment="1">
      <alignment horizontal="center"/>
    </xf>
    <xf numFmtId="0" fontId="161" fillId="0" borderId="0" xfId="37580" applyFont="1" applyFill="1" applyBorder="1"/>
    <xf numFmtId="0" fontId="161" fillId="0" borderId="0" xfId="37580" applyFont="1" applyBorder="1" applyAlignment="1">
      <alignment horizontal="center" wrapText="1"/>
    </xf>
    <xf numFmtId="0" fontId="161" fillId="0" borderId="0" xfId="37580" applyFont="1" applyFill="1" applyBorder="1" applyAlignment="1">
      <alignment horizontal="center" wrapText="1"/>
    </xf>
    <xf numFmtId="0" fontId="150" fillId="0" borderId="0" xfId="37580" applyFont="1" applyFill="1" applyBorder="1" applyAlignment="1">
      <alignment horizontal="left" indent="1"/>
    </xf>
    <xf numFmtId="10" fontId="173" fillId="0" borderId="0" xfId="17973" applyNumberFormat="1" applyFont="1"/>
    <xf numFmtId="10" fontId="150" fillId="0" borderId="0" xfId="17973" applyNumberFormat="1" applyFont="1" applyAlignment="1">
      <alignment horizontal="right"/>
    </xf>
    <xf numFmtId="3" fontId="173" fillId="0" borderId="0" xfId="37580" applyNumberFormat="1" applyFont="1" applyFill="1" applyBorder="1" applyAlignment="1">
      <alignment horizontal="right" wrapText="1" indent="2"/>
    </xf>
    <xf numFmtId="0" fontId="150" fillId="0" borderId="0" xfId="37580" applyFont="1" applyFill="1" applyBorder="1"/>
    <xf numFmtId="0" fontId="175" fillId="0" borderId="0" xfId="17973" applyFont="1"/>
    <xf numFmtId="0" fontId="27" fillId="0" borderId="0" xfId="37578" applyFont="1" applyFill="1" applyBorder="1" applyAlignment="1">
      <alignment horizontal="left" indent="1"/>
    </xf>
    <xf numFmtId="0" fontId="161" fillId="0" borderId="0" xfId="37580" applyFont="1"/>
    <xf numFmtId="0" fontId="150" fillId="0" borderId="12" xfId="37580" applyFont="1" applyFill="1" applyBorder="1"/>
    <xf numFmtId="4" fontId="173" fillId="0" borderId="12" xfId="37580" applyNumberFormat="1" applyFont="1" applyBorder="1" applyAlignment="1">
      <alignment horizontal="right" indent="2"/>
    </xf>
    <xf numFmtId="4" fontId="173" fillId="0" borderId="12" xfId="37580" applyNumberFormat="1" applyFont="1" applyFill="1" applyBorder="1" applyAlignment="1">
      <alignment horizontal="right" indent="1"/>
    </xf>
    <xf numFmtId="3" fontId="150" fillId="0" borderId="0" xfId="37580" applyNumberFormat="1" applyFont="1" applyBorder="1" applyAlignment="1">
      <alignment horizontal="right" indent="2"/>
    </xf>
    <xf numFmtId="3" fontId="150" fillId="0" borderId="0" xfId="37580" applyNumberFormat="1" applyFont="1" applyFill="1" applyBorder="1" applyAlignment="1">
      <alignment horizontal="right" indent="1"/>
    </xf>
    <xf numFmtId="0" fontId="150" fillId="0" borderId="11" xfId="37580" applyFont="1" applyFill="1" applyBorder="1"/>
    <xf numFmtId="3" fontId="150" fillId="0" borderId="11" xfId="37580" applyNumberFormat="1" applyFont="1" applyBorder="1" applyAlignment="1">
      <alignment horizontal="center"/>
    </xf>
    <xf numFmtId="3" fontId="150" fillId="0" borderId="11" xfId="37580" applyNumberFormat="1" applyFont="1" applyFill="1" applyBorder="1" applyAlignment="1">
      <alignment horizontal="center"/>
    </xf>
    <xf numFmtId="0" fontId="150" fillId="0" borderId="0" xfId="37580" applyFont="1" applyFill="1" applyBorder="1" applyAlignment="1">
      <alignment horizontal="center"/>
    </xf>
    <xf numFmtId="0" fontId="161" fillId="0" borderId="0" xfId="37580" applyFont="1" applyBorder="1"/>
    <xf numFmtId="0" fontId="150" fillId="0" borderId="0" xfId="37580" applyFont="1" applyFill="1"/>
    <xf numFmtId="0" fontId="178" fillId="0" borderId="0" xfId="17973" applyFont="1" applyAlignment="1">
      <alignment horizontal="justify" vertical="center"/>
    </xf>
    <xf numFmtId="0" fontId="150" fillId="100" borderId="0" xfId="0" applyFont="1" applyFill="1"/>
    <xf numFmtId="10" fontId="150" fillId="0" borderId="0" xfId="144" applyNumberFormat="1" applyFont="1"/>
    <xf numFmtId="0" fontId="150" fillId="0" borderId="0" xfId="0" applyFont="1" applyFill="1" applyAlignment="1">
      <alignment horizontal="left"/>
    </xf>
    <xf numFmtId="0" fontId="174" fillId="0" borderId="0" xfId="0" applyFont="1" applyAlignment="1">
      <alignment horizontal="right"/>
    </xf>
    <xf numFmtId="2" fontId="150" fillId="0" borderId="0" xfId="0" applyNumberFormat="1" applyFont="1"/>
    <xf numFmtId="0" fontId="161" fillId="0" borderId="0" xfId="0" applyFont="1" applyAlignment="1">
      <alignment horizontal="left" vertical="top"/>
    </xf>
    <xf numFmtId="0" fontId="150" fillId="0" borderId="12" xfId="0" applyFont="1" applyBorder="1"/>
    <xf numFmtId="0" fontId="150" fillId="0" borderId="0" xfId="0" applyFont="1" applyBorder="1"/>
    <xf numFmtId="0" fontId="150" fillId="0" borderId="0" xfId="0" applyNumberFormat="1" applyFont="1" applyAlignment="1">
      <alignment horizontal="center"/>
    </xf>
    <xf numFmtId="8" fontId="150" fillId="0" borderId="0" xfId="0" applyNumberFormat="1" applyFont="1" applyAlignment="1">
      <alignment horizontal="center"/>
    </xf>
    <xf numFmtId="0" fontId="150" fillId="0" borderId="0" xfId="0" applyFont="1" applyAlignment="1">
      <alignment horizontal="left"/>
    </xf>
    <xf numFmtId="0" fontId="150" fillId="0" borderId="11" xfId="0" applyFont="1" applyBorder="1" applyAlignment="1">
      <alignment horizontal="left"/>
    </xf>
    <xf numFmtId="0" fontId="150" fillId="0" borderId="11" xfId="0" applyFont="1" applyBorder="1" applyAlignment="1">
      <alignment horizontal="center"/>
    </xf>
    <xf numFmtId="0" fontId="150" fillId="0" borderId="0" xfId="0" applyFont="1" applyAlignment="1">
      <alignment horizontal="center"/>
    </xf>
    <xf numFmtId="0" fontId="161" fillId="0" borderId="0" xfId="0" applyFont="1" applyAlignment="1">
      <alignment horizontal="left"/>
    </xf>
    <xf numFmtId="166" fontId="150" fillId="0" borderId="0" xfId="0" applyNumberFormat="1" applyFont="1"/>
    <xf numFmtId="0" fontId="150" fillId="0" borderId="0" xfId="17973" applyFont="1" applyFill="1" applyBorder="1"/>
    <xf numFmtId="168" fontId="150" fillId="0" borderId="0" xfId="177" applyNumberFormat="1" applyFont="1" applyAlignment="1">
      <alignment horizontal="right"/>
    </xf>
    <xf numFmtId="0" fontId="150" fillId="0" borderId="11" xfId="177" applyFont="1" applyBorder="1" applyAlignment="1">
      <alignment horizontal="right"/>
    </xf>
    <xf numFmtId="0" fontId="150" fillId="0" borderId="11" xfId="177" applyFont="1" applyBorder="1"/>
    <xf numFmtId="0" fontId="161" fillId="0" borderId="0" xfId="17973" applyFont="1" applyAlignment="1">
      <alignment horizontal="left"/>
    </xf>
    <xf numFmtId="168" fontId="161" fillId="0" borderId="0" xfId="177" applyNumberFormat="1" applyFont="1" applyAlignment="1">
      <alignment horizontal="left"/>
    </xf>
    <xf numFmtId="0" fontId="161" fillId="0" borderId="0" xfId="17973" applyFont="1" applyBorder="1" applyAlignment="1">
      <alignment horizontal="left"/>
    </xf>
    <xf numFmtId="0" fontId="160" fillId="0" borderId="0" xfId="17973" applyFont="1" applyBorder="1" applyAlignment="1">
      <alignment horizontal="right"/>
    </xf>
    <xf numFmtId="0" fontId="150" fillId="0" borderId="12" xfId="17973" applyFont="1" applyBorder="1" applyAlignment="1">
      <alignment horizontal="center"/>
    </xf>
    <xf numFmtId="0" fontId="160" fillId="0" borderId="12" xfId="17973" applyFont="1" applyBorder="1" applyAlignment="1">
      <alignment horizontal="right"/>
    </xf>
    <xf numFmtId="10" fontId="150" fillId="0" borderId="0" xfId="177" applyNumberFormat="1" applyFont="1"/>
    <xf numFmtId="0" fontId="161" fillId="0" borderId="11" xfId="177" applyFont="1" applyBorder="1" applyAlignment="1">
      <alignment horizontal="right"/>
    </xf>
    <xf numFmtId="0" fontId="180" fillId="27" borderId="0" xfId="85" applyFont="1" applyFill="1" applyAlignment="1" applyProtection="1"/>
    <xf numFmtId="173" fontId="150" fillId="0" borderId="0" xfId="144" applyNumberFormat="1" applyFont="1"/>
    <xf numFmtId="0" fontId="150" fillId="0" borderId="0" xfId="177" applyFont="1" applyFill="1" applyAlignment="1">
      <alignment horizontal="right"/>
    </xf>
    <xf numFmtId="0" fontId="181" fillId="107" borderId="0" xfId="17973" applyFont="1" applyFill="1" applyBorder="1" applyAlignment="1">
      <alignment horizontal="left" vertical="center" wrapText="1"/>
    </xf>
    <xf numFmtId="0" fontId="30" fillId="107" borderId="0" xfId="37894" applyFont="1" applyFill="1" applyAlignment="1">
      <alignment horizontal="center" vertical="center"/>
    </xf>
    <xf numFmtId="0" fontId="150" fillId="107" borderId="0" xfId="17973" applyFont="1" applyFill="1" applyAlignment="1">
      <alignment horizontal="center" vertical="center"/>
    </xf>
    <xf numFmtId="168" fontId="150" fillId="107" borderId="0" xfId="177" applyNumberFormat="1" applyFont="1" applyFill="1" applyAlignment="1">
      <alignment vertical="center"/>
    </xf>
    <xf numFmtId="10" fontId="30" fillId="107" borderId="0" xfId="37811" applyNumberFormat="1" applyFont="1" applyFill="1" applyAlignment="1">
      <alignment vertical="center"/>
    </xf>
    <xf numFmtId="10" fontId="162" fillId="107" borderId="0" xfId="37811" applyNumberFormat="1" applyFont="1" applyFill="1" applyAlignment="1">
      <alignment vertical="center"/>
    </xf>
    <xf numFmtId="168" fontId="161" fillId="0" borderId="11" xfId="37811" applyNumberFormat="1" applyFont="1" applyBorder="1"/>
    <xf numFmtId="168" fontId="161" fillId="0" borderId="0" xfId="37811" applyNumberFormat="1" applyFont="1"/>
    <xf numFmtId="0" fontId="150" fillId="0" borderId="0" xfId="177" applyFont="1" applyFill="1"/>
    <xf numFmtId="0" fontId="150" fillId="0" borderId="45" xfId="17973" applyFont="1" applyFill="1" applyBorder="1" applyAlignment="1">
      <alignment horizontal="center"/>
    </xf>
    <xf numFmtId="0" fontId="150" fillId="0" borderId="28" xfId="17973" applyFont="1" applyFill="1" applyBorder="1" applyAlignment="1">
      <alignment horizontal="center"/>
    </xf>
    <xf numFmtId="0" fontId="150" fillId="0" borderId="23" xfId="17973" applyFont="1" applyBorder="1" applyAlignment="1"/>
    <xf numFmtId="0" fontId="150" fillId="0" borderId="22" xfId="37578" applyFont="1" applyBorder="1" applyAlignment="1"/>
    <xf numFmtId="0" fontId="161" fillId="0" borderId="0" xfId="37578" applyFont="1" applyFill="1" applyBorder="1" applyAlignment="1">
      <alignment horizontal="center" wrapText="1"/>
    </xf>
    <xf numFmtId="0" fontId="161" fillId="0" borderId="43" xfId="17973" applyFont="1" applyFill="1" applyBorder="1" applyAlignment="1">
      <alignment horizontal="center" wrapText="1"/>
    </xf>
    <xf numFmtId="0" fontId="161" fillId="0" borderId="26" xfId="17973" applyFont="1" applyFill="1" applyBorder="1" applyAlignment="1">
      <alignment horizontal="center" wrapText="1"/>
    </xf>
    <xf numFmtId="0" fontId="161" fillId="0" borderId="27" xfId="17973" applyFont="1" applyFill="1" applyBorder="1" applyAlignment="1">
      <alignment horizontal="center" wrapText="1"/>
    </xf>
    <xf numFmtId="0" fontId="161" fillId="0" borderId="44" xfId="17973" applyFont="1" applyFill="1" applyBorder="1" applyAlignment="1">
      <alignment horizontal="center" vertical="center" wrapText="1"/>
    </xf>
    <xf numFmtId="0" fontId="161" fillId="0" borderId="22" xfId="17973" applyFont="1" applyFill="1" applyBorder="1" applyAlignment="1">
      <alignment horizontal="center" vertical="center" wrapText="1"/>
    </xf>
    <xf numFmtId="0" fontId="161" fillId="0" borderId="22" xfId="17973" applyFont="1" applyBorder="1" applyAlignment="1">
      <alignment horizontal="left" vertical="center"/>
    </xf>
    <xf numFmtId="0" fontId="161" fillId="0" borderId="0" xfId="17973" applyFont="1" applyBorder="1" applyAlignment="1">
      <alignment horizontal="center" vertical="top" wrapText="1"/>
    </xf>
    <xf numFmtId="0" fontId="161" fillId="0" borderId="22" xfId="17973" applyFont="1" applyBorder="1" applyAlignment="1">
      <alignment horizontal="center"/>
    </xf>
    <xf numFmtId="0" fontId="161" fillId="0" borderId="24" xfId="17973" applyFont="1" applyBorder="1" applyAlignment="1">
      <alignment horizontal="center"/>
    </xf>
    <xf numFmtId="0" fontId="182" fillId="108" borderId="0" xfId="37578" applyFont="1" applyFill="1" applyBorder="1"/>
    <xf numFmtId="0" fontId="183" fillId="108" borderId="0" xfId="17973" applyFont="1" applyFill="1"/>
    <xf numFmtId="0" fontId="183" fillId="108" borderId="22" xfId="37578" applyFont="1" applyFill="1" applyBorder="1" applyAlignment="1"/>
    <xf numFmtId="0" fontId="150" fillId="107" borderId="0" xfId="37578" applyFont="1" applyFill="1" applyBorder="1" applyAlignment="1">
      <alignment horizontal="left" indent="2"/>
    </xf>
    <xf numFmtId="3" fontId="150" fillId="107" borderId="44" xfId="37579" applyNumberFormat="1" applyFont="1" applyFill="1" applyBorder="1" applyAlignment="1">
      <alignment horizontal="right" wrapText="1" indent="1"/>
    </xf>
    <xf numFmtId="3" fontId="150" fillId="107" borderId="0" xfId="37579" applyNumberFormat="1" applyFont="1" applyFill="1" applyBorder="1" applyAlignment="1">
      <alignment horizontal="right" wrapText="1" indent="1"/>
    </xf>
    <xf numFmtId="3" fontId="150" fillId="107" borderId="22" xfId="37579" applyNumberFormat="1" applyFont="1" applyFill="1" applyBorder="1" applyAlignment="1">
      <alignment horizontal="right" wrapText="1" indent="1"/>
    </xf>
    <xf numFmtId="0" fontId="150" fillId="105" borderId="0" xfId="37578" applyFont="1" applyFill="1" applyBorder="1" applyAlignment="1">
      <alignment horizontal="left" indent="2"/>
    </xf>
    <xf numFmtId="0" fontId="150" fillId="105" borderId="0" xfId="17973" applyFont="1" applyFill="1" applyBorder="1" applyAlignment="1">
      <alignment horizontal="right" indent="5"/>
    </xf>
    <xf numFmtId="3" fontId="150" fillId="105" borderId="44" xfId="37579" applyNumberFormat="1" applyFont="1" applyFill="1" applyBorder="1" applyAlignment="1">
      <alignment horizontal="right" wrapText="1" indent="1"/>
    </xf>
    <xf numFmtId="3" fontId="150" fillId="105" borderId="0" xfId="37579" applyNumberFormat="1" applyFont="1" applyFill="1" applyBorder="1" applyAlignment="1">
      <alignment horizontal="right" wrapText="1" indent="1"/>
    </xf>
    <xf numFmtId="3" fontId="150" fillId="105" borderId="22" xfId="37579" applyNumberFormat="1" applyFont="1" applyFill="1" applyBorder="1" applyAlignment="1">
      <alignment horizontal="right" wrapText="1" indent="1"/>
    </xf>
    <xf numFmtId="0" fontId="150" fillId="0" borderId="22" xfId="37578" applyFont="1" applyBorder="1" applyAlignment="1">
      <alignment horizontal="left"/>
    </xf>
    <xf numFmtId="0" fontId="161" fillId="105" borderId="0" xfId="37578" applyFont="1" applyFill="1" applyBorder="1"/>
    <xf numFmtId="0" fontId="150" fillId="0" borderId="0" xfId="17973" applyFont="1" applyBorder="1" applyAlignment="1">
      <alignment horizontal="right" indent="5"/>
    </xf>
    <xf numFmtId="0" fontId="150" fillId="107" borderId="0" xfId="37578" applyFont="1" applyFill="1" applyBorder="1" applyAlignment="1">
      <alignment horizontal="left" indent="1"/>
    </xf>
    <xf numFmtId="0" fontId="160" fillId="105" borderId="0" xfId="37578" applyFont="1" applyFill="1" applyBorder="1" applyAlignment="1">
      <alignment horizontal="left" indent="1"/>
    </xf>
    <xf numFmtId="174" fontId="150" fillId="105" borderId="0" xfId="37747" applyNumberFormat="1" applyFont="1" applyFill="1" applyBorder="1" applyAlignment="1">
      <alignment horizontal="left" indent="2"/>
    </xf>
    <xf numFmtId="174" fontId="150" fillId="107" borderId="22" xfId="37747" applyNumberFormat="1" applyFont="1" applyFill="1" applyBorder="1" applyAlignment="1">
      <alignment horizontal="left" indent="2"/>
    </xf>
    <xf numFmtId="0" fontId="150" fillId="107" borderId="0" xfId="37578" applyFont="1" applyFill="1" applyBorder="1" applyAlignment="1">
      <alignment horizontal="left" wrapText="1" indent="1"/>
    </xf>
    <xf numFmtId="0" fontId="150" fillId="105" borderId="0" xfId="37578" applyFont="1" applyFill="1" applyBorder="1" applyAlignment="1">
      <alignment horizontal="left" indent="1"/>
    </xf>
    <xf numFmtId="174" fontId="150" fillId="105" borderId="22" xfId="37747" applyNumberFormat="1" applyFont="1" applyFill="1" applyBorder="1" applyAlignment="1">
      <alignment horizontal="left" indent="2"/>
    </xf>
    <xf numFmtId="0" fontId="150" fillId="0" borderId="0" xfId="17973" applyFont="1" applyFill="1" applyBorder="1" applyAlignment="1">
      <alignment horizontal="right" indent="5"/>
    </xf>
    <xf numFmtId="0" fontId="161" fillId="105" borderId="0" xfId="17973" applyFont="1" applyFill="1" applyBorder="1" applyAlignment="1">
      <alignment horizontal="right" indent="5"/>
    </xf>
    <xf numFmtId="174" fontId="161" fillId="105" borderId="0" xfId="37747" applyNumberFormat="1" applyFont="1" applyFill="1" applyBorder="1" applyAlignment="1">
      <alignment horizontal="left" indent="2"/>
    </xf>
    <xf numFmtId="0" fontId="150" fillId="0" borderId="12" xfId="37578" applyFont="1" applyFill="1" applyBorder="1" applyAlignment="1">
      <alignment horizontal="right" indent="5"/>
    </xf>
    <xf numFmtId="0" fontId="150" fillId="0" borderId="24" xfId="37578" applyFont="1" applyBorder="1" applyAlignment="1"/>
    <xf numFmtId="0" fontId="150" fillId="0" borderId="0" xfId="37578" applyFont="1" applyFill="1" applyBorder="1" applyAlignment="1">
      <alignment horizontal="right" indent="5"/>
    </xf>
    <xf numFmtId="0" fontId="150" fillId="108" borderId="0" xfId="17973" applyFont="1" applyFill="1"/>
    <xf numFmtId="0" fontId="182" fillId="0" borderId="0" xfId="37578" applyFont="1" applyFill="1" applyBorder="1"/>
    <xf numFmtId="0" fontId="183" fillId="0" borderId="22" xfId="37578" applyFont="1" applyFill="1" applyBorder="1" applyAlignment="1"/>
    <xf numFmtId="0" fontId="150" fillId="105" borderId="0" xfId="17973" quotePrefix="1" applyFont="1" applyFill="1" applyBorder="1" applyAlignment="1">
      <alignment horizontal="right" indent="5"/>
    </xf>
    <xf numFmtId="0" fontId="150" fillId="105" borderId="0" xfId="17973" applyFont="1" applyFill="1"/>
    <xf numFmtId="0" fontId="150" fillId="32" borderId="0" xfId="37578" applyFont="1" applyFill="1" applyBorder="1" applyAlignment="1">
      <alignment horizontal="left" indent="1"/>
    </xf>
    <xf numFmtId="0" fontId="150" fillId="32" borderId="0" xfId="17973" applyFont="1" applyFill="1"/>
    <xf numFmtId="10" fontId="150" fillId="32" borderId="0" xfId="17973" applyNumberFormat="1" applyFont="1" applyFill="1" applyBorder="1" applyAlignment="1">
      <alignment horizontal="right" indent="5"/>
    </xf>
    <xf numFmtId="0" fontId="160" fillId="105" borderId="0" xfId="37578" applyFont="1" applyFill="1" applyBorder="1" applyAlignment="1">
      <alignment horizontal="left"/>
    </xf>
    <xf numFmtId="174" fontId="161" fillId="105" borderId="22" xfId="37747" applyNumberFormat="1" applyFont="1" applyFill="1" applyBorder="1" applyAlignment="1">
      <alignment horizontal="left" indent="2"/>
    </xf>
    <xf numFmtId="0" fontId="161" fillId="105" borderId="22" xfId="37578" applyFont="1" applyFill="1" applyBorder="1"/>
    <xf numFmtId="0" fontId="150" fillId="107" borderId="0" xfId="17973" applyFont="1" applyFill="1"/>
    <xf numFmtId="0" fontId="150" fillId="0" borderId="0" xfId="37578" applyFont="1" applyFill="1" applyAlignment="1">
      <alignment vertical="top" wrapText="1"/>
    </xf>
    <xf numFmtId="0" fontId="150" fillId="105" borderId="0" xfId="37578" applyFont="1" applyFill="1" applyAlignment="1">
      <alignment vertical="top" wrapText="1"/>
    </xf>
    <xf numFmtId="0" fontId="150" fillId="32" borderId="0" xfId="37578" applyFont="1" applyFill="1" applyBorder="1"/>
    <xf numFmtId="0" fontId="150" fillId="109" borderId="0" xfId="17973" applyFont="1" applyFill="1"/>
    <xf numFmtId="0" fontId="150" fillId="0" borderId="12" xfId="37578" applyFont="1" applyBorder="1"/>
    <xf numFmtId="0" fontId="150" fillId="0" borderId="12" xfId="37578" applyFont="1" applyFill="1" applyBorder="1" applyAlignment="1">
      <alignment horizontal="center"/>
    </xf>
    <xf numFmtId="0" fontId="150" fillId="0" borderId="25" xfId="37578" applyFont="1" applyFill="1" applyBorder="1" applyAlignment="1">
      <alignment horizontal="center"/>
    </xf>
    <xf numFmtId="0" fontId="150" fillId="0" borderId="26" xfId="37578" applyFont="1" applyBorder="1"/>
    <xf numFmtId="3" fontId="150" fillId="0" borderId="26" xfId="37578" applyNumberFormat="1" applyFont="1" applyFill="1" applyBorder="1"/>
    <xf numFmtId="3" fontId="150" fillId="0" borderId="43" xfId="37578" applyNumberFormat="1" applyFont="1" applyFill="1" applyBorder="1"/>
    <xf numFmtId="3" fontId="150" fillId="0" borderId="0" xfId="17973" applyNumberFormat="1" applyFont="1" applyFill="1"/>
    <xf numFmtId="3" fontId="150" fillId="0" borderId="12" xfId="17973" applyNumberFormat="1" applyFont="1" applyFill="1" applyBorder="1"/>
    <xf numFmtId="3" fontId="150" fillId="0" borderId="25" xfId="17973" applyNumberFormat="1" applyFont="1" applyFill="1" applyBorder="1"/>
    <xf numFmtId="0" fontId="150" fillId="0" borderId="0" xfId="37580" applyFont="1" applyFill="1" applyBorder="1" applyAlignment="1"/>
    <xf numFmtId="0" fontId="150" fillId="0" borderId="45" xfId="37580" applyFont="1" applyBorder="1" applyAlignment="1">
      <alignment horizontal="center"/>
    </xf>
    <xf numFmtId="0" fontId="150" fillId="0" borderId="23" xfId="37580" applyFont="1" applyBorder="1" applyAlignment="1">
      <alignment horizontal="center"/>
    </xf>
    <xf numFmtId="0" fontId="150" fillId="0" borderId="23" xfId="37580" applyFont="1" applyBorder="1"/>
    <xf numFmtId="0" fontId="161" fillId="0" borderId="0" xfId="37581" applyFont="1" applyBorder="1" applyAlignment="1"/>
    <xf numFmtId="0" fontId="161" fillId="0" borderId="22" xfId="37580" applyFont="1" applyBorder="1" applyAlignment="1">
      <alignment vertical="center"/>
    </xf>
    <xf numFmtId="0" fontId="161" fillId="0" borderId="44" xfId="37580" applyFont="1" applyFill="1" applyBorder="1" applyAlignment="1">
      <alignment horizontal="center" vertical="center" wrapText="1"/>
    </xf>
    <xf numFmtId="0" fontId="161" fillId="0" borderId="22" xfId="37580" applyFont="1" applyFill="1" applyBorder="1" applyAlignment="1">
      <alignment horizontal="center" vertical="center" wrapText="1"/>
    </xf>
    <xf numFmtId="0" fontId="161" fillId="0" borderId="25" xfId="37580" applyFont="1" applyFill="1" applyBorder="1" applyAlignment="1">
      <alignment horizontal="center" wrapText="1"/>
    </xf>
    <xf numFmtId="0" fontId="161" fillId="0" borderId="24" xfId="37580" applyFont="1" applyFill="1" applyBorder="1" applyAlignment="1">
      <alignment horizontal="center" wrapText="1"/>
    </xf>
    <xf numFmtId="0" fontId="161" fillId="0" borderId="24" xfId="37580" applyFont="1" applyBorder="1" applyAlignment="1">
      <alignment horizontal="center"/>
    </xf>
    <xf numFmtId="4" fontId="150" fillId="0" borderId="44" xfId="37580" applyNumberFormat="1" applyFont="1" applyBorder="1" applyAlignment="1">
      <alignment horizontal="center" wrapText="1"/>
    </xf>
    <xf numFmtId="4" fontId="150" fillId="0" borderId="22" xfId="37580" applyNumberFormat="1" applyFont="1" applyBorder="1" applyAlignment="1">
      <alignment horizontal="center" wrapText="1"/>
    </xf>
    <xf numFmtId="0" fontId="150" fillId="0" borderId="44" xfId="37580" applyFont="1" applyBorder="1" applyAlignment="1">
      <alignment horizontal="center"/>
    </xf>
    <xf numFmtId="0" fontId="150" fillId="0" borderId="22" xfId="37580" applyFont="1" applyBorder="1" applyAlignment="1">
      <alignment horizontal="center"/>
    </xf>
    <xf numFmtId="0" fontId="150" fillId="0" borderId="22" xfId="37580" applyFont="1" applyBorder="1"/>
    <xf numFmtId="0" fontId="161" fillId="0" borderId="22" xfId="37580" applyFont="1" applyBorder="1" applyAlignment="1">
      <alignment horizontal="left"/>
    </xf>
    <xf numFmtId="0" fontId="150" fillId="107" borderId="0" xfId="37580" applyFont="1" applyFill="1" applyBorder="1" applyAlignment="1"/>
    <xf numFmtId="0" fontId="161" fillId="107" borderId="22" xfId="37580" applyFont="1" applyFill="1" applyBorder="1"/>
    <xf numFmtId="0" fontId="150" fillId="107" borderId="22" xfId="37580" applyFont="1" applyFill="1" applyBorder="1"/>
    <xf numFmtId="3" fontId="150" fillId="0" borderId="0" xfId="37580" applyNumberFormat="1" applyFont="1" applyBorder="1" applyAlignment="1">
      <alignment horizontal="center" wrapText="1"/>
    </xf>
    <xf numFmtId="0" fontId="184" fillId="107" borderId="0" xfId="37580" applyFont="1" applyFill="1" applyBorder="1" applyAlignment="1"/>
    <xf numFmtId="3" fontId="150" fillId="0" borderId="0" xfId="37580" applyNumberFormat="1" applyFont="1" applyBorder="1" applyAlignment="1">
      <alignment horizontal="center"/>
    </xf>
    <xf numFmtId="0" fontId="150" fillId="107" borderId="0" xfId="37580" applyFont="1" applyFill="1" applyBorder="1" applyAlignment="1">
      <alignment horizontal="left"/>
    </xf>
    <xf numFmtId="0" fontId="150" fillId="105" borderId="0" xfId="37580" applyFont="1" applyFill="1" applyBorder="1"/>
    <xf numFmtId="3" fontId="150" fillId="0" borderId="0" xfId="37580" applyNumberFormat="1" applyFont="1" applyFill="1" applyBorder="1" applyAlignment="1">
      <alignment horizontal="center" wrapText="1"/>
    </xf>
    <xf numFmtId="0" fontId="150" fillId="32" borderId="0" xfId="37580" applyFont="1" applyFill="1" applyBorder="1"/>
    <xf numFmtId="4" fontId="161" fillId="0" borderId="12" xfId="37580" applyNumberFormat="1" applyFont="1" applyBorder="1" applyAlignment="1">
      <alignment horizontal="center"/>
    </xf>
    <xf numFmtId="3" fontId="150" fillId="0" borderId="44" xfId="37580" applyNumberFormat="1" applyFont="1" applyFill="1" applyBorder="1" applyAlignment="1">
      <alignment horizontal="right" indent="1"/>
    </xf>
    <xf numFmtId="0" fontId="183" fillId="108" borderId="22" xfId="17973" applyFont="1" applyFill="1" applyBorder="1"/>
    <xf numFmtId="0" fontId="150" fillId="107" borderId="0" xfId="37580" applyFont="1" applyFill="1" applyBorder="1"/>
    <xf numFmtId="4" fontId="150" fillId="0" borderId="0" xfId="37580" applyNumberFormat="1" applyFont="1" applyBorder="1" applyAlignment="1">
      <alignment horizontal="center"/>
    </xf>
    <xf numFmtId="4" fontId="150" fillId="0" borderId="0" xfId="37580" applyNumberFormat="1" applyFont="1" applyFill="1" applyBorder="1" applyAlignment="1">
      <alignment horizontal="center"/>
    </xf>
    <xf numFmtId="0" fontId="160" fillId="107" borderId="0" xfId="37580" applyFont="1" applyFill="1" applyBorder="1" applyAlignment="1">
      <alignment horizontal="left"/>
    </xf>
    <xf numFmtId="0" fontId="160" fillId="107" borderId="22" xfId="37580" applyFont="1" applyFill="1" applyBorder="1" applyAlignment="1">
      <alignment horizontal="left"/>
    </xf>
    <xf numFmtId="4" fontId="161" fillId="0" borderId="0" xfId="37580" applyNumberFormat="1" applyFont="1" applyBorder="1" applyAlignment="1">
      <alignment horizontal="center"/>
    </xf>
    <xf numFmtId="0" fontId="160" fillId="107" borderId="0" xfId="37580" applyFont="1" applyFill="1" applyBorder="1" applyAlignment="1">
      <alignment wrapText="1"/>
    </xf>
    <xf numFmtId="0" fontId="160" fillId="107" borderId="22" xfId="37580" applyFont="1" applyFill="1" applyBorder="1" applyAlignment="1">
      <alignment wrapText="1"/>
    </xf>
    <xf numFmtId="3" fontId="150" fillId="0" borderId="46" xfId="37580" applyNumberFormat="1" applyFont="1" applyBorder="1" applyAlignment="1">
      <alignment horizontal="center"/>
    </xf>
    <xf numFmtId="3" fontId="150" fillId="0" borderId="21" xfId="37580" applyNumberFormat="1" applyFont="1" applyBorder="1" applyAlignment="1">
      <alignment horizontal="center"/>
    </xf>
    <xf numFmtId="3" fontId="150" fillId="0" borderId="46" xfId="37580" applyNumberFormat="1" applyFont="1" applyFill="1" applyBorder="1" applyAlignment="1">
      <alignment horizontal="center"/>
    </xf>
    <xf numFmtId="3" fontId="150" fillId="0" borderId="21" xfId="37580" applyNumberFormat="1" applyFont="1" applyFill="1" applyBorder="1" applyAlignment="1">
      <alignment horizontal="center"/>
    </xf>
    <xf numFmtId="0" fontId="150" fillId="0" borderId="21" xfId="37580" applyFont="1" applyBorder="1" applyAlignment="1">
      <alignment horizontal="left"/>
    </xf>
    <xf numFmtId="0" fontId="150" fillId="0" borderId="0" xfId="37580" applyFont="1" applyBorder="1" applyAlignment="1">
      <alignment horizontal="left"/>
    </xf>
    <xf numFmtId="0" fontId="150" fillId="0" borderId="0" xfId="37580" applyFont="1" applyAlignment="1">
      <alignment horizontal="left"/>
    </xf>
    <xf numFmtId="1" fontId="150" fillId="0" borderId="0" xfId="37580" applyNumberFormat="1" applyFont="1" applyBorder="1" applyAlignment="1">
      <alignment horizontal="center"/>
    </xf>
    <xf numFmtId="0" fontId="150" fillId="0" borderId="0" xfId="37580" quotePrefix="1" applyFont="1" applyFill="1" applyBorder="1" applyAlignment="1">
      <alignment horizontal="left"/>
    </xf>
    <xf numFmtId="0" fontId="150" fillId="0" borderId="0" xfId="37580" quotePrefix="1" applyFont="1" applyFill="1"/>
    <xf numFmtId="0" fontId="150" fillId="0" borderId="0" xfId="17973" applyFont="1" applyAlignment="1">
      <alignment horizontal="justify" vertical="center"/>
    </xf>
    <xf numFmtId="3" fontId="150" fillId="0" borderId="0" xfId="37580" applyNumberFormat="1" applyFont="1" applyFill="1" applyBorder="1" applyAlignment="1">
      <alignment horizontal="center" vertical="center" wrapText="1"/>
    </xf>
    <xf numFmtId="0" fontId="161" fillId="0" borderId="11" xfId="17973" applyFont="1" applyBorder="1"/>
    <xf numFmtId="0" fontId="150" fillId="0" borderId="23" xfId="17973" applyFont="1" applyBorder="1"/>
    <xf numFmtId="0" fontId="150" fillId="0" borderId="45" xfId="17973" applyFont="1" applyBorder="1"/>
    <xf numFmtId="0" fontId="150" fillId="0" borderId="22" xfId="17973" applyFont="1" applyBorder="1"/>
    <xf numFmtId="0" fontId="161" fillId="0" borderId="25" xfId="17973" applyFont="1" applyBorder="1" applyAlignment="1">
      <alignment horizontal="center"/>
    </xf>
    <xf numFmtId="0" fontId="161" fillId="0" borderId="22" xfId="17973" applyFont="1" applyBorder="1" applyAlignment="1">
      <alignment horizontal="center" vertical="center"/>
    </xf>
    <xf numFmtId="0" fontId="161" fillId="0" borderId="47" xfId="17973" applyFont="1" applyFill="1" applyBorder="1" applyAlignment="1">
      <alignment horizontal="center" vertical="center" wrapText="1"/>
    </xf>
    <xf numFmtId="0" fontId="161" fillId="0" borderId="48" xfId="17973" applyFont="1" applyFill="1" applyBorder="1" applyAlignment="1">
      <alignment horizontal="center" vertical="center" wrapText="1"/>
    </xf>
    <xf numFmtId="0" fontId="161" fillId="0" borderId="49" xfId="17973" applyFont="1" applyFill="1" applyBorder="1" applyAlignment="1">
      <alignment horizontal="center" vertical="center" wrapText="1"/>
    </xf>
    <xf numFmtId="0" fontId="150" fillId="0" borderId="24" xfId="17973" applyFont="1" applyBorder="1"/>
    <xf numFmtId="175" fontId="150" fillId="0" borderId="0" xfId="17973" applyNumberFormat="1" applyFont="1"/>
    <xf numFmtId="0" fontId="150" fillId="107" borderId="0" xfId="37580" applyFont="1" applyFill="1" applyBorder="1" applyAlignment="1">
      <alignment horizontal="left" indent="1"/>
    </xf>
    <xf numFmtId="0" fontId="150" fillId="107" borderId="22" xfId="17973" applyFont="1" applyFill="1" applyBorder="1"/>
    <xf numFmtId="175" fontId="150" fillId="107" borderId="0" xfId="37580" applyNumberFormat="1" applyFont="1" applyFill="1" applyBorder="1" applyAlignment="1">
      <alignment horizontal="center" wrapText="1"/>
    </xf>
    <xf numFmtId="0" fontId="161" fillId="107" borderId="44" xfId="17973" applyFont="1" applyFill="1" applyBorder="1" applyAlignment="1">
      <alignment horizontal="center" wrapText="1"/>
    </xf>
    <xf numFmtId="0" fontId="161" fillId="107" borderId="0" xfId="17973" applyFont="1" applyFill="1" applyBorder="1" applyAlignment="1">
      <alignment horizontal="center" wrapText="1"/>
    </xf>
    <xf numFmtId="0" fontId="161" fillId="107" borderId="22" xfId="17973" applyFont="1" applyFill="1" applyBorder="1" applyAlignment="1">
      <alignment horizontal="center" wrapText="1"/>
    </xf>
    <xf numFmtId="0" fontId="150" fillId="107" borderId="22" xfId="17973" applyFont="1" applyFill="1" applyBorder="1" applyAlignment="1">
      <alignment horizontal="center"/>
    </xf>
    <xf numFmtId="175" fontId="150" fillId="107" borderId="44" xfId="37580" applyNumberFormat="1" applyFont="1" applyFill="1" applyBorder="1" applyAlignment="1">
      <alignment horizontal="center" wrapText="1"/>
    </xf>
    <xf numFmtId="175" fontId="150" fillId="107" borderId="22" xfId="37580" applyNumberFormat="1" applyFont="1" applyFill="1" applyBorder="1" applyAlignment="1">
      <alignment horizontal="center" wrapText="1"/>
    </xf>
    <xf numFmtId="0" fontId="150" fillId="107" borderId="0" xfId="37578" quotePrefix="1" applyFont="1" applyFill="1" applyBorder="1" applyAlignment="1">
      <alignment horizontal="center"/>
    </xf>
    <xf numFmtId="3" fontId="150" fillId="107" borderId="0" xfId="37580" applyNumberFormat="1" applyFont="1" applyFill="1" applyBorder="1" applyAlignment="1">
      <alignment horizontal="center" vertical="center" wrapText="1"/>
    </xf>
    <xf numFmtId="3" fontId="150" fillId="107" borderId="44" xfId="37580" applyNumberFormat="1" applyFont="1" applyFill="1" applyBorder="1" applyAlignment="1">
      <alignment horizontal="center" vertical="center" wrapText="1"/>
    </xf>
    <xf numFmtId="3" fontId="150" fillId="107" borderId="22" xfId="37580" applyNumberFormat="1" applyFont="1" applyFill="1" applyBorder="1" applyAlignment="1">
      <alignment horizontal="center" vertical="center" wrapText="1"/>
    </xf>
    <xf numFmtId="3" fontId="150" fillId="107" borderId="0" xfId="37580" applyNumberFormat="1" applyFont="1" applyFill="1" applyBorder="1" applyAlignment="1">
      <alignment horizontal="center" wrapText="1"/>
    </xf>
    <xf numFmtId="3" fontId="150" fillId="107" borderId="22" xfId="37580" applyNumberFormat="1" applyFont="1" applyFill="1" applyBorder="1" applyAlignment="1">
      <alignment horizontal="center" wrapText="1"/>
    </xf>
    <xf numFmtId="0" fontId="150" fillId="107" borderId="0" xfId="37580" applyFont="1" applyFill="1" applyBorder="1" applyAlignment="1">
      <alignment horizontal="left" wrapText="1" indent="1"/>
    </xf>
    <xf numFmtId="0" fontId="150" fillId="0" borderId="0" xfId="17973" applyFont="1" applyAlignment="1">
      <alignment wrapText="1"/>
    </xf>
    <xf numFmtId="164" fontId="150" fillId="107" borderId="0" xfId="37583" applyNumberFormat="1" applyFont="1" applyFill="1" applyBorder="1" applyAlignment="1">
      <alignment horizontal="center"/>
    </xf>
    <xf numFmtId="164" fontId="150" fillId="107" borderId="44" xfId="37583" applyNumberFormat="1" applyFont="1" applyFill="1" applyBorder="1" applyAlignment="1">
      <alignment horizontal="center"/>
    </xf>
    <xf numFmtId="164" fontId="150" fillId="107" borderId="22" xfId="37583" applyNumberFormat="1" applyFont="1" applyFill="1" applyBorder="1" applyAlignment="1">
      <alignment horizontal="center"/>
    </xf>
    <xf numFmtId="0" fontId="150" fillId="0" borderId="12" xfId="37580" applyFont="1" applyFill="1" applyBorder="1" applyAlignment="1">
      <alignment horizontal="left" wrapText="1" indent="1"/>
    </xf>
    <xf numFmtId="0" fontId="150" fillId="0" borderId="24" xfId="17973" applyFont="1" applyFill="1" applyBorder="1" applyAlignment="1">
      <alignment horizontal="center"/>
    </xf>
    <xf numFmtId="164" fontId="150" fillId="0" borderId="12" xfId="37583" applyNumberFormat="1" applyFont="1" applyFill="1" applyBorder="1" applyAlignment="1">
      <alignment horizontal="center"/>
    </xf>
    <xf numFmtId="164" fontId="150" fillId="0" borderId="25" xfId="37583" applyNumberFormat="1" applyFont="1" applyFill="1" applyBorder="1" applyAlignment="1">
      <alignment horizontal="center"/>
    </xf>
    <xf numFmtId="164" fontId="150" fillId="0" borderId="24" xfId="37583" applyNumberFormat="1" applyFont="1" applyFill="1" applyBorder="1" applyAlignment="1">
      <alignment horizontal="center"/>
    </xf>
    <xf numFmtId="0" fontId="150" fillId="0" borderId="0" xfId="37580" applyFont="1" applyFill="1" applyBorder="1" applyAlignment="1">
      <alignment horizontal="left" wrapText="1" indent="1"/>
    </xf>
    <xf numFmtId="0" fontId="150" fillId="0" borderId="22" xfId="17973" applyFont="1" applyFill="1" applyBorder="1" applyAlignment="1">
      <alignment horizontal="center"/>
    </xf>
    <xf numFmtId="164" fontId="150" fillId="0" borderId="0" xfId="37583" applyNumberFormat="1" applyFont="1" applyFill="1" applyBorder="1" applyAlignment="1">
      <alignment horizontal="center"/>
    </xf>
    <xf numFmtId="164" fontId="150" fillId="0" borderId="44" xfId="37583" applyNumberFormat="1" applyFont="1" applyFill="1" applyBorder="1" applyAlignment="1">
      <alignment horizontal="center"/>
    </xf>
    <xf numFmtId="164" fontId="150" fillId="0" borderId="22" xfId="37583" applyNumberFormat="1" applyFont="1" applyFill="1" applyBorder="1" applyAlignment="1">
      <alignment horizontal="center"/>
    </xf>
    <xf numFmtId="9" fontId="150" fillId="107" borderId="44" xfId="17973" applyNumberFormat="1" applyFont="1" applyFill="1" applyBorder="1" applyAlignment="1">
      <alignment horizontal="center" wrapText="1"/>
    </xf>
    <xf numFmtId="9" fontId="150" fillId="107" borderId="0" xfId="17973" applyNumberFormat="1" applyFont="1" applyFill="1" applyBorder="1" applyAlignment="1">
      <alignment horizontal="center" wrapText="1"/>
    </xf>
    <xf numFmtId="9" fontId="150" fillId="107" borderId="22" xfId="17973" applyNumberFormat="1" applyFont="1" applyFill="1" applyBorder="1" applyAlignment="1">
      <alignment horizontal="center" wrapText="1"/>
    </xf>
    <xf numFmtId="0" fontId="163" fillId="0" borderId="0" xfId="17973" applyFont="1"/>
    <xf numFmtId="0" fontId="150" fillId="107" borderId="0" xfId="17973" applyFont="1" applyFill="1" applyBorder="1" applyAlignment="1">
      <alignment horizontal="left" vertical="top" wrapText="1" indent="1"/>
    </xf>
    <xf numFmtId="168" fontId="150" fillId="107" borderId="22" xfId="17973" applyNumberFormat="1" applyFont="1" applyFill="1" applyBorder="1" applyAlignment="1">
      <alignment horizontal="center" vertical="top" wrapText="1"/>
    </xf>
    <xf numFmtId="0" fontId="150" fillId="32" borderId="0" xfId="17973" applyFont="1" applyFill="1" applyBorder="1" applyAlignment="1">
      <alignment horizontal="left" vertical="top" wrapText="1" indent="1"/>
    </xf>
    <xf numFmtId="168" fontId="150" fillId="32" borderId="22" xfId="17973" applyNumberFormat="1" applyFont="1" applyFill="1" applyBorder="1" applyAlignment="1">
      <alignment horizontal="center" vertical="top" wrapText="1"/>
    </xf>
    <xf numFmtId="0" fontId="150" fillId="32" borderId="0" xfId="17973" applyFont="1" applyFill="1" applyAlignment="1">
      <alignment horizontal="left" indent="1"/>
    </xf>
    <xf numFmtId="0" fontId="150" fillId="32" borderId="22" xfId="17973" applyFont="1" applyFill="1" applyBorder="1" applyAlignment="1">
      <alignment horizontal="center" vertical="top"/>
    </xf>
    <xf numFmtId="168" fontId="162" fillId="32" borderId="0" xfId="17973" applyNumberFormat="1" applyFont="1" applyFill="1" applyAlignment="1">
      <alignment horizontal="center"/>
    </xf>
    <xf numFmtId="0" fontId="150" fillId="32" borderId="0" xfId="17973" applyFont="1" applyFill="1" applyBorder="1" applyAlignment="1">
      <alignment horizontal="left" vertical="center" wrapText="1" indent="2"/>
    </xf>
    <xf numFmtId="167" fontId="162" fillId="32" borderId="0" xfId="17973" applyNumberFormat="1" applyFont="1" applyFill="1" applyAlignment="1">
      <alignment horizontal="center"/>
    </xf>
    <xf numFmtId="167" fontId="163" fillId="32" borderId="0" xfId="17973" applyNumberFormat="1" applyFont="1" applyFill="1" applyAlignment="1">
      <alignment horizontal="center"/>
    </xf>
    <xf numFmtId="167" fontId="162" fillId="32" borderId="0" xfId="17973" applyNumberFormat="1" applyFont="1" applyFill="1" applyBorder="1" applyAlignment="1">
      <alignment horizontal="center"/>
    </xf>
    <xf numFmtId="0" fontId="150" fillId="32" borderId="0" xfId="17973" applyFont="1" applyFill="1" applyBorder="1" applyAlignment="1">
      <alignment horizontal="left" vertical="top" wrapText="1" indent="2"/>
    </xf>
    <xf numFmtId="0" fontId="150" fillId="32" borderId="0" xfId="17973" applyFont="1" applyFill="1" applyBorder="1" applyAlignment="1">
      <alignment horizontal="left" indent="1"/>
    </xf>
    <xf numFmtId="0" fontId="150" fillId="32" borderId="22" xfId="17973" applyFont="1" applyFill="1" applyBorder="1" applyAlignment="1">
      <alignment horizontal="center" wrapText="1"/>
    </xf>
    <xf numFmtId="166" fontId="170" fillId="32" borderId="0" xfId="17973" applyNumberFormat="1" applyFont="1" applyFill="1" applyBorder="1" applyAlignment="1">
      <alignment horizontal="center"/>
    </xf>
    <xf numFmtId="166" fontId="163" fillId="32" borderId="0" xfId="17973" applyNumberFormat="1" applyFont="1" applyFill="1" applyBorder="1" applyAlignment="1">
      <alignment horizontal="center"/>
    </xf>
    <xf numFmtId="0" fontId="150" fillId="107" borderId="0" xfId="17973" applyFont="1" applyFill="1" applyBorder="1" applyAlignment="1">
      <alignment horizontal="left" vertical="center" wrapText="1" indent="2"/>
    </xf>
    <xf numFmtId="0" fontId="150" fillId="107" borderId="22" xfId="17973" applyFont="1" applyFill="1" applyBorder="1" applyAlignment="1">
      <alignment horizontal="center" wrapText="1"/>
    </xf>
    <xf numFmtId="3" fontId="150" fillId="107" borderId="0" xfId="17973" applyNumberFormat="1" applyFont="1" applyFill="1" applyBorder="1" applyAlignment="1">
      <alignment horizontal="center"/>
    </xf>
    <xf numFmtId="3" fontId="150" fillId="107" borderId="22" xfId="17973" applyNumberFormat="1" applyFont="1" applyFill="1" applyBorder="1" applyAlignment="1">
      <alignment horizontal="center"/>
    </xf>
    <xf numFmtId="0" fontId="150" fillId="32" borderId="22" xfId="17973" applyFont="1" applyFill="1" applyBorder="1" applyAlignment="1">
      <alignment horizontal="center"/>
    </xf>
    <xf numFmtId="3" fontId="162" fillId="32" borderId="0" xfId="4288" applyNumberFormat="1" applyFont="1" applyFill="1" applyBorder="1" applyAlignment="1">
      <alignment horizontal="center"/>
    </xf>
    <xf numFmtId="3" fontId="162" fillId="32" borderId="44" xfId="4288" applyNumberFormat="1" applyFont="1" applyFill="1" applyBorder="1" applyAlignment="1">
      <alignment horizontal="center"/>
    </xf>
    <xf numFmtId="0" fontId="150" fillId="0" borderId="44" xfId="17973" applyFont="1" applyBorder="1"/>
    <xf numFmtId="0" fontId="150" fillId="0" borderId="12" xfId="17973" applyFont="1" applyBorder="1" applyAlignment="1">
      <alignment horizontal="left" indent="1"/>
    </xf>
    <xf numFmtId="0" fontId="150" fillId="0" borderId="24" xfId="17973" applyFont="1" applyBorder="1" applyAlignment="1">
      <alignment horizontal="center" vertical="top"/>
    </xf>
    <xf numFmtId="164" fontId="150" fillId="0" borderId="12" xfId="37811" applyNumberFormat="1" applyFont="1" applyFill="1" applyBorder="1" applyAlignment="1">
      <alignment horizontal="center"/>
    </xf>
    <xf numFmtId="164" fontId="150" fillId="0" borderId="24" xfId="37811" applyNumberFormat="1" applyFont="1" applyFill="1" applyBorder="1" applyAlignment="1">
      <alignment horizontal="center"/>
    </xf>
    <xf numFmtId="0" fontId="150" fillId="0" borderId="0" xfId="17973" applyFont="1" applyAlignment="1">
      <alignment horizontal="left" indent="1"/>
    </xf>
    <xf numFmtId="0" fontId="150" fillId="0" borderId="22" xfId="17973" applyFont="1" applyBorder="1" applyAlignment="1">
      <alignment horizontal="center" vertical="top"/>
    </xf>
    <xf numFmtId="164" fontId="150" fillId="0" borderId="0" xfId="37811" applyNumberFormat="1" applyFont="1" applyFill="1" applyAlignment="1">
      <alignment horizontal="center"/>
    </xf>
    <xf numFmtId="164" fontId="150" fillId="0" borderId="22" xfId="37811" applyNumberFormat="1" applyFont="1" applyFill="1" applyBorder="1" applyAlignment="1">
      <alignment horizontal="center"/>
    </xf>
    <xf numFmtId="0" fontId="150" fillId="107" borderId="0" xfId="37580" applyFont="1" applyFill="1" applyBorder="1" applyAlignment="1">
      <alignment horizontal="left" vertical="center" wrapText="1" indent="1"/>
    </xf>
    <xf numFmtId="3" fontId="150" fillId="107" borderId="0" xfId="37580" applyNumberFormat="1" applyFont="1" applyFill="1" applyBorder="1" applyAlignment="1">
      <alignment horizontal="center"/>
    </xf>
    <xf numFmtId="3" fontId="150" fillId="107" borderId="22" xfId="37580" applyNumberFormat="1" applyFont="1" applyFill="1" applyBorder="1" applyAlignment="1">
      <alignment horizontal="center"/>
    </xf>
    <xf numFmtId="0" fontId="150" fillId="107" borderId="22" xfId="17973" applyFont="1" applyFill="1" applyBorder="1" applyAlignment="1">
      <alignment horizontal="center" vertical="top"/>
    </xf>
    <xf numFmtId="0" fontId="150" fillId="0" borderId="21" xfId="17973" applyFont="1" applyBorder="1"/>
    <xf numFmtId="3" fontId="150" fillId="107" borderId="0" xfId="37580" quotePrefix="1" applyNumberFormat="1" applyFont="1" applyFill="1" applyBorder="1" applyAlignment="1">
      <alignment horizontal="center" wrapText="1"/>
    </xf>
    <xf numFmtId="0" fontId="150" fillId="107" borderId="22" xfId="37580" applyFont="1" applyFill="1" applyBorder="1" applyAlignment="1">
      <alignment horizontal="center" vertical="center" wrapText="1"/>
    </xf>
    <xf numFmtId="168" fontId="150" fillId="0" borderId="0" xfId="0" applyNumberFormat="1" applyFont="1" applyAlignment="1">
      <alignment horizontal="center"/>
    </xf>
    <xf numFmtId="0" fontId="161" fillId="0" borderId="25" xfId="17973" applyFont="1" applyFill="1" applyBorder="1" applyAlignment="1">
      <alignment horizontal="center" wrapText="1"/>
    </xf>
    <xf numFmtId="0" fontId="168" fillId="0" borderId="26" xfId="17973" applyFont="1" applyFill="1" applyBorder="1" applyAlignment="1">
      <alignment horizontal="center" wrapText="1"/>
    </xf>
    <xf numFmtId="3" fontId="163" fillId="0" borderId="44" xfId="37579" applyNumberFormat="1" applyFont="1" applyFill="1" applyBorder="1" applyAlignment="1">
      <alignment horizontal="right" wrapText="1" indent="1"/>
    </xf>
    <xf numFmtId="3" fontId="163" fillId="0" borderId="0" xfId="37579" applyNumberFormat="1" applyFont="1" applyFill="1" applyBorder="1" applyAlignment="1">
      <alignment horizontal="right" wrapText="1" indent="1"/>
    </xf>
    <xf numFmtId="3" fontId="173" fillId="0" borderId="44" xfId="37578" applyNumberFormat="1" applyFont="1" applyFill="1" applyBorder="1" applyAlignment="1">
      <alignment horizontal="right" wrapText="1" indent="1"/>
    </xf>
    <xf numFmtId="3" fontId="173" fillId="0" borderId="0" xfId="37578" applyNumberFormat="1" applyFont="1" applyFill="1" applyBorder="1" applyAlignment="1">
      <alignment horizontal="right" wrapText="1" indent="1"/>
    </xf>
    <xf numFmtId="3" fontId="161" fillId="0" borderId="44" xfId="37578" applyNumberFormat="1" applyFont="1" applyFill="1" applyBorder="1" applyAlignment="1">
      <alignment horizontal="right" wrapText="1" indent="1"/>
    </xf>
    <xf numFmtId="3" fontId="173" fillId="0" borderId="44" xfId="37579" applyNumberFormat="1" applyFont="1" applyFill="1" applyBorder="1" applyAlignment="1">
      <alignment horizontal="right" wrapText="1" indent="1"/>
    </xf>
    <xf numFmtId="3" fontId="173" fillId="0" borderId="0" xfId="37579" applyNumberFormat="1" applyFont="1" applyFill="1" applyBorder="1" applyAlignment="1">
      <alignment horizontal="right" wrapText="1" indent="1"/>
    </xf>
    <xf numFmtId="37" fontId="150" fillId="32" borderId="0" xfId="4288" applyNumberFormat="1" applyFont="1" applyFill="1" applyBorder="1" applyAlignment="1">
      <alignment horizontal="center"/>
    </xf>
    <xf numFmtId="37" fontId="150" fillId="32" borderId="44" xfId="4288" applyNumberFormat="1" applyFont="1" applyFill="1" applyBorder="1" applyAlignment="1">
      <alignment horizontal="center"/>
    </xf>
    <xf numFmtId="2" fontId="162" fillId="32" borderId="0" xfId="37578" applyNumberFormat="1" applyFont="1" applyFill="1" applyBorder="1" applyAlignment="1">
      <alignment horizontal="center"/>
    </xf>
    <xf numFmtId="3" fontId="162" fillId="32" borderId="0" xfId="37578" applyNumberFormat="1" applyFont="1" applyFill="1" applyBorder="1" applyAlignment="1">
      <alignment horizontal="center"/>
    </xf>
    <xf numFmtId="2" fontId="162" fillId="32" borderId="44" xfId="37578" applyNumberFormat="1" applyFont="1" applyFill="1" applyBorder="1" applyAlignment="1">
      <alignment horizontal="center"/>
    </xf>
    <xf numFmtId="0" fontId="150" fillId="0" borderId="12" xfId="0" applyFont="1" applyBorder="1" applyAlignment="1">
      <alignment horizontal="center"/>
    </xf>
    <xf numFmtId="0" fontId="160" fillId="0" borderId="12" xfId="0" applyFont="1" applyBorder="1" applyAlignment="1">
      <alignment horizontal="center"/>
    </xf>
    <xf numFmtId="0" fontId="150" fillId="0" borderId="0" xfId="0" applyFont="1" applyAlignment="1">
      <alignment horizontal="centerContinuous"/>
    </xf>
    <xf numFmtId="0" fontId="161" fillId="0" borderId="25" xfId="17973" applyFont="1" applyFill="1" applyBorder="1" applyAlignment="1">
      <alignment horizontal="center" wrapText="1"/>
    </xf>
    <xf numFmtId="164" fontId="150" fillId="107" borderId="0" xfId="17973" applyNumberFormat="1" applyFont="1" applyFill="1" applyBorder="1" applyAlignment="1">
      <alignment horizontal="center" wrapText="1"/>
    </xf>
    <xf numFmtId="164" fontId="150" fillId="107" borderId="44" xfId="17973" applyNumberFormat="1" applyFont="1" applyFill="1" applyBorder="1" applyAlignment="1">
      <alignment horizontal="center" wrapText="1"/>
    </xf>
    <xf numFmtId="164" fontId="150" fillId="107" borderId="22" xfId="17973" applyNumberFormat="1" applyFont="1" applyFill="1" applyBorder="1" applyAlignment="1">
      <alignment horizontal="center" wrapText="1"/>
    </xf>
    <xf numFmtId="9" fontId="150" fillId="107" borderId="0" xfId="37811" applyFont="1" applyFill="1" applyAlignment="1">
      <alignment horizontal="center"/>
    </xf>
    <xf numFmtId="9" fontId="150" fillId="107" borderId="44" xfId="37811" applyFont="1" applyFill="1" applyBorder="1" applyAlignment="1">
      <alignment horizontal="center"/>
    </xf>
    <xf numFmtId="9" fontId="150" fillId="107" borderId="0" xfId="37811" applyFont="1" applyFill="1" applyBorder="1" applyAlignment="1">
      <alignment horizontal="center"/>
    </xf>
    <xf numFmtId="9" fontId="150" fillId="107" borderId="22" xfId="37811" applyFont="1" applyFill="1" applyBorder="1" applyAlignment="1">
      <alignment horizontal="center"/>
    </xf>
    <xf numFmtId="3" fontId="150" fillId="32" borderId="0" xfId="4288" applyNumberFormat="1" applyFont="1" applyFill="1" applyBorder="1" applyAlignment="1">
      <alignment horizontal="center"/>
    </xf>
    <xf numFmtId="3" fontId="150" fillId="32" borderId="44" xfId="4288" applyNumberFormat="1" applyFont="1" applyFill="1" applyBorder="1" applyAlignment="1">
      <alignment horizontal="center"/>
    </xf>
    <xf numFmtId="9" fontId="150" fillId="32" borderId="0" xfId="37811" applyNumberFormat="1" applyFont="1" applyFill="1" applyBorder="1" applyAlignment="1">
      <alignment horizontal="center"/>
    </xf>
    <xf numFmtId="9" fontId="150" fillId="32" borderId="44" xfId="37811" applyNumberFormat="1" applyFont="1" applyFill="1" applyBorder="1" applyAlignment="1">
      <alignment horizontal="center"/>
    </xf>
    <xf numFmtId="0" fontId="150" fillId="27" borderId="0" xfId="37582" applyFont="1" applyFill="1"/>
    <xf numFmtId="0" fontId="179" fillId="27" borderId="0" xfId="37582" applyFont="1" applyFill="1"/>
    <xf numFmtId="0" fontId="161" fillId="0" borderId="0" xfId="37582" applyFont="1" applyAlignment="1">
      <alignment horizontal="right"/>
    </xf>
    <xf numFmtId="0" fontId="150" fillId="0" borderId="0" xfId="37582" applyFont="1"/>
    <xf numFmtId="173" fontId="150" fillId="0" borderId="0" xfId="37582" applyNumberFormat="1" applyFont="1"/>
    <xf numFmtId="164" fontId="150" fillId="0" borderId="0" xfId="37582" applyNumberFormat="1" applyFont="1"/>
    <xf numFmtId="10" fontId="150" fillId="0" borderId="0" xfId="37582" applyNumberFormat="1" applyFont="1"/>
    <xf numFmtId="0" fontId="161" fillId="0" borderId="0" xfId="37582" applyFont="1"/>
    <xf numFmtId="10" fontId="168" fillId="0" borderId="0" xfId="37582" applyNumberFormat="1" applyFont="1"/>
    <xf numFmtId="10" fontId="161" fillId="0" borderId="0" xfId="37582" applyNumberFormat="1" applyFont="1"/>
    <xf numFmtId="10" fontId="163" fillId="0" borderId="0" xfId="17973" applyNumberFormat="1" applyFont="1" applyBorder="1" applyAlignment="1">
      <alignment horizontal="right" indent="2"/>
    </xf>
    <xf numFmtId="0" fontId="163" fillId="0" borderId="0" xfId="17973" applyFont="1" applyBorder="1" applyAlignment="1">
      <alignment horizontal="right" indent="2"/>
    </xf>
    <xf numFmtId="0" fontId="169" fillId="0" borderId="0" xfId="17973" applyFont="1" applyBorder="1" applyAlignment="1">
      <alignment horizontal="right" indent="2"/>
    </xf>
    <xf numFmtId="0" fontId="163" fillId="0" borderId="0" xfId="17973" quotePrefix="1" applyFont="1" applyBorder="1" applyAlignment="1">
      <alignment horizontal="right" indent="2"/>
    </xf>
    <xf numFmtId="3" fontId="185" fillId="0" borderId="0" xfId="37579" applyNumberFormat="1" applyFont="1" applyFill="1" applyBorder="1" applyAlignment="1">
      <alignment horizontal="right" wrapText="1" indent="1"/>
    </xf>
    <xf numFmtId="3" fontId="186" fillId="0" borderId="0" xfId="37579" applyNumberFormat="1" applyFont="1" applyFill="1" applyBorder="1" applyAlignment="1">
      <alignment horizontal="right" wrapText="1" indent="1"/>
    </xf>
    <xf numFmtId="3" fontId="187" fillId="0" borderId="0" xfId="37578" applyNumberFormat="1" applyFont="1" applyFill="1" applyBorder="1" applyAlignment="1">
      <alignment horizontal="right" wrapText="1" indent="1"/>
    </xf>
    <xf numFmtId="3" fontId="188" fillId="0" borderId="0" xfId="37579" applyNumberFormat="1" applyFont="1" applyFill="1" applyBorder="1" applyAlignment="1">
      <alignment horizontal="right" wrapText="1" indent="1"/>
    </xf>
    <xf numFmtId="3" fontId="186" fillId="0" borderId="0" xfId="37578" applyNumberFormat="1" applyFont="1" applyFill="1" applyBorder="1" applyAlignment="1">
      <alignment horizontal="right" wrapText="1" indent="1"/>
    </xf>
    <xf numFmtId="3" fontId="188" fillId="0" borderId="0" xfId="37578" applyNumberFormat="1" applyFont="1" applyFill="1" applyBorder="1" applyAlignment="1">
      <alignment horizontal="right" wrapText="1" indent="1"/>
    </xf>
    <xf numFmtId="3" fontId="189" fillId="0" borderId="0" xfId="37579" applyNumberFormat="1" applyFont="1" applyFill="1" applyBorder="1" applyAlignment="1">
      <alignment horizontal="right" wrapText="1" indent="1"/>
    </xf>
    <xf numFmtId="3" fontId="186" fillId="0" borderId="12" xfId="37578" applyNumberFormat="1" applyFont="1" applyFill="1" applyBorder="1" applyAlignment="1">
      <alignment horizontal="right" wrapText="1" indent="1"/>
    </xf>
    <xf numFmtId="3" fontId="85" fillId="0" borderId="0" xfId="0" applyNumberFormat="1" applyFont="1" applyAlignment="1">
      <alignment horizontal="right"/>
    </xf>
    <xf numFmtId="3" fontId="141" fillId="0" borderId="0" xfId="0" applyNumberFormat="1" applyFont="1" applyAlignment="1">
      <alignment horizontal="right"/>
    </xf>
    <xf numFmtId="0" fontId="150" fillId="0" borderId="45" xfId="0" applyFont="1" applyFill="1" applyBorder="1" applyAlignment="1">
      <alignment horizontal="center"/>
    </xf>
    <xf numFmtId="0" fontId="161" fillId="0" borderId="44" xfId="0" applyFont="1" applyFill="1" applyBorder="1" applyAlignment="1">
      <alignment horizontal="centerContinuous"/>
    </xf>
    <xf numFmtId="0" fontId="161" fillId="0" borderId="25" xfId="0" applyFont="1" applyBorder="1" applyAlignment="1">
      <alignment horizontal="centerContinuous"/>
    </xf>
    <xf numFmtId="0" fontId="161" fillId="0" borderId="44" xfId="0" applyFont="1" applyBorder="1" applyAlignment="1">
      <alignment horizontal="center"/>
    </xf>
    <xf numFmtId="3" fontId="185" fillId="0" borderId="44" xfId="37579" applyNumberFormat="1" applyFont="1" applyFill="1" applyBorder="1" applyAlignment="1">
      <alignment horizontal="right" wrapText="1" indent="1"/>
    </xf>
    <xf numFmtId="3" fontId="186" fillId="0" borderId="44" xfId="37579" applyNumberFormat="1" applyFont="1" applyFill="1" applyBorder="1" applyAlignment="1">
      <alignment horizontal="right" wrapText="1" indent="1"/>
    </xf>
    <xf numFmtId="3" fontId="187" fillId="0" borderId="44" xfId="37578" applyNumberFormat="1" applyFont="1" applyFill="1" applyBorder="1" applyAlignment="1">
      <alignment horizontal="right" wrapText="1" indent="1"/>
    </xf>
    <xf numFmtId="3" fontId="186" fillId="0" borderId="44" xfId="37578" applyNumberFormat="1" applyFont="1" applyFill="1" applyBorder="1" applyAlignment="1">
      <alignment horizontal="right" wrapText="1" indent="1"/>
    </xf>
    <xf numFmtId="3" fontId="189" fillId="0" borderId="44" xfId="37579" applyNumberFormat="1" applyFont="1" applyFill="1" applyBorder="1" applyAlignment="1">
      <alignment horizontal="right" wrapText="1" indent="1"/>
    </xf>
    <xf numFmtId="0" fontId="150" fillId="110" borderId="0" xfId="17973" applyFont="1" applyFill="1"/>
    <xf numFmtId="0" fontId="161" fillId="110" borderId="0" xfId="17973" applyFont="1" applyFill="1"/>
    <xf numFmtId="3" fontId="150" fillId="110" borderId="0" xfId="37580" applyNumberFormat="1" applyFont="1" applyFill="1" applyBorder="1" applyAlignment="1">
      <alignment horizontal="center" vertical="center" wrapText="1"/>
    </xf>
    <xf numFmtId="0" fontId="150" fillId="110" borderId="0" xfId="17973" applyFont="1" applyFill="1" applyAlignment="1">
      <alignment horizontal="right"/>
    </xf>
    <xf numFmtId="3" fontId="150" fillId="110" borderId="0" xfId="37580" applyNumberFormat="1" applyFont="1" applyFill="1" applyBorder="1" applyAlignment="1">
      <alignment horizontal="right" vertical="center" wrapText="1"/>
    </xf>
    <xf numFmtId="0" fontId="161" fillId="0" borderId="44" xfId="17973" applyFont="1" applyBorder="1"/>
    <xf numFmtId="0" fontId="150" fillId="0" borderId="44" xfId="17973" applyFont="1" applyFill="1" applyBorder="1"/>
    <xf numFmtId="0" fontId="150" fillId="0" borderId="44" xfId="0" applyFont="1" applyBorder="1"/>
    <xf numFmtId="10" fontId="163" fillId="0" borderId="0" xfId="17973" applyNumberFormat="1" applyFont="1" applyBorder="1" applyAlignment="1"/>
    <xf numFmtId="0" fontId="30" fillId="0" borderId="0" xfId="131" applyFont="1" applyAlignment="1">
      <alignment horizontal="left"/>
    </xf>
    <xf numFmtId="0" fontId="145" fillId="0" borderId="0" xfId="37885" applyFont="1" applyBorder="1" applyAlignment="1">
      <alignment horizontal="right" indent="1"/>
    </xf>
    <xf numFmtId="0" fontId="145" fillId="0" borderId="0" xfId="37885" applyFont="1" applyAlignment="1">
      <alignment horizontal="right" indent="1"/>
    </xf>
    <xf numFmtId="168" fontId="162" fillId="32" borderId="0" xfId="17973" applyNumberFormat="1" applyFont="1" applyFill="1" applyBorder="1" applyAlignment="1">
      <alignment horizontal="center"/>
    </xf>
    <xf numFmtId="5" fontId="145" fillId="0" borderId="0" xfId="37885" applyNumberFormat="1" applyFont="1" applyBorder="1" applyAlignment="1"/>
    <xf numFmtId="5" fontId="145" fillId="0" borderId="0" xfId="37885" applyNumberFormat="1" applyFont="1" applyBorder="1" applyAlignment="1">
      <alignment horizontal="right"/>
    </xf>
    <xf numFmtId="164" fontId="148" fillId="0" borderId="0" xfId="144" applyNumberFormat="1" applyFont="1" applyAlignment="1"/>
    <xf numFmtId="164" fontId="148" fillId="0" borderId="0" xfId="144" applyNumberFormat="1" applyFont="1" applyAlignment="1">
      <alignment horizontal="right"/>
    </xf>
    <xf numFmtId="5" fontId="148" fillId="0" borderId="0" xfId="37885" applyNumberFormat="1" applyFont="1" applyBorder="1" applyAlignment="1"/>
    <xf numFmtId="5" fontId="148" fillId="110" borderId="0" xfId="37885" applyNumberFormat="1" applyFont="1" applyFill="1" applyBorder="1" applyAlignment="1"/>
    <xf numFmtId="0" fontId="145" fillId="0" borderId="12" xfId="37885" applyFont="1" applyBorder="1" applyAlignment="1"/>
    <xf numFmtId="0" fontId="145" fillId="0" borderId="12" xfId="37885" applyFont="1" applyBorder="1" applyAlignment="1">
      <alignment horizontal="right"/>
    </xf>
    <xf numFmtId="5" fontId="0" fillId="0" borderId="0" xfId="0" applyNumberFormat="1"/>
    <xf numFmtId="0" fontId="0" fillId="106" borderId="0" xfId="0" applyFill="1"/>
    <xf numFmtId="0" fontId="148" fillId="0" borderId="12" xfId="37885" applyFont="1" applyBorder="1"/>
    <xf numFmtId="0" fontId="165" fillId="0" borderId="12" xfId="37885" applyFont="1" applyFill="1" applyBorder="1" applyAlignment="1">
      <alignment horizontal="right"/>
    </xf>
    <xf numFmtId="164" fontId="148" fillId="0" borderId="12" xfId="144" applyNumberFormat="1" applyFont="1" applyBorder="1" applyAlignment="1">
      <alignment horizontal="right" indent="1"/>
    </xf>
    <xf numFmtId="0" fontId="148" fillId="110" borderId="0" xfId="37885" applyFont="1" applyFill="1" applyAlignment="1">
      <alignment horizontal="left" indent="1"/>
    </xf>
    <xf numFmtId="0" fontId="165" fillId="110" borderId="0" xfId="37885" applyFont="1" applyFill="1" applyAlignment="1">
      <alignment horizontal="right"/>
    </xf>
    <xf numFmtId="164" fontId="155" fillId="0" borderId="0" xfId="144" applyNumberFormat="1" applyFont="1"/>
    <xf numFmtId="164" fontId="155" fillId="0" borderId="0" xfId="144" applyNumberFormat="1" applyFont="1" applyAlignment="1">
      <alignment horizontal="right"/>
    </xf>
    <xf numFmtId="164" fontId="155" fillId="31" borderId="0" xfId="144" applyNumberFormat="1" applyFont="1" applyFill="1" applyAlignment="1">
      <alignment horizontal="centerContinuous"/>
    </xf>
    <xf numFmtId="164" fontId="155" fillId="103" borderId="0" xfId="144" applyNumberFormat="1" applyFont="1" applyFill="1" applyAlignment="1">
      <alignment horizontal="right"/>
    </xf>
    <xf numFmtId="164" fontId="155" fillId="103" borderId="0" xfId="0" applyNumberFormat="1" applyFont="1" applyFill="1"/>
    <xf numFmtId="9" fontId="29" fillId="0" borderId="0" xfId="144" applyFont="1"/>
    <xf numFmtId="0" fontId="144" fillId="0" borderId="0" xfId="37885" applyFont="1" applyBorder="1" applyAlignment="1">
      <alignment horizontal="left"/>
    </xf>
    <xf numFmtId="0" fontId="153" fillId="0" borderId="0" xfId="37885" applyFont="1" applyBorder="1" applyAlignment="1">
      <alignment horizontal="left"/>
    </xf>
    <xf numFmtId="0" fontId="153" fillId="0" borderId="0" xfId="37885" applyFont="1" applyFill="1" applyBorder="1" applyAlignment="1">
      <alignment horizontal="left"/>
    </xf>
    <xf numFmtId="0" fontId="144" fillId="0" borderId="12" xfId="37885" applyFont="1" applyBorder="1" applyAlignment="1">
      <alignment horizontal="left"/>
    </xf>
    <xf numFmtId="0" fontId="153" fillId="110" borderId="0" xfId="37885" applyFont="1" applyFill="1" applyAlignment="1">
      <alignment horizontal="left"/>
    </xf>
    <xf numFmtId="0" fontId="144" fillId="111" borderId="0" xfId="37885" applyFont="1" applyFill="1" applyBorder="1" applyAlignment="1">
      <alignment horizontal="left"/>
    </xf>
    <xf numFmtId="5" fontId="145" fillId="111" borderId="0" xfId="37885" applyNumberFormat="1" applyFont="1" applyFill="1" applyBorder="1" applyAlignment="1">
      <alignment horizontal="right"/>
    </xf>
    <xf numFmtId="5" fontId="145" fillId="111" borderId="0" xfId="37885" applyNumberFormat="1" applyFont="1" applyFill="1" applyBorder="1" applyAlignment="1"/>
    <xf numFmtId="0" fontId="144" fillId="111" borderId="0" xfId="37885" applyFont="1" applyFill="1" applyAlignment="1">
      <alignment horizontal="left"/>
    </xf>
    <xf numFmtId="0" fontId="150" fillId="101" borderId="0" xfId="17981" applyFont="1" applyFill="1" applyBorder="1" applyAlignment="1">
      <alignment vertical="top"/>
    </xf>
    <xf numFmtId="0" fontId="150" fillId="101" borderId="0" xfId="17981" applyFont="1" applyFill="1" applyBorder="1" applyAlignment="1">
      <alignment horizontal="center" vertical="top"/>
    </xf>
    <xf numFmtId="0" fontId="150" fillId="101" borderId="11" xfId="17981" applyFont="1" applyFill="1" applyBorder="1" applyAlignment="1">
      <alignment vertical="top"/>
    </xf>
    <xf numFmtId="0" fontId="150" fillId="101" borderId="11" xfId="17981" applyFont="1" applyFill="1" applyBorder="1" applyAlignment="1">
      <alignment horizontal="center" vertical="top"/>
    </xf>
    <xf numFmtId="0" fontId="150" fillId="101" borderId="0" xfId="17981" applyFont="1" applyFill="1" applyAlignment="1">
      <alignment vertical="top"/>
    </xf>
    <xf numFmtId="0" fontId="150" fillId="101" borderId="0" xfId="17981" applyFont="1" applyFill="1" applyAlignment="1">
      <alignment horizontal="center" vertical="top"/>
    </xf>
    <xf numFmtId="0" fontId="161" fillId="101" borderId="0" xfId="17981" applyFont="1" applyFill="1" applyBorder="1" applyAlignment="1">
      <alignment vertical="top"/>
    </xf>
    <xf numFmtId="0" fontId="161" fillId="101" borderId="0" xfId="17981" applyFont="1" applyFill="1" applyBorder="1" applyAlignment="1">
      <alignment horizontal="center" vertical="top"/>
    </xf>
    <xf numFmtId="0" fontId="161" fillId="101" borderId="12" xfId="17981" applyFont="1" applyFill="1" applyBorder="1" applyAlignment="1">
      <alignment horizontal="centerContinuous" vertical="top"/>
    </xf>
    <xf numFmtId="0" fontId="150" fillId="101" borderId="0" xfId="17981" applyFont="1" applyFill="1" applyBorder="1" applyAlignment="1">
      <alignment horizontal="center" vertical="center" wrapText="1"/>
    </xf>
    <xf numFmtId="0" fontId="161" fillId="101" borderId="0" xfId="17981" applyFont="1" applyFill="1" applyBorder="1" applyAlignment="1">
      <alignment horizontal="left" vertical="top"/>
    </xf>
    <xf numFmtId="0" fontId="150" fillId="101" borderId="0" xfId="17981" applyFont="1" applyFill="1" applyBorder="1" applyAlignment="1">
      <alignment horizontal="center" vertical="top" wrapText="1"/>
    </xf>
    <xf numFmtId="0" fontId="160" fillId="101" borderId="0" xfId="17981" applyFont="1" applyFill="1" applyBorder="1" applyAlignment="1">
      <alignment horizontal="center" vertical="top"/>
    </xf>
    <xf numFmtId="0" fontId="150" fillId="101" borderId="0" xfId="17981" applyFont="1" applyFill="1" applyBorder="1" applyAlignment="1">
      <alignment horizontal="left" vertical="top"/>
    </xf>
    <xf numFmtId="0" fontId="150" fillId="101" borderId="12" xfId="17981" applyFont="1" applyFill="1" applyBorder="1" applyAlignment="1">
      <alignment horizontal="center" vertical="top"/>
    </xf>
    <xf numFmtId="0" fontId="150" fillId="101" borderId="12" xfId="17981" applyFont="1" applyFill="1" applyBorder="1" applyAlignment="1">
      <alignment vertical="top"/>
    </xf>
    <xf numFmtId="0" fontId="161" fillId="101" borderId="0" xfId="17981" applyFont="1" applyFill="1" applyAlignment="1">
      <alignment horizontal="center" vertical="top"/>
    </xf>
    <xf numFmtId="0" fontId="161" fillId="101" borderId="0" xfId="17981" applyFont="1" applyFill="1" applyAlignment="1">
      <alignment vertical="top"/>
    </xf>
    <xf numFmtId="0" fontId="150" fillId="101" borderId="0" xfId="17981" applyFont="1" applyFill="1" applyAlignment="1">
      <alignment horizontal="left" vertical="top"/>
    </xf>
    <xf numFmtId="164" fontId="150" fillId="101" borderId="0" xfId="37812" applyNumberFormat="1" applyFont="1" applyFill="1" applyAlignment="1">
      <alignment horizontal="right" vertical="top" indent="1"/>
    </xf>
    <xf numFmtId="164" fontId="150" fillId="101" borderId="0" xfId="17981" applyNumberFormat="1" applyFont="1" applyFill="1" applyAlignment="1">
      <alignment horizontal="right" vertical="top" indent="1"/>
    </xf>
    <xf numFmtId="164" fontId="150" fillId="101" borderId="0" xfId="17981" applyNumberFormat="1" applyFont="1" applyFill="1" applyAlignment="1">
      <alignment horizontal="right" vertical="top" indent="2"/>
    </xf>
    <xf numFmtId="0" fontId="160" fillId="101" borderId="0" xfId="17981" applyFont="1" applyFill="1" applyAlignment="1">
      <alignment horizontal="left" vertical="top" indent="1"/>
    </xf>
    <xf numFmtId="0" fontId="161" fillId="101" borderId="0" xfId="17981" applyFont="1" applyFill="1" applyAlignment="1">
      <alignment horizontal="left" vertical="top"/>
    </xf>
    <xf numFmtId="0" fontId="89" fillId="101" borderId="0" xfId="17981" applyFont="1" applyFill="1" applyAlignment="1">
      <alignment horizontal="center" vertical="top"/>
    </xf>
    <xf numFmtId="0" fontId="163" fillId="101" borderId="0" xfId="17981" applyFont="1" applyFill="1" applyAlignment="1">
      <alignment horizontal="center" vertical="top"/>
    </xf>
    <xf numFmtId="164" fontId="150" fillId="101" borderId="0" xfId="37812" applyNumberFormat="1" applyFont="1" applyFill="1" applyAlignment="1">
      <alignment horizontal="right" vertical="top" indent="2"/>
    </xf>
    <xf numFmtId="164" fontId="150" fillId="101" borderId="0" xfId="17981" applyNumberFormat="1" applyFont="1" applyFill="1" applyAlignment="1">
      <alignment horizontal="left" vertical="top" indent="1"/>
    </xf>
    <xf numFmtId="164" fontId="150" fillId="101" borderId="0" xfId="17981" applyNumberFormat="1" applyFont="1" applyFill="1" applyBorder="1" applyAlignment="1">
      <alignment horizontal="left" vertical="top" indent="1"/>
    </xf>
    <xf numFmtId="0" fontId="160" fillId="101" borderId="0" xfId="17981" applyFont="1" applyFill="1" applyAlignment="1">
      <alignment horizontal="left" vertical="top"/>
    </xf>
    <xf numFmtId="10" fontId="150" fillId="101" borderId="0" xfId="37812" applyNumberFormat="1" applyFont="1" applyFill="1" applyAlignment="1">
      <alignment horizontal="right" vertical="top" indent="1"/>
    </xf>
    <xf numFmtId="0" fontId="89" fillId="101" borderId="0" xfId="17981" applyFont="1" applyFill="1" applyAlignment="1">
      <alignment vertical="top"/>
    </xf>
    <xf numFmtId="164" fontId="150" fillId="101" borderId="0" xfId="17981" applyNumberFormat="1" applyFont="1" applyFill="1" applyAlignment="1">
      <alignment horizontal="center" vertical="top"/>
    </xf>
    <xf numFmtId="168" fontId="163" fillId="32" borderId="0" xfId="17973" applyNumberFormat="1" applyFont="1" applyFill="1" applyAlignment="1">
      <alignment horizontal="center"/>
    </xf>
    <xf numFmtId="0" fontId="150" fillId="0" borderId="57" xfId="37578" applyFont="1" applyBorder="1" applyAlignment="1"/>
    <xf numFmtId="38" fontId="150" fillId="0" borderId="0" xfId="0" applyNumberFormat="1" applyFont="1" applyAlignment="1">
      <alignment horizontal="center"/>
    </xf>
    <xf numFmtId="0" fontId="150" fillId="0" borderId="0" xfId="0" applyFont="1" applyAlignment="1">
      <alignment horizontal="right" indent="3"/>
    </xf>
    <xf numFmtId="2" fontId="150" fillId="0" borderId="0" xfId="0" applyNumberFormat="1" applyFont="1" applyAlignment="1">
      <alignment horizontal="right" indent="2"/>
    </xf>
    <xf numFmtId="2" fontId="150" fillId="0" borderId="0" xfId="0" applyNumberFormat="1" applyFont="1" applyAlignment="1">
      <alignment horizontal="right" indent="6"/>
    </xf>
    <xf numFmtId="0" fontId="161" fillId="0" borderId="0" xfId="0" applyFont="1" applyAlignment="1">
      <alignment horizontal="right" indent="3"/>
    </xf>
    <xf numFmtId="0" fontId="150" fillId="0" borderId="12" xfId="0" applyFont="1" applyBorder="1" applyAlignment="1">
      <alignment horizontal="left"/>
    </xf>
    <xf numFmtId="0" fontId="150" fillId="0" borderId="12" xfId="0" applyFont="1" applyBorder="1" applyAlignment="1">
      <alignment horizontal="right" indent="3"/>
    </xf>
    <xf numFmtId="2" fontId="150" fillId="0" borderId="12" xfId="0" applyNumberFormat="1" applyFont="1" applyBorder="1" applyAlignment="1">
      <alignment horizontal="right" indent="6"/>
    </xf>
    <xf numFmtId="2" fontId="150" fillId="0" borderId="12" xfId="0" applyNumberFormat="1" applyFont="1" applyBorder="1" applyAlignment="1">
      <alignment horizontal="right" indent="2"/>
    </xf>
    <xf numFmtId="0" fontId="150" fillId="0" borderId="0" xfId="0" applyFont="1" applyAlignment="1">
      <alignment horizontal="center" vertical="top"/>
    </xf>
    <xf numFmtId="166" fontId="150" fillId="0" borderId="11" xfId="0" applyNumberFormat="1" applyFont="1" applyBorder="1"/>
    <xf numFmtId="166" fontId="150" fillId="110" borderId="0" xfId="0" applyNumberFormat="1" applyFont="1" applyFill="1"/>
    <xf numFmtId="0" fontId="150" fillId="110" borderId="0" xfId="0" applyFont="1" applyFill="1"/>
    <xf numFmtId="168" fontId="150" fillId="0" borderId="0" xfId="0" applyNumberFormat="1" applyFont="1"/>
    <xf numFmtId="10" fontId="162" fillId="0" borderId="0" xfId="144" applyNumberFormat="1" applyFont="1" applyFill="1"/>
    <xf numFmtId="10" fontId="150" fillId="0" borderId="0" xfId="131" applyNumberFormat="1" applyFont="1"/>
    <xf numFmtId="1" fontId="160" fillId="101" borderId="0" xfId="37747" applyNumberFormat="1" applyFont="1" applyFill="1" applyBorder="1" applyAlignment="1">
      <alignment horizontal="center"/>
    </xf>
    <xf numFmtId="7" fontId="0" fillId="0" borderId="0" xfId="0" applyNumberFormat="1"/>
    <xf numFmtId="0" fontId="0" fillId="110" borderId="0" xfId="0" applyFill="1"/>
    <xf numFmtId="0" fontId="150" fillId="110" borderId="0" xfId="37580" applyFont="1" applyFill="1"/>
    <xf numFmtId="0" fontId="161" fillId="0" borderId="44" xfId="17973" applyFont="1" applyFill="1" applyBorder="1" applyAlignment="1">
      <alignment horizontal="centerContinuous"/>
    </xf>
    <xf numFmtId="0" fontId="161" fillId="0" borderId="44" xfId="37580" applyFont="1" applyFill="1" applyBorder="1" applyAlignment="1">
      <alignment horizontal="center" wrapText="1"/>
    </xf>
    <xf numFmtId="3" fontId="173" fillId="0" borderId="44" xfId="37580" applyNumberFormat="1" applyFont="1" applyFill="1" applyBorder="1" applyAlignment="1">
      <alignment horizontal="right" wrapText="1" indent="2"/>
    </xf>
    <xf numFmtId="4" fontId="173" fillId="0" borderId="25" xfId="37580" applyNumberFormat="1" applyFont="1" applyFill="1" applyBorder="1" applyAlignment="1">
      <alignment horizontal="right" indent="1"/>
    </xf>
    <xf numFmtId="9" fontId="150" fillId="0" borderId="0" xfId="17973" applyNumberFormat="1" applyFont="1"/>
    <xf numFmtId="174" fontId="150" fillId="0" borderId="0" xfId="35795" applyNumberFormat="1" applyFont="1" applyBorder="1" applyAlignment="1">
      <alignment horizontal="center"/>
    </xf>
    <xf numFmtId="174" fontId="150" fillId="0" borderId="0" xfId="35795" applyNumberFormat="1" applyFont="1" applyAlignment="1">
      <alignment horizontal="center"/>
    </xf>
    <xf numFmtId="1" fontId="150" fillId="0" borderId="0" xfId="37580" applyNumberFormat="1" applyFont="1" applyAlignment="1">
      <alignment horizontal="center"/>
    </xf>
    <xf numFmtId="0" fontId="150" fillId="52" borderId="0" xfId="144" applyNumberFormat="1" applyFont="1" applyFill="1"/>
    <xf numFmtId="0" fontId="151" fillId="0" borderId="12" xfId="37976" applyFont="1" applyFill="1" applyBorder="1"/>
    <xf numFmtId="0" fontId="151" fillId="0" borderId="12" xfId="37976" applyFont="1" applyBorder="1" applyAlignment="1">
      <alignment vertical="top"/>
    </xf>
    <xf numFmtId="0" fontId="151" fillId="0" borderId="12" xfId="37976" applyFont="1" applyBorder="1"/>
    <xf numFmtId="0" fontId="151" fillId="0" borderId="12" xfId="37976" applyFont="1" applyBorder="1" applyAlignment="1">
      <alignment vertical="top" wrapText="1"/>
    </xf>
    <xf numFmtId="0" fontId="151" fillId="0" borderId="12" xfId="37976" applyFont="1" applyBorder="1" applyAlignment="1">
      <alignment horizontal="right" wrapText="1"/>
    </xf>
    <xf numFmtId="10" fontId="170" fillId="32" borderId="0" xfId="37811" applyNumberFormat="1" applyFont="1" applyFill="1" applyAlignment="1">
      <alignment horizontal="center"/>
    </xf>
    <xf numFmtId="10" fontId="163" fillId="32" borderId="0" xfId="37811" applyNumberFormat="1" applyFont="1" applyFill="1" applyBorder="1" applyAlignment="1">
      <alignment horizontal="center"/>
    </xf>
    <xf numFmtId="164" fontId="150" fillId="0" borderId="0" xfId="144" applyNumberFormat="1" applyFont="1" applyFill="1"/>
    <xf numFmtId="174" fontId="0" fillId="110" borderId="0" xfId="35795" applyNumberFormat="1" applyFont="1" applyFill="1"/>
    <xf numFmtId="0" fontId="168" fillId="0" borderId="48" xfId="17973" applyFont="1" applyFill="1" applyBorder="1" applyAlignment="1">
      <alignment horizontal="center" wrapText="1"/>
    </xf>
    <xf numFmtId="0" fontId="168" fillId="0" borderId="48" xfId="17973" applyFont="1" applyFill="1" applyBorder="1" applyAlignment="1">
      <alignment horizontal="center" vertical="center" wrapText="1"/>
    </xf>
    <xf numFmtId="0" fontId="168" fillId="0" borderId="47" xfId="17973" applyFont="1" applyFill="1" applyBorder="1" applyAlignment="1">
      <alignment horizontal="center" vertical="center" wrapText="1"/>
    </xf>
    <xf numFmtId="3" fontId="177" fillId="0" borderId="44" xfId="37578" applyNumberFormat="1" applyFont="1" applyFill="1" applyBorder="1" applyAlignment="1">
      <alignment horizontal="right" wrapText="1" indent="1"/>
    </xf>
    <xf numFmtId="3" fontId="177" fillId="0" borderId="0" xfId="37578" applyNumberFormat="1" applyFont="1" applyFill="1" applyBorder="1" applyAlignment="1">
      <alignment horizontal="right" wrapText="1" indent="1"/>
    </xf>
    <xf numFmtId="3" fontId="173" fillId="0" borderId="25" xfId="37578" applyNumberFormat="1" applyFont="1" applyFill="1" applyBorder="1" applyAlignment="1">
      <alignment horizontal="right" wrapText="1" indent="1"/>
    </xf>
    <xf numFmtId="3" fontId="173" fillId="0" borderId="12" xfId="37578" applyNumberFormat="1" applyFont="1" applyFill="1" applyBorder="1" applyAlignment="1">
      <alignment horizontal="right" wrapText="1" indent="1"/>
    </xf>
    <xf numFmtId="3" fontId="173" fillId="0" borderId="24" xfId="37578" applyNumberFormat="1" applyFont="1" applyFill="1" applyBorder="1" applyAlignment="1">
      <alignment horizontal="right" wrapText="1" indent="1"/>
    </xf>
    <xf numFmtId="3" fontId="173" fillId="0" borderId="47" xfId="37578" applyNumberFormat="1" applyFont="1" applyFill="1" applyBorder="1" applyAlignment="1">
      <alignment horizontal="right" wrapText="1" indent="1"/>
    </xf>
    <xf numFmtId="3" fontId="173" fillId="0" borderId="22" xfId="37578" applyNumberFormat="1" applyFont="1" applyFill="1" applyBorder="1" applyAlignment="1">
      <alignment horizontal="right" wrapText="1" indent="1"/>
    </xf>
    <xf numFmtId="0" fontId="150" fillId="0" borderId="44" xfId="37580" applyFont="1" applyBorder="1"/>
    <xf numFmtId="0" fontId="161" fillId="0" borderId="44" xfId="37580" applyFont="1" applyBorder="1"/>
    <xf numFmtId="0" fontId="150" fillId="110" borderId="0" xfId="37580" applyFont="1" applyFill="1" applyBorder="1" applyAlignment="1"/>
    <xf numFmtId="0" fontId="150" fillId="110" borderId="0" xfId="37580" applyFont="1" applyFill="1" applyAlignment="1">
      <alignment horizontal="center"/>
    </xf>
    <xf numFmtId="0" fontId="150" fillId="110" borderId="0" xfId="37580" applyFont="1" applyFill="1" applyAlignment="1">
      <alignment horizontal="right"/>
    </xf>
    <xf numFmtId="0" fontId="150" fillId="52" borderId="0" xfId="37580" applyFont="1" applyFill="1" applyAlignment="1">
      <alignment horizontal="left"/>
    </xf>
    <xf numFmtId="3" fontId="150" fillId="0" borderId="0" xfId="37580" applyNumberFormat="1" applyFont="1" applyFill="1" applyBorder="1" applyAlignment="1">
      <alignment horizontal="right" indent="2"/>
    </xf>
    <xf numFmtId="10" fontId="173" fillId="0" borderId="0" xfId="17973" applyNumberFormat="1" applyFont="1" applyFill="1"/>
    <xf numFmtId="4" fontId="173" fillId="0" borderId="0" xfId="37580" applyNumberFormat="1" applyFont="1" applyFill="1" applyBorder="1" applyAlignment="1">
      <alignment horizontal="right" wrapText="1" indent="2"/>
    </xf>
    <xf numFmtId="4" fontId="173" fillId="0" borderId="44" xfId="37580" applyNumberFormat="1" applyFont="1" applyFill="1" applyBorder="1" applyAlignment="1">
      <alignment horizontal="right" wrapText="1" indent="2"/>
    </xf>
    <xf numFmtId="10" fontId="150" fillId="0" borderId="0" xfId="17973" applyNumberFormat="1" applyFont="1" applyFill="1" applyAlignment="1">
      <alignment horizontal="right"/>
    </xf>
    <xf numFmtId="0" fontId="161" fillId="0" borderId="0" xfId="37580" applyFont="1" applyFill="1" applyBorder="1" applyAlignment="1">
      <alignment horizontal="left"/>
    </xf>
    <xf numFmtId="0" fontId="171" fillId="0" borderId="0" xfId="37580" applyFont="1" applyFill="1" applyBorder="1" applyAlignment="1">
      <alignment horizontal="left"/>
    </xf>
    <xf numFmtId="4" fontId="177" fillId="0" borderId="0" xfId="37580" applyNumberFormat="1" applyFont="1" applyFill="1" applyBorder="1" applyAlignment="1">
      <alignment horizontal="right" indent="2"/>
    </xf>
    <xf numFmtId="4" fontId="177" fillId="0" borderId="44" xfId="37580" applyNumberFormat="1" applyFont="1" applyFill="1" applyBorder="1" applyAlignment="1">
      <alignment horizontal="right" indent="2"/>
    </xf>
    <xf numFmtId="0" fontId="160" fillId="0" borderId="0" xfId="37580" applyFont="1" applyFill="1" applyBorder="1" applyAlignment="1">
      <alignment wrapText="1"/>
    </xf>
    <xf numFmtId="3" fontId="163" fillId="0" borderId="0" xfId="37580" quotePrefix="1" applyNumberFormat="1" applyFont="1" applyFill="1" applyBorder="1" applyAlignment="1">
      <alignment horizontal="center"/>
    </xf>
    <xf numFmtId="3" fontId="163" fillId="0" borderId="44" xfId="37580" quotePrefix="1" applyNumberFormat="1" applyFont="1" applyFill="1" applyBorder="1" applyAlignment="1">
      <alignment horizontal="center"/>
    </xf>
    <xf numFmtId="3" fontId="170" fillId="0" borderId="0" xfId="37580" applyNumberFormat="1" applyFont="1" applyFill="1" applyBorder="1" applyAlignment="1">
      <alignment horizontal="right" wrapText="1" indent="2"/>
    </xf>
    <xf numFmtId="3" fontId="170" fillId="0" borderId="44" xfId="37580" applyNumberFormat="1" applyFont="1" applyFill="1" applyBorder="1" applyAlignment="1">
      <alignment horizontal="right" wrapText="1" indent="2"/>
    </xf>
    <xf numFmtId="0" fontId="25" fillId="0" borderId="0" xfId="37578" applyFont="1" applyFill="1" applyBorder="1" applyAlignment="1">
      <alignment horizontal="left" indent="1"/>
    </xf>
    <xf numFmtId="3" fontId="177" fillId="0" borderId="0" xfId="37580" applyNumberFormat="1" applyFont="1" applyFill="1" applyBorder="1" applyAlignment="1">
      <alignment horizontal="right" indent="2"/>
    </xf>
    <xf numFmtId="3" fontId="177" fillId="0" borderId="44" xfId="37580" applyNumberFormat="1" applyFont="1" applyFill="1" applyBorder="1" applyAlignment="1">
      <alignment horizontal="right" indent="2"/>
    </xf>
    <xf numFmtId="0" fontId="150" fillId="111" borderId="0" xfId="37578" applyFont="1" applyFill="1" applyBorder="1" applyAlignment="1">
      <alignment horizontal="left" indent="2"/>
    </xf>
    <xf numFmtId="3" fontId="150" fillId="111" borderId="0" xfId="37579" applyNumberFormat="1" applyFont="1" applyFill="1" applyBorder="1" applyAlignment="1">
      <alignment horizontal="right" wrapText="1" indent="1"/>
    </xf>
    <xf numFmtId="174" fontId="150" fillId="111" borderId="0" xfId="37747" applyNumberFormat="1" applyFont="1" applyFill="1" applyBorder="1" applyAlignment="1">
      <alignment horizontal="left" indent="2"/>
    </xf>
    <xf numFmtId="0" fontId="150" fillId="111" borderId="0" xfId="37578" applyFont="1" applyFill="1" applyBorder="1" applyAlignment="1">
      <alignment horizontal="left" wrapText="1" indent="1"/>
    </xf>
    <xf numFmtId="0" fontId="150" fillId="111" borderId="0" xfId="37578" applyFont="1" applyFill="1" applyBorder="1" applyAlignment="1">
      <alignment horizontal="left" indent="1"/>
    </xf>
    <xf numFmtId="0" fontId="150" fillId="111" borderId="0" xfId="37580" applyFont="1" applyFill="1" applyBorder="1" applyAlignment="1">
      <alignment horizontal="left" indent="1"/>
    </xf>
    <xf numFmtId="0" fontId="161" fillId="111" borderId="0" xfId="37580" applyFont="1" applyFill="1" applyBorder="1"/>
    <xf numFmtId="167" fontId="150" fillId="111" borderId="0" xfId="37580" applyNumberFormat="1" applyFont="1" applyFill="1" applyBorder="1" applyAlignment="1">
      <alignment horizontal="right" wrapText="1" indent="1"/>
    </xf>
    <xf numFmtId="0" fontId="150" fillId="111" borderId="0" xfId="37580" applyFont="1" applyFill="1" applyBorder="1"/>
    <xf numFmtId="185" fontId="0" fillId="0" borderId="0" xfId="0" applyNumberFormat="1"/>
    <xf numFmtId="0" fontId="161" fillId="0" borderId="0" xfId="0" applyFont="1" applyAlignment="1">
      <alignment horizontal="centerContinuous"/>
    </xf>
    <xf numFmtId="167" fontId="150" fillId="111" borderId="0" xfId="37579" applyNumberFormat="1" applyFont="1" applyFill="1" applyBorder="1" applyAlignment="1">
      <alignment horizontal="right" wrapText="1" indent="1"/>
    </xf>
    <xf numFmtId="167" fontId="161" fillId="101" borderId="0" xfId="37579" applyNumberFormat="1" applyFont="1" applyFill="1" applyBorder="1" applyAlignment="1">
      <alignment horizontal="right" wrapText="1" indent="1"/>
    </xf>
    <xf numFmtId="0" fontId="28" fillId="0" borderId="12" xfId="37885" applyFont="1" applyBorder="1" applyAlignment="1">
      <alignment horizontal="right"/>
    </xf>
    <xf numFmtId="43" fontId="161" fillId="0" borderId="0" xfId="35795" applyFont="1"/>
    <xf numFmtId="167" fontId="150" fillId="111" borderId="0" xfId="37579" applyNumberFormat="1" applyFont="1" applyFill="1" applyBorder="1" applyAlignment="1">
      <alignment horizontal="right" wrapText="1" indent="2"/>
    </xf>
    <xf numFmtId="167" fontId="150" fillId="101" borderId="0" xfId="37579" applyNumberFormat="1" applyFont="1" applyFill="1" applyBorder="1" applyAlignment="1">
      <alignment horizontal="right" wrapText="1" indent="2"/>
    </xf>
    <xf numFmtId="167" fontId="161" fillId="101" borderId="0" xfId="37579" applyNumberFormat="1" applyFont="1" applyFill="1" applyBorder="1" applyAlignment="1">
      <alignment horizontal="right" wrapText="1" indent="2"/>
    </xf>
    <xf numFmtId="3" fontId="150" fillId="101" borderId="12" xfId="37578" applyNumberFormat="1" applyFont="1" applyFill="1" applyBorder="1" applyAlignment="1">
      <alignment horizontal="right" wrapText="1" indent="2"/>
    </xf>
    <xf numFmtId="3" fontId="150" fillId="101" borderId="0" xfId="37578" applyNumberFormat="1" applyFont="1" applyFill="1" applyBorder="1" applyAlignment="1">
      <alignment horizontal="right" wrapText="1" indent="2"/>
    </xf>
    <xf numFmtId="166" fontId="161" fillId="101" borderId="0" xfId="37578" applyNumberFormat="1" applyFont="1" applyFill="1" applyBorder="1" applyAlignment="1">
      <alignment horizontal="right" wrapText="1" indent="2"/>
    </xf>
    <xf numFmtId="164" fontId="150" fillId="101" borderId="0" xfId="17981" applyNumberFormat="1" applyFont="1" applyFill="1" applyAlignment="1">
      <alignment horizontal="right" vertical="top" indent="3"/>
    </xf>
    <xf numFmtId="164" fontId="150" fillId="101" borderId="0" xfId="37812" applyNumberFormat="1" applyFont="1" applyFill="1" applyAlignment="1">
      <alignment horizontal="right" vertical="top" indent="3"/>
    </xf>
    <xf numFmtId="164" fontId="150" fillId="101" borderId="0" xfId="144" applyNumberFormat="1" applyFont="1" applyFill="1" applyAlignment="1">
      <alignment horizontal="right" vertical="top" indent="3"/>
    </xf>
    <xf numFmtId="164" fontId="150" fillId="101" borderId="0" xfId="37812" applyNumberFormat="1" applyFont="1" applyFill="1" applyAlignment="1">
      <alignment horizontal="right" vertical="top" indent="4"/>
    </xf>
    <xf numFmtId="43" fontId="150" fillId="0" borderId="0" xfId="35795" applyFont="1" applyFill="1"/>
    <xf numFmtId="174" fontId="150" fillId="0" borderId="0" xfId="35795" applyNumberFormat="1" applyFont="1" applyFill="1" applyAlignment="1">
      <alignment horizontal="center"/>
    </xf>
    <xf numFmtId="174" fontId="150" fillId="0" borderId="0" xfId="37580" applyNumberFormat="1" applyFont="1" applyAlignment="1">
      <alignment horizontal="center"/>
    </xf>
    <xf numFmtId="174" fontId="150" fillId="0" borderId="0" xfId="37580" applyNumberFormat="1" applyFont="1" applyFill="1" applyAlignment="1">
      <alignment horizontal="center"/>
    </xf>
    <xf numFmtId="0" fontId="163" fillId="0" borderId="12" xfId="17973" applyFont="1" applyBorder="1" applyAlignment="1">
      <alignment horizontal="right" indent="2"/>
    </xf>
    <xf numFmtId="0" fontId="150" fillId="0" borderId="12" xfId="17973" applyFont="1" applyBorder="1" applyAlignment="1">
      <alignment horizontal="right" indent="2"/>
    </xf>
    <xf numFmtId="3" fontId="188" fillId="0" borderId="12" xfId="37578" applyNumberFormat="1" applyFont="1" applyFill="1" applyBorder="1" applyAlignment="1">
      <alignment horizontal="right" wrapText="1" indent="1"/>
    </xf>
    <xf numFmtId="3" fontId="150" fillId="0" borderId="0" xfId="37578" applyNumberFormat="1" applyFont="1" applyFill="1" applyBorder="1"/>
    <xf numFmtId="0" fontId="0" fillId="0" borderId="0" xfId="0" applyBorder="1"/>
    <xf numFmtId="167" fontId="150" fillId="101" borderId="0" xfId="37580" applyNumberFormat="1" applyFont="1" applyFill="1"/>
    <xf numFmtId="0" fontId="143" fillId="110" borderId="0" xfId="37885" applyFont="1" applyFill="1"/>
    <xf numFmtId="0" fontId="156" fillId="26" borderId="0" xfId="131" applyFont="1" applyFill="1"/>
    <xf numFmtId="9" fontId="84" fillId="0" borderId="0" xfId="144" applyFont="1" applyBorder="1"/>
    <xf numFmtId="166" fontId="206" fillId="0" borderId="0" xfId="131" applyNumberFormat="1" applyFont="1"/>
    <xf numFmtId="9" fontId="57" fillId="0" borderId="0" xfId="131" applyNumberFormat="1"/>
    <xf numFmtId="0" fontId="28" fillId="0" borderId="0" xfId="37885" applyFont="1"/>
    <xf numFmtId="0" fontId="28" fillId="0" borderId="0" xfId="37885" applyFont="1" applyBorder="1"/>
    <xf numFmtId="186" fontId="207" fillId="111" borderId="0" xfId="37885" applyNumberFormat="1" applyFont="1" applyFill="1" applyBorder="1" applyAlignment="1">
      <alignment horizontal="center" vertical="center"/>
    </xf>
    <xf numFmtId="186" fontId="207" fillId="0" borderId="0" xfId="37885" applyNumberFormat="1" applyFont="1" applyBorder="1" applyAlignment="1">
      <alignment horizontal="center" vertical="center"/>
    </xf>
    <xf numFmtId="186" fontId="207" fillId="0" borderId="0" xfId="37885" applyNumberFormat="1" applyFont="1" applyFill="1" applyBorder="1" applyAlignment="1">
      <alignment horizontal="center" vertical="center"/>
    </xf>
    <xf numFmtId="186" fontId="208" fillId="0" borderId="0" xfId="37885" applyNumberFormat="1" applyFont="1" applyFill="1" applyBorder="1" applyAlignment="1">
      <alignment horizontal="center" vertical="center"/>
    </xf>
    <xf numFmtId="186" fontId="208" fillId="0" borderId="0" xfId="37885" applyNumberFormat="1" applyFont="1" applyBorder="1" applyAlignment="1">
      <alignment horizontal="center" vertical="center"/>
    </xf>
    <xf numFmtId="186" fontId="207" fillId="0" borderId="12" xfId="37885" applyNumberFormat="1" applyFont="1" applyBorder="1" applyAlignment="1">
      <alignment horizontal="center" vertical="center"/>
    </xf>
    <xf numFmtId="186" fontId="207" fillId="110" borderId="0" xfId="37885" applyNumberFormat="1" applyFont="1" applyFill="1" applyAlignment="1">
      <alignment horizontal="center" vertical="center"/>
    </xf>
    <xf numFmtId="0" fontId="28" fillId="0" borderId="11" xfId="37885" applyFont="1" applyBorder="1"/>
    <xf numFmtId="0" fontId="144" fillId="0" borderId="0" xfId="37885" applyFont="1" applyFill="1" applyBorder="1" applyAlignment="1">
      <alignment horizontal="left"/>
    </xf>
    <xf numFmtId="0" fontId="208" fillId="0" borderId="0" xfId="37885" applyFont="1" applyFill="1" applyBorder="1" applyAlignment="1">
      <alignment horizontal="left"/>
    </xf>
    <xf numFmtId="164" fontId="145" fillId="0" borderId="0" xfId="144" applyNumberFormat="1" applyFont="1" applyAlignment="1"/>
    <xf numFmtId="0" fontId="209" fillId="0" borderId="0" xfId="37885" applyFont="1" applyBorder="1" applyAlignment="1">
      <alignment horizontal="right"/>
    </xf>
    <xf numFmtId="0" fontId="209" fillId="111" borderId="0" xfId="37885" applyFont="1" applyFill="1" applyBorder="1" applyAlignment="1">
      <alignment horizontal="left"/>
    </xf>
    <xf numFmtId="0" fontId="209" fillId="0" borderId="0" xfId="37885" applyFont="1" applyBorder="1" applyAlignment="1">
      <alignment horizontal="left"/>
    </xf>
    <xf numFmtId="0" fontId="210" fillId="0" borderId="0" xfId="37885" applyFont="1" applyBorder="1" applyAlignment="1">
      <alignment horizontal="left"/>
    </xf>
    <xf numFmtId="0" fontId="207" fillId="111" borderId="0" xfId="37885" quotePrefix="1" applyFont="1" applyFill="1" applyBorder="1" applyAlignment="1">
      <alignment horizontal="left"/>
    </xf>
    <xf numFmtId="0" fontId="207" fillId="0" borderId="0" xfId="37885" quotePrefix="1" applyFont="1" applyBorder="1" applyAlignment="1">
      <alignment horizontal="left"/>
    </xf>
    <xf numFmtId="0" fontId="207" fillId="111" borderId="0" xfId="37885" quotePrefix="1" applyFont="1" applyFill="1" applyAlignment="1">
      <alignment horizontal="left"/>
    </xf>
    <xf numFmtId="0" fontId="207" fillId="0" borderId="0" xfId="37885" applyFont="1" applyBorder="1" applyAlignment="1">
      <alignment horizontal="left"/>
    </xf>
    <xf numFmtId="0" fontId="207" fillId="0" borderId="12" xfId="37885" applyFont="1" applyBorder="1" applyAlignment="1">
      <alignment horizontal="left"/>
    </xf>
    <xf numFmtId="0" fontId="207" fillId="110" borderId="0" xfId="37885" quotePrefix="1" applyFont="1" applyFill="1" applyAlignment="1">
      <alignment horizontal="left"/>
    </xf>
    <xf numFmtId="0" fontId="146" fillId="0" borderId="11" xfId="37885" quotePrefix="1" applyFont="1" applyBorder="1" applyAlignment="1">
      <alignment horizontal="right"/>
    </xf>
    <xf numFmtId="0" fontId="28" fillId="0" borderId="11" xfId="37885" applyFont="1" applyBorder="1" applyAlignment="1">
      <alignment horizontal="centerContinuous"/>
    </xf>
    <xf numFmtId="0" fontId="28" fillId="0" borderId="0" xfId="37885" applyFont="1" applyBorder="1" applyAlignment="1">
      <alignment horizontal="centerContinuous"/>
    </xf>
    <xf numFmtId="0" fontId="28" fillId="0" borderId="0" xfId="37885" applyFont="1" applyBorder="1" applyAlignment="1">
      <alignment horizontal="center"/>
    </xf>
    <xf numFmtId="0" fontId="28" fillId="0" borderId="12" xfId="37885" applyFont="1" applyBorder="1" applyAlignment="1">
      <alignment horizontal="center"/>
    </xf>
    <xf numFmtId="0" fontId="28" fillId="111" borderId="0" xfId="37885" applyFont="1" applyFill="1" applyBorder="1" applyAlignment="1">
      <alignment horizontal="left"/>
    </xf>
    <xf numFmtId="0" fontId="28" fillId="0" borderId="0" xfId="37885" applyFont="1" applyBorder="1" applyAlignment="1">
      <alignment horizontal="left"/>
    </xf>
    <xf numFmtId="0" fontId="28" fillId="0" borderId="0" xfId="37885" applyFont="1" applyFill="1" applyBorder="1" applyAlignment="1">
      <alignment horizontal="left" indent="1"/>
    </xf>
    <xf numFmtId="174" fontId="148" fillId="0" borderId="0" xfId="37747" applyNumberFormat="1" applyFont="1" applyBorder="1" applyAlignment="1"/>
    <xf numFmtId="0" fontId="28" fillId="0" borderId="0" xfId="37885" applyFont="1" applyFill="1" applyBorder="1"/>
    <xf numFmtId="0" fontId="28" fillId="0" borderId="12" xfId="37885" applyFont="1" applyBorder="1"/>
    <xf numFmtId="187" fontId="0" fillId="0" borderId="0" xfId="0" applyNumberFormat="1"/>
    <xf numFmtId="0" fontId="150" fillId="125" borderId="0" xfId="37578" applyFont="1" applyFill="1" applyBorder="1" applyAlignment="1">
      <alignment horizontal="left" indent="1"/>
    </xf>
    <xf numFmtId="3" fontId="150" fillId="125" borderId="0" xfId="37579" applyNumberFormat="1" applyFont="1" applyFill="1" applyBorder="1" applyAlignment="1">
      <alignment horizontal="right" wrapText="1" indent="1"/>
    </xf>
    <xf numFmtId="0" fontId="182" fillId="125" borderId="0" xfId="37578" applyFont="1" applyFill="1" applyBorder="1"/>
    <xf numFmtId="0" fontId="183" fillId="125" borderId="0" xfId="37578" applyFont="1" applyFill="1" applyBorder="1" applyAlignment="1">
      <alignment horizontal="left" indent="2"/>
    </xf>
    <xf numFmtId="167" fontId="183" fillId="125" borderId="0" xfId="37579" applyNumberFormat="1" applyFont="1" applyFill="1" applyBorder="1" applyAlignment="1">
      <alignment horizontal="right" wrapText="1" indent="2"/>
    </xf>
    <xf numFmtId="167" fontId="183" fillId="125" borderId="0" xfId="37579" applyNumberFormat="1" applyFont="1" applyFill="1" applyBorder="1" applyAlignment="1">
      <alignment horizontal="right" wrapText="1" indent="1"/>
    </xf>
    <xf numFmtId="3" fontId="183" fillId="125" borderId="0" xfId="37579" applyNumberFormat="1" applyFont="1" applyFill="1" applyBorder="1" applyAlignment="1">
      <alignment horizontal="right" wrapText="1" indent="1"/>
    </xf>
    <xf numFmtId="3" fontId="183" fillId="125" borderId="0" xfId="37578" applyNumberFormat="1" applyFont="1" applyFill="1" applyBorder="1" applyAlignment="1">
      <alignment horizontal="right" wrapText="1" indent="1"/>
    </xf>
    <xf numFmtId="174" fontId="182" fillId="125" borderId="0" xfId="37747" applyNumberFormat="1" applyFont="1" applyFill="1" applyBorder="1" applyAlignment="1">
      <alignment horizontal="left" indent="2"/>
    </xf>
    <xf numFmtId="167" fontId="182" fillId="125" borderId="0" xfId="37579" applyNumberFormat="1" applyFont="1" applyFill="1" applyBorder="1" applyAlignment="1">
      <alignment horizontal="right" wrapText="1" indent="2"/>
    </xf>
    <xf numFmtId="167" fontId="182" fillId="125" borderId="0" xfId="37579" applyNumberFormat="1" applyFont="1" applyFill="1" applyBorder="1" applyAlignment="1">
      <alignment horizontal="right" wrapText="1" indent="1"/>
    </xf>
    <xf numFmtId="3" fontId="182" fillId="125" borderId="0" xfId="37578" applyNumberFormat="1" applyFont="1" applyFill="1" applyBorder="1" applyAlignment="1">
      <alignment horizontal="right" wrapText="1" indent="1"/>
    </xf>
    <xf numFmtId="0" fontId="145" fillId="106" borderId="0" xfId="37885" applyFont="1" applyFill="1" applyBorder="1" applyAlignment="1">
      <alignment horizontal="left" indent="1"/>
    </xf>
    <xf numFmtId="0" fontId="164" fillId="106" borderId="0" xfId="37885" applyFont="1" applyFill="1" applyBorder="1" applyAlignment="1">
      <alignment horizontal="right"/>
    </xf>
    <xf numFmtId="166" fontId="150" fillId="101" borderId="0" xfId="37580" applyNumberFormat="1" applyFont="1" applyFill="1"/>
    <xf numFmtId="0" fontId="57" fillId="110" borderId="59" xfId="131" applyFill="1" applyBorder="1"/>
    <xf numFmtId="0" fontId="57" fillId="110" borderId="60" xfId="131" applyFill="1" applyBorder="1"/>
    <xf numFmtId="0" fontId="57" fillId="110" borderId="61" xfId="131" applyFill="1" applyBorder="1"/>
    <xf numFmtId="0" fontId="57" fillId="110" borderId="62" xfId="131" applyFill="1" applyBorder="1"/>
    <xf numFmtId="0" fontId="57" fillId="110" borderId="64" xfId="131" applyFill="1" applyBorder="1"/>
    <xf numFmtId="0" fontId="57" fillId="110" borderId="65" xfId="131" applyFill="1" applyBorder="1"/>
    <xf numFmtId="0" fontId="57" fillId="110" borderId="66" xfId="131" applyFill="1" applyBorder="1"/>
    <xf numFmtId="0" fontId="57" fillId="110" borderId="63" xfId="131" applyFill="1" applyBorder="1"/>
    <xf numFmtId="0" fontId="161" fillId="110" borderId="0" xfId="0" applyFont="1" applyFill="1" applyBorder="1" applyAlignment="1">
      <alignment horizontal="right"/>
    </xf>
    <xf numFmtId="0" fontId="211" fillId="106" borderId="58" xfId="0" applyFont="1" applyFill="1" applyBorder="1" applyAlignment="1">
      <alignment horizontal="center"/>
    </xf>
    <xf numFmtId="0" fontId="211" fillId="106" borderId="0" xfId="17973" applyFont="1" applyFill="1" applyAlignment="1">
      <alignment horizontal="right"/>
    </xf>
    <xf numFmtId="0" fontId="211" fillId="106" borderId="0" xfId="37580" applyFont="1" applyFill="1"/>
    <xf numFmtId="9" fontId="211" fillId="106" borderId="0" xfId="144" applyFont="1" applyFill="1"/>
    <xf numFmtId="0" fontId="211" fillId="106" borderId="0" xfId="144" applyNumberFormat="1" applyFont="1" applyFill="1"/>
    <xf numFmtId="0" fontId="161" fillId="106" borderId="0" xfId="37580" applyFont="1" applyFill="1"/>
    <xf numFmtId="7" fontId="145" fillId="111" borderId="0" xfId="37885" applyNumberFormat="1" applyFont="1" applyFill="1" applyBorder="1" applyAlignment="1"/>
    <xf numFmtId="0" fontId="212" fillId="106" borderId="0" xfId="0" applyFont="1" applyFill="1"/>
    <xf numFmtId="0" fontId="213" fillId="106" borderId="0" xfId="0" applyFont="1" applyFill="1"/>
    <xf numFmtId="0" fontId="211" fillId="101" borderId="0" xfId="17973" applyFont="1" applyFill="1"/>
    <xf numFmtId="0" fontId="31" fillId="0" borderId="0" xfId="0" applyFont="1" applyBorder="1" applyAlignment="1">
      <alignment horizontal="center"/>
    </xf>
    <xf numFmtId="10" fontId="0" fillId="0" borderId="0" xfId="144" applyNumberFormat="1" applyFont="1" applyBorder="1" applyAlignment="1">
      <alignment horizontal="center"/>
    </xf>
    <xf numFmtId="180" fontId="145" fillId="106" borderId="0" xfId="37885" applyNumberFormat="1" applyFont="1" applyFill="1" applyBorder="1" applyAlignment="1">
      <alignment horizontal="right" indent="1"/>
    </xf>
    <xf numFmtId="0" fontId="214" fillId="106" borderId="0" xfId="0" applyFont="1" applyFill="1"/>
    <xf numFmtId="0" fontId="150" fillId="106" borderId="0" xfId="37580" applyFont="1" applyFill="1"/>
    <xf numFmtId="2" fontId="150" fillId="101" borderId="0" xfId="37580" applyNumberFormat="1" applyFont="1" applyFill="1" applyBorder="1" applyAlignment="1">
      <alignment horizontal="center"/>
    </xf>
    <xf numFmtId="0" fontId="69" fillId="0" borderId="0" xfId="131" applyFont="1" applyFill="1" applyBorder="1" applyAlignment="1">
      <alignment horizontal="right"/>
    </xf>
    <xf numFmtId="0" fontId="69" fillId="0" borderId="0" xfId="131" applyFont="1" applyFill="1" applyAlignment="1">
      <alignment horizontal="right"/>
    </xf>
    <xf numFmtId="0" fontId="57" fillId="0" borderId="0" xfId="131" applyFill="1" applyAlignment="1">
      <alignment horizontal="right"/>
    </xf>
    <xf numFmtId="165" fontId="0" fillId="0" borderId="0" xfId="0" applyNumberFormat="1"/>
    <xf numFmtId="10" fontId="147" fillId="0" borderId="0" xfId="0" applyNumberFormat="1" applyFont="1"/>
    <xf numFmtId="167" fontId="69" fillId="30" borderId="0" xfId="131" applyNumberFormat="1" applyFont="1" applyFill="1"/>
    <xf numFmtId="165" fontId="36" fillId="0" borderId="0" xfId="0" applyNumberFormat="1" applyFont="1"/>
    <xf numFmtId="173" fontId="150" fillId="0" borderId="44" xfId="144" applyNumberFormat="1" applyFont="1" applyBorder="1"/>
    <xf numFmtId="10" fontId="0" fillId="0" borderId="0" xfId="144" applyNumberFormat="1" applyFont="1"/>
    <xf numFmtId="173" fontId="0" fillId="0" borderId="0" xfId="144" applyNumberFormat="1" applyFont="1"/>
    <xf numFmtId="10" fontId="0" fillId="0" borderId="0" xfId="0" applyNumberFormat="1"/>
    <xf numFmtId="168" fontId="72" fillId="30" borderId="0" xfId="131" applyNumberFormat="1" applyFont="1" applyFill="1" applyAlignment="1">
      <alignment horizontal="right"/>
    </xf>
    <xf numFmtId="168" fontId="73" fillId="30" borderId="0" xfId="131" applyNumberFormat="1" applyFont="1" applyFill="1"/>
    <xf numFmtId="168" fontId="72" fillId="30" borderId="0" xfId="131" applyNumberFormat="1" applyFont="1" applyFill="1"/>
    <xf numFmtId="0" fontId="188" fillId="0" borderId="0" xfId="0" applyFont="1" applyFill="1" applyAlignment="1">
      <alignment horizontal="right"/>
    </xf>
    <xf numFmtId="0" fontId="21" fillId="124" borderId="11" xfId="37949" applyFont="1" applyFill="1" applyBorder="1"/>
    <xf numFmtId="0" fontId="21" fillId="124" borderId="11" xfId="37949" applyFont="1" applyFill="1" applyBorder="1" applyAlignment="1">
      <alignment horizontal="center"/>
    </xf>
    <xf numFmtId="166" fontId="21" fillId="124" borderId="11" xfId="37949" applyNumberFormat="1" applyFont="1" applyFill="1" applyBorder="1"/>
    <xf numFmtId="0" fontId="21" fillId="124" borderId="0" xfId="37949" applyFont="1" applyFill="1"/>
    <xf numFmtId="0" fontId="21" fillId="124" borderId="0" xfId="37949" applyFont="1" applyFill="1" applyAlignment="1">
      <alignment horizontal="center"/>
    </xf>
    <xf numFmtId="166" fontId="21" fillId="124" borderId="0" xfId="37949" applyNumberFormat="1" applyFont="1" applyFill="1"/>
    <xf numFmtId="0" fontId="151" fillId="124" borderId="0" xfId="37949" applyFont="1" applyFill="1" applyAlignment="1">
      <alignment wrapText="1"/>
    </xf>
    <xf numFmtId="0" fontId="151" fillId="124" borderId="0" xfId="37949" applyFont="1" applyFill="1" applyAlignment="1">
      <alignment horizontal="center" vertical="top" wrapText="1"/>
    </xf>
    <xf numFmtId="0" fontId="151" fillId="124" borderId="0" xfId="37949" applyFont="1" applyFill="1" applyAlignment="1">
      <alignment horizontal="right" vertical="top" wrapText="1"/>
    </xf>
    <xf numFmtId="166" fontId="151" fillId="124" borderId="0" xfId="37949" applyNumberFormat="1" applyFont="1" applyFill="1" applyAlignment="1">
      <alignment horizontal="center" vertical="top" wrapText="1"/>
    </xf>
    <xf numFmtId="0" fontId="21" fillId="124" borderId="12" xfId="37949" applyFont="1" applyFill="1" applyBorder="1"/>
    <xf numFmtId="0" fontId="21" fillId="124" borderId="12" xfId="37949" applyFont="1" applyFill="1" applyBorder="1" applyAlignment="1">
      <alignment horizontal="center"/>
    </xf>
    <xf numFmtId="0" fontId="21" fillId="124" borderId="12" xfId="37949" applyFont="1" applyFill="1" applyBorder="1" applyAlignment="1">
      <alignment horizontal="right"/>
    </xf>
    <xf numFmtId="0" fontId="152" fillId="124" borderId="12" xfId="37949" applyFont="1" applyFill="1" applyBorder="1" applyAlignment="1">
      <alignment horizontal="center"/>
    </xf>
    <xf numFmtId="166" fontId="152" fillId="124" borderId="12" xfId="37949" applyNumberFormat="1" applyFont="1" applyFill="1" applyBorder="1" applyAlignment="1">
      <alignment horizontal="center"/>
    </xf>
    <xf numFmtId="0" fontId="21" fillId="124" borderId="0" xfId="37949" applyFont="1" applyFill="1" applyBorder="1"/>
    <xf numFmtId="0" fontId="21" fillId="124" borderId="0" xfId="37949" applyFont="1" applyFill="1" applyBorder="1" applyAlignment="1">
      <alignment horizontal="center"/>
    </xf>
    <xf numFmtId="0" fontId="21" fillId="124" borderId="0" xfId="37949" applyFont="1" applyFill="1" applyBorder="1" applyAlignment="1">
      <alignment horizontal="right"/>
    </xf>
    <xf numFmtId="0" fontId="152" fillId="124" borderId="0" xfId="37949" applyFont="1" applyFill="1" applyBorder="1" applyAlignment="1">
      <alignment horizontal="right"/>
    </xf>
    <xf numFmtId="166" fontId="152" fillId="124" borderId="0" xfId="37949" applyNumberFormat="1" applyFont="1" applyFill="1" applyBorder="1" applyAlignment="1">
      <alignment horizontal="right"/>
    </xf>
    <xf numFmtId="0" fontId="150" fillId="111" borderId="0" xfId="37949" applyFont="1" applyFill="1" applyAlignment="1">
      <alignment horizontal="center"/>
    </xf>
    <xf numFmtId="165" fontId="150" fillId="111" borderId="0" xfId="37949" applyNumberFormat="1" applyFont="1" applyFill="1" applyAlignment="1">
      <alignment horizontal="right" indent="2"/>
    </xf>
    <xf numFmtId="0" fontId="150" fillId="124" borderId="0" xfId="37949" applyFont="1" applyFill="1" applyBorder="1" applyAlignment="1">
      <alignment horizontal="center"/>
    </xf>
    <xf numFmtId="0" fontId="21" fillId="124" borderId="12" xfId="37949" applyFont="1" applyFill="1" applyBorder="1" applyAlignment="1">
      <alignment horizontal="left" indent="1"/>
    </xf>
    <xf numFmtId="0" fontId="150" fillId="124" borderId="12" xfId="37949" applyFont="1" applyFill="1" applyBorder="1" applyAlignment="1">
      <alignment horizontal="center"/>
    </xf>
    <xf numFmtId="0" fontId="150" fillId="124" borderId="12" xfId="37949" applyFont="1" applyFill="1" applyBorder="1"/>
    <xf numFmtId="165" fontId="150" fillId="124" borderId="12" xfId="37949" applyNumberFormat="1" applyFont="1" applyFill="1" applyBorder="1" applyAlignment="1">
      <alignment horizontal="right" indent="2"/>
    </xf>
    <xf numFmtId="166" fontId="150" fillId="124" borderId="12" xfId="37949" applyNumberFormat="1" applyFont="1" applyFill="1" applyBorder="1"/>
    <xf numFmtId="168" fontId="150" fillId="124" borderId="12" xfId="37949" applyNumberFormat="1" applyFont="1" applyFill="1" applyBorder="1" applyAlignment="1">
      <alignment horizontal="center"/>
    </xf>
    <xf numFmtId="166" fontId="150" fillId="124" borderId="12" xfId="37949" applyNumberFormat="1" applyFont="1" applyFill="1" applyBorder="1" applyAlignment="1">
      <alignment horizontal="right" indent="1"/>
    </xf>
    <xf numFmtId="166" fontId="150" fillId="124" borderId="12" xfId="37949" applyNumberFormat="1" applyFont="1" applyFill="1" applyBorder="1" applyAlignment="1">
      <alignment horizontal="center"/>
    </xf>
    <xf numFmtId="0" fontId="21" fillId="124" borderId="0" xfId="37949" applyFont="1" applyFill="1" applyBorder="1" applyAlignment="1">
      <alignment horizontal="left" indent="1"/>
    </xf>
    <xf numFmtId="0" fontId="150" fillId="124" borderId="0" xfId="37949" applyFont="1" applyFill="1" applyBorder="1"/>
    <xf numFmtId="165" fontId="150" fillId="124" borderId="0" xfId="37949" applyNumberFormat="1" applyFont="1" applyFill="1" applyBorder="1" applyAlignment="1">
      <alignment horizontal="right" indent="2"/>
    </xf>
    <xf numFmtId="166" fontId="150" fillId="124" borderId="0" xfId="37949" applyNumberFormat="1" applyFont="1" applyFill="1" applyBorder="1"/>
    <xf numFmtId="168" fontId="150" fillId="124" borderId="0" xfId="37949" applyNumberFormat="1" applyFont="1" applyFill="1" applyBorder="1" applyAlignment="1">
      <alignment horizontal="center"/>
    </xf>
    <xf numFmtId="166" fontId="150" fillId="124" borderId="0" xfId="37949" applyNumberFormat="1" applyFont="1" applyFill="1" applyBorder="1" applyAlignment="1">
      <alignment horizontal="right" indent="1"/>
    </xf>
    <xf numFmtId="166" fontId="150" fillId="124" borderId="0" xfId="37949" applyNumberFormat="1" applyFont="1" applyFill="1" applyBorder="1" applyAlignment="1">
      <alignment horizontal="center"/>
    </xf>
    <xf numFmtId="0" fontId="151" fillId="111" borderId="0" xfId="37949" applyFont="1" applyFill="1" applyAlignment="1">
      <alignment horizontal="left" indent="1"/>
    </xf>
    <xf numFmtId="0" fontId="21" fillId="111" borderId="0" xfId="37949" applyFont="1" applyFill="1" applyAlignment="1">
      <alignment horizontal="center"/>
    </xf>
    <xf numFmtId="0" fontId="150" fillId="111" borderId="0" xfId="37949" applyFont="1" applyFill="1"/>
    <xf numFmtId="166" fontId="150" fillId="111" borderId="0" xfId="37949" applyNumberFormat="1" applyFont="1" applyFill="1"/>
    <xf numFmtId="167" fontId="161" fillId="110" borderId="0" xfId="37949" applyNumberFormat="1" applyFont="1" applyFill="1" applyAlignment="1">
      <alignment horizontal="right" indent="2"/>
    </xf>
    <xf numFmtId="0" fontId="161" fillId="111" borderId="0" xfId="37949" applyFont="1" applyFill="1" applyAlignment="1">
      <alignment horizontal="left" indent="2"/>
    </xf>
    <xf numFmtId="166" fontId="161" fillId="111" borderId="0" xfId="37949" applyNumberFormat="1" applyFont="1" applyFill="1" applyAlignment="1">
      <alignment horizontal="left" indent="2"/>
    </xf>
    <xf numFmtId="167" fontId="161" fillId="110" borderId="0" xfId="37949" applyNumberFormat="1" applyFont="1" applyFill="1" applyAlignment="1">
      <alignment horizontal="center"/>
    </xf>
    <xf numFmtId="0" fontId="21" fillId="0" borderId="11" xfId="37976" applyFont="1" applyBorder="1"/>
    <xf numFmtId="0" fontId="21" fillId="0" borderId="0" xfId="37976" applyFont="1"/>
    <xf numFmtId="0" fontId="21" fillId="0" borderId="12" xfId="37976" applyFont="1" applyBorder="1"/>
    <xf numFmtId="0" fontId="21" fillId="0" borderId="0" xfId="37976" applyFont="1" applyFill="1"/>
    <xf numFmtId="10" fontId="21" fillId="110" borderId="0" xfId="37975" applyNumberFormat="1" applyFont="1" applyFill="1" applyAlignment="1">
      <alignment horizontal="right"/>
    </xf>
    <xf numFmtId="0" fontId="150" fillId="0" borderId="0" xfId="0" applyFont="1" applyFill="1" applyAlignment="1">
      <alignment horizontal="right"/>
    </xf>
    <xf numFmtId="0" fontId="150" fillId="52" borderId="12" xfId="17973" applyFont="1" applyFill="1" applyBorder="1"/>
    <xf numFmtId="0" fontId="150" fillId="52" borderId="0" xfId="17973" applyFont="1" applyFill="1" applyBorder="1"/>
    <xf numFmtId="10" fontId="21" fillId="106" borderId="0" xfId="37976" applyNumberFormat="1" applyFont="1" applyFill="1"/>
    <xf numFmtId="0" fontId="20" fillId="0" borderId="0" xfId="37976" applyFont="1"/>
    <xf numFmtId="0" fontId="161" fillId="0" borderId="0" xfId="37578" applyFont="1" applyFill="1"/>
    <xf numFmtId="2" fontId="150" fillId="0" borderId="0" xfId="37578" applyNumberFormat="1" applyFont="1" applyFill="1"/>
    <xf numFmtId="0" fontId="150" fillId="103" borderId="0" xfId="37578" applyFont="1" applyFill="1" applyBorder="1" applyAlignment="1">
      <alignment horizontal="left" indent="1"/>
    </xf>
    <xf numFmtId="174" fontId="150" fillId="103" borderId="0" xfId="37747" applyNumberFormat="1" applyFont="1" applyFill="1" applyBorder="1" applyAlignment="1">
      <alignment horizontal="left" indent="2"/>
    </xf>
    <xf numFmtId="167" fontId="150" fillId="103" borderId="0" xfId="37579" applyNumberFormat="1" applyFont="1" applyFill="1" applyBorder="1" applyAlignment="1">
      <alignment horizontal="right" wrapText="1" indent="1"/>
    </xf>
    <xf numFmtId="3" fontId="150" fillId="103" borderId="0" xfId="37579" applyNumberFormat="1" applyFont="1" applyFill="1" applyBorder="1" applyAlignment="1">
      <alignment horizontal="right" wrapText="1" indent="1"/>
    </xf>
    <xf numFmtId="167" fontId="150" fillId="103" borderId="0" xfId="37580" applyNumberFormat="1" applyFont="1" applyFill="1" applyBorder="1" applyAlignment="1">
      <alignment horizontal="right" wrapText="1" indent="1"/>
    </xf>
    <xf numFmtId="6" fontId="150" fillId="110" borderId="0" xfId="0" applyNumberFormat="1" applyFont="1" applyFill="1" applyAlignment="1">
      <alignment horizontal="left" indent="1"/>
    </xf>
    <xf numFmtId="164" fontId="150" fillId="126" borderId="0" xfId="37980" applyNumberFormat="1" applyFont="1" applyFill="1"/>
    <xf numFmtId="164" fontId="150" fillId="126" borderId="0" xfId="144" applyNumberFormat="1" applyFont="1" applyFill="1"/>
    <xf numFmtId="167" fontId="150" fillId="0" borderId="0" xfId="0" applyNumberFormat="1" applyFont="1" applyAlignment="1">
      <alignment horizontal="right" indent="6"/>
    </xf>
    <xf numFmtId="167" fontId="161" fillId="0" borderId="0" xfId="0" applyNumberFormat="1" applyFont="1" applyAlignment="1">
      <alignment horizontal="right" indent="6"/>
    </xf>
    <xf numFmtId="167" fontId="150" fillId="0" borderId="0" xfId="0" applyNumberFormat="1" applyFont="1" applyAlignment="1">
      <alignment horizontal="right" indent="2"/>
    </xf>
    <xf numFmtId="167" fontId="161" fillId="110" borderId="0" xfId="0" applyNumberFormat="1" applyFont="1" applyFill="1" applyAlignment="1">
      <alignment horizontal="right" indent="2"/>
    </xf>
    <xf numFmtId="0" fontId="150" fillId="101" borderId="0" xfId="17981" applyFont="1" applyFill="1" applyAlignment="1">
      <alignment vertical="top" wrapText="1"/>
    </xf>
    <xf numFmtId="10" fontId="24" fillId="101" borderId="0" xfId="17981" applyNumberFormat="1" applyFont="1" applyFill="1" applyAlignment="1">
      <alignment horizontal="center" vertical="top"/>
    </xf>
    <xf numFmtId="0" fontId="150" fillId="101" borderId="0" xfId="37937" quotePrefix="1" applyFont="1" applyFill="1"/>
    <xf numFmtId="0" fontId="19" fillId="101" borderId="0" xfId="17981" applyFont="1" applyFill="1" applyAlignment="1">
      <alignment vertical="top"/>
    </xf>
    <xf numFmtId="0" fontId="0" fillId="101" borderId="0" xfId="17981" applyFont="1" applyFill="1" applyAlignment="1">
      <alignment vertical="top"/>
    </xf>
    <xf numFmtId="0" fontId="19" fillId="101" borderId="0" xfId="17981" applyFont="1" applyFill="1" applyAlignment="1">
      <alignment horizontal="center" vertical="top"/>
    </xf>
    <xf numFmtId="0" fontId="48" fillId="27" borderId="0" xfId="85" applyFill="1" applyAlignment="1" applyProtection="1"/>
    <xf numFmtId="0" fontId="161" fillId="0" borderId="25" xfId="17973" applyFont="1" applyFill="1" applyBorder="1" applyAlignment="1">
      <alignment horizontal="center" wrapText="1"/>
    </xf>
    <xf numFmtId="9" fontId="150" fillId="107" borderId="0" xfId="37811" applyFont="1" applyFill="1" applyAlignment="1">
      <alignment horizontal="center" vertical="center"/>
    </xf>
    <xf numFmtId="9" fontId="150" fillId="107" borderId="0" xfId="37811" applyFont="1" applyFill="1" applyBorder="1" applyAlignment="1">
      <alignment horizontal="center" vertical="center"/>
    </xf>
    <xf numFmtId="9" fontId="150" fillId="107" borderId="22" xfId="37811" applyFont="1" applyFill="1" applyBorder="1" applyAlignment="1">
      <alignment horizontal="center" vertical="center"/>
    </xf>
    <xf numFmtId="0" fontId="175" fillId="32" borderId="0" xfId="37582" applyFont="1" applyFill="1" applyAlignment="1">
      <alignment horizontal="center"/>
    </xf>
    <xf numFmtId="0" fontId="175" fillId="32" borderId="22" xfId="37582" applyFont="1" applyFill="1" applyBorder="1" applyAlignment="1">
      <alignment horizontal="center"/>
    </xf>
    <xf numFmtId="0" fontId="175" fillId="32" borderId="0" xfId="37582" applyFont="1" applyFill="1" applyBorder="1" applyAlignment="1">
      <alignment horizontal="center"/>
    </xf>
    <xf numFmtId="3" fontId="175" fillId="107" borderId="0" xfId="37580" applyNumberFormat="1" applyFont="1" applyFill="1" applyBorder="1" applyAlignment="1">
      <alignment horizontal="center" vertical="center" wrapText="1"/>
    </xf>
    <xf numFmtId="3" fontId="175" fillId="107" borderId="0" xfId="37580" quotePrefix="1" applyNumberFormat="1" applyFont="1" applyFill="1" applyBorder="1" applyAlignment="1">
      <alignment horizontal="center" wrapText="1"/>
    </xf>
    <xf numFmtId="3" fontId="175" fillId="107" borderId="22" xfId="37580" applyNumberFormat="1" applyFont="1" applyFill="1" applyBorder="1" applyAlignment="1">
      <alignment horizontal="center" vertical="center" wrapText="1"/>
    </xf>
    <xf numFmtId="1" fontId="217" fillId="107" borderId="44" xfId="37747" applyNumberFormat="1" applyFont="1" applyFill="1" applyBorder="1" applyAlignment="1">
      <alignment horizontal="center"/>
    </xf>
    <xf numFmtId="0" fontId="150" fillId="108" borderId="0" xfId="37578" applyFont="1" applyFill="1" applyBorder="1"/>
    <xf numFmtId="0" fontId="150" fillId="108" borderId="22" xfId="37578" applyFont="1" applyFill="1" applyBorder="1"/>
    <xf numFmtId="0" fontId="150" fillId="108" borderId="0" xfId="37578" applyFont="1" applyFill="1" applyBorder="1" applyAlignment="1">
      <alignment horizontal="center" wrapText="1"/>
    </xf>
    <xf numFmtId="3" fontId="218" fillId="32" borderId="0" xfId="17973" applyNumberFormat="1" applyFont="1" applyFill="1" applyBorder="1" applyAlignment="1">
      <alignment horizontal="right" indent="1"/>
    </xf>
    <xf numFmtId="3" fontId="218" fillId="32" borderId="44" xfId="37579" applyNumberFormat="1" applyFont="1" applyFill="1" applyBorder="1" applyAlignment="1">
      <alignment horizontal="right" wrapText="1" indent="1"/>
    </xf>
    <xf numFmtId="3" fontId="218" fillId="32" borderId="0" xfId="37579" applyNumberFormat="1" applyFont="1" applyFill="1" applyBorder="1" applyAlignment="1">
      <alignment horizontal="right" wrapText="1" indent="1"/>
    </xf>
    <xf numFmtId="3" fontId="218" fillId="32" borderId="0" xfId="37578" quotePrefix="1" applyNumberFormat="1" applyFont="1" applyFill="1" applyBorder="1" applyAlignment="1">
      <alignment horizontal="right" indent="1"/>
    </xf>
    <xf numFmtId="3" fontId="219" fillId="32" borderId="0" xfId="37579" applyNumberFormat="1" applyFont="1" applyFill="1" applyBorder="1" applyAlignment="1">
      <alignment horizontal="right" wrapText="1" indent="1"/>
    </xf>
    <xf numFmtId="3" fontId="220" fillId="105" borderId="0" xfId="37578" applyNumberFormat="1" applyFont="1" applyFill="1" applyBorder="1" applyAlignment="1">
      <alignment horizontal="right" wrapText="1" indent="1"/>
    </xf>
    <xf numFmtId="3" fontId="150" fillId="107" borderId="44" xfId="37579" applyNumberFormat="1" applyFont="1" applyFill="1" applyBorder="1" applyAlignment="1">
      <alignment horizontal="right" vertical="center" wrapText="1"/>
    </xf>
    <xf numFmtId="3" fontId="150" fillId="107" borderId="0" xfId="37579" applyNumberFormat="1" applyFont="1" applyFill="1" applyBorder="1" applyAlignment="1">
      <alignment horizontal="right" vertical="center" wrapText="1"/>
    </xf>
    <xf numFmtId="3" fontId="150" fillId="107" borderId="22" xfId="37579" applyNumberFormat="1" applyFont="1" applyFill="1" applyBorder="1" applyAlignment="1">
      <alignment horizontal="right" vertical="center" wrapText="1"/>
    </xf>
    <xf numFmtId="0" fontId="150" fillId="107" borderId="44" xfId="37578" quotePrefix="1" applyFont="1" applyFill="1" applyBorder="1" applyAlignment="1">
      <alignment horizontal="center"/>
    </xf>
    <xf numFmtId="0" fontId="150" fillId="107" borderId="0" xfId="17973" applyFont="1" applyFill="1" applyBorder="1" applyAlignment="1">
      <alignment horizontal="center"/>
    </xf>
    <xf numFmtId="0" fontId="150" fillId="107" borderId="22" xfId="37578" quotePrefix="1" applyFont="1" applyFill="1" applyBorder="1" applyAlignment="1">
      <alignment horizontal="center"/>
    </xf>
    <xf numFmtId="3" fontId="150" fillId="107" borderId="0" xfId="17973" applyNumberFormat="1" applyFont="1" applyFill="1" applyBorder="1" applyAlignment="1">
      <alignment horizontal="right"/>
    </xf>
    <xf numFmtId="3" fontId="150" fillId="107" borderId="22" xfId="17973" applyNumberFormat="1" applyFont="1" applyFill="1" applyBorder="1" applyAlignment="1">
      <alignment horizontal="right"/>
    </xf>
    <xf numFmtId="3" fontId="150" fillId="107" borderId="0" xfId="37579" applyNumberFormat="1" applyFont="1" applyFill="1" applyBorder="1" applyAlignment="1">
      <alignment horizontal="right" wrapText="1"/>
    </xf>
    <xf numFmtId="3" fontId="150" fillId="107" borderId="22" xfId="37579" applyNumberFormat="1" applyFont="1" applyFill="1" applyBorder="1" applyAlignment="1">
      <alignment horizontal="right" wrapText="1"/>
    </xf>
    <xf numFmtId="3" fontId="175" fillId="105" borderId="0" xfId="37579" applyNumberFormat="1" applyFont="1" applyFill="1" applyBorder="1" applyAlignment="1">
      <alignment horizontal="right" wrapText="1" indent="1"/>
    </xf>
    <xf numFmtId="3" fontId="175" fillId="105" borderId="22" xfId="37579" applyNumberFormat="1" applyFont="1" applyFill="1" applyBorder="1" applyAlignment="1">
      <alignment horizontal="right" wrapText="1" indent="1"/>
    </xf>
    <xf numFmtId="3" fontId="175" fillId="0" borderId="0" xfId="37579" applyNumberFormat="1" applyFont="1" applyFill="1" applyBorder="1" applyAlignment="1">
      <alignment horizontal="right" wrapText="1" indent="1"/>
    </xf>
    <xf numFmtId="3" fontId="175" fillId="0" borderId="22" xfId="37579" applyNumberFormat="1" applyFont="1" applyFill="1" applyBorder="1" applyAlignment="1">
      <alignment horizontal="right" wrapText="1" indent="1"/>
    </xf>
    <xf numFmtId="3" fontId="175" fillId="0" borderId="12" xfId="37578" applyNumberFormat="1" applyFont="1" applyFill="1" applyBorder="1" applyAlignment="1">
      <alignment horizontal="right" wrapText="1" indent="1"/>
    </xf>
    <xf numFmtId="3" fontId="175" fillId="0" borderId="24" xfId="37578" applyNumberFormat="1" applyFont="1" applyFill="1" applyBorder="1" applyAlignment="1">
      <alignment horizontal="right" wrapText="1" indent="1"/>
    </xf>
    <xf numFmtId="3" fontId="175" fillId="0" borderId="0" xfId="37578" applyNumberFormat="1" applyFont="1" applyFill="1" applyBorder="1" applyAlignment="1">
      <alignment horizontal="right" wrapText="1" indent="1"/>
    </xf>
    <xf numFmtId="3" fontId="175" fillId="0" borderId="22" xfId="37578" applyNumberFormat="1" applyFont="1" applyFill="1" applyBorder="1" applyAlignment="1">
      <alignment horizontal="right" wrapText="1" indent="1"/>
    </xf>
    <xf numFmtId="0" fontId="175" fillId="108" borderId="0" xfId="37578" applyFont="1" applyFill="1" applyBorder="1"/>
    <xf numFmtId="0" fontId="175" fillId="108" borderId="22" xfId="37578" applyFont="1" applyFill="1" applyBorder="1"/>
    <xf numFmtId="0" fontId="175" fillId="108" borderId="0" xfId="37578" applyFont="1" applyFill="1" applyBorder="1" applyAlignment="1">
      <alignment horizontal="center" wrapText="1"/>
    </xf>
    <xf numFmtId="0" fontId="175" fillId="0" borderId="0" xfId="37578" applyFont="1" applyFill="1" applyBorder="1"/>
    <xf numFmtId="0" fontId="175" fillId="0" borderId="22" xfId="37578" applyFont="1" applyFill="1" applyBorder="1"/>
    <xf numFmtId="0" fontId="175" fillId="0" borderId="0" xfId="37578" applyFont="1" applyFill="1" applyBorder="1" applyAlignment="1">
      <alignment horizontal="center" wrapText="1"/>
    </xf>
    <xf numFmtId="3" fontId="175" fillId="105" borderId="44" xfId="37580" applyNumberFormat="1" applyFont="1" applyFill="1" applyBorder="1" applyAlignment="1">
      <alignment horizontal="right" wrapText="1" indent="1"/>
    </xf>
    <xf numFmtId="3" fontId="175" fillId="105" borderId="0" xfId="37580" applyNumberFormat="1" applyFont="1" applyFill="1" applyBorder="1" applyAlignment="1">
      <alignment horizontal="right" wrapText="1" indent="1"/>
    </xf>
    <xf numFmtId="10" fontId="175" fillId="32" borderId="44" xfId="37811" applyNumberFormat="1" applyFont="1" applyFill="1" applyBorder="1" applyAlignment="1">
      <alignment horizontal="centerContinuous" wrapText="1"/>
    </xf>
    <xf numFmtId="10" fontId="175" fillId="32" borderId="0" xfId="37811" applyNumberFormat="1" applyFont="1" applyFill="1" applyBorder="1" applyAlignment="1">
      <alignment horizontal="centerContinuous" wrapText="1"/>
    </xf>
    <xf numFmtId="10" fontId="175" fillId="32" borderId="22" xfId="37811" applyNumberFormat="1" applyFont="1" applyFill="1" applyBorder="1" applyAlignment="1">
      <alignment horizontal="centerContinuous" wrapText="1"/>
    </xf>
    <xf numFmtId="4" fontId="175" fillId="0" borderId="25" xfId="37580" applyNumberFormat="1" applyFont="1" applyBorder="1" applyAlignment="1">
      <alignment horizontal="right" indent="1"/>
    </xf>
    <xf numFmtId="4" fontId="175" fillId="0" borderId="12" xfId="37580" applyNumberFormat="1" applyFont="1" applyBorder="1" applyAlignment="1">
      <alignment horizontal="right" indent="1"/>
    </xf>
    <xf numFmtId="4" fontId="175" fillId="0" borderId="24" xfId="37580" applyNumberFormat="1" applyFont="1" applyBorder="1" applyAlignment="1">
      <alignment horizontal="right" indent="1"/>
    </xf>
    <xf numFmtId="4" fontId="175" fillId="0" borderId="25" xfId="37580" applyNumberFormat="1" applyFont="1" applyFill="1" applyBorder="1" applyAlignment="1">
      <alignment horizontal="right" indent="1"/>
    </xf>
    <xf numFmtId="4" fontId="175" fillId="0" borderId="12" xfId="37580" applyNumberFormat="1" applyFont="1" applyFill="1" applyBorder="1" applyAlignment="1">
      <alignment horizontal="right" indent="1"/>
    </xf>
    <xf numFmtId="4" fontId="175" fillId="0" borderId="24" xfId="37580" applyNumberFormat="1" applyFont="1" applyFill="1" applyBorder="1" applyAlignment="1">
      <alignment horizontal="right" indent="1"/>
    </xf>
    <xf numFmtId="3" fontId="175" fillId="0" borderId="44" xfId="37580" applyNumberFormat="1" applyFont="1" applyBorder="1" applyAlignment="1">
      <alignment horizontal="right" indent="1"/>
    </xf>
    <xf numFmtId="3" fontId="175" fillId="0" borderId="0" xfId="37580" applyNumberFormat="1" applyFont="1" applyBorder="1" applyAlignment="1">
      <alignment horizontal="right" indent="1"/>
    </xf>
    <xf numFmtId="3" fontId="175" fillId="0" borderId="22" xfId="37580" applyNumberFormat="1" applyFont="1" applyBorder="1" applyAlignment="1">
      <alignment horizontal="right" indent="1"/>
    </xf>
    <xf numFmtId="3" fontId="175" fillId="0" borderId="44" xfId="37580" applyNumberFormat="1" applyFont="1" applyFill="1" applyBorder="1" applyAlignment="1">
      <alignment horizontal="right" indent="1"/>
    </xf>
    <xf numFmtId="3" fontId="175" fillId="0" borderId="0" xfId="37580" applyNumberFormat="1" applyFont="1" applyFill="1" applyBorder="1" applyAlignment="1">
      <alignment horizontal="right" indent="1"/>
    </xf>
    <xf numFmtId="3" fontId="175" fillId="0" borderId="22" xfId="37580" applyNumberFormat="1" applyFont="1" applyFill="1" applyBorder="1" applyAlignment="1">
      <alignment horizontal="right" indent="1"/>
    </xf>
    <xf numFmtId="0" fontId="211" fillId="108" borderId="0" xfId="37578" applyFont="1" applyFill="1" applyBorder="1"/>
    <xf numFmtId="4" fontId="175" fillId="107" borderId="0" xfId="37580" applyNumberFormat="1" applyFont="1" applyFill="1" applyBorder="1" applyAlignment="1">
      <alignment horizontal="right" indent="1"/>
    </xf>
    <xf numFmtId="4" fontId="175" fillId="107" borderId="22" xfId="37580" applyNumberFormat="1" applyFont="1" applyFill="1" applyBorder="1" applyAlignment="1">
      <alignment horizontal="right" indent="1"/>
    </xf>
    <xf numFmtId="168" fontId="221" fillId="32" borderId="0" xfId="37578" applyNumberFormat="1" applyFont="1" applyFill="1" applyBorder="1" applyAlignment="1">
      <alignment horizontal="center"/>
    </xf>
    <xf numFmtId="168" fontId="221" fillId="32" borderId="22" xfId="37578" applyNumberFormat="1" applyFont="1" applyFill="1" applyBorder="1" applyAlignment="1">
      <alignment horizontal="center"/>
    </xf>
    <xf numFmtId="165" fontId="175" fillId="32" borderId="0" xfId="17973" applyNumberFormat="1" applyFont="1" applyFill="1" applyAlignment="1">
      <alignment horizontal="center"/>
    </xf>
    <xf numFmtId="165" fontId="175" fillId="32" borderId="0" xfId="17973" applyNumberFormat="1" applyFont="1" applyFill="1" applyBorder="1" applyAlignment="1">
      <alignment horizontal="center"/>
    </xf>
    <xf numFmtId="9" fontId="175" fillId="32" borderId="0" xfId="37811" applyFont="1" applyFill="1" applyAlignment="1">
      <alignment horizontal="center"/>
    </xf>
    <xf numFmtId="3" fontId="218" fillId="105" borderId="0" xfId="37578" applyNumberFormat="1" applyFont="1" applyFill="1" applyBorder="1" applyAlignment="1">
      <alignment horizontal="right" wrapText="1" indent="1"/>
    </xf>
    <xf numFmtId="3" fontId="218" fillId="105" borderId="0" xfId="37579" applyNumberFormat="1" applyFont="1" applyFill="1" applyBorder="1" applyAlignment="1">
      <alignment horizontal="right" wrapText="1" indent="1"/>
    </xf>
    <xf numFmtId="3" fontId="218" fillId="105" borderId="22" xfId="37579" applyNumberFormat="1" applyFont="1" applyFill="1" applyBorder="1" applyAlignment="1">
      <alignment horizontal="right" wrapText="1" indent="1"/>
    </xf>
    <xf numFmtId="3" fontId="221" fillId="105" borderId="0" xfId="37579" applyNumberFormat="1" applyFont="1" applyFill="1" applyBorder="1" applyAlignment="1">
      <alignment horizontal="right" wrapText="1" indent="1"/>
    </xf>
    <xf numFmtId="3" fontId="221" fillId="105" borderId="22" xfId="37579" applyNumberFormat="1" applyFont="1" applyFill="1" applyBorder="1" applyAlignment="1">
      <alignment horizontal="right" wrapText="1" indent="1"/>
    </xf>
    <xf numFmtId="0" fontId="150" fillId="0" borderId="22" xfId="17973" applyFont="1" applyBorder="1" applyAlignment="1"/>
    <xf numFmtId="0" fontId="150" fillId="0" borderId="22" xfId="37578" applyFont="1" applyBorder="1" applyAlignment="1">
      <alignment wrapText="1"/>
    </xf>
    <xf numFmtId="3" fontId="218" fillId="105" borderId="22" xfId="37578" applyNumberFormat="1" applyFont="1" applyFill="1" applyBorder="1" applyAlignment="1">
      <alignment horizontal="right" wrapText="1" indent="1"/>
    </xf>
    <xf numFmtId="3" fontId="220" fillId="105" borderId="22" xfId="37578" applyNumberFormat="1" applyFont="1" applyFill="1" applyBorder="1" applyAlignment="1">
      <alignment horizontal="right" wrapText="1" indent="1"/>
    </xf>
    <xf numFmtId="3" fontId="218" fillId="32" borderId="22" xfId="37579" applyNumberFormat="1" applyFont="1" applyFill="1" applyBorder="1" applyAlignment="1">
      <alignment horizontal="right" wrapText="1" indent="1"/>
    </xf>
    <xf numFmtId="3" fontId="218" fillId="32" borderId="22" xfId="37578" quotePrefix="1" applyNumberFormat="1" applyFont="1" applyFill="1" applyBorder="1" applyAlignment="1">
      <alignment horizontal="right" indent="1"/>
    </xf>
    <xf numFmtId="3" fontId="219" fillId="32" borderId="22" xfId="37579" applyNumberFormat="1" applyFont="1" applyFill="1" applyBorder="1" applyAlignment="1">
      <alignment horizontal="right" wrapText="1" indent="1"/>
    </xf>
    <xf numFmtId="0" fontId="160" fillId="0" borderId="24" xfId="37578" applyFont="1" applyBorder="1"/>
    <xf numFmtId="3" fontId="175" fillId="0" borderId="12" xfId="37578" applyNumberFormat="1" applyFont="1" applyFill="1" applyBorder="1" applyAlignment="1">
      <alignment horizontal="right" vertical="center" wrapText="1" indent="1"/>
    </xf>
    <xf numFmtId="3" fontId="175" fillId="0" borderId="24" xfId="37578" applyNumberFormat="1" applyFont="1" applyFill="1" applyBorder="1" applyAlignment="1">
      <alignment horizontal="right" vertical="center" wrapText="1" indent="1"/>
    </xf>
    <xf numFmtId="3" fontId="211" fillId="0" borderId="0" xfId="37578" applyNumberFormat="1" applyFont="1" applyFill="1" applyBorder="1" applyAlignment="1">
      <alignment horizontal="right" vertical="center" wrapText="1" indent="1"/>
    </xf>
    <xf numFmtId="3" fontId="211" fillId="0" borderId="22" xfId="37578" applyNumberFormat="1" applyFont="1" applyFill="1" applyBorder="1" applyAlignment="1">
      <alignment horizontal="right" vertical="center" wrapText="1" indent="1"/>
    </xf>
    <xf numFmtId="3" fontId="220" fillId="105" borderId="0" xfId="37579" applyNumberFormat="1" applyFont="1" applyFill="1" applyBorder="1" applyAlignment="1">
      <alignment horizontal="right" wrapText="1" indent="1"/>
    </xf>
    <xf numFmtId="3" fontId="220" fillId="105" borderId="22" xfId="37579" applyNumberFormat="1" applyFont="1" applyFill="1" applyBorder="1" applyAlignment="1">
      <alignment horizontal="right" wrapText="1" indent="1"/>
    </xf>
    <xf numFmtId="0" fontId="217" fillId="0" borderId="0" xfId="17973" applyFont="1" applyFill="1" applyBorder="1" applyAlignment="1">
      <alignment horizontal="center" wrapText="1"/>
    </xf>
    <xf numFmtId="0" fontId="217" fillId="0" borderId="44" xfId="17973" applyFont="1" applyFill="1" applyBorder="1" applyAlignment="1">
      <alignment horizontal="center" wrapText="1"/>
    </xf>
    <xf numFmtId="0" fontId="217" fillId="0" borderId="0" xfId="17973" applyFont="1" applyFill="1" applyBorder="1" applyAlignment="1">
      <alignment horizontal="center" vertical="center" wrapText="1"/>
    </xf>
    <xf numFmtId="0" fontId="217" fillId="0" borderId="44" xfId="17973" applyFont="1" applyFill="1" applyBorder="1" applyAlignment="1">
      <alignment horizontal="center" vertical="center" wrapText="1"/>
    </xf>
    <xf numFmtId="1" fontId="217" fillId="0" borderId="0" xfId="37747" applyNumberFormat="1" applyFont="1" applyFill="1" applyBorder="1" applyAlignment="1">
      <alignment horizontal="center"/>
    </xf>
    <xf numFmtId="1" fontId="217" fillId="0" borderId="44" xfId="37747" applyNumberFormat="1" applyFont="1" applyFill="1" applyBorder="1" applyAlignment="1">
      <alignment horizontal="center"/>
    </xf>
    <xf numFmtId="0" fontId="220" fillId="31" borderId="0" xfId="177" applyFont="1" applyFill="1" applyBorder="1" applyAlignment="1">
      <alignment horizontal="center"/>
    </xf>
    <xf numFmtId="0" fontId="222" fillId="31" borderId="0" xfId="177" applyFont="1" applyFill="1" applyBorder="1" applyAlignment="1">
      <alignment horizontal="center"/>
    </xf>
    <xf numFmtId="9" fontId="217" fillId="31" borderId="0" xfId="144" applyNumberFormat="1" applyFont="1" applyFill="1" applyBorder="1" applyAlignment="1">
      <alignment horizontal="center"/>
    </xf>
    <xf numFmtId="164" fontId="217" fillId="31" borderId="0" xfId="144" applyNumberFormat="1" applyFont="1" applyFill="1" applyBorder="1" applyAlignment="1">
      <alignment horizontal="center"/>
    </xf>
    <xf numFmtId="168" fontId="159" fillId="101" borderId="14" xfId="131" applyNumberFormat="1" applyFont="1" applyFill="1" applyBorder="1"/>
    <xf numFmtId="166" fontId="30" fillId="101" borderId="0" xfId="131" applyNumberFormat="1" applyFont="1" applyFill="1"/>
    <xf numFmtId="167" fontId="30" fillId="101" borderId="0" xfId="131" applyNumberFormat="1" applyFont="1" applyFill="1"/>
    <xf numFmtId="10" fontId="30" fillId="101" borderId="0" xfId="131" applyNumberFormat="1" applyFont="1" applyFill="1"/>
    <xf numFmtId="166" fontId="57" fillId="101" borderId="0" xfId="131" applyNumberFormat="1" applyFill="1"/>
    <xf numFmtId="167" fontId="57" fillId="101" borderId="0" xfId="131" applyNumberFormat="1" applyFill="1"/>
    <xf numFmtId="10" fontId="57" fillId="101" borderId="0" xfId="131" applyNumberFormat="1" applyFill="1"/>
    <xf numFmtId="168" fontId="30" fillId="101" borderId="14" xfId="37893" applyNumberFormat="1" applyFont="1" applyFill="1" applyBorder="1"/>
    <xf numFmtId="168" fontId="212" fillId="106" borderId="0" xfId="0" applyNumberFormat="1" applyFont="1" applyFill="1" applyAlignment="1">
      <alignment horizontal="right" indent="1"/>
    </xf>
    <xf numFmtId="168" fontId="30" fillId="101" borderId="0" xfId="37893" applyNumberFormat="1" applyFont="1" applyFill="1" applyBorder="1"/>
    <xf numFmtId="3" fontId="150" fillId="107" borderId="44" xfId="37580" applyNumberFormat="1" applyFont="1" applyFill="1" applyBorder="1" applyAlignment="1">
      <alignment horizontal="center" wrapText="1"/>
    </xf>
    <xf numFmtId="4" fontId="18" fillId="107" borderId="0" xfId="37580" applyNumberFormat="1" applyFont="1" applyFill="1" applyBorder="1" applyAlignment="1">
      <alignment horizontal="right" indent="1"/>
    </xf>
    <xf numFmtId="4" fontId="18" fillId="107" borderId="22" xfId="37580" applyNumberFormat="1" applyFont="1" applyFill="1" applyBorder="1" applyAlignment="1">
      <alignment horizontal="right" indent="1"/>
    </xf>
    <xf numFmtId="3" fontId="18" fillId="107" borderId="0" xfId="37580" quotePrefix="1" applyNumberFormat="1" applyFont="1" applyFill="1" applyBorder="1" applyAlignment="1">
      <alignment horizontal="right" indent="1"/>
    </xf>
    <xf numFmtId="3" fontId="18" fillId="107" borderId="22" xfId="37580" quotePrefix="1" applyNumberFormat="1" applyFont="1" applyFill="1" applyBorder="1" applyAlignment="1">
      <alignment horizontal="right" indent="1"/>
    </xf>
    <xf numFmtId="0" fontId="175" fillId="0" borderId="22" xfId="37580" applyFont="1" applyBorder="1" applyAlignment="1">
      <alignment horizontal="left" wrapText="1"/>
    </xf>
    <xf numFmtId="0" fontId="223" fillId="0" borderId="22" xfId="37894" applyFont="1" applyBorder="1"/>
    <xf numFmtId="0" fontId="175" fillId="0" borderId="24" xfId="37580" applyFont="1" applyBorder="1" applyAlignment="1">
      <alignment horizontal="left" wrapText="1"/>
    </xf>
    <xf numFmtId="171" fontId="223" fillId="0" borderId="22" xfId="37895" applyFont="1" applyFill="1" applyBorder="1" applyAlignment="1">
      <alignment horizontal="left" wrapText="1"/>
    </xf>
    <xf numFmtId="0" fontId="150" fillId="31" borderId="0" xfId="177" applyFont="1" applyFill="1" applyAlignment="1">
      <alignment horizontal="left"/>
    </xf>
    <xf numFmtId="0" fontId="161" fillId="31" borderId="0" xfId="177" applyFont="1" applyFill="1" applyAlignment="1">
      <alignment horizontal="center"/>
    </xf>
    <xf numFmtId="167" fontId="150" fillId="0" borderId="0" xfId="0" applyNumberFormat="1" applyFont="1"/>
    <xf numFmtId="0" fontId="31" fillId="0" borderId="0" xfId="0" applyFont="1" applyFill="1"/>
    <xf numFmtId="10" fontId="17" fillId="107" borderId="0" xfId="37811" applyNumberFormat="1" applyFont="1" applyFill="1" applyBorder="1" applyAlignment="1">
      <alignment horizontal="center" wrapText="1"/>
    </xf>
    <xf numFmtId="10" fontId="17" fillId="107" borderId="22" xfId="37811" applyNumberFormat="1" applyFont="1" applyFill="1" applyBorder="1" applyAlignment="1">
      <alignment horizontal="center" wrapText="1"/>
    </xf>
    <xf numFmtId="10" fontId="17" fillId="107" borderId="0" xfId="17973" applyNumberFormat="1" applyFont="1" applyFill="1" applyBorder="1" applyAlignment="1">
      <alignment horizontal="right" indent="5"/>
    </xf>
    <xf numFmtId="10" fontId="150" fillId="107" borderId="0" xfId="17973" applyNumberFormat="1" applyFont="1" applyFill="1" applyBorder="1" applyAlignment="1">
      <alignment horizontal="right" indent="5"/>
    </xf>
    <xf numFmtId="0" fontId="17" fillId="105" borderId="0" xfId="17973" applyFont="1" applyFill="1" applyBorder="1" applyAlignment="1">
      <alignment horizontal="right" indent="5"/>
    </xf>
    <xf numFmtId="3" fontId="186" fillId="0" borderId="22" xfId="37579" applyNumberFormat="1" applyFont="1" applyFill="1" applyBorder="1" applyAlignment="1">
      <alignment horizontal="right" wrapText="1" indent="1"/>
    </xf>
    <xf numFmtId="4" fontId="211" fillId="106" borderId="0" xfId="17973" applyNumberFormat="1" applyFont="1" applyFill="1" applyAlignment="1">
      <alignment horizontal="right"/>
    </xf>
    <xf numFmtId="166" fontId="145" fillId="0" borderId="0" xfId="37885" applyNumberFormat="1" applyFont="1" applyBorder="1" applyAlignment="1">
      <alignment horizontal="right" indent="1"/>
    </xf>
    <xf numFmtId="10" fontId="150" fillId="0" borderId="0" xfId="0" applyNumberFormat="1" applyFont="1" applyAlignment="1">
      <alignment horizontal="right"/>
    </xf>
    <xf numFmtId="166" fontId="148" fillId="110" borderId="0" xfId="37885" applyNumberFormat="1" applyFont="1" applyFill="1" applyBorder="1" applyAlignment="1">
      <alignment horizontal="right" indent="1"/>
    </xf>
    <xf numFmtId="10" fontId="170" fillId="0" borderId="0" xfId="144" applyNumberFormat="1" applyFont="1" applyFill="1" applyAlignment="1">
      <alignment horizontal="right"/>
    </xf>
    <xf numFmtId="0" fontId="161" fillId="0" borderId="0" xfId="0" applyFont="1" applyFill="1" applyAlignment="1">
      <alignment horizontal="right" wrapText="1"/>
    </xf>
    <xf numFmtId="168" fontId="85" fillId="0" borderId="0" xfId="131" applyNumberFormat="1" applyFont="1" applyFill="1" applyAlignment="1">
      <alignment horizontal="right"/>
    </xf>
    <xf numFmtId="9" fontId="30" fillId="0" borderId="0" xfId="131" quotePrefix="1" applyNumberFormat="1" applyFont="1"/>
    <xf numFmtId="0" fontId="161" fillId="101" borderId="0" xfId="17973" applyFont="1" applyFill="1" applyBorder="1" applyAlignment="1">
      <alignment horizontal="center"/>
    </xf>
    <xf numFmtId="166" fontId="0" fillId="0" borderId="0" xfId="0" applyNumberFormat="1" applyBorder="1"/>
    <xf numFmtId="172" fontId="0" fillId="0" borderId="0" xfId="0" applyNumberFormat="1" applyBorder="1"/>
    <xf numFmtId="0" fontId="161" fillId="0" borderId="25" xfId="17973" applyFont="1" applyFill="1" applyBorder="1" applyAlignment="1">
      <alignment horizontal="center" wrapText="1"/>
    </xf>
    <xf numFmtId="0" fontId="150" fillId="0" borderId="21" xfId="37578" applyFont="1" applyBorder="1" applyAlignment="1"/>
    <xf numFmtId="164" fontId="150" fillId="0" borderId="22" xfId="37981" applyNumberFormat="1" applyFont="1" applyBorder="1" applyAlignment="1"/>
    <xf numFmtId="3" fontId="161" fillId="105" borderId="22" xfId="37578" applyNumberFormat="1" applyFont="1" applyFill="1" applyBorder="1" applyAlignment="1">
      <alignment horizontal="center" wrapText="1"/>
    </xf>
    <xf numFmtId="3" fontId="161" fillId="105" borderId="0" xfId="37578" applyNumberFormat="1" applyFont="1" applyFill="1" applyBorder="1" applyAlignment="1">
      <alignment horizontal="center" wrapText="1"/>
    </xf>
    <xf numFmtId="3" fontId="161" fillId="105" borderId="44" xfId="37578" applyNumberFormat="1" applyFont="1" applyFill="1" applyBorder="1" applyAlignment="1">
      <alignment horizontal="center" wrapText="1"/>
    </xf>
    <xf numFmtId="0" fontId="161" fillId="0" borderId="22" xfId="37578" applyFont="1" applyBorder="1" applyAlignment="1"/>
    <xf numFmtId="9" fontId="150" fillId="0" borderId="22" xfId="37578" applyNumberFormat="1" applyFont="1" applyBorder="1" applyAlignment="1">
      <alignment wrapText="1"/>
    </xf>
    <xf numFmtId="3" fontId="150" fillId="105" borderId="22" xfId="37579" applyNumberFormat="1" applyFont="1" applyFill="1" applyBorder="1" applyAlignment="1">
      <alignment horizontal="center" wrapText="1"/>
    </xf>
    <xf numFmtId="3" fontId="150" fillId="105" borderId="0" xfId="37579" applyNumberFormat="1" applyFont="1" applyFill="1" applyBorder="1" applyAlignment="1">
      <alignment horizontal="center" wrapText="1"/>
    </xf>
    <xf numFmtId="3" fontId="150" fillId="105" borderId="44" xfId="37579" applyNumberFormat="1" applyFont="1" applyFill="1" applyBorder="1" applyAlignment="1">
      <alignment horizontal="center" wrapText="1"/>
    </xf>
    <xf numFmtId="3" fontId="160" fillId="105" borderId="22" xfId="37578" applyNumberFormat="1" applyFont="1" applyFill="1" applyBorder="1" applyAlignment="1">
      <alignment horizontal="center" wrapText="1"/>
    </xf>
    <xf numFmtId="3" fontId="160" fillId="105" borderId="0" xfId="37578" applyNumberFormat="1" applyFont="1" applyFill="1" applyBorder="1" applyAlignment="1">
      <alignment horizontal="center" wrapText="1"/>
    </xf>
    <xf numFmtId="3" fontId="160" fillId="105" borderId="44" xfId="37578" applyNumberFormat="1" applyFont="1" applyFill="1" applyBorder="1" applyAlignment="1">
      <alignment horizontal="center" wrapText="1"/>
    </xf>
    <xf numFmtId="3" fontId="150" fillId="105" borderId="22" xfId="37579" applyNumberFormat="1" applyFont="1" applyFill="1" applyBorder="1" applyAlignment="1">
      <alignment horizontal="center" vertical="center" wrapText="1"/>
    </xf>
    <xf numFmtId="3" fontId="150" fillId="105" borderId="0" xfId="37579" applyNumberFormat="1" applyFont="1" applyFill="1" applyBorder="1" applyAlignment="1">
      <alignment horizontal="center" vertical="center" wrapText="1"/>
    </xf>
    <xf numFmtId="3" fontId="150" fillId="105" borderId="44" xfId="37579" applyNumberFormat="1" applyFont="1" applyFill="1" applyBorder="1" applyAlignment="1">
      <alignment horizontal="center" vertical="center" wrapText="1"/>
    </xf>
    <xf numFmtId="0" fontId="183" fillId="0" borderId="22" xfId="37578" applyFont="1" applyFill="1" applyBorder="1"/>
    <xf numFmtId="0" fontId="183" fillId="0" borderId="0" xfId="37578" applyFont="1" applyFill="1" applyBorder="1"/>
    <xf numFmtId="0" fontId="183" fillId="0" borderId="44" xfId="37578" applyFont="1" applyFill="1" applyBorder="1"/>
    <xf numFmtId="0" fontId="183" fillId="108" borderId="22" xfId="37578" applyFont="1" applyFill="1" applyBorder="1"/>
    <xf numFmtId="0" fontId="183" fillId="108" borderId="0" xfId="37578" applyFont="1" applyFill="1" applyBorder="1"/>
    <xf numFmtId="0" fontId="183" fillId="108" borderId="44" xfId="37578" applyFont="1" applyFill="1" applyBorder="1"/>
    <xf numFmtId="0" fontId="150" fillId="0" borderId="22" xfId="17973" applyFont="1" applyBorder="1" applyAlignment="1">
      <alignment wrapText="1"/>
    </xf>
    <xf numFmtId="10" fontId="150" fillId="105" borderId="0" xfId="17973" applyNumberFormat="1" applyFont="1" applyFill="1" applyBorder="1" applyAlignment="1">
      <alignment horizontal="right" indent="5"/>
    </xf>
    <xf numFmtId="3" fontId="150" fillId="0" borderId="22" xfId="37578" applyNumberFormat="1" applyFont="1" applyBorder="1" applyAlignment="1"/>
    <xf numFmtId="3" fontId="211" fillId="105" borderId="22" xfId="37578" applyNumberFormat="1" applyFont="1" applyFill="1" applyBorder="1" applyAlignment="1">
      <alignment horizontal="center" wrapText="1"/>
    </xf>
    <xf numFmtId="3" fontId="211" fillId="105" borderId="0" xfId="37578" applyNumberFormat="1" applyFont="1" applyFill="1" applyBorder="1" applyAlignment="1">
      <alignment horizontal="center" wrapText="1"/>
    </xf>
    <xf numFmtId="3" fontId="211" fillId="105" borderId="44" xfId="37578" applyNumberFormat="1" applyFont="1" applyFill="1" applyBorder="1" applyAlignment="1">
      <alignment horizontal="center" wrapText="1"/>
    </xf>
    <xf numFmtId="3" fontId="150" fillId="105" borderId="22" xfId="17973" applyNumberFormat="1" applyFont="1" applyFill="1" applyBorder="1" applyAlignment="1">
      <alignment horizontal="center"/>
    </xf>
    <xf numFmtId="3" fontId="150" fillId="105" borderId="0" xfId="17973" applyNumberFormat="1" applyFont="1" applyFill="1" applyBorder="1" applyAlignment="1">
      <alignment horizontal="center"/>
    </xf>
    <xf numFmtId="3" fontId="150" fillId="105" borderId="44" xfId="17973" applyNumberFormat="1" applyFont="1" applyFill="1" applyBorder="1" applyAlignment="1">
      <alignment horizontal="center"/>
    </xf>
    <xf numFmtId="0" fontId="150" fillId="105" borderId="0" xfId="37578" applyFont="1" applyFill="1" applyBorder="1" applyAlignment="1">
      <alignment horizontal="left" wrapText="1" indent="1"/>
    </xf>
    <xf numFmtId="174" fontId="160" fillId="105" borderId="22" xfId="37747" applyNumberFormat="1" applyFont="1" applyFill="1" applyBorder="1" applyAlignment="1">
      <alignment horizontal="left" indent="2"/>
    </xf>
    <xf numFmtId="0" fontId="160" fillId="105" borderId="0" xfId="17973" applyFont="1" applyFill="1" applyBorder="1" applyAlignment="1">
      <alignment horizontal="right" indent="5"/>
    </xf>
    <xf numFmtId="0" fontId="175" fillId="0" borderId="22" xfId="37578" applyFont="1" applyBorder="1" applyAlignment="1">
      <alignment horizontal="left"/>
    </xf>
    <xf numFmtId="10" fontId="175" fillId="0" borderId="0" xfId="37579" applyNumberFormat="1" applyFont="1" applyFill="1" applyBorder="1" applyAlignment="1">
      <alignment horizontal="center" wrapText="1"/>
    </xf>
    <xf numFmtId="10" fontId="175" fillId="0" borderId="44" xfId="37579" applyNumberFormat="1" applyFont="1" applyFill="1" applyBorder="1" applyAlignment="1">
      <alignment horizontal="center" wrapText="1"/>
    </xf>
    <xf numFmtId="0" fontId="150" fillId="0" borderId="22" xfId="17973" applyFont="1" applyBorder="1" applyAlignment="1">
      <alignment horizontal="left"/>
    </xf>
    <xf numFmtId="1" fontId="161" fillId="107" borderId="22" xfId="37747" applyNumberFormat="1" applyFont="1" applyFill="1" applyBorder="1" applyAlignment="1">
      <alignment horizontal="center"/>
    </xf>
    <xf numFmtId="1" fontId="161" fillId="107" borderId="0" xfId="37747" applyNumberFormat="1" applyFont="1" applyFill="1" applyBorder="1" applyAlignment="1">
      <alignment horizontal="center"/>
    </xf>
    <xf numFmtId="1" fontId="161" fillId="107" borderId="44" xfId="37747" applyNumberFormat="1" applyFont="1" applyFill="1" applyBorder="1" applyAlignment="1">
      <alignment horizontal="center"/>
    </xf>
    <xf numFmtId="0" fontId="150" fillId="0" borderId="22" xfId="17973" applyFont="1" applyBorder="1" applyAlignment="1">
      <alignment horizontal="left" wrapText="1"/>
    </xf>
    <xf numFmtId="10" fontId="211" fillId="107" borderId="22" xfId="37747" applyNumberFormat="1" applyFont="1" applyFill="1" applyBorder="1" applyAlignment="1">
      <alignment horizontal="center"/>
    </xf>
    <xf numFmtId="10" fontId="211" fillId="107" borderId="0" xfId="37747" applyNumberFormat="1" applyFont="1" applyFill="1" applyBorder="1" applyAlignment="1">
      <alignment horizontal="center"/>
    </xf>
    <xf numFmtId="10" fontId="211" fillId="107" borderId="44" xfId="37747" applyNumberFormat="1" applyFont="1" applyFill="1" applyBorder="1" applyAlignment="1">
      <alignment horizontal="center"/>
    </xf>
    <xf numFmtId="1" fontId="211" fillId="107" borderId="22" xfId="37747" applyNumberFormat="1" applyFont="1" applyFill="1" applyBorder="1" applyAlignment="1">
      <alignment horizontal="center"/>
    </xf>
    <xf numFmtId="1" fontId="211" fillId="107" borderId="0" xfId="37747" applyNumberFormat="1" applyFont="1" applyFill="1" applyBorder="1" applyAlignment="1">
      <alignment horizontal="center"/>
    </xf>
    <xf numFmtId="1" fontId="211" fillId="107" borderId="44" xfId="37747" applyNumberFormat="1" applyFont="1" applyFill="1" applyBorder="1" applyAlignment="1">
      <alignment horizontal="center"/>
    </xf>
    <xf numFmtId="44" fontId="150" fillId="0" borderId="0" xfId="37988" applyFont="1"/>
    <xf numFmtId="10" fontId="150" fillId="107" borderId="22" xfId="37811" applyNumberFormat="1" applyFont="1" applyFill="1" applyBorder="1" applyAlignment="1">
      <alignment horizontal="center" wrapText="1"/>
    </xf>
    <xf numFmtId="10" fontId="150" fillId="107" borderId="0" xfId="37811" applyNumberFormat="1" applyFont="1" applyFill="1" applyBorder="1" applyAlignment="1">
      <alignment horizontal="center" wrapText="1"/>
    </xf>
    <xf numFmtId="0" fontId="183" fillId="108" borderId="0" xfId="17973" applyFont="1" applyFill="1" applyBorder="1"/>
    <xf numFmtId="164" fontId="150" fillId="0" borderId="0" xfId="37811" applyNumberFormat="1" applyFont="1" applyFill="1" applyBorder="1" applyAlignment="1">
      <alignment horizontal="center"/>
    </xf>
    <xf numFmtId="10" fontId="175" fillId="32" borderId="0" xfId="37811" applyNumberFormat="1" applyFont="1" applyFill="1" applyBorder="1" applyAlignment="1">
      <alignment horizontal="center"/>
    </xf>
    <xf numFmtId="167" fontId="163" fillId="32" borderId="22" xfId="17973" applyNumberFormat="1" applyFont="1" applyFill="1" applyBorder="1" applyAlignment="1">
      <alignment horizontal="center"/>
    </xf>
    <xf numFmtId="167" fontId="163" fillId="32" borderId="0" xfId="17973" applyNumberFormat="1" applyFont="1" applyFill="1" applyBorder="1" applyAlignment="1">
      <alignment horizontal="center"/>
    </xf>
    <xf numFmtId="9" fontId="228" fillId="32" borderId="0" xfId="37811" applyFont="1" applyFill="1" applyBorder="1" applyAlignment="1">
      <alignment horizontal="center"/>
    </xf>
    <xf numFmtId="168" fontId="150" fillId="107" borderId="22" xfId="17973" applyNumberFormat="1" applyFont="1" applyFill="1" applyBorder="1" applyAlignment="1">
      <alignment horizontal="center" vertical="center" wrapText="1"/>
    </xf>
    <xf numFmtId="0" fontId="150" fillId="107" borderId="0" xfId="17973" applyFont="1" applyFill="1" applyBorder="1" applyAlignment="1">
      <alignment horizontal="left" vertical="center" wrapText="1"/>
    </xf>
    <xf numFmtId="10" fontId="150" fillId="107" borderId="22" xfId="37578" quotePrefix="1" applyNumberFormat="1" applyFont="1" applyFill="1" applyBorder="1" applyAlignment="1">
      <alignment horizontal="center"/>
    </xf>
    <xf numFmtId="10" fontId="150" fillId="107" borderId="0" xfId="37578" quotePrefix="1" applyNumberFormat="1" applyFont="1" applyFill="1" applyBorder="1" applyAlignment="1">
      <alignment horizontal="center"/>
    </xf>
    <xf numFmtId="10" fontId="150" fillId="107" borderId="22" xfId="37580" applyNumberFormat="1" applyFont="1" applyFill="1" applyBorder="1" applyAlignment="1">
      <alignment horizontal="center" vertical="center" wrapText="1"/>
    </xf>
    <xf numFmtId="10" fontId="150" fillId="107" borderId="0" xfId="37580" applyNumberFormat="1" applyFont="1" applyFill="1" applyBorder="1" applyAlignment="1">
      <alignment horizontal="center" vertical="center" wrapText="1"/>
    </xf>
    <xf numFmtId="10" fontId="161" fillId="107" borderId="22" xfId="37580" applyNumberFormat="1" applyFont="1" applyFill="1" applyBorder="1" applyAlignment="1">
      <alignment horizontal="center" vertical="center" wrapText="1"/>
    </xf>
    <xf numFmtId="10" fontId="161" fillId="107" borderId="0" xfId="37580" applyNumberFormat="1" applyFont="1" applyFill="1" applyBorder="1" applyAlignment="1">
      <alignment horizontal="center" vertical="center" wrapText="1"/>
    </xf>
    <xf numFmtId="10" fontId="161" fillId="107" borderId="22" xfId="37580" applyNumberFormat="1" applyFont="1" applyFill="1" applyBorder="1" applyAlignment="1">
      <alignment horizontal="center" wrapText="1"/>
    </xf>
    <xf numFmtId="10" fontId="161" fillId="107" borderId="0" xfId="37580" applyNumberFormat="1" applyFont="1" applyFill="1" applyBorder="1" applyAlignment="1">
      <alignment horizontal="center" wrapText="1"/>
    </xf>
    <xf numFmtId="0" fontId="150" fillId="107" borderId="0" xfId="37580" applyFont="1" applyFill="1" applyBorder="1" applyAlignment="1">
      <alignment horizontal="left" indent="2"/>
    </xf>
    <xf numFmtId="0" fontId="150" fillId="107" borderId="0" xfId="37580" applyFont="1" applyFill="1" applyBorder="1" applyAlignment="1">
      <alignment horizontal="left" wrapText="1" indent="2"/>
    </xf>
    <xf numFmtId="0" fontId="160" fillId="107" borderId="0" xfId="37580" applyFont="1" applyFill="1" applyBorder="1" applyAlignment="1">
      <alignment horizontal="left" indent="1"/>
    </xf>
    <xf numFmtId="1" fontId="150" fillId="107" borderId="22" xfId="37578" quotePrefix="1" applyNumberFormat="1" applyFont="1" applyFill="1" applyBorder="1" applyAlignment="1">
      <alignment horizontal="center"/>
    </xf>
    <xf numFmtId="1" fontId="150" fillId="107" borderId="0" xfId="37578" quotePrefix="1" applyNumberFormat="1" applyFont="1" applyFill="1" applyBorder="1" applyAlignment="1">
      <alignment horizontal="center"/>
    </xf>
    <xf numFmtId="10" fontId="161" fillId="107" borderId="22" xfId="37578" quotePrefix="1" applyNumberFormat="1" applyFont="1" applyFill="1" applyBorder="1" applyAlignment="1">
      <alignment horizontal="center"/>
    </xf>
    <xf numFmtId="10" fontId="161" fillId="107" borderId="0" xfId="37578" quotePrefix="1" applyNumberFormat="1" applyFont="1" applyFill="1" applyBorder="1" applyAlignment="1">
      <alignment horizontal="center"/>
    </xf>
    <xf numFmtId="10" fontId="150" fillId="107" borderId="22" xfId="37580" applyNumberFormat="1" applyFont="1" applyFill="1" applyBorder="1" applyAlignment="1">
      <alignment horizontal="center" wrapText="1"/>
    </xf>
    <xf numFmtId="10" fontId="150" fillId="107" borderId="0" xfId="37580" applyNumberFormat="1" applyFont="1" applyFill="1" applyBorder="1" applyAlignment="1">
      <alignment horizontal="center" wrapText="1"/>
    </xf>
    <xf numFmtId="10" fontId="150" fillId="107" borderId="22" xfId="37747" applyNumberFormat="1" applyFont="1" applyFill="1" applyBorder="1" applyAlignment="1">
      <alignment horizontal="center"/>
    </xf>
    <xf numFmtId="10" fontId="150" fillId="107" borderId="0" xfId="37747" applyNumberFormat="1" applyFont="1" applyFill="1" applyBorder="1" applyAlignment="1">
      <alignment horizontal="center"/>
    </xf>
    <xf numFmtId="10" fontId="150" fillId="107" borderId="44" xfId="37747" applyNumberFormat="1" applyFont="1" applyFill="1" applyBorder="1" applyAlignment="1">
      <alignment horizontal="center"/>
    </xf>
    <xf numFmtId="1" fontId="150" fillId="107" borderId="22" xfId="37747" applyNumberFormat="1" applyFont="1" applyFill="1" applyBorder="1" applyAlignment="1">
      <alignment horizontal="center"/>
    </xf>
    <xf numFmtId="1" fontId="150" fillId="107" borderId="0" xfId="37747" applyNumberFormat="1" applyFont="1" applyFill="1" applyBorder="1" applyAlignment="1">
      <alignment horizontal="center"/>
    </xf>
    <xf numFmtId="1" fontId="150" fillId="107" borderId="44" xfId="37747" applyNumberFormat="1" applyFont="1" applyFill="1" applyBorder="1" applyAlignment="1">
      <alignment horizontal="center"/>
    </xf>
    <xf numFmtId="0" fontId="150" fillId="0" borderId="28" xfId="17973" applyFont="1" applyBorder="1"/>
    <xf numFmtId="3" fontId="150" fillId="0" borderId="0" xfId="37580" applyNumberFormat="1" applyFont="1" applyAlignment="1">
      <alignment horizontal="center"/>
    </xf>
    <xf numFmtId="10" fontId="150" fillId="0" borderId="0" xfId="37580" applyNumberFormat="1" applyFont="1" applyFill="1" applyBorder="1" applyAlignment="1">
      <alignment horizontal="center" wrapText="1"/>
    </xf>
    <xf numFmtId="1" fontId="150" fillId="0" borderId="0" xfId="37580" applyNumberFormat="1" applyFont="1" applyBorder="1" applyAlignment="1">
      <alignment horizontal="left"/>
    </xf>
    <xf numFmtId="171" fontId="145" fillId="0" borderId="22" xfId="37895" applyFont="1" applyFill="1" applyBorder="1" applyAlignment="1">
      <alignment horizontal="left" wrapText="1"/>
    </xf>
    <xf numFmtId="3" fontId="150" fillId="107" borderId="22" xfId="37580" quotePrefix="1" applyNumberFormat="1" applyFont="1" applyFill="1" applyBorder="1" applyAlignment="1">
      <alignment horizontal="center"/>
    </xf>
    <xf numFmtId="3" fontId="150" fillId="107" borderId="0" xfId="37580" quotePrefix="1" applyNumberFormat="1" applyFont="1" applyFill="1" applyBorder="1" applyAlignment="1">
      <alignment horizontal="center"/>
    </xf>
    <xf numFmtId="3" fontId="150" fillId="107" borderId="44" xfId="37580" quotePrefix="1" applyNumberFormat="1" applyFont="1" applyFill="1" applyBorder="1" applyAlignment="1">
      <alignment horizontal="center"/>
    </xf>
    <xf numFmtId="0" fontId="150" fillId="0" borderId="22" xfId="37580" applyFont="1" applyBorder="1" applyAlignment="1">
      <alignment horizontal="left" wrapText="1"/>
    </xf>
    <xf numFmtId="0" fontId="183" fillId="108" borderId="22" xfId="17973" applyFont="1" applyFill="1" applyBorder="1" applyAlignment="1">
      <alignment horizontal="center"/>
    </xf>
    <xf numFmtId="0" fontId="182" fillId="108" borderId="0" xfId="37578" applyFont="1" applyFill="1" applyBorder="1" applyAlignment="1">
      <alignment horizontal="center"/>
    </xf>
    <xf numFmtId="0" fontId="183" fillId="108" borderId="0" xfId="17973" applyFont="1" applyFill="1" applyBorder="1" applyAlignment="1">
      <alignment horizontal="center"/>
    </xf>
    <xf numFmtId="0" fontId="182" fillId="108" borderId="44" xfId="37578" applyFont="1" applyFill="1" applyBorder="1" applyAlignment="1">
      <alignment horizontal="center"/>
    </xf>
    <xf numFmtId="3" fontId="150" fillId="0" borderId="49" xfId="37580" applyNumberFormat="1" applyFont="1" applyBorder="1" applyAlignment="1">
      <alignment horizontal="center"/>
    </xf>
    <xf numFmtId="3" fontId="150" fillId="0" borderId="48" xfId="37580" applyNumberFormat="1" applyFont="1" applyBorder="1" applyAlignment="1">
      <alignment horizontal="center"/>
    </xf>
    <xf numFmtId="3" fontId="150" fillId="0" borderId="47" xfId="37580" applyNumberFormat="1" applyFont="1" applyBorder="1" applyAlignment="1">
      <alignment horizontal="center"/>
    </xf>
    <xf numFmtId="0" fontId="150" fillId="0" borderId="24" xfId="37580" applyFont="1" applyBorder="1" applyAlignment="1">
      <alignment horizontal="left" wrapText="1"/>
    </xf>
    <xf numFmtId="4" fontId="150" fillId="0" borderId="24" xfId="37580" applyNumberFormat="1" applyFont="1" applyBorder="1" applyAlignment="1">
      <alignment horizontal="center"/>
    </xf>
    <xf numFmtId="4" fontId="150" fillId="0" borderId="12" xfId="37580" applyNumberFormat="1" applyFont="1" applyBorder="1" applyAlignment="1">
      <alignment horizontal="center"/>
    </xf>
    <xf numFmtId="4" fontId="150" fillId="0" borderId="25" xfId="37580" applyNumberFormat="1" applyFont="1" applyBorder="1" applyAlignment="1">
      <alignment horizontal="center"/>
    </xf>
    <xf numFmtId="4" fontId="150" fillId="105" borderId="22" xfId="37580" applyNumberFormat="1" applyFont="1" applyFill="1" applyBorder="1" applyAlignment="1">
      <alignment horizontal="center" wrapText="1"/>
    </xf>
    <xf numFmtId="4" fontId="150" fillId="105" borderId="0" xfId="37580" applyNumberFormat="1" applyFont="1" applyFill="1" applyBorder="1" applyAlignment="1">
      <alignment horizontal="center" wrapText="1"/>
    </xf>
    <xf numFmtId="4" fontId="150" fillId="105" borderId="44" xfId="37580" applyNumberFormat="1" applyFont="1" applyFill="1" applyBorder="1" applyAlignment="1">
      <alignment horizontal="center" wrapText="1"/>
    </xf>
    <xf numFmtId="3" fontId="150" fillId="32" borderId="22" xfId="37580" applyNumberFormat="1" applyFont="1" applyFill="1" applyBorder="1" applyAlignment="1">
      <alignment horizontal="center" wrapText="1"/>
    </xf>
    <xf numFmtId="3" fontId="150" fillId="32" borderId="0" xfId="37580" applyNumberFormat="1" applyFont="1" applyFill="1" applyBorder="1" applyAlignment="1">
      <alignment horizontal="center" wrapText="1"/>
    </xf>
    <xf numFmtId="3" fontId="150" fillId="32" borderId="44" xfId="37580" applyNumberFormat="1" applyFont="1" applyFill="1" applyBorder="1" applyAlignment="1">
      <alignment horizontal="center" wrapText="1"/>
    </xf>
    <xf numFmtId="0" fontId="150" fillId="32" borderId="0" xfId="37580" applyFont="1" applyFill="1" applyBorder="1" applyAlignment="1">
      <alignment horizontal="left" indent="2"/>
    </xf>
    <xf numFmtId="3" fontId="150" fillId="105" borderId="22" xfId="37580" applyNumberFormat="1" applyFont="1" applyFill="1" applyBorder="1" applyAlignment="1">
      <alignment horizontal="center" wrapText="1"/>
    </xf>
    <xf numFmtId="3" fontId="150" fillId="105" borderId="0" xfId="37580" applyNumberFormat="1" applyFont="1" applyFill="1" applyBorder="1" applyAlignment="1">
      <alignment horizontal="center" wrapText="1"/>
    </xf>
    <xf numFmtId="3" fontId="150" fillId="105" borderId="44" xfId="37580" applyNumberFormat="1" applyFont="1" applyFill="1" applyBorder="1" applyAlignment="1">
      <alignment horizontal="center" wrapText="1"/>
    </xf>
    <xf numFmtId="0" fontId="150" fillId="105" borderId="0" xfId="37580" applyFont="1" applyFill="1" applyBorder="1" applyAlignment="1">
      <alignment horizontal="left" indent="2"/>
    </xf>
    <xf numFmtId="0" fontId="150" fillId="105" borderId="22" xfId="37580" applyFont="1" applyFill="1" applyBorder="1"/>
    <xf numFmtId="3" fontId="175" fillId="107" borderId="22" xfId="37580" applyNumberFormat="1" applyFont="1" applyFill="1" applyBorder="1" applyAlignment="1">
      <alignment horizontal="center" wrapText="1"/>
    </xf>
    <xf numFmtId="3" fontId="175" fillId="107" borderId="0" xfId="37580" applyNumberFormat="1" applyFont="1" applyFill="1" applyBorder="1" applyAlignment="1">
      <alignment horizontal="center" wrapText="1"/>
    </xf>
    <xf numFmtId="3" fontId="229" fillId="105" borderId="44" xfId="37578" applyNumberFormat="1" applyFont="1" applyFill="1" applyBorder="1" applyAlignment="1">
      <alignment horizontal="center" wrapText="1"/>
    </xf>
    <xf numFmtId="168" fontId="218" fillId="32" borderId="0" xfId="17973" applyNumberFormat="1" applyFont="1" applyFill="1" applyAlignment="1">
      <alignment horizontal="center"/>
    </xf>
    <xf numFmtId="167" fontId="219" fillId="32" borderId="0" xfId="17973" applyNumberFormat="1" applyFont="1" applyFill="1" applyBorder="1" applyAlignment="1">
      <alignment horizontal="center"/>
    </xf>
    <xf numFmtId="164" fontId="169" fillId="0" borderId="44" xfId="144" applyNumberFormat="1" applyFont="1" applyFill="1" applyBorder="1" applyAlignment="1">
      <alignment horizontal="center"/>
    </xf>
    <xf numFmtId="1" fontId="169" fillId="0" borderId="44" xfId="144" applyNumberFormat="1" applyFont="1" applyFill="1" applyBorder="1" applyAlignment="1">
      <alignment horizontal="center"/>
    </xf>
    <xf numFmtId="10" fontId="150" fillId="0" borderId="44" xfId="37578" applyNumberFormat="1" applyFont="1" applyFill="1" applyBorder="1"/>
    <xf numFmtId="9" fontId="150" fillId="0" borderId="44" xfId="144" applyFont="1" applyFill="1" applyBorder="1" applyAlignment="1">
      <alignment horizontal="right" wrapText="1" indent="1"/>
    </xf>
    <xf numFmtId="0" fontId="230" fillId="0" borderId="0" xfId="0" applyFont="1" applyAlignment="1">
      <alignment vertical="center"/>
    </xf>
    <xf numFmtId="10" fontId="161" fillId="0" borderId="0" xfId="17973" applyNumberFormat="1" applyFont="1" applyBorder="1" applyAlignment="1">
      <alignment horizontal="right"/>
    </xf>
    <xf numFmtId="0" fontId="150" fillId="31" borderId="0" xfId="37580" applyFont="1" applyFill="1"/>
    <xf numFmtId="0" fontId="150" fillId="31" borderId="0" xfId="37580" applyFont="1" applyFill="1" applyAlignment="1">
      <alignment horizontal="right"/>
    </xf>
    <xf numFmtId="0" fontId="150" fillId="31" borderId="0" xfId="37580" applyFont="1" applyFill="1" applyAlignment="1">
      <alignment horizontal="center"/>
    </xf>
    <xf numFmtId="3" fontId="150" fillId="0" borderId="44" xfId="37580" applyNumberFormat="1" applyFont="1" applyFill="1" applyBorder="1" applyAlignment="1">
      <alignment horizontal="center" wrapText="1"/>
    </xf>
    <xf numFmtId="3" fontId="145" fillId="0" borderId="0" xfId="37885" applyNumberFormat="1" applyFont="1" applyBorder="1" applyAlignment="1">
      <alignment horizontal="right" indent="2"/>
    </xf>
    <xf numFmtId="180" fontId="145" fillId="101" borderId="0" xfId="37885" applyNumberFormat="1" applyFont="1" applyFill="1" applyBorder="1" applyAlignment="1">
      <alignment horizontal="right" indent="1"/>
    </xf>
    <xf numFmtId="2" fontId="150" fillId="0" borderId="0" xfId="37580" applyNumberFormat="1" applyFont="1" applyBorder="1" applyAlignment="1">
      <alignment horizontal="center"/>
    </xf>
    <xf numFmtId="1" fontId="217" fillId="0" borderId="0" xfId="37580" applyNumberFormat="1" applyFont="1" applyFill="1" applyBorder="1" applyAlignment="1">
      <alignment horizontal="center" vertical="center" wrapText="1"/>
    </xf>
    <xf numFmtId="0" fontId="160" fillId="111" borderId="0" xfId="37578" applyFont="1" applyFill="1" applyBorder="1" applyAlignment="1">
      <alignment horizontal="left" indent="1"/>
    </xf>
    <xf numFmtId="174" fontId="160" fillId="111" borderId="0" xfId="37747" applyNumberFormat="1" applyFont="1" applyFill="1" applyBorder="1" applyAlignment="1">
      <alignment horizontal="left" indent="2"/>
    </xf>
    <xf numFmtId="167" fontId="160" fillId="111" borderId="0" xfId="37579" applyNumberFormat="1" applyFont="1" applyFill="1" applyBorder="1" applyAlignment="1">
      <alignment horizontal="right" wrapText="1" indent="1"/>
    </xf>
    <xf numFmtId="174" fontId="150" fillId="32" borderId="22" xfId="37747" applyNumberFormat="1" applyFont="1" applyFill="1" applyBorder="1" applyAlignment="1">
      <alignment horizontal="left" indent="2"/>
    </xf>
    <xf numFmtId="10" fontId="150" fillId="105" borderId="0" xfId="17973" quotePrefix="1" applyNumberFormat="1" applyFont="1" applyFill="1" applyBorder="1" applyAlignment="1">
      <alignment horizontal="right" indent="5"/>
    </xf>
    <xf numFmtId="0" fontId="0" fillId="0" borderId="0" xfId="0" applyFill="1"/>
    <xf numFmtId="3" fontId="160" fillId="0" borderId="0" xfId="37578" applyNumberFormat="1" applyFont="1" applyFill="1" applyBorder="1" applyAlignment="1">
      <alignment horizontal="left"/>
    </xf>
    <xf numFmtId="0" fontId="150" fillId="0" borderId="22" xfId="37578" applyFont="1" applyFill="1" applyBorder="1" applyAlignment="1"/>
    <xf numFmtId="0" fontId="150" fillId="107" borderId="22" xfId="17973" quotePrefix="1" applyFont="1" applyFill="1" applyBorder="1" applyAlignment="1">
      <alignment horizontal="center"/>
    </xf>
    <xf numFmtId="3" fontId="150" fillId="0" borderId="0" xfId="17973" applyNumberFormat="1" applyFont="1"/>
    <xf numFmtId="3" fontId="231" fillId="0" borderId="0" xfId="37579" applyNumberFormat="1" applyFont="1" applyFill="1" applyBorder="1" applyAlignment="1">
      <alignment horizontal="right" wrapText="1" indent="1"/>
    </xf>
    <xf numFmtId="10" fontId="150" fillId="31" borderId="0" xfId="0" applyNumberFormat="1" applyFont="1" applyFill="1"/>
    <xf numFmtId="0" fontId="150" fillId="31" borderId="0" xfId="0" applyFont="1" applyFill="1" applyAlignment="1">
      <alignment horizontal="right"/>
    </xf>
    <xf numFmtId="10" fontId="217" fillId="105" borderId="0" xfId="37578" applyNumberFormat="1" applyFont="1" applyFill="1" applyBorder="1"/>
    <xf numFmtId="0" fontId="31" fillId="110" borderId="0" xfId="17973" applyFont="1" applyFill="1"/>
    <xf numFmtId="164" fontId="150" fillId="0" borderId="0" xfId="37580" applyNumberFormat="1" applyFont="1" applyFill="1" applyBorder="1"/>
    <xf numFmtId="0" fontId="150" fillId="105" borderId="0" xfId="37580" applyFont="1" applyFill="1" applyBorder="1" applyAlignment="1">
      <alignment horizontal="left" indent="1"/>
    </xf>
    <xf numFmtId="0" fontId="161" fillId="105" borderId="0" xfId="37580" applyFont="1" applyFill="1" applyBorder="1"/>
    <xf numFmtId="0" fontId="161" fillId="0" borderId="0" xfId="37580" applyFont="1" applyFill="1" applyBorder="1" applyAlignment="1">
      <alignment horizontal="left" indent="1"/>
    </xf>
    <xf numFmtId="3" fontId="150" fillId="0" borderId="0" xfId="37580" applyNumberFormat="1" applyFont="1"/>
    <xf numFmtId="168" fontId="30" fillId="0" borderId="0" xfId="0" applyNumberFormat="1" applyFont="1" applyAlignment="1">
      <alignment horizontal="right"/>
    </xf>
    <xf numFmtId="175" fontId="175" fillId="107" borderId="0" xfId="37580" applyNumberFormat="1" applyFont="1" applyFill="1" applyBorder="1" applyAlignment="1">
      <alignment horizontal="center" wrapText="1"/>
    </xf>
    <xf numFmtId="175" fontId="175" fillId="107" borderId="22" xfId="37580" applyNumberFormat="1" applyFont="1" applyFill="1" applyBorder="1" applyAlignment="1">
      <alignment horizontal="center" wrapText="1"/>
    </xf>
    <xf numFmtId="3" fontId="175" fillId="107" borderId="44" xfId="17973" applyNumberFormat="1" applyFont="1" applyFill="1" applyBorder="1" applyAlignment="1">
      <alignment horizontal="center"/>
    </xf>
    <xf numFmtId="3" fontId="175" fillId="107" borderId="0" xfId="17973" applyNumberFormat="1" applyFont="1" applyFill="1" applyBorder="1" applyAlignment="1">
      <alignment horizontal="center"/>
    </xf>
    <xf numFmtId="3" fontId="175" fillId="107" borderId="22" xfId="17973" applyNumberFormat="1" applyFont="1" applyFill="1" applyBorder="1" applyAlignment="1">
      <alignment horizontal="center"/>
    </xf>
    <xf numFmtId="0" fontId="211" fillId="106" borderId="0" xfId="17973" applyFont="1" applyFill="1" applyAlignment="1">
      <alignment horizontal="centerContinuous"/>
    </xf>
    <xf numFmtId="0" fontId="175" fillId="106" borderId="0" xfId="17973" applyFont="1" applyFill="1" applyAlignment="1">
      <alignment horizontal="centerContinuous"/>
    </xf>
    <xf numFmtId="175" fontId="221" fillId="107" borderId="0" xfId="37580" applyNumberFormat="1" applyFont="1" applyFill="1" applyBorder="1" applyAlignment="1">
      <alignment horizontal="center" wrapText="1"/>
    </xf>
    <xf numFmtId="3" fontId="221" fillId="107" borderId="0" xfId="37580" applyNumberFormat="1" applyFont="1" applyFill="1" applyBorder="1" applyAlignment="1">
      <alignment horizontal="center" vertical="center" wrapText="1"/>
    </xf>
    <xf numFmtId="164" fontId="221" fillId="107" borderId="0" xfId="37583" applyNumberFormat="1" applyFont="1" applyFill="1" applyBorder="1" applyAlignment="1">
      <alignment horizontal="center"/>
    </xf>
    <xf numFmtId="0" fontId="161" fillId="108" borderId="0" xfId="37578" applyFont="1" applyFill="1" applyBorder="1"/>
    <xf numFmtId="10" fontId="221" fillId="107" borderId="0" xfId="37811" applyNumberFormat="1" applyFont="1" applyFill="1" applyBorder="1" applyAlignment="1">
      <alignment horizontal="center" wrapText="1"/>
    </xf>
    <xf numFmtId="10" fontId="221" fillId="107" borderId="22" xfId="37811" applyNumberFormat="1" applyFont="1" applyFill="1" applyBorder="1" applyAlignment="1">
      <alignment horizontal="center" wrapText="1"/>
    </xf>
    <xf numFmtId="0" fontId="150" fillId="108" borderId="22" xfId="17973" applyFont="1" applyFill="1" applyBorder="1"/>
    <xf numFmtId="3" fontId="175" fillId="107" borderId="0" xfId="37579" applyNumberFormat="1" applyFont="1" applyFill="1" applyAlignment="1">
      <alignment horizontal="center" vertical="center" wrapText="1"/>
    </xf>
    <xf numFmtId="3" fontId="175" fillId="107" borderId="22" xfId="37579" applyNumberFormat="1" applyFont="1" applyFill="1" applyBorder="1" applyAlignment="1">
      <alignment horizontal="center" vertical="center" wrapText="1"/>
    </xf>
    <xf numFmtId="0" fontId="150" fillId="0" borderId="45" xfId="17973" applyFont="1" applyBorder="1" applyAlignment="1">
      <alignment horizontal="center"/>
    </xf>
    <xf numFmtId="0" fontId="150" fillId="0" borderId="28" xfId="17973" applyFont="1" applyBorder="1" applyAlignment="1">
      <alignment horizontal="center"/>
    </xf>
    <xf numFmtId="0" fontId="150" fillId="0" borderId="23" xfId="17973" applyFont="1" applyBorder="1" applyAlignment="1">
      <alignment horizontal="center"/>
    </xf>
    <xf numFmtId="0" fontId="161" fillId="0" borderId="43" xfId="17973" applyFont="1" applyBorder="1" applyAlignment="1">
      <alignment horizontal="center" wrapText="1"/>
    </xf>
    <xf numFmtId="0" fontId="161" fillId="0" borderId="26" xfId="17973" applyFont="1" applyBorder="1" applyAlignment="1">
      <alignment horizontal="center" wrapText="1"/>
    </xf>
    <xf numFmtId="0" fontId="161" fillId="0" borderId="27" xfId="17973" applyFont="1" applyBorder="1" applyAlignment="1">
      <alignment horizontal="center" wrapText="1"/>
    </xf>
    <xf numFmtId="0" fontId="161" fillId="0" borderId="25" xfId="17973" applyFont="1" applyBorder="1" applyAlignment="1">
      <alignment horizontal="center" wrapText="1"/>
    </xf>
    <xf numFmtId="0" fontId="161" fillId="0" borderId="12" xfId="17973" applyFont="1" applyBorder="1" applyAlignment="1">
      <alignment horizontal="center" wrapText="1"/>
    </xf>
    <xf numFmtId="0" fontId="161" fillId="0" borderId="24" xfId="17973" applyFont="1" applyBorder="1" applyAlignment="1">
      <alignment horizontal="center" wrapText="1"/>
    </xf>
    <xf numFmtId="0" fontId="161" fillId="0" borderId="44" xfId="17973" applyFont="1" applyBorder="1" applyAlignment="1">
      <alignment horizontal="center" wrapText="1"/>
    </xf>
    <xf numFmtId="0" fontId="161" fillId="0" borderId="0" xfId="17973" applyFont="1" applyAlignment="1">
      <alignment horizontal="center" wrapText="1"/>
    </xf>
    <xf numFmtId="0" fontId="161" fillId="0" borderId="22" xfId="17973" applyFont="1" applyBorder="1" applyAlignment="1">
      <alignment horizontal="center" wrapText="1"/>
    </xf>
    <xf numFmtId="0" fontId="183" fillId="108" borderId="44" xfId="37578" applyFont="1" applyFill="1" applyBorder="1" applyAlignment="1">
      <alignment horizontal="center" wrapText="1"/>
    </xf>
    <xf numFmtId="0" fontId="183" fillId="108" borderId="0" xfId="37578" applyFont="1" applyFill="1" applyAlignment="1">
      <alignment horizontal="center" wrapText="1"/>
    </xf>
    <xf numFmtId="0" fontId="183" fillId="108" borderId="22" xfId="37578" applyFont="1" applyFill="1" applyBorder="1" applyAlignment="1">
      <alignment horizontal="center" wrapText="1"/>
    </xf>
    <xf numFmtId="0" fontId="150" fillId="0" borderId="44" xfId="37578" applyFont="1" applyBorder="1" applyAlignment="1">
      <alignment horizontal="center" wrapText="1"/>
    </xf>
    <xf numFmtId="0" fontId="150" fillId="0" borderId="0" xfId="37578" applyFont="1" applyAlignment="1">
      <alignment horizontal="center" wrapText="1"/>
    </xf>
    <xf numFmtId="0" fontId="150" fillId="0" borderId="22" xfId="37578" applyFont="1" applyBorder="1" applyAlignment="1">
      <alignment horizontal="center" wrapText="1"/>
    </xf>
    <xf numFmtId="3" fontId="150" fillId="0" borderId="44" xfId="37579" applyNumberFormat="1" applyFont="1" applyBorder="1" applyAlignment="1">
      <alignment horizontal="right" wrapText="1" indent="1"/>
    </xf>
    <xf numFmtId="3" fontId="150" fillId="0" borderId="0" xfId="37579" applyNumberFormat="1" applyFont="1" applyAlignment="1">
      <alignment horizontal="right" wrapText="1" indent="1"/>
    </xf>
    <xf numFmtId="3" fontId="150" fillId="0" borderId="22" xfId="37579" applyNumberFormat="1" applyFont="1" applyBorder="1" applyAlignment="1">
      <alignment horizontal="right" wrapText="1" indent="1"/>
    </xf>
    <xf numFmtId="3" fontId="175" fillId="107" borderId="0" xfId="37579" applyNumberFormat="1" applyFont="1" applyFill="1" applyAlignment="1">
      <alignment horizontal="center" wrapText="1"/>
    </xf>
    <xf numFmtId="3" fontId="175" fillId="107" borderId="22" xfId="37579" applyNumberFormat="1" applyFont="1" applyFill="1" applyBorder="1" applyAlignment="1">
      <alignment horizontal="center" wrapText="1"/>
    </xf>
    <xf numFmtId="3" fontId="150" fillId="105" borderId="0" xfId="37579" applyNumberFormat="1" applyFont="1" applyFill="1" applyAlignment="1">
      <alignment horizontal="center" wrapText="1"/>
    </xf>
    <xf numFmtId="3" fontId="161" fillId="105" borderId="0" xfId="37578" applyNumberFormat="1" applyFont="1" applyFill="1" applyAlignment="1">
      <alignment horizontal="center" wrapText="1"/>
    </xf>
    <xf numFmtId="3" fontId="150" fillId="0" borderId="44" xfId="37579" applyNumberFormat="1" applyFont="1" applyBorder="1" applyAlignment="1">
      <alignment horizontal="center" wrapText="1"/>
    </xf>
    <xf numFmtId="3" fontId="150" fillId="0" borderId="0" xfId="37579" applyNumberFormat="1" applyFont="1" applyAlignment="1">
      <alignment horizontal="center" wrapText="1"/>
    </xf>
    <xf numFmtId="3" fontId="150" fillId="0" borderId="22" xfId="37579" applyNumberFormat="1" applyFont="1" applyBorder="1" applyAlignment="1">
      <alignment horizontal="center" wrapText="1"/>
    </xf>
    <xf numFmtId="3" fontId="150" fillId="0" borderId="0" xfId="37579" applyNumberFormat="1" applyFont="1" applyBorder="1" applyAlignment="1">
      <alignment horizontal="center" wrapText="1"/>
    </xf>
    <xf numFmtId="3" fontId="150" fillId="107" borderId="44" xfId="37579" applyNumberFormat="1" applyFont="1" applyFill="1" applyBorder="1" applyAlignment="1">
      <alignment horizontal="center" wrapText="1"/>
    </xf>
    <xf numFmtId="3" fontId="150" fillId="107" borderId="0" xfId="37579" applyNumberFormat="1" applyFont="1" applyFill="1" applyAlignment="1">
      <alignment horizontal="center" wrapText="1"/>
    </xf>
    <xf numFmtId="3" fontId="150" fillId="107" borderId="22" xfId="37579" applyNumberFormat="1" applyFont="1" applyFill="1" applyBorder="1" applyAlignment="1">
      <alignment horizontal="center" wrapText="1"/>
    </xf>
    <xf numFmtId="3" fontId="175" fillId="107" borderId="44" xfId="37579" applyNumberFormat="1" applyFont="1" applyFill="1" applyBorder="1" applyAlignment="1">
      <alignment horizontal="center" wrapText="1"/>
    </xf>
    <xf numFmtId="3" fontId="160" fillId="105" borderId="0" xfId="37578" applyNumberFormat="1" applyFont="1" applyFill="1" applyAlignment="1">
      <alignment horizontal="center" wrapText="1"/>
    </xf>
    <xf numFmtId="3" fontId="175" fillId="107" borderId="0" xfId="17973" applyNumberFormat="1" applyFont="1" applyFill="1" applyAlignment="1">
      <alignment horizontal="center"/>
    </xf>
    <xf numFmtId="3" fontId="150" fillId="32" borderId="44" xfId="37579" applyNumberFormat="1" applyFont="1" applyFill="1" applyBorder="1" applyAlignment="1">
      <alignment horizontal="right" wrapText="1" indent="1"/>
    </xf>
    <xf numFmtId="3" fontId="150" fillId="32" borderId="0" xfId="37579" applyNumberFormat="1" applyFont="1" applyFill="1" applyAlignment="1">
      <alignment horizontal="right" wrapText="1" indent="1"/>
    </xf>
    <xf numFmtId="3" fontId="150" fillId="32" borderId="22" xfId="37579" applyNumberFormat="1" applyFont="1" applyFill="1" applyBorder="1" applyAlignment="1">
      <alignment horizontal="right" wrapText="1" indent="1"/>
    </xf>
    <xf numFmtId="3" fontId="161" fillId="105" borderId="0" xfId="37578" applyNumberFormat="1" applyFont="1" applyFill="1" applyAlignment="1">
      <alignment horizontal="right" wrapText="1" indent="1"/>
    </xf>
    <xf numFmtId="3" fontId="161" fillId="105" borderId="22" xfId="37578" applyNumberFormat="1" applyFont="1" applyFill="1" applyBorder="1" applyAlignment="1">
      <alignment horizontal="right" wrapText="1" indent="1"/>
    </xf>
    <xf numFmtId="3" fontId="150" fillId="0" borderId="24" xfId="37578" applyNumberFormat="1" applyFont="1" applyBorder="1" applyAlignment="1">
      <alignment horizontal="right" wrapText="1" indent="1"/>
    </xf>
    <xf numFmtId="3" fontId="150" fillId="0" borderId="44" xfId="37578" applyNumberFormat="1" applyFont="1" applyBorder="1" applyAlignment="1">
      <alignment horizontal="right" wrapText="1" indent="1"/>
    </xf>
    <xf numFmtId="3" fontId="150" fillId="0" borderId="0" xfId="37578" applyNumberFormat="1" applyFont="1" applyAlignment="1">
      <alignment horizontal="right" wrapText="1" indent="1"/>
    </xf>
    <xf numFmtId="3" fontId="150" fillId="0" borderId="22" xfId="37578" applyNumberFormat="1" applyFont="1" applyBorder="1" applyAlignment="1">
      <alignment horizontal="right" wrapText="1" indent="1"/>
    </xf>
    <xf numFmtId="0" fontId="183" fillId="0" borderId="44" xfId="37578" applyFont="1" applyBorder="1" applyAlignment="1">
      <alignment horizontal="center" wrapText="1"/>
    </xf>
    <xf numFmtId="0" fontId="183" fillId="0" borderId="0" xfId="37578" applyFont="1" applyAlignment="1">
      <alignment horizontal="center" wrapText="1"/>
    </xf>
    <xf numFmtId="0" fontId="183" fillId="0" borderId="22" xfId="37578" applyFont="1" applyBorder="1" applyAlignment="1">
      <alignment horizontal="center" wrapText="1"/>
    </xf>
    <xf numFmtId="3" fontId="150" fillId="105" borderId="0" xfId="37579" applyNumberFormat="1" applyFont="1" applyFill="1" applyAlignment="1">
      <alignment horizontal="right" wrapText="1" indent="1"/>
    </xf>
    <xf numFmtId="175" fontId="175" fillId="107" borderId="0" xfId="17973" applyNumberFormat="1" applyFont="1" applyFill="1" applyAlignment="1">
      <alignment horizontal="center" vertical="center"/>
    </xf>
    <xf numFmtId="175" fontId="175" fillId="107" borderId="22" xfId="17973" applyNumberFormat="1" applyFont="1" applyFill="1" applyBorder="1" applyAlignment="1">
      <alignment horizontal="center" vertical="center"/>
    </xf>
    <xf numFmtId="3" fontId="150" fillId="32" borderId="0" xfId="37578" quotePrefix="1" applyNumberFormat="1" applyFont="1" applyFill="1" applyAlignment="1">
      <alignment horizontal="right" indent="1"/>
    </xf>
    <xf numFmtId="3" fontId="150" fillId="32" borderId="22" xfId="37578" quotePrefix="1" applyNumberFormat="1" applyFont="1" applyFill="1" applyBorder="1" applyAlignment="1">
      <alignment horizontal="right" indent="1"/>
    </xf>
    <xf numFmtId="3" fontId="161" fillId="105" borderId="44" xfId="37578" applyNumberFormat="1" applyFont="1" applyFill="1" applyBorder="1" applyAlignment="1">
      <alignment horizontal="right" wrapText="1" indent="1"/>
    </xf>
    <xf numFmtId="3" fontId="150" fillId="0" borderId="46" xfId="37578" applyNumberFormat="1" applyFont="1" applyBorder="1" applyAlignment="1">
      <alignment horizontal="center" wrapText="1"/>
    </xf>
    <xf numFmtId="3" fontId="150" fillId="0" borderId="11" xfId="37578" applyNumberFormat="1" applyFont="1" applyBorder="1" applyAlignment="1">
      <alignment horizontal="center" wrapText="1"/>
    </xf>
    <xf numFmtId="3" fontId="150" fillId="0" borderId="21" xfId="37578" applyNumberFormat="1" applyFont="1" applyBorder="1" applyAlignment="1">
      <alignment horizontal="center" wrapText="1"/>
    </xf>
    <xf numFmtId="3" fontId="150" fillId="0" borderId="0" xfId="37578" applyNumberFormat="1" applyFont="1" applyAlignment="1">
      <alignment horizontal="center" wrapText="1"/>
    </xf>
    <xf numFmtId="3" fontId="221" fillId="107" borderId="0" xfId="37579" applyNumberFormat="1" applyFont="1" applyFill="1" applyBorder="1" applyAlignment="1">
      <alignment horizontal="right" vertical="center" wrapText="1"/>
    </xf>
    <xf numFmtId="1" fontId="217" fillId="107" borderId="0" xfId="37747" applyNumberFormat="1" applyFont="1" applyFill="1" applyBorder="1" applyAlignment="1">
      <alignment horizontal="center"/>
    </xf>
    <xf numFmtId="3" fontId="175" fillId="107" borderId="44" xfId="37580" applyNumberFormat="1" applyFont="1" applyFill="1" applyBorder="1" applyAlignment="1">
      <alignment horizontal="center" wrapText="1"/>
    </xf>
    <xf numFmtId="3" fontId="162" fillId="105" borderId="44" xfId="37580" applyNumberFormat="1" applyFont="1" applyFill="1" applyBorder="1" applyAlignment="1">
      <alignment horizontal="center" wrapText="1"/>
    </xf>
    <xf numFmtId="3" fontId="162" fillId="105" borderId="0" xfId="37580" applyNumberFormat="1" applyFont="1" applyFill="1" applyBorder="1" applyAlignment="1">
      <alignment horizontal="center" wrapText="1"/>
    </xf>
    <xf numFmtId="3" fontId="162" fillId="105" borderId="22" xfId="37580" applyNumberFormat="1" applyFont="1" applyFill="1" applyBorder="1" applyAlignment="1">
      <alignment horizontal="center" wrapText="1"/>
    </xf>
    <xf numFmtId="10" fontId="150" fillId="32" borderId="44" xfId="37811" applyNumberFormat="1" applyFont="1" applyFill="1" applyBorder="1" applyAlignment="1">
      <alignment horizontal="center" wrapText="1"/>
    </xf>
    <xf numFmtId="10" fontId="150" fillId="32" borderId="0" xfId="37811" applyNumberFormat="1" applyFont="1" applyFill="1" applyBorder="1" applyAlignment="1">
      <alignment horizontal="center" wrapText="1"/>
    </xf>
    <xf numFmtId="10" fontId="150" fillId="32" borderId="22" xfId="37811" applyNumberFormat="1" applyFont="1" applyFill="1" applyBorder="1" applyAlignment="1">
      <alignment horizontal="center" wrapText="1"/>
    </xf>
    <xf numFmtId="4" fontId="150" fillId="0" borderId="25" xfId="37580" applyNumberFormat="1" applyFont="1" applyFill="1" applyBorder="1" applyAlignment="1">
      <alignment horizontal="center"/>
    </xf>
    <xf numFmtId="4" fontId="150" fillId="0" borderId="12" xfId="37580" applyNumberFormat="1" applyFont="1" applyFill="1" applyBorder="1" applyAlignment="1">
      <alignment horizontal="center"/>
    </xf>
    <xf numFmtId="4" fontId="150" fillId="0" borderId="24" xfId="37580" applyNumberFormat="1" applyFont="1" applyFill="1" applyBorder="1" applyAlignment="1">
      <alignment horizontal="center"/>
    </xf>
    <xf numFmtId="3" fontId="150" fillId="0" borderId="44" xfId="37580" applyNumberFormat="1" applyFont="1" applyFill="1" applyBorder="1" applyAlignment="1">
      <alignment horizontal="center"/>
    </xf>
    <xf numFmtId="3" fontId="150" fillId="0" borderId="0" xfId="37580" applyNumberFormat="1" applyFont="1" applyFill="1" applyBorder="1" applyAlignment="1">
      <alignment horizontal="center"/>
    </xf>
    <xf numFmtId="3" fontId="150" fillId="0" borderId="22" xfId="37580" applyNumberFormat="1" applyFont="1" applyFill="1" applyBorder="1" applyAlignment="1">
      <alignment horizontal="center"/>
    </xf>
    <xf numFmtId="0" fontId="183" fillId="108" borderId="0" xfId="17973" applyFont="1" applyFill="1" applyAlignment="1">
      <alignment horizontal="center"/>
    </xf>
    <xf numFmtId="4" fontId="175" fillId="107" borderId="44" xfId="37580" applyNumberFormat="1" applyFont="1" applyFill="1" applyBorder="1" applyAlignment="1">
      <alignment horizontal="center"/>
    </xf>
    <xf numFmtId="4" fontId="175" fillId="107" borderId="0" xfId="37580" applyNumberFormat="1" applyFont="1" applyFill="1" applyBorder="1" applyAlignment="1">
      <alignment horizontal="center"/>
    </xf>
    <xf numFmtId="4" fontId="175" fillId="107" borderId="22" xfId="37580" applyNumberFormat="1" applyFont="1" applyFill="1" applyBorder="1" applyAlignment="1">
      <alignment horizontal="center"/>
    </xf>
    <xf numFmtId="4" fontId="150" fillId="107" borderId="44" xfId="37580" quotePrefix="1" applyNumberFormat="1" applyFont="1" applyFill="1" applyBorder="1" applyAlignment="1">
      <alignment horizontal="center"/>
    </xf>
    <xf numFmtId="4" fontId="150" fillId="107" borderId="0" xfId="37580" quotePrefix="1" applyNumberFormat="1" applyFont="1" applyFill="1" applyBorder="1" applyAlignment="1">
      <alignment horizontal="center"/>
    </xf>
    <xf numFmtId="4" fontId="150" fillId="107" borderId="22" xfId="37580" quotePrefix="1" applyNumberFormat="1" applyFont="1" applyFill="1" applyBorder="1" applyAlignment="1">
      <alignment horizontal="center"/>
    </xf>
    <xf numFmtId="4" fontId="221" fillId="107" borderId="0" xfId="37579" applyNumberFormat="1" applyFont="1" applyFill="1" applyBorder="1" applyAlignment="1">
      <alignment horizontal="right" vertical="center" wrapText="1"/>
    </xf>
    <xf numFmtId="4" fontId="175" fillId="107" borderId="44" xfId="37580" applyNumberFormat="1" applyFont="1" applyFill="1" applyBorder="1" applyAlignment="1">
      <alignment horizontal="center" vertical="center"/>
    </xf>
    <xf numFmtId="4" fontId="175" fillId="107" borderId="0" xfId="37580" applyNumberFormat="1" applyFont="1" applyFill="1" applyBorder="1" applyAlignment="1">
      <alignment horizontal="center" vertical="center"/>
    </xf>
    <xf numFmtId="4" fontId="175" fillId="107" borderId="22" xfId="37580" applyNumberFormat="1" applyFont="1" applyFill="1" applyBorder="1" applyAlignment="1">
      <alignment horizontal="center" vertical="center"/>
    </xf>
    <xf numFmtId="10" fontId="10" fillId="107" borderId="0" xfId="37811" applyNumberFormat="1" applyFont="1" applyFill="1" applyBorder="1" applyAlignment="1">
      <alignment horizontal="center" wrapText="1"/>
    </xf>
    <xf numFmtId="10" fontId="10" fillId="107" borderId="22" xfId="37811" applyNumberFormat="1" applyFont="1" applyFill="1" applyBorder="1" applyAlignment="1">
      <alignment horizontal="center" wrapText="1"/>
    </xf>
    <xf numFmtId="3" fontId="10" fillId="32" borderId="0" xfId="37578" applyNumberFormat="1" applyFont="1" applyFill="1" applyBorder="1" applyAlignment="1">
      <alignment horizontal="center"/>
    </xf>
    <xf numFmtId="0" fontId="151" fillId="0" borderId="0" xfId="17973" applyFont="1" applyFill="1" applyAlignment="1">
      <alignment horizontal="centerContinuous"/>
    </xf>
    <xf numFmtId="0" fontId="10" fillId="0" borderId="0" xfId="17973" applyFont="1" applyFill="1" applyAlignment="1">
      <alignment horizontal="centerContinuous"/>
    </xf>
    <xf numFmtId="164" fontId="221" fillId="107" borderId="0" xfId="144" applyNumberFormat="1" applyFont="1" applyFill="1" applyBorder="1" applyAlignment="1">
      <alignment horizontal="center" vertical="center" wrapText="1"/>
    </xf>
    <xf numFmtId="9" fontId="221" fillId="107" borderId="0" xfId="144" applyNumberFormat="1" applyFont="1" applyFill="1" applyBorder="1" applyAlignment="1">
      <alignment horizontal="center" vertical="center" wrapText="1"/>
    </xf>
    <xf numFmtId="168" fontId="221" fillId="32" borderId="0" xfId="17973" applyNumberFormat="1" applyFont="1" applyFill="1" applyAlignment="1">
      <alignment horizontal="center"/>
    </xf>
    <xf numFmtId="167" fontId="221" fillId="32" borderId="0" xfId="17973" applyNumberFormat="1" applyFont="1" applyFill="1" applyAlignment="1">
      <alignment horizontal="center"/>
    </xf>
    <xf numFmtId="165" fontId="221" fillId="32" borderId="0" xfId="17973" applyNumberFormat="1" applyFont="1" applyFill="1" applyAlignment="1">
      <alignment horizontal="center"/>
    </xf>
    <xf numFmtId="166" fontId="221" fillId="32" borderId="0" xfId="17973" applyNumberFormat="1" applyFont="1" applyFill="1" applyBorder="1" applyAlignment="1">
      <alignment horizontal="center"/>
    </xf>
    <xf numFmtId="3" fontId="221" fillId="107" borderId="0" xfId="37580" applyNumberFormat="1" applyFont="1" applyFill="1" applyBorder="1" applyAlignment="1">
      <alignment horizontal="center" wrapText="1"/>
    </xf>
    <xf numFmtId="3" fontId="221" fillId="107" borderId="22" xfId="37580" applyNumberFormat="1" applyFont="1" applyFill="1" applyBorder="1" applyAlignment="1">
      <alignment horizontal="center" wrapText="1"/>
    </xf>
    <xf numFmtId="0" fontId="150" fillId="108" borderId="0" xfId="17973" applyFont="1" applyFill="1" applyBorder="1"/>
    <xf numFmtId="3" fontId="221" fillId="107" borderId="0" xfId="37580" quotePrefix="1" applyNumberFormat="1" applyFont="1" applyFill="1" applyBorder="1" applyAlignment="1">
      <alignment horizontal="center" wrapText="1"/>
    </xf>
    <xf numFmtId="3" fontId="221" fillId="107" borderId="22" xfId="37580" applyNumberFormat="1" applyFont="1" applyFill="1" applyBorder="1" applyAlignment="1">
      <alignment horizontal="center" vertical="center" wrapText="1"/>
    </xf>
    <xf numFmtId="168" fontId="218" fillId="32" borderId="0" xfId="17973" applyNumberFormat="1" applyFont="1" applyFill="1" applyBorder="1" applyAlignment="1">
      <alignment horizontal="center"/>
    </xf>
    <xf numFmtId="165" fontId="150" fillId="32" borderId="0" xfId="17973" applyNumberFormat="1" applyFont="1" applyFill="1" applyBorder="1" applyAlignment="1">
      <alignment horizontal="center"/>
    </xf>
    <xf numFmtId="167" fontId="218" fillId="32" borderId="0" xfId="17973" applyNumberFormat="1" applyFont="1" applyFill="1" applyBorder="1" applyAlignment="1">
      <alignment horizontal="center"/>
    </xf>
    <xf numFmtId="166" fontId="219" fillId="32" borderId="0" xfId="17973" applyNumberFormat="1" applyFont="1" applyFill="1" applyBorder="1" applyAlignment="1">
      <alignment horizontal="center"/>
    </xf>
    <xf numFmtId="10" fontId="219" fillId="32" borderId="0" xfId="37811" applyNumberFormat="1" applyFont="1" applyFill="1" applyBorder="1" applyAlignment="1">
      <alignment horizontal="center"/>
    </xf>
    <xf numFmtId="7" fontId="148" fillId="0" borderId="0" xfId="37885" applyNumberFormat="1" applyFont="1" applyBorder="1" applyAlignment="1"/>
    <xf numFmtId="3" fontId="0" fillId="0" borderId="0" xfId="0" applyNumberFormat="1" applyAlignment="1">
      <alignment horizontal="right" indent="2"/>
    </xf>
    <xf numFmtId="168" fontId="150" fillId="0" borderId="0" xfId="0" applyNumberFormat="1" applyFont="1" applyFill="1" applyAlignment="1">
      <alignment horizontal="center"/>
    </xf>
    <xf numFmtId="168" fontId="221" fillId="110" borderId="0" xfId="0" applyNumberFormat="1" applyFont="1" applyFill="1" applyAlignment="1">
      <alignment horizontal="center"/>
    </xf>
    <xf numFmtId="168" fontId="221" fillId="0" borderId="0" xfId="0" applyNumberFormat="1" applyFont="1" applyFill="1" applyAlignment="1">
      <alignment horizontal="right"/>
    </xf>
    <xf numFmtId="4" fontId="150" fillId="0" borderId="0" xfId="37579" applyNumberFormat="1" applyFont="1" applyFill="1" applyBorder="1" applyAlignment="1">
      <alignment horizontal="right" wrapText="1" indent="1"/>
    </xf>
    <xf numFmtId="8" fontId="0" fillId="0" borderId="0" xfId="0" applyNumberFormat="1"/>
    <xf numFmtId="0" fontId="30" fillId="0" borderId="0" xfId="37582" applyNumberFormat="1" applyFill="1" applyAlignment="1">
      <alignment horizontal="right"/>
    </xf>
    <xf numFmtId="164" fontId="30" fillId="0" borderId="0" xfId="37582" applyNumberFormat="1" applyFill="1" applyAlignment="1">
      <alignment horizontal="right"/>
    </xf>
    <xf numFmtId="6" fontId="57" fillId="0" borderId="0" xfId="131" applyNumberFormat="1" applyBorder="1" applyAlignment="1">
      <alignment horizontal="center"/>
    </xf>
    <xf numFmtId="166" fontId="57" fillId="0" borderId="0" xfId="131" applyNumberFormat="1" applyBorder="1" applyAlignment="1">
      <alignment horizontal="center"/>
    </xf>
    <xf numFmtId="168" fontId="57" fillId="0" borderId="0" xfId="131" applyNumberFormat="1" applyBorder="1" applyAlignment="1">
      <alignment horizontal="center"/>
    </xf>
    <xf numFmtId="0" fontId="30" fillId="0" borderId="0" xfId="131" applyFont="1" applyBorder="1" applyAlignment="1">
      <alignment horizontal="center"/>
    </xf>
    <xf numFmtId="9" fontId="57" fillId="0" borderId="0" xfId="144" applyFont="1" applyBorder="1" applyAlignment="1">
      <alignment horizontal="center"/>
    </xf>
    <xf numFmtId="0" fontId="147" fillId="0" borderId="0" xfId="0" applyFont="1" applyBorder="1"/>
    <xf numFmtId="175" fontId="30" fillId="101" borderId="0" xfId="37893" applyNumberFormat="1" applyFont="1" applyFill="1" applyBorder="1"/>
    <xf numFmtId="168" fontId="0" fillId="0" borderId="0" xfId="0" applyNumberFormat="1" applyBorder="1"/>
    <xf numFmtId="0" fontId="30" fillId="0" borderId="0" xfId="131" applyFont="1" applyBorder="1"/>
    <xf numFmtId="10" fontId="57" fillId="0" borderId="0" xfId="144" applyNumberFormat="1" applyFont="1" applyBorder="1"/>
    <xf numFmtId="0" fontId="30" fillId="0" borderId="0" xfId="131" applyFont="1" applyFill="1" applyBorder="1"/>
    <xf numFmtId="166" fontId="57" fillId="0" borderId="0" xfId="131" applyNumberFormat="1" applyFill="1" applyBorder="1" applyAlignment="1">
      <alignment horizontal="center"/>
    </xf>
    <xf numFmtId="168" fontId="57" fillId="0" borderId="0" xfId="131" applyNumberFormat="1" applyFill="1" applyBorder="1" applyAlignment="1">
      <alignment horizontal="center"/>
    </xf>
    <xf numFmtId="166" fontId="57" fillId="0" borderId="0" xfId="131" applyNumberFormat="1" applyBorder="1"/>
    <xf numFmtId="0" fontId="57" fillId="0" borderId="0" xfId="131" applyFill="1" applyBorder="1"/>
    <xf numFmtId="0" fontId="30" fillId="0" borderId="0" xfId="131" applyFont="1" applyFill="1" applyBorder="1" applyAlignment="1">
      <alignment horizontal="center"/>
    </xf>
    <xf numFmtId="9" fontId="150" fillId="0" borderId="0" xfId="144" applyFont="1"/>
    <xf numFmtId="174" fontId="0" fillId="110" borderId="0" xfId="37747" applyNumberFormat="1" applyFont="1" applyFill="1"/>
    <xf numFmtId="164" fontId="161" fillId="0" borderId="0" xfId="144" applyNumberFormat="1" applyFont="1" applyBorder="1" applyAlignment="1">
      <alignment horizontal="center" vertical="top" wrapText="1"/>
    </xf>
    <xf numFmtId="9" fontId="161" fillId="0" borderId="0" xfId="144" applyFont="1" applyBorder="1" applyAlignment="1">
      <alignment horizontal="center" vertical="top" wrapText="1"/>
    </xf>
    <xf numFmtId="0" fontId="161" fillId="0" borderId="12" xfId="37578" applyFont="1" applyFill="1" applyBorder="1" applyAlignment="1">
      <alignment vertical="center"/>
    </xf>
    <xf numFmtId="9" fontId="161" fillId="0" borderId="12" xfId="144" applyFont="1" applyBorder="1" applyAlignment="1">
      <alignment horizontal="center" vertical="top" wrapText="1"/>
    </xf>
    <xf numFmtId="1" fontId="175" fillId="0" borderId="44" xfId="37579" applyNumberFormat="1" applyFont="1" applyFill="1" applyBorder="1" applyAlignment="1">
      <alignment horizontal="center" wrapText="1"/>
    </xf>
    <xf numFmtId="164" fontId="163" fillId="0" borderId="0" xfId="17973" applyNumberFormat="1" applyFont="1" applyBorder="1" applyAlignment="1">
      <alignment horizontal="right" indent="2"/>
    </xf>
    <xf numFmtId="43" fontId="150" fillId="0" borderId="0" xfId="37747" applyFont="1" applyFill="1" applyBorder="1"/>
    <xf numFmtId="166" fontId="30" fillId="0" borderId="0" xfId="183" applyNumberFormat="1" applyFont="1" applyFill="1" applyBorder="1"/>
    <xf numFmtId="167" fontId="141" fillId="0" borderId="0" xfId="0" applyNumberFormat="1" applyFont="1"/>
    <xf numFmtId="0" fontId="90" fillId="0" borderId="0" xfId="37992" applyFont="1" applyAlignment="1"/>
    <xf numFmtId="0" fontId="120" fillId="0" borderId="0" xfId="37774"/>
    <xf numFmtId="0" fontId="9" fillId="0" borderId="0" xfId="37992" applyAlignment="1"/>
    <xf numFmtId="0" fontId="90" fillId="0" borderId="67" xfId="37992" applyFont="1" applyBorder="1" applyAlignment="1"/>
    <xf numFmtId="0" fontId="90" fillId="127" borderId="0" xfId="37992" applyFont="1" applyFill="1" applyBorder="1" applyAlignment="1">
      <alignment horizontal="center"/>
    </xf>
    <xf numFmtId="0" fontId="234" fillId="0" borderId="0" xfId="37992" applyFont="1" applyAlignment="1">
      <alignment horizontal="right"/>
    </xf>
    <xf numFmtId="0" fontId="90" fillId="99" borderId="0" xfId="37992" applyFont="1" applyFill="1" applyBorder="1" applyAlignment="1">
      <alignment horizontal="center"/>
    </xf>
    <xf numFmtId="0" fontId="9" fillId="0" borderId="0" xfId="37992" applyBorder="1" applyAlignment="1"/>
    <xf numFmtId="0" fontId="90" fillId="0" borderId="68" xfId="37992" applyFont="1" applyBorder="1" applyAlignment="1"/>
    <xf numFmtId="0" fontId="90" fillId="0" borderId="69" xfId="37992" applyFont="1" applyBorder="1" applyAlignment="1"/>
    <xf numFmtId="0" fontId="90" fillId="0" borderId="0" xfId="37992" applyFont="1" applyBorder="1" applyAlignment="1"/>
    <xf numFmtId="0" fontId="90" fillId="0" borderId="70" xfId="37992" applyFont="1" applyBorder="1" applyAlignment="1"/>
    <xf numFmtId="0" fontId="90" fillId="0" borderId="71" xfId="37992" applyFont="1" applyBorder="1" applyAlignment="1"/>
    <xf numFmtId="0" fontId="235" fillId="0" borderId="0" xfId="37992" applyFont="1" applyAlignment="1"/>
    <xf numFmtId="0" fontId="94" fillId="128" borderId="0" xfId="37992" applyFont="1" applyFill="1" applyAlignment="1">
      <alignment horizontal="center"/>
    </xf>
    <xf numFmtId="0" fontId="94" fillId="128" borderId="72" xfId="37992" applyFont="1" applyFill="1" applyBorder="1" applyAlignment="1">
      <alignment horizontal="center"/>
    </xf>
    <xf numFmtId="0" fontId="90" fillId="0" borderId="72" xfId="37992" applyFont="1" applyBorder="1" applyAlignment="1"/>
    <xf numFmtId="0" fontId="90" fillId="0" borderId="73" xfId="37992" applyFont="1" applyBorder="1" applyAlignment="1"/>
    <xf numFmtId="49" fontId="106" fillId="0" borderId="0" xfId="37992" applyNumberFormat="1" applyFont="1" applyAlignment="1">
      <alignment wrapText="1"/>
    </xf>
    <xf numFmtId="49" fontId="9" fillId="0" borderId="0" xfId="37992" applyNumberFormat="1" applyAlignment="1">
      <alignment wrapText="1"/>
    </xf>
    <xf numFmtId="0" fontId="214" fillId="0" borderId="0" xfId="37992" applyFont="1" applyAlignment="1"/>
    <xf numFmtId="0" fontId="161" fillId="0" borderId="0" xfId="37992" applyFont="1" applyAlignment="1"/>
    <xf numFmtId="0" fontId="9" fillId="0" borderId="0" xfId="37992" applyAlignment="1">
      <alignment horizontal="center" vertical="center" wrapText="1"/>
    </xf>
    <xf numFmtId="0" fontId="151" fillId="0" borderId="0" xfId="37992" applyFont="1" applyAlignment="1"/>
    <xf numFmtId="5" fontId="90" fillId="127" borderId="82" xfId="37992" applyNumberFormat="1" applyFont="1" applyFill="1" applyBorder="1" applyAlignment="1"/>
    <xf numFmtId="1" fontId="9" fillId="0" borderId="0" xfId="37992" applyNumberFormat="1" applyAlignment="1"/>
    <xf numFmtId="0" fontId="91" fillId="128" borderId="0" xfId="37992" applyFont="1" applyFill="1" applyAlignment="1">
      <alignment horizontal="center"/>
    </xf>
    <xf numFmtId="0" fontId="234" fillId="0" borderId="81" xfId="37992" applyFont="1" applyBorder="1" applyAlignment="1">
      <alignment horizontal="right" vertical="center"/>
    </xf>
    <xf numFmtId="166" fontId="90" fillId="99" borderId="82" xfId="37992" applyNumberFormat="1" applyFont="1" applyFill="1" applyBorder="1" applyAlignment="1"/>
    <xf numFmtId="0" fontId="234" fillId="0" borderId="0" xfId="37992" applyFont="1" applyAlignment="1">
      <alignment horizontal="right" vertical="center"/>
    </xf>
    <xf numFmtId="0" fontId="234" fillId="0" borderId="83" xfId="37992" applyFont="1" applyBorder="1" applyAlignment="1">
      <alignment horizontal="right" vertical="center"/>
    </xf>
    <xf numFmtId="0" fontId="161" fillId="0" borderId="0" xfId="37992" applyFont="1" applyAlignment="1">
      <alignment horizontal="left" vertical="center" wrapText="1"/>
    </xf>
    <xf numFmtId="0" fontId="36" fillId="0" borderId="0" xfId="37992" applyFont="1" applyBorder="1" applyAlignment="1">
      <alignment horizontal="right" vertical="center"/>
    </xf>
    <xf numFmtId="1" fontId="161" fillId="0" borderId="0" xfId="37992" applyNumberFormat="1" applyFont="1" applyAlignment="1"/>
    <xf numFmtId="9" fontId="161" fillId="0" borderId="0" xfId="144" applyFont="1"/>
    <xf numFmtId="164" fontId="177" fillId="0" borderId="0" xfId="144" applyNumberFormat="1" applyFont="1"/>
    <xf numFmtId="164" fontId="161" fillId="0" borderId="0" xfId="144" applyNumberFormat="1" applyFont="1"/>
    <xf numFmtId="164" fontId="169" fillId="0" borderId="0" xfId="144" applyNumberFormat="1" applyFont="1"/>
    <xf numFmtId="1" fontId="177" fillId="0" borderId="0" xfId="37992" applyNumberFormat="1" applyFont="1" applyAlignment="1"/>
    <xf numFmtId="164" fontId="177" fillId="109" borderId="0" xfId="144" applyNumberFormat="1" applyFont="1" applyFill="1"/>
    <xf numFmtId="0" fontId="36" fillId="0" borderId="0" xfId="37992" applyFont="1" applyAlignment="1">
      <alignment horizontal="right" vertical="center"/>
    </xf>
    <xf numFmtId="0" fontId="150" fillId="0" borderId="0" xfId="37992" applyFont="1" applyAlignment="1"/>
    <xf numFmtId="0" fontId="94" fillId="0" borderId="0" xfId="37992" applyFont="1" applyAlignment="1">
      <alignment horizontal="center" vertical="center" wrapText="1"/>
    </xf>
    <xf numFmtId="0" fontId="90" fillId="0" borderId="0" xfId="37992" applyFont="1" applyAlignment="1">
      <alignment vertical="center"/>
    </xf>
    <xf numFmtId="164" fontId="9" fillId="127" borderId="0" xfId="37992" applyNumberFormat="1" applyFill="1" applyAlignment="1"/>
    <xf numFmtId="0" fontId="36" fillId="0" borderId="0" xfId="37992" applyFont="1" applyAlignment="1">
      <alignment vertical="center" textRotation="90" wrapText="1"/>
    </xf>
    <xf numFmtId="164" fontId="30" fillId="0" borderId="0" xfId="0" applyNumberFormat="1" applyFont="1"/>
    <xf numFmtId="10" fontId="30" fillId="0" borderId="0" xfId="37582" applyNumberFormat="1"/>
    <xf numFmtId="0" fontId="30" fillId="0" borderId="0" xfId="37582"/>
    <xf numFmtId="9" fontId="30" fillId="0" borderId="0" xfId="37582" applyNumberFormat="1"/>
    <xf numFmtId="188" fontId="30" fillId="0" borderId="0" xfId="37582" applyNumberFormat="1"/>
    <xf numFmtId="0" fontId="30" fillId="0" borderId="0" xfId="37582" applyFill="1"/>
    <xf numFmtId="10" fontId="30" fillId="0" borderId="0" xfId="144" applyNumberFormat="1" applyFont="1" applyFill="1"/>
    <xf numFmtId="164" fontId="173" fillId="0" borderId="44" xfId="144" applyNumberFormat="1" applyFont="1" applyFill="1" applyBorder="1" applyAlignment="1">
      <alignment horizontal="right" wrapText="1" indent="1"/>
    </xf>
    <xf numFmtId="0" fontId="0" fillId="0" borderId="0" xfId="144" applyNumberFormat="1" applyFont="1" applyBorder="1" applyAlignment="1">
      <alignment horizontal="center"/>
    </xf>
    <xf numFmtId="0" fontId="161" fillId="101" borderId="12" xfId="17973" applyFont="1" applyFill="1" applyBorder="1" applyAlignment="1">
      <alignment horizontal="centerContinuous"/>
    </xf>
    <xf numFmtId="0" fontId="150" fillId="133" borderId="0" xfId="37580" applyFont="1" applyFill="1" applyBorder="1" applyAlignment="1">
      <alignment horizontal="left" indent="1"/>
    </xf>
    <xf numFmtId="0" fontId="161" fillId="133" borderId="0" xfId="37580" applyFont="1" applyFill="1" applyBorder="1"/>
    <xf numFmtId="167" fontId="150" fillId="133" borderId="0" xfId="37580" applyNumberFormat="1" applyFont="1" applyFill="1" applyBorder="1" applyAlignment="1">
      <alignment horizontal="right" wrapText="1" indent="1"/>
    </xf>
    <xf numFmtId="167" fontId="161" fillId="133" borderId="0" xfId="37580" applyNumberFormat="1" applyFont="1" applyFill="1" applyBorder="1" applyAlignment="1">
      <alignment horizontal="right" wrapText="1" indent="1"/>
    </xf>
    <xf numFmtId="168" fontId="161" fillId="133" borderId="0" xfId="37580" applyNumberFormat="1" applyFont="1" applyFill="1" applyBorder="1" applyAlignment="1">
      <alignment horizontal="right" wrapText="1" indent="1"/>
    </xf>
    <xf numFmtId="168" fontId="161" fillId="101" borderId="0" xfId="37580" applyNumberFormat="1" applyFont="1" applyFill="1" applyBorder="1" applyAlignment="1">
      <alignment horizontal="right" wrapText="1" indent="1"/>
    </xf>
    <xf numFmtId="0" fontId="238" fillId="101" borderId="0" xfId="37580" applyFont="1" applyFill="1" applyBorder="1" applyAlignment="1">
      <alignment vertical="center"/>
    </xf>
    <xf numFmtId="0" fontId="238" fillId="101" borderId="12" xfId="37580" applyFont="1" applyFill="1" applyBorder="1" applyAlignment="1">
      <alignment vertical="center"/>
    </xf>
    <xf numFmtId="168" fontId="238" fillId="101" borderId="12" xfId="37580" applyNumberFormat="1" applyFont="1" applyFill="1" applyBorder="1" applyAlignment="1">
      <alignment horizontal="right" vertical="center" wrapText="1"/>
    </xf>
    <xf numFmtId="0" fontId="150" fillId="101" borderId="11" xfId="17973" applyFont="1" applyFill="1" applyBorder="1"/>
    <xf numFmtId="0" fontId="150" fillId="101" borderId="0" xfId="17973" applyFont="1" applyFill="1" applyBorder="1" applyAlignment="1">
      <alignment horizontal="center"/>
    </xf>
    <xf numFmtId="0" fontId="150" fillId="101" borderId="0" xfId="17973" applyFont="1" applyFill="1" applyBorder="1"/>
    <xf numFmtId="0" fontId="161" fillId="101" borderId="0" xfId="17973" applyFont="1" applyFill="1" applyAlignment="1">
      <alignment horizontal="left"/>
    </xf>
    <xf numFmtId="3" fontId="150" fillId="0" borderId="0" xfId="37580" applyNumberFormat="1" applyFont="1" applyFill="1" applyAlignment="1">
      <alignment horizontal="center"/>
    </xf>
    <xf numFmtId="167" fontId="150" fillId="103" borderId="0" xfId="37579" applyNumberFormat="1" applyFont="1" applyFill="1" applyBorder="1" applyAlignment="1">
      <alignment horizontal="center" wrapText="1"/>
    </xf>
    <xf numFmtId="167" fontId="150" fillId="111" borderId="0" xfId="37579" applyNumberFormat="1" applyFont="1" applyFill="1" applyBorder="1" applyAlignment="1">
      <alignment horizontal="center" wrapText="1"/>
    </xf>
    <xf numFmtId="167" fontId="57" fillId="30" borderId="0" xfId="131" applyNumberFormat="1" applyFill="1"/>
    <xf numFmtId="0" fontId="30" fillId="30" borderId="0" xfId="131" applyFont="1" applyFill="1"/>
    <xf numFmtId="9" fontId="69" fillId="30" borderId="0" xfId="144" applyFont="1" applyFill="1"/>
    <xf numFmtId="9" fontId="69" fillId="30" borderId="0" xfId="131" applyNumberFormat="1" applyFont="1" applyFill="1"/>
    <xf numFmtId="3" fontId="150" fillId="101" borderId="0" xfId="37578" applyNumberFormat="1" applyFont="1" applyFill="1"/>
    <xf numFmtId="9" fontId="30" fillId="101" borderId="0" xfId="131" applyNumberFormat="1" applyFont="1" applyFill="1"/>
    <xf numFmtId="168" fontId="69" fillId="30" borderId="0" xfId="131" applyNumberFormat="1" applyFont="1" applyFill="1"/>
    <xf numFmtId="164" fontId="30" fillId="0" borderId="0" xfId="144" applyNumberFormat="1" applyFont="1" applyFill="1" applyBorder="1"/>
    <xf numFmtId="3" fontId="150" fillId="101" borderId="0" xfId="17973" quotePrefix="1" applyNumberFormat="1" applyFont="1" applyFill="1"/>
    <xf numFmtId="168" fontId="150" fillId="101" borderId="0" xfId="17973" applyNumberFormat="1" applyFont="1" applyFill="1"/>
    <xf numFmtId="172" fontId="30" fillId="101" borderId="0" xfId="131" applyNumberFormat="1" applyFont="1" applyFill="1"/>
    <xf numFmtId="0" fontId="161" fillId="133" borderId="0" xfId="37580" applyFont="1" applyFill="1" applyBorder="1" applyAlignment="1">
      <alignment horizontal="left"/>
    </xf>
    <xf numFmtId="0" fontId="150" fillId="99" borderId="0" xfId="37580" quotePrefix="1" applyFont="1" applyFill="1"/>
    <xf numFmtId="0" fontId="150" fillId="99" borderId="0" xfId="37580" applyFont="1" applyFill="1"/>
    <xf numFmtId="0" fontId="150" fillId="99" borderId="0" xfId="37580" applyFont="1" applyFill="1" applyAlignment="1">
      <alignment horizontal="center"/>
    </xf>
    <xf numFmtId="167" fontId="150" fillId="99" borderId="0" xfId="37580" applyNumberFormat="1" applyFont="1" applyFill="1" applyAlignment="1">
      <alignment horizontal="center"/>
    </xf>
    <xf numFmtId="167" fontId="150" fillId="99" borderId="0" xfId="37580" applyNumberFormat="1" applyFont="1" applyFill="1"/>
    <xf numFmtId="168" fontId="150" fillId="99" borderId="0" xfId="37580" applyNumberFormat="1" applyFont="1" applyFill="1"/>
    <xf numFmtId="0" fontId="174" fillId="101" borderId="0" xfId="37580" applyFont="1" applyFill="1"/>
    <xf numFmtId="0" fontId="161" fillId="111" borderId="0" xfId="37578" applyFont="1" applyFill="1" applyBorder="1" applyAlignment="1">
      <alignment horizontal="left"/>
    </xf>
    <xf numFmtId="0" fontId="161" fillId="101" borderId="0" xfId="37578" applyFont="1" applyFill="1" applyBorder="1" applyAlignment="1">
      <alignment horizontal="left"/>
    </xf>
    <xf numFmtId="166" fontId="161" fillId="111" borderId="0" xfId="37579" applyNumberFormat="1" applyFont="1" applyFill="1" applyBorder="1" applyAlignment="1">
      <alignment horizontal="right" wrapText="1" indent="1"/>
    </xf>
    <xf numFmtId="166" fontId="161" fillId="101" borderId="0" xfId="37579" applyNumberFormat="1" applyFont="1" applyFill="1" applyBorder="1" applyAlignment="1">
      <alignment horizontal="right" wrapText="1" indent="1"/>
    </xf>
    <xf numFmtId="0" fontId="161" fillId="0" borderId="25" xfId="17973" applyFont="1" applyFill="1" applyBorder="1" applyAlignment="1">
      <alignment horizontal="center" wrapText="1"/>
    </xf>
    <xf numFmtId="10" fontId="147" fillId="0" borderId="0" xfId="0" applyNumberFormat="1" applyFont="1" applyFill="1"/>
    <xf numFmtId="0" fontId="147" fillId="0" borderId="0" xfId="0" applyFont="1" applyFill="1"/>
    <xf numFmtId="0" fontId="150" fillId="0" borderId="0" xfId="17973" applyFont="1" applyFill="1" applyAlignment="1">
      <alignment horizontal="center"/>
    </xf>
    <xf numFmtId="0" fontId="161" fillId="0" borderId="0" xfId="17973" applyFont="1" applyFill="1" applyAlignment="1">
      <alignment horizontal="center"/>
    </xf>
    <xf numFmtId="164" fontId="173" fillId="0" borderId="0" xfId="144" applyNumberFormat="1" applyFont="1" applyFill="1" applyBorder="1" applyAlignment="1">
      <alignment horizontal="right" wrapText="1" indent="1"/>
    </xf>
    <xf numFmtId="164" fontId="169" fillId="0" borderId="0" xfId="144" applyNumberFormat="1" applyFont="1" applyFill="1" applyBorder="1" applyAlignment="1">
      <alignment horizontal="center"/>
    </xf>
    <xf numFmtId="1" fontId="169" fillId="0" borderId="0" xfId="144" applyNumberFormat="1" applyFont="1" applyFill="1" applyBorder="1" applyAlignment="1">
      <alignment horizontal="center"/>
    </xf>
    <xf numFmtId="0" fontId="168" fillId="0" borderId="27" xfId="17973" applyFont="1" applyFill="1" applyBorder="1" applyAlignment="1">
      <alignment horizontal="center" wrapText="1"/>
    </xf>
    <xf numFmtId="0" fontId="161" fillId="0" borderId="22" xfId="37578" applyFont="1" applyFill="1" applyBorder="1"/>
    <xf numFmtId="174" fontId="150" fillId="0" borderId="22" xfId="37747" applyNumberFormat="1" applyFont="1" applyFill="1" applyBorder="1" applyAlignment="1">
      <alignment horizontal="left" indent="2"/>
    </xf>
    <xf numFmtId="174" fontId="161" fillId="0" borderId="22" xfId="37747" applyNumberFormat="1" applyFont="1" applyFill="1" applyBorder="1" applyAlignment="1">
      <alignment horizontal="left" indent="2"/>
    </xf>
    <xf numFmtId="3" fontId="173" fillId="0" borderId="22" xfId="37579" applyNumberFormat="1" applyFont="1" applyFill="1" applyBorder="1" applyAlignment="1">
      <alignment horizontal="right" wrapText="1" indent="1"/>
    </xf>
    <xf numFmtId="3" fontId="163" fillId="0" borderId="22" xfId="37579" applyNumberFormat="1" applyFont="1" applyFill="1" applyBorder="1" applyAlignment="1">
      <alignment horizontal="right" wrapText="1" indent="1"/>
    </xf>
    <xf numFmtId="0" fontId="150" fillId="0" borderId="22" xfId="17973" applyFont="1" applyFill="1" applyBorder="1"/>
    <xf numFmtId="3" fontId="177" fillId="0" borderId="22" xfId="37578" applyNumberFormat="1" applyFont="1" applyFill="1" applyBorder="1" applyAlignment="1">
      <alignment horizontal="right" wrapText="1" indent="1"/>
    </xf>
    <xf numFmtId="3" fontId="173" fillId="0" borderId="49" xfId="37578" applyNumberFormat="1" applyFont="1" applyFill="1" applyBorder="1" applyAlignment="1">
      <alignment horizontal="right" wrapText="1" indent="1"/>
    </xf>
    <xf numFmtId="14" fontId="150" fillId="101" borderId="0" xfId="37949" applyNumberFormat="1" applyFont="1" applyFill="1" applyAlignment="1">
      <alignment horizontal="left" indent="1"/>
    </xf>
    <xf numFmtId="0" fontId="150" fillId="101" borderId="0" xfId="37949" applyFont="1" applyFill="1" applyAlignment="1">
      <alignment horizontal="center"/>
    </xf>
    <xf numFmtId="0" fontId="150" fillId="101" borderId="0" xfId="37949" applyFont="1" applyFill="1" applyAlignment="1">
      <alignment horizontal="right" indent="1"/>
    </xf>
    <xf numFmtId="165" fontId="150" fillId="101" borderId="0" xfId="37949" applyNumberFormat="1" applyFont="1" applyFill="1" applyAlignment="1">
      <alignment horizontal="right" indent="2"/>
    </xf>
    <xf numFmtId="166" fontId="150" fillId="101" borderId="0" xfId="37949" applyNumberFormat="1" applyFont="1" applyFill="1" applyAlignment="1">
      <alignment horizontal="right"/>
    </xf>
    <xf numFmtId="166" fontId="150" fillId="101" borderId="0" xfId="37949" applyNumberFormat="1" applyFont="1" applyFill="1" applyAlignment="1">
      <alignment horizontal="right" indent="3"/>
    </xf>
    <xf numFmtId="166" fontId="150" fillId="101" borderId="0" xfId="37949" applyNumberFormat="1" applyFont="1" applyFill="1" applyAlignment="1">
      <alignment horizontal="right" indent="2"/>
    </xf>
    <xf numFmtId="0" fontId="150" fillId="101" borderId="0" xfId="37949" applyFont="1" applyFill="1" applyAlignment="1">
      <alignment horizontal="right"/>
    </xf>
    <xf numFmtId="167" fontId="150" fillId="101" borderId="0" xfId="37949" applyNumberFormat="1" applyFont="1" applyFill="1" applyAlignment="1">
      <alignment horizontal="right"/>
    </xf>
    <xf numFmtId="167" fontId="150" fillId="101" borderId="0" xfId="37949" applyNumberFormat="1" applyFont="1" applyFill="1" applyAlignment="1">
      <alignment horizontal="center"/>
    </xf>
    <xf numFmtId="167" fontId="145" fillId="101" borderId="0" xfId="0" applyNumberFormat="1" applyFont="1" applyFill="1" applyAlignment="1">
      <alignment horizontal="right" indent="4"/>
    </xf>
    <xf numFmtId="0" fontId="21" fillId="101" borderId="0" xfId="37949" applyFont="1" applyFill="1" applyAlignment="1">
      <alignment horizontal="left" indent="1"/>
    </xf>
    <xf numFmtId="0" fontId="21" fillId="101" borderId="0" xfId="37949" applyFont="1" applyFill="1" applyBorder="1" applyAlignment="1">
      <alignment horizontal="center"/>
    </xf>
    <xf numFmtId="0" fontId="150" fillId="101" borderId="0" xfId="37949" applyFont="1" applyFill="1" applyBorder="1" applyAlignment="1">
      <alignment horizontal="center"/>
    </xf>
    <xf numFmtId="0" fontId="150" fillId="101" borderId="0" xfId="37949" applyFont="1" applyFill="1" applyBorder="1" applyAlignment="1">
      <alignment horizontal="right"/>
    </xf>
    <xf numFmtId="0" fontId="150" fillId="101" borderId="0" xfId="37949" applyFont="1" applyFill="1" applyBorder="1" applyAlignment="1">
      <alignment horizontal="right" indent="2"/>
    </xf>
    <xf numFmtId="4" fontId="150" fillId="101" borderId="0" xfId="37949" applyNumberFormat="1" applyFont="1" applyFill="1" applyBorder="1" applyAlignment="1">
      <alignment horizontal="right"/>
    </xf>
    <xf numFmtId="167" fontId="150" fillId="101" borderId="0" xfId="37949" applyNumberFormat="1" applyFont="1" applyFill="1" applyAlignment="1">
      <alignment horizontal="right" indent="2"/>
    </xf>
    <xf numFmtId="168" fontId="150" fillId="101" borderId="0" xfId="37949" applyNumberFormat="1" applyFont="1" applyFill="1" applyBorder="1" applyAlignment="1">
      <alignment horizontal="right"/>
    </xf>
    <xf numFmtId="3" fontId="229" fillId="105" borderId="0" xfId="37578" applyNumberFormat="1" applyFont="1" applyFill="1" applyBorder="1" applyAlignment="1">
      <alignment horizontal="center" wrapText="1"/>
    </xf>
    <xf numFmtId="1" fontId="175" fillId="0" borderId="0" xfId="37579" applyNumberFormat="1" applyFont="1" applyFill="1" applyBorder="1" applyAlignment="1">
      <alignment horizontal="center" wrapText="1"/>
    </xf>
    <xf numFmtId="1" fontId="175" fillId="0" borderId="22" xfId="37579" applyNumberFormat="1" applyFont="1" applyFill="1" applyBorder="1" applyAlignment="1">
      <alignment horizontal="center" wrapText="1"/>
    </xf>
    <xf numFmtId="3" fontId="229" fillId="105" borderId="22" xfId="37578" applyNumberFormat="1" applyFont="1" applyFill="1" applyBorder="1" applyAlignment="1">
      <alignment horizontal="center" wrapText="1"/>
    </xf>
    <xf numFmtId="10" fontId="175" fillId="0" borderId="49" xfId="37579" applyNumberFormat="1" applyFont="1" applyFill="1" applyBorder="1" applyAlignment="1">
      <alignment horizontal="center" wrapText="1"/>
    </xf>
    <xf numFmtId="164" fontId="150" fillId="0" borderId="0" xfId="17973" applyNumberFormat="1" applyFont="1" applyFill="1" applyBorder="1" applyAlignment="1">
      <alignment horizontal="left" wrapText="1"/>
    </xf>
    <xf numFmtId="0" fontId="163" fillId="0" borderId="0" xfId="17973" applyFont="1" applyBorder="1"/>
    <xf numFmtId="9" fontId="228" fillId="32" borderId="22" xfId="37811" applyFont="1" applyFill="1" applyBorder="1" applyAlignment="1">
      <alignment horizontal="center"/>
    </xf>
    <xf numFmtId="168" fontId="218" fillId="32" borderId="22" xfId="17973" applyNumberFormat="1" applyFont="1" applyFill="1" applyBorder="1" applyAlignment="1">
      <alignment horizontal="center"/>
    </xf>
    <xf numFmtId="167" fontId="219" fillId="32" borderId="22" xfId="17973" applyNumberFormat="1" applyFont="1" applyFill="1" applyBorder="1" applyAlignment="1">
      <alignment horizontal="center"/>
    </xf>
    <xf numFmtId="167" fontId="162" fillId="32" borderId="22" xfId="17973" applyNumberFormat="1" applyFont="1" applyFill="1" applyBorder="1" applyAlignment="1">
      <alignment horizontal="center"/>
    </xf>
    <xf numFmtId="166" fontId="170" fillId="32" borderId="22" xfId="17973" applyNumberFormat="1" applyFont="1" applyFill="1" applyBorder="1" applyAlignment="1">
      <alignment horizontal="center"/>
    </xf>
    <xf numFmtId="10" fontId="175" fillId="32" borderId="22" xfId="37811" applyNumberFormat="1" applyFont="1" applyFill="1" applyBorder="1" applyAlignment="1">
      <alignment horizontal="center"/>
    </xf>
    <xf numFmtId="10" fontId="170" fillId="32" borderId="22" xfId="37811" applyNumberFormat="1" applyFont="1" applyFill="1" applyBorder="1" applyAlignment="1">
      <alignment horizontal="center"/>
    </xf>
    <xf numFmtId="0" fontId="150" fillId="0" borderId="22" xfId="37578" applyFont="1" applyBorder="1"/>
    <xf numFmtId="0" fontId="161" fillId="0" borderId="22" xfId="37578" applyFont="1" applyFill="1" applyBorder="1" applyAlignment="1">
      <alignment vertical="center"/>
    </xf>
    <xf numFmtId="0" fontId="150" fillId="0" borderId="22" xfId="37578" applyFont="1" applyFill="1" applyBorder="1" applyAlignment="1">
      <alignment vertical="center"/>
    </xf>
    <xf numFmtId="0" fontId="150" fillId="0" borderId="24" xfId="37578" applyFont="1" applyFill="1" applyBorder="1" applyAlignment="1">
      <alignment vertical="center"/>
    </xf>
    <xf numFmtId="0" fontId="182" fillId="108" borderId="22" xfId="37578" applyFont="1" applyFill="1" applyBorder="1"/>
    <xf numFmtId="0" fontId="161" fillId="0" borderId="22" xfId="37578" applyFont="1" applyBorder="1"/>
    <xf numFmtId="0" fontId="150" fillId="0" borderId="22" xfId="37578" applyFont="1" applyFill="1" applyBorder="1" applyAlignment="1">
      <alignment horizontal="left" indent="1"/>
    </xf>
    <xf numFmtId="0" fontId="150" fillId="107" borderId="22" xfId="37578" applyFont="1" applyFill="1" applyBorder="1" applyAlignment="1">
      <alignment horizontal="left" indent="2"/>
    </xf>
    <xf numFmtId="0" fontId="150" fillId="105" borderId="22" xfId="37578" applyFont="1" applyFill="1" applyBorder="1" applyAlignment="1">
      <alignment horizontal="left" indent="2"/>
    </xf>
    <xf numFmtId="0" fontId="150" fillId="0" borderId="22" xfId="37578" applyFont="1" applyFill="1" applyBorder="1" applyAlignment="1">
      <alignment horizontal="left" indent="2"/>
    </xf>
    <xf numFmtId="0" fontId="150" fillId="0" borderId="24" xfId="37578" applyFont="1" applyFill="1" applyBorder="1"/>
    <xf numFmtId="0" fontId="182" fillId="0" borderId="22" xfId="37578" applyFont="1" applyFill="1" applyBorder="1"/>
    <xf numFmtId="0" fontId="160" fillId="0" borderId="22" xfId="37578" applyFont="1" applyBorder="1"/>
    <xf numFmtId="0" fontId="161" fillId="0" borderId="21" xfId="37578" applyFont="1" applyBorder="1"/>
    <xf numFmtId="3" fontId="221" fillId="107" borderId="22" xfId="37579" applyNumberFormat="1" applyFont="1" applyFill="1" applyBorder="1" applyAlignment="1">
      <alignment horizontal="right" vertical="center" wrapText="1"/>
    </xf>
    <xf numFmtId="3" fontId="218" fillId="32" borderId="22" xfId="17973" applyNumberFormat="1" applyFont="1" applyFill="1" applyBorder="1" applyAlignment="1">
      <alignment horizontal="right" indent="1"/>
    </xf>
    <xf numFmtId="0" fontId="0" fillId="0" borderId="44" xfId="0" applyBorder="1"/>
    <xf numFmtId="9" fontId="175" fillId="32" borderId="0" xfId="37811" applyFont="1" applyFill="1" applyBorder="1" applyAlignment="1">
      <alignment horizontal="center"/>
    </xf>
    <xf numFmtId="0" fontId="161" fillId="0" borderId="67" xfId="17973" applyFont="1" applyFill="1" applyBorder="1" applyAlignment="1">
      <alignment horizontal="center" vertical="center" wrapText="1"/>
    </xf>
    <xf numFmtId="175" fontId="221" fillId="107" borderId="22" xfId="37580" applyNumberFormat="1" applyFont="1" applyFill="1" applyBorder="1" applyAlignment="1">
      <alignment horizontal="center" wrapText="1"/>
    </xf>
    <xf numFmtId="164" fontId="221" fillId="107" borderId="22" xfId="144" applyNumberFormat="1" applyFont="1" applyFill="1" applyBorder="1" applyAlignment="1">
      <alignment horizontal="center" vertical="center" wrapText="1"/>
    </xf>
    <xf numFmtId="9" fontId="221" fillId="107" borderId="22" xfId="144" applyNumberFormat="1" applyFont="1" applyFill="1" applyBorder="1" applyAlignment="1">
      <alignment horizontal="center" vertical="center" wrapText="1"/>
    </xf>
    <xf numFmtId="9" fontId="175" fillId="32" borderId="22" xfId="37811" applyFont="1" applyFill="1" applyBorder="1" applyAlignment="1">
      <alignment horizontal="center"/>
    </xf>
    <xf numFmtId="168" fontId="221" fillId="32" borderId="22" xfId="17973" applyNumberFormat="1" applyFont="1" applyFill="1" applyBorder="1" applyAlignment="1">
      <alignment horizontal="center"/>
    </xf>
    <xf numFmtId="167" fontId="221" fillId="32" borderId="22" xfId="17973" applyNumberFormat="1" applyFont="1" applyFill="1" applyBorder="1" applyAlignment="1">
      <alignment horizontal="center"/>
    </xf>
    <xf numFmtId="165" fontId="221" fillId="32" borderId="22" xfId="17973" applyNumberFormat="1" applyFont="1" applyFill="1" applyBorder="1" applyAlignment="1">
      <alignment horizontal="center"/>
    </xf>
    <xf numFmtId="166" fontId="221" fillId="32" borderId="22" xfId="17973" applyNumberFormat="1" applyFont="1" applyFill="1" applyBorder="1" applyAlignment="1">
      <alignment horizontal="center"/>
    </xf>
    <xf numFmtId="164" fontId="221" fillId="107" borderId="22" xfId="37583" applyNumberFormat="1" applyFont="1" applyFill="1" applyBorder="1" applyAlignment="1">
      <alignment horizontal="center"/>
    </xf>
    <xf numFmtId="167" fontId="218" fillId="32" borderId="22" xfId="17973" applyNumberFormat="1" applyFont="1" applyFill="1" applyBorder="1" applyAlignment="1">
      <alignment horizontal="center"/>
    </xf>
    <xf numFmtId="165" fontId="150" fillId="32" borderId="22" xfId="17973" applyNumberFormat="1" applyFont="1" applyFill="1" applyBorder="1" applyAlignment="1">
      <alignment horizontal="center"/>
    </xf>
    <xf numFmtId="166" fontId="219" fillId="32" borderId="22" xfId="17973" applyNumberFormat="1" applyFont="1" applyFill="1" applyBorder="1" applyAlignment="1">
      <alignment horizontal="center"/>
    </xf>
    <xf numFmtId="10" fontId="219" fillId="32" borderId="22" xfId="37811" applyNumberFormat="1" applyFont="1" applyFill="1" applyBorder="1" applyAlignment="1">
      <alignment horizontal="center"/>
    </xf>
    <xf numFmtId="3" fontId="162" fillId="32" borderId="22" xfId="4288" applyNumberFormat="1" applyFont="1" applyFill="1" applyBorder="1" applyAlignment="1">
      <alignment horizontal="center"/>
    </xf>
    <xf numFmtId="3" fontId="150" fillId="32" borderId="22" xfId="4288" applyNumberFormat="1" applyFont="1" applyFill="1" applyBorder="1" applyAlignment="1">
      <alignment horizontal="center"/>
    </xf>
    <xf numFmtId="9" fontId="150" fillId="32" borderId="22" xfId="37811" applyNumberFormat="1" applyFont="1" applyFill="1" applyBorder="1" applyAlignment="1">
      <alignment horizontal="center"/>
    </xf>
    <xf numFmtId="37" fontId="150" fillId="32" borderId="22" xfId="4288" applyNumberFormat="1" applyFont="1" applyFill="1" applyBorder="1" applyAlignment="1">
      <alignment horizontal="center"/>
    </xf>
    <xf numFmtId="3" fontId="162" fillId="32" borderId="22" xfId="37578" applyNumberFormat="1" applyFont="1" applyFill="1" applyBorder="1" applyAlignment="1">
      <alignment horizontal="center"/>
    </xf>
    <xf numFmtId="2" fontId="162" fillId="32" borderId="22" xfId="37578" applyNumberFormat="1" applyFont="1" applyFill="1" applyBorder="1" applyAlignment="1">
      <alignment horizontal="center"/>
    </xf>
    <xf numFmtId="164" fontId="150" fillId="0" borderId="25" xfId="37811" applyNumberFormat="1" applyFont="1" applyFill="1" applyBorder="1" applyAlignment="1">
      <alignment horizontal="center"/>
    </xf>
    <xf numFmtId="0" fontId="183" fillId="108" borderId="44" xfId="17973" applyFont="1" applyFill="1" applyBorder="1"/>
    <xf numFmtId="0" fontId="182" fillId="108" borderId="44" xfId="37578" applyFont="1" applyFill="1" applyBorder="1"/>
    <xf numFmtId="9" fontId="150" fillId="107" borderId="44" xfId="37811" applyFont="1" applyFill="1" applyBorder="1" applyAlignment="1">
      <alignment horizontal="center" vertical="center"/>
    </xf>
    <xf numFmtId="9" fontId="175" fillId="32" borderId="44" xfId="37811" applyFont="1" applyFill="1" applyBorder="1" applyAlignment="1">
      <alignment horizontal="center"/>
    </xf>
    <xf numFmtId="168" fontId="162" fillId="32" borderId="44" xfId="17973" applyNumberFormat="1" applyFont="1" applyFill="1" applyBorder="1" applyAlignment="1">
      <alignment horizontal="center"/>
    </xf>
    <xf numFmtId="167" fontId="163" fillId="32" borderId="44" xfId="17973" applyNumberFormat="1" applyFont="1" applyFill="1" applyBorder="1" applyAlignment="1">
      <alignment horizontal="center"/>
    </xf>
    <xf numFmtId="167" fontId="162" fillId="32" borderId="44" xfId="17973" applyNumberFormat="1" applyFont="1" applyFill="1" applyBorder="1" applyAlignment="1">
      <alignment horizontal="center"/>
    </xf>
    <xf numFmtId="168" fontId="163" fillId="32" borderId="44" xfId="17973" applyNumberFormat="1" applyFont="1" applyFill="1" applyBorder="1" applyAlignment="1">
      <alignment horizontal="center"/>
    </xf>
    <xf numFmtId="165" fontId="175" fillId="32" borderId="44" xfId="17973" applyNumberFormat="1" applyFont="1" applyFill="1" applyBorder="1" applyAlignment="1">
      <alignment horizontal="center"/>
    </xf>
    <xf numFmtId="166" fontId="170" fillId="32" borderId="44" xfId="17973" applyNumberFormat="1" applyFont="1" applyFill="1" applyBorder="1" applyAlignment="1">
      <alignment horizontal="center"/>
    </xf>
    <xf numFmtId="3" fontId="150" fillId="107" borderId="44" xfId="17973" applyNumberFormat="1" applyFont="1" applyFill="1" applyBorder="1" applyAlignment="1">
      <alignment horizontal="center"/>
    </xf>
    <xf numFmtId="10" fontId="170" fillId="32" borderId="44" xfId="37811" applyNumberFormat="1" applyFont="1" applyFill="1" applyBorder="1" applyAlignment="1">
      <alignment horizontal="center"/>
    </xf>
    <xf numFmtId="168" fontId="221" fillId="32" borderId="44" xfId="37578" applyNumberFormat="1" applyFont="1" applyFill="1" applyBorder="1" applyAlignment="1">
      <alignment horizontal="center"/>
    </xf>
    <xf numFmtId="3" fontId="10" fillId="32" borderId="44" xfId="37578" applyNumberFormat="1" applyFont="1" applyFill="1" applyBorder="1" applyAlignment="1">
      <alignment horizontal="center"/>
    </xf>
    <xf numFmtId="0" fontId="175" fillId="32" borderId="44" xfId="37582" applyFont="1" applyFill="1" applyBorder="1" applyAlignment="1">
      <alignment horizontal="center"/>
    </xf>
    <xf numFmtId="164" fontId="150" fillId="0" borderId="44" xfId="37811" applyNumberFormat="1" applyFont="1" applyFill="1" applyBorder="1" applyAlignment="1">
      <alignment horizontal="center"/>
    </xf>
    <xf numFmtId="10" fontId="10" fillId="107" borderId="44" xfId="37811" applyNumberFormat="1" applyFont="1" applyFill="1" applyBorder="1" applyAlignment="1">
      <alignment horizontal="center" wrapText="1"/>
    </xf>
    <xf numFmtId="168" fontId="162" fillId="32" borderId="22" xfId="17973" applyNumberFormat="1" applyFont="1" applyFill="1" applyBorder="1" applyAlignment="1">
      <alignment horizontal="center"/>
    </xf>
    <xf numFmtId="168" fontId="163" fillId="32" borderId="22" xfId="17973" applyNumberFormat="1" applyFont="1" applyFill="1" applyBorder="1" applyAlignment="1">
      <alignment horizontal="center"/>
    </xf>
    <xf numFmtId="165" fontId="175" fillId="32" borderId="22" xfId="17973" applyNumberFormat="1" applyFont="1" applyFill="1" applyBorder="1" applyAlignment="1">
      <alignment horizontal="center"/>
    </xf>
    <xf numFmtId="3" fontId="10" fillId="32" borderId="22" xfId="37578" applyNumberFormat="1" applyFont="1" applyFill="1" applyBorder="1" applyAlignment="1">
      <alignment horizontal="center"/>
    </xf>
    <xf numFmtId="0" fontId="150" fillId="0" borderId="46" xfId="17973" applyFont="1" applyBorder="1"/>
    <xf numFmtId="166" fontId="163" fillId="32" borderId="22" xfId="17973" applyNumberFormat="1" applyFont="1" applyFill="1" applyBorder="1" applyAlignment="1">
      <alignment horizontal="center"/>
    </xf>
    <xf numFmtId="10" fontId="163" fillId="32" borderId="22" xfId="37811" applyNumberFormat="1" applyFont="1" applyFill="1" applyBorder="1" applyAlignment="1">
      <alignment horizontal="center"/>
    </xf>
    <xf numFmtId="0" fontId="161" fillId="0" borderId="49" xfId="17973" applyFont="1" applyFill="1" applyBorder="1" applyAlignment="1">
      <alignment horizontal="center" wrapText="1"/>
    </xf>
    <xf numFmtId="0" fontId="161" fillId="0" borderId="44" xfId="17973" applyFont="1" applyBorder="1" applyAlignment="1">
      <alignment horizontal="left" vertical="center"/>
    </xf>
    <xf numFmtId="0" fontId="150" fillId="0" borderId="25" xfId="17973" applyFont="1" applyBorder="1"/>
    <xf numFmtId="0" fontId="150" fillId="107" borderId="44" xfId="37580" applyFont="1" applyFill="1" applyBorder="1" applyAlignment="1">
      <alignment horizontal="left" indent="1"/>
    </xf>
    <xf numFmtId="0" fontId="150" fillId="107" borderId="44" xfId="37580" applyFont="1" applyFill="1" applyBorder="1" applyAlignment="1">
      <alignment horizontal="left" wrapText="1" indent="1"/>
    </xf>
    <xf numFmtId="0" fontId="150" fillId="0" borderId="25" xfId="37580" applyFont="1" applyFill="1" applyBorder="1" applyAlignment="1">
      <alignment horizontal="left" wrapText="1" indent="1"/>
    </xf>
    <xf numFmtId="0" fontId="150" fillId="0" borderId="44" xfId="37580" applyFont="1" applyFill="1" applyBorder="1" applyAlignment="1">
      <alignment horizontal="left" wrapText="1" indent="1"/>
    </xf>
    <xf numFmtId="0" fontId="150" fillId="107" borderId="44" xfId="37578" applyFont="1" applyFill="1" applyBorder="1" applyAlignment="1">
      <alignment horizontal="left" indent="1"/>
    </xf>
    <xf numFmtId="0" fontId="150" fillId="107" borderId="44" xfId="17973" applyFont="1" applyFill="1" applyBorder="1" applyAlignment="1">
      <alignment horizontal="left" vertical="top" wrapText="1" indent="1"/>
    </xf>
    <xf numFmtId="0" fontId="150" fillId="107" borderId="44" xfId="17973" applyFont="1" applyFill="1" applyBorder="1" applyAlignment="1">
      <alignment horizontal="left" vertical="top" wrapText="1"/>
    </xf>
    <xf numFmtId="0" fontId="150" fillId="32" borderId="44" xfId="17973" applyFont="1" applyFill="1" applyBorder="1" applyAlignment="1">
      <alignment horizontal="left" vertical="top" wrapText="1" indent="1"/>
    </xf>
    <xf numFmtId="0" fontId="150" fillId="32" borderId="44" xfId="17973" applyFont="1" applyFill="1" applyBorder="1" applyAlignment="1">
      <alignment horizontal="left" indent="1"/>
    </xf>
    <xf numFmtId="0" fontId="150" fillId="32" borderId="44" xfId="17973" applyFont="1" applyFill="1" applyBorder="1" applyAlignment="1">
      <alignment horizontal="left" vertical="center" wrapText="1" indent="2"/>
    </xf>
    <xf numFmtId="0" fontId="150" fillId="32" borderId="44" xfId="17973" applyFont="1" applyFill="1" applyBorder="1" applyAlignment="1">
      <alignment horizontal="left" vertical="top" wrapText="1" indent="2"/>
    </xf>
    <xf numFmtId="0" fontId="150" fillId="107" borderId="44" xfId="17973" applyFont="1" applyFill="1" applyBorder="1" applyAlignment="1">
      <alignment horizontal="left" vertical="center" wrapText="1" indent="2"/>
    </xf>
    <xf numFmtId="0" fontId="150" fillId="32" borderId="44" xfId="37578" applyFont="1" applyFill="1" applyBorder="1" applyAlignment="1">
      <alignment horizontal="left" indent="1"/>
    </xf>
    <xf numFmtId="0" fontId="150" fillId="32" borderId="44" xfId="37578" applyFont="1" applyFill="1" applyBorder="1" applyAlignment="1">
      <alignment horizontal="left" indent="2"/>
    </xf>
    <xf numFmtId="0" fontId="150" fillId="0" borderId="25" xfId="17973" applyFont="1" applyBorder="1" applyAlignment="1">
      <alignment horizontal="left" indent="1"/>
    </xf>
    <xf numFmtId="0" fontId="150" fillId="0" borderId="44" xfId="17973" applyFont="1" applyBorder="1" applyAlignment="1">
      <alignment horizontal="left" indent="1"/>
    </xf>
    <xf numFmtId="0" fontId="150" fillId="107" borderId="44" xfId="37580" applyFont="1" applyFill="1" applyBorder="1" applyAlignment="1">
      <alignment horizontal="left" vertical="center" wrapText="1" indent="1"/>
    </xf>
    <xf numFmtId="0" fontId="161" fillId="0" borderId="46" xfId="17973" applyFont="1" applyBorder="1"/>
    <xf numFmtId="3" fontId="175" fillId="105" borderId="22" xfId="37580" applyNumberFormat="1" applyFont="1" applyFill="1" applyBorder="1" applyAlignment="1">
      <alignment horizontal="right" wrapText="1" indent="1"/>
    </xf>
    <xf numFmtId="0" fontId="175" fillId="108" borderId="0" xfId="17973" applyFont="1" applyFill="1" applyBorder="1"/>
    <xf numFmtId="0" fontId="175" fillId="108" borderId="22" xfId="17973" applyFont="1" applyFill="1" applyBorder="1"/>
    <xf numFmtId="3" fontId="221" fillId="107" borderId="44" xfId="37579" applyNumberFormat="1" applyFont="1" applyFill="1" applyBorder="1" applyAlignment="1">
      <alignment horizontal="right" vertical="center" wrapText="1"/>
    </xf>
    <xf numFmtId="0" fontId="211" fillId="108" borderId="44" xfId="37578" applyFont="1" applyFill="1" applyBorder="1"/>
    <xf numFmtId="4" fontId="221" fillId="107" borderId="44" xfId="37579" applyNumberFormat="1" applyFont="1" applyFill="1" applyBorder="1" applyAlignment="1">
      <alignment horizontal="right" vertical="center" wrapText="1"/>
    </xf>
    <xf numFmtId="4" fontId="221" fillId="107" borderId="22" xfId="37579" applyNumberFormat="1" applyFont="1" applyFill="1" applyBorder="1" applyAlignment="1">
      <alignment horizontal="right" vertical="center" wrapText="1"/>
    </xf>
    <xf numFmtId="4" fontId="175" fillId="107" borderId="44" xfId="37580" applyNumberFormat="1" applyFont="1" applyFill="1" applyBorder="1" applyAlignment="1">
      <alignment horizontal="right" indent="1"/>
    </xf>
    <xf numFmtId="164" fontId="86" fillId="0" borderId="0" xfId="144" applyNumberFormat="1" applyFont="1" applyFill="1" applyAlignment="1">
      <alignment horizontal="right"/>
    </xf>
    <xf numFmtId="168" fontId="150" fillId="101" borderId="0" xfId="37580" applyNumberFormat="1" applyFont="1" applyFill="1" applyBorder="1" applyAlignment="1">
      <alignment horizontal="right" wrapText="1" indent="1"/>
    </xf>
    <xf numFmtId="168" fontId="161" fillId="101" borderId="0" xfId="37580" applyNumberFormat="1" applyFont="1" applyFill="1" applyBorder="1" applyAlignment="1">
      <alignment horizontal="right" indent="1"/>
    </xf>
    <xf numFmtId="166" fontId="161" fillId="101" borderId="0" xfId="37580" applyNumberFormat="1" applyFont="1" applyFill="1" applyBorder="1" applyAlignment="1">
      <alignment horizontal="right" indent="1"/>
    </xf>
    <xf numFmtId="166" fontId="161" fillId="101" borderId="0" xfId="37580" applyNumberFormat="1" applyFont="1" applyFill="1"/>
    <xf numFmtId="168" fontId="150" fillId="111" borderId="0" xfId="37580" applyNumberFormat="1" applyFont="1" applyFill="1" applyBorder="1" applyAlignment="1">
      <alignment horizontal="right" wrapText="1" indent="1"/>
    </xf>
    <xf numFmtId="3" fontId="161" fillId="0" borderId="0" xfId="37580" applyNumberFormat="1" applyFont="1" applyFill="1" applyBorder="1" applyAlignment="1">
      <alignment horizontal="center" vertical="center" wrapText="1"/>
    </xf>
    <xf numFmtId="3" fontId="161" fillId="0" borderId="44" xfId="37580" applyNumberFormat="1" applyFont="1" applyFill="1" applyBorder="1" applyAlignment="1">
      <alignment horizontal="center" vertical="center" wrapText="1"/>
    </xf>
    <xf numFmtId="4" fontId="161" fillId="0" borderId="0" xfId="37580" applyNumberFormat="1" applyFont="1" applyFill="1" applyBorder="1" applyAlignment="1">
      <alignment horizontal="right" indent="2"/>
    </xf>
    <xf numFmtId="0" fontId="211" fillId="0" borderId="44" xfId="37580" applyFont="1" applyFill="1" applyBorder="1"/>
    <xf numFmtId="0" fontId="211" fillId="0" borderId="0" xfId="37580" applyFont="1" applyFill="1"/>
    <xf numFmtId="1" fontId="221" fillId="32" borderId="0" xfId="17973" applyNumberFormat="1" applyFont="1" applyFill="1" applyBorder="1" applyAlignment="1">
      <alignment horizontal="center"/>
    </xf>
    <xf numFmtId="9" fontId="221" fillId="32" borderId="0" xfId="144" applyFont="1" applyFill="1" applyBorder="1" applyAlignment="1">
      <alignment horizontal="center"/>
    </xf>
    <xf numFmtId="168" fontId="221" fillId="32" borderId="0" xfId="144" applyNumberFormat="1" applyFont="1" applyFill="1" applyBorder="1" applyAlignment="1">
      <alignment horizontal="center"/>
    </xf>
    <xf numFmtId="2" fontId="221" fillId="32" borderId="0" xfId="144" applyNumberFormat="1" applyFont="1" applyFill="1" applyBorder="1" applyAlignment="1">
      <alignment horizontal="center"/>
    </xf>
    <xf numFmtId="1" fontId="221" fillId="32" borderId="0" xfId="144" applyNumberFormat="1" applyFont="1" applyFill="1" applyBorder="1" applyAlignment="1">
      <alignment horizontal="center"/>
    </xf>
    <xf numFmtId="1" fontId="221" fillId="32" borderId="22" xfId="17973" applyNumberFormat="1" applyFont="1" applyFill="1" applyBorder="1" applyAlignment="1">
      <alignment horizontal="center"/>
    </xf>
    <xf numFmtId="9" fontId="221" fillId="32" borderId="22" xfId="144" applyFont="1" applyFill="1" applyBorder="1" applyAlignment="1">
      <alignment horizontal="center"/>
    </xf>
    <xf numFmtId="168" fontId="221" fillId="32" borderId="22" xfId="144" applyNumberFormat="1" applyFont="1" applyFill="1" applyBorder="1" applyAlignment="1">
      <alignment horizontal="center"/>
    </xf>
    <xf numFmtId="1" fontId="221" fillId="32" borderId="22" xfId="144" applyNumberFormat="1" applyFont="1" applyFill="1" applyBorder="1" applyAlignment="1">
      <alignment horizontal="center"/>
    </xf>
    <xf numFmtId="2" fontId="221" fillId="32" borderId="22" xfId="144" applyNumberFormat="1" applyFont="1" applyFill="1" applyBorder="1" applyAlignment="1">
      <alignment horizontal="center"/>
    </xf>
    <xf numFmtId="3" fontId="221" fillId="107" borderId="22" xfId="37580" quotePrefix="1" applyNumberFormat="1" applyFont="1" applyFill="1" applyBorder="1" applyAlignment="1">
      <alignment horizontal="center" wrapText="1"/>
    </xf>
    <xf numFmtId="1" fontId="221" fillId="107" borderId="0" xfId="37580" applyNumberFormat="1" applyFont="1" applyFill="1" applyBorder="1" applyAlignment="1">
      <alignment horizontal="center" wrapText="1"/>
    </xf>
    <xf numFmtId="1" fontId="221" fillId="107" borderId="22" xfId="37580" applyNumberFormat="1" applyFont="1" applyFill="1" applyBorder="1" applyAlignment="1">
      <alignment horizontal="center" wrapText="1"/>
    </xf>
    <xf numFmtId="9" fontId="221" fillId="107" borderId="0" xfId="37583" applyNumberFormat="1" applyFont="1" applyFill="1" applyBorder="1" applyAlignment="1">
      <alignment horizontal="center"/>
    </xf>
    <xf numFmtId="9" fontId="221" fillId="107" borderId="22" xfId="37583" applyNumberFormat="1" applyFont="1" applyFill="1" applyBorder="1" applyAlignment="1">
      <alignment horizontal="center"/>
    </xf>
    <xf numFmtId="0" fontId="168" fillId="0" borderId="25" xfId="17973" applyFont="1" applyFill="1" applyBorder="1" applyAlignment="1">
      <alignment horizontal="center" wrapText="1"/>
    </xf>
    <xf numFmtId="0" fontId="150" fillId="0" borderId="0" xfId="17973" applyFont="1" applyBorder="1" applyAlignment="1">
      <alignment horizontal="center" wrapText="1"/>
    </xf>
    <xf numFmtId="0" fontId="168" fillId="0" borderId="44" xfId="17973" applyFont="1" applyFill="1" applyBorder="1" applyAlignment="1">
      <alignment horizontal="center" wrapText="1"/>
    </xf>
    <xf numFmtId="0" fontId="150" fillId="0" borderId="22" xfId="17973" applyFont="1" applyBorder="1" applyAlignment="1">
      <alignment horizontal="center" wrapText="1"/>
    </xf>
    <xf numFmtId="0" fontId="161" fillId="101" borderId="0" xfId="17981" applyFont="1" applyFill="1" applyBorder="1" applyAlignment="1">
      <alignment horizontal="center" vertical="center" wrapText="1"/>
    </xf>
    <xf numFmtId="0" fontId="150" fillId="101" borderId="0" xfId="17981" applyFont="1" applyFill="1" applyAlignment="1">
      <alignment vertical="top" wrapText="1"/>
    </xf>
    <xf numFmtId="0" fontId="233" fillId="0" borderId="12" xfId="37992" applyFont="1" applyBorder="1" applyAlignment="1"/>
    <xf numFmtId="0" fontId="94" fillId="128" borderId="0" xfId="37992" applyFont="1" applyFill="1" applyAlignment="1">
      <alignment horizontal="center"/>
    </xf>
    <xf numFmtId="0" fontId="94" fillId="129" borderId="0" xfId="37992" applyFont="1" applyFill="1" applyAlignment="1">
      <alignment horizontal="center" vertical="center" textRotation="90" wrapText="1"/>
    </xf>
    <xf numFmtId="0" fontId="90" fillId="0" borderId="73" xfId="37992" applyFont="1" applyBorder="1" applyAlignment="1"/>
    <xf numFmtId="0" fontId="90" fillId="0" borderId="74" xfId="37992" applyFont="1" applyBorder="1" applyAlignment="1"/>
    <xf numFmtId="0" fontId="236" fillId="130" borderId="75" xfId="37992" applyFont="1" applyFill="1" applyBorder="1" applyAlignment="1">
      <alignment horizontal="center"/>
    </xf>
    <xf numFmtId="0" fontId="236" fillId="130" borderId="0" xfId="37992" applyFont="1" applyFill="1" applyBorder="1" applyAlignment="1">
      <alignment horizontal="center"/>
    </xf>
    <xf numFmtId="0" fontId="234" fillId="131" borderId="76" xfId="37992" applyFont="1" applyFill="1" applyBorder="1" applyAlignment="1">
      <alignment horizontal="center"/>
    </xf>
    <xf numFmtId="0" fontId="234" fillId="131" borderId="77" xfId="37992" applyFont="1" applyFill="1" applyBorder="1" applyAlignment="1">
      <alignment horizontal="center"/>
    </xf>
    <xf numFmtId="0" fontId="31" fillId="0" borderId="78" xfId="37992" applyFont="1" applyBorder="1" applyAlignment="1">
      <alignment horizontal="left"/>
    </xf>
    <xf numFmtId="0" fontId="31" fillId="0" borderId="79" xfId="37992" applyFont="1" applyBorder="1" applyAlignment="1">
      <alignment horizontal="left"/>
    </xf>
    <xf numFmtId="0" fontId="31" fillId="0" borderId="80" xfId="37992" applyFont="1" applyBorder="1" applyAlignment="1">
      <alignment horizontal="left"/>
    </xf>
    <xf numFmtId="0" fontId="106" fillId="0" borderId="78" xfId="37992" applyFont="1" applyBorder="1" applyAlignment="1">
      <alignment horizontal="left"/>
    </xf>
    <xf numFmtId="0" fontId="106" fillId="0" borderId="79" xfId="37992" applyFont="1" applyBorder="1" applyAlignment="1">
      <alignment horizontal="left"/>
    </xf>
    <xf numFmtId="0" fontId="106" fillId="0" borderId="80" xfId="37992" applyFont="1" applyBorder="1" applyAlignment="1">
      <alignment horizontal="left"/>
    </xf>
    <xf numFmtId="0" fontId="150" fillId="0" borderId="0" xfId="37992" applyFont="1" applyAlignment="1">
      <alignment horizontal="center" vertical="center" wrapText="1"/>
    </xf>
    <xf numFmtId="0" fontId="94" fillId="132" borderId="81" xfId="37992" applyFont="1" applyFill="1" applyBorder="1" applyAlignment="1">
      <alignment horizontal="center" vertical="center" wrapText="1"/>
    </xf>
    <xf numFmtId="0" fontId="94" fillId="132" borderId="0" xfId="37992" applyFont="1" applyFill="1" applyBorder="1" applyAlignment="1">
      <alignment horizontal="center" vertical="center" wrapText="1"/>
    </xf>
    <xf numFmtId="0" fontId="36" fillId="110" borderId="0" xfId="37992" applyFont="1" applyFill="1" applyAlignment="1">
      <alignment horizontal="center" vertical="center" textRotation="90" wrapText="1"/>
    </xf>
    <xf numFmtId="0" fontId="161" fillId="0" borderId="25" xfId="17973" applyFont="1" applyFill="1" applyBorder="1" applyAlignment="1">
      <alignment horizontal="center" wrapText="1"/>
    </xf>
    <xf numFmtId="0" fontId="150" fillId="0" borderId="12" xfId="17973" applyFont="1" applyBorder="1" applyAlignment="1">
      <alignment horizontal="center" wrapText="1"/>
    </xf>
    <xf numFmtId="0" fontId="150" fillId="0" borderId="24" xfId="17973" applyFont="1" applyBorder="1" applyAlignment="1">
      <alignment horizontal="center" wrapText="1"/>
    </xf>
    <xf numFmtId="0" fontId="161" fillId="0" borderId="12" xfId="17973" applyFont="1" applyFill="1" applyBorder="1" applyAlignment="1">
      <alignment horizontal="center" wrapText="1"/>
    </xf>
    <xf numFmtId="0" fontId="161" fillId="0" borderId="25" xfId="17973" applyFont="1" applyBorder="1" applyAlignment="1">
      <alignment horizontal="center" wrapText="1"/>
    </xf>
    <xf numFmtId="0" fontId="239" fillId="0" borderId="0" xfId="37987" applyFont="1" applyFill="1" applyBorder="1">
      <alignment vertical="center"/>
    </xf>
  </cellXfs>
  <cellStyles count="38004">
    <cellStyle name="_x0013_" xfId="1"/>
    <cellStyle name="_Project 150 and FCM Data check" xfId="2"/>
    <cellStyle name="_x0010_“+ˆÉ•?pý¤" xfId="3"/>
    <cellStyle name="20% - Accent1" xfId="4" builtinId="30" customBuiltin="1"/>
    <cellStyle name="20% - Accent1 2" xfId="5"/>
    <cellStyle name="20% - Accent1 2 2" xfId="37584"/>
    <cellStyle name="20% - Accent1 2 3" xfId="37585"/>
    <cellStyle name="20% - Accent1 3" xfId="37586"/>
    <cellStyle name="20% - Accent1 3 2" xfId="37587"/>
    <cellStyle name="20% - Accent1 4" xfId="37588"/>
    <cellStyle name="20% - Accent1 5" xfId="37589"/>
    <cellStyle name="20% - Accent1 6" xfId="37590"/>
    <cellStyle name="20% - Accent1 7" xfId="37914"/>
    <cellStyle name="20% - Accent2" xfId="6" builtinId="34" customBuiltin="1"/>
    <cellStyle name="20% - Accent2 2" xfId="7"/>
    <cellStyle name="20% - Accent2 2 2" xfId="37591"/>
    <cellStyle name="20% - Accent2 2 3" xfId="37592"/>
    <cellStyle name="20% - Accent2 3" xfId="37593"/>
    <cellStyle name="20% - Accent2 3 2" xfId="37594"/>
    <cellStyle name="20% - Accent2 4" xfId="37595"/>
    <cellStyle name="20% - Accent2 5" xfId="37596"/>
    <cellStyle name="20% - Accent2 6" xfId="37597"/>
    <cellStyle name="20% - Accent2 7" xfId="37918"/>
    <cellStyle name="20% - Accent3" xfId="8" builtinId="38" customBuiltin="1"/>
    <cellStyle name="20% - Accent3 2" xfId="9"/>
    <cellStyle name="20% - Accent3 2 2" xfId="37598"/>
    <cellStyle name="20% - Accent3 2 3" xfId="37599"/>
    <cellStyle name="20% - Accent3 3" xfId="37600"/>
    <cellStyle name="20% - Accent3 3 2" xfId="37601"/>
    <cellStyle name="20% - Accent3 4" xfId="37602"/>
    <cellStyle name="20% - Accent3 5" xfId="37603"/>
    <cellStyle name="20% - Accent3 6" xfId="37604"/>
    <cellStyle name="20% - Accent3 7" xfId="37922"/>
    <cellStyle name="20% - Accent4" xfId="10" builtinId="42" customBuiltin="1"/>
    <cellStyle name="20% - Accent4 2" xfId="11"/>
    <cellStyle name="20% - Accent4 2 2" xfId="37605"/>
    <cellStyle name="20% - Accent4 2 3" xfId="37606"/>
    <cellStyle name="20% - Accent4 3" xfId="37607"/>
    <cellStyle name="20% - Accent4 3 2" xfId="37608"/>
    <cellStyle name="20% - Accent4 4" xfId="37609"/>
    <cellStyle name="20% - Accent4 5" xfId="37610"/>
    <cellStyle name="20% - Accent4 6" xfId="37611"/>
    <cellStyle name="20% - Accent4 7" xfId="37926"/>
    <cellStyle name="20% - Accent5" xfId="12" builtinId="46" customBuiltin="1"/>
    <cellStyle name="20% - Accent5 2" xfId="13"/>
    <cellStyle name="20% - Accent5 2 2" xfId="37612"/>
    <cellStyle name="20% - Accent5 2 3" xfId="37613"/>
    <cellStyle name="20% - Accent5 3" xfId="37614"/>
    <cellStyle name="20% - Accent5 3 2" xfId="37615"/>
    <cellStyle name="20% - Accent5 4" xfId="37616"/>
    <cellStyle name="20% - Accent5 5" xfId="37617"/>
    <cellStyle name="20% - Accent5 6" xfId="37618"/>
    <cellStyle name="20% - Accent5 7" xfId="37930"/>
    <cellStyle name="20% - Accent6" xfId="14" builtinId="50" customBuiltin="1"/>
    <cellStyle name="20% - Accent6 2" xfId="15"/>
    <cellStyle name="20% - Accent6 2 2" xfId="37619"/>
    <cellStyle name="20% - Accent6 2 3" xfId="37620"/>
    <cellStyle name="20% - Accent6 3" xfId="37621"/>
    <cellStyle name="20% - Accent6 3 2" xfId="37622"/>
    <cellStyle name="20% - Accent6 4" xfId="37623"/>
    <cellStyle name="20% - Accent6 5" xfId="37624"/>
    <cellStyle name="20% - Accent6 6" xfId="37625"/>
    <cellStyle name="20% - Accent6 7" xfId="37934"/>
    <cellStyle name="40% - Accent1" xfId="16" builtinId="31" customBuiltin="1"/>
    <cellStyle name="40% - Accent1 2" xfId="17"/>
    <cellStyle name="40% - Accent1 2 2" xfId="37626"/>
    <cellStyle name="40% - Accent1 2 3" xfId="37627"/>
    <cellStyle name="40% - Accent1 3" xfId="37628"/>
    <cellStyle name="40% - Accent1 3 2" xfId="37629"/>
    <cellStyle name="40% - Accent1 4" xfId="37630"/>
    <cellStyle name="40% - Accent1 5" xfId="37631"/>
    <cellStyle name="40% - Accent1 6" xfId="37632"/>
    <cellStyle name="40% - Accent1 7" xfId="37915"/>
    <cellStyle name="40% - Accent2" xfId="18" builtinId="35" customBuiltin="1"/>
    <cellStyle name="40% - Accent2 2" xfId="19"/>
    <cellStyle name="40% - Accent2 2 2" xfId="37633"/>
    <cellStyle name="40% - Accent2 2 3" xfId="37634"/>
    <cellStyle name="40% - Accent2 3" xfId="37635"/>
    <cellStyle name="40% - Accent2 3 2" xfId="37636"/>
    <cellStyle name="40% - Accent2 4" xfId="37637"/>
    <cellStyle name="40% - Accent2 5" xfId="37638"/>
    <cellStyle name="40% - Accent2 6" xfId="37639"/>
    <cellStyle name="40% - Accent2 7" xfId="37919"/>
    <cellStyle name="40% - Accent3" xfId="20" builtinId="39" customBuiltin="1"/>
    <cellStyle name="40% - Accent3 2" xfId="21"/>
    <cellStyle name="40% - Accent3 2 2" xfId="37640"/>
    <cellStyle name="40% - Accent3 2 3" xfId="37641"/>
    <cellStyle name="40% - Accent3 3" xfId="37642"/>
    <cellStyle name="40% - Accent3 3 2" xfId="37643"/>
    <cellStyle name="40% - Accent3 4" xfId="37644"/>
    <cellStyle name="40% - Accent3 5" xfId="37645"/>
    <cellStyle name="40% - Accent3 6" xfId="37646"/>
    <cellStyle name="40% - Accent3 7" xfId="37923"/>
    <cellStyle name="40% - Accent4" xfId="22" builtinId="43" customBuiltin="1"/>
    <cellStyle name="40% - Accent4 2" xfId="23"/>
    <cellStyle name="40% - Accent4 2 2" xfId="37647"/>
    <cellStyle name="40% - Accent4 2 3" xfId="37648"/>
    <cellStyle name="40% - Accent4 3" xfId="37649"/>
    <cellStyle name="40% - Accent4 3 2" xfId="37650"/>
    <cellStyle name="40% - Accent4 4" xfId="37651"/>
    <cellStyle name="40% - Accent4 5" xfId="37652"/>
    <cellStyle name="40% - Accent4 6" xfId="37653"/>
    <cellStyle name="40% - Accent4 7" xfId="37927"/>
    <cellStyle name="40% - Accent5" xfId="24" builtinId="47" customBuiltin="1"/>
    <cellStyle name="40% - Accent5 2" xfId="25"/>
    <cellStyle name="40% - Accent5 2 2" xfId="37654"/>
    <cellStyle name="40% - Accent5 2 3" xfId="37655"/>
    <cellStyle name="40% - Accent5 3" xfId="37656"/>
    <cellStyle name="40% - Accent5 3 2" xfId="37657"/>
    <cellStyle name="40% - Accent5 4" xfId="37658"/>
    <cellStyle name="40% - Accent5 5" xfId="37659"/>
    <cellStyle name="40% - Accent5 6" xfId="37660"/>
    <cellStyle name="40% - Accent5 7" xfId="37931"/>
    <cellStyle name="40% - Accent6" xfId="26" builtinId="51" customBuiltin="1"/>
    <cellStyle name="40% - Accent6 2" xfId="27"/>
    <cellStyle name="40% - Accent6 2 2" xfId="37661"/>
    <cellStyle name="40% - Accent6 2 3" xfId="37662"/>
    <cellStyle name="40% - Accent6 3" xfId="37663"/>
    <cellStyle name="40% - Accent6 3 2" xfId="37664"/>
    <cellStyle name="40% - Accent6 4" xfId="37665"/>
    <cellStyle name="40% - Accent6 5" xfId="37666"/>
    <cellStyle name="40% - Accent6 6" xfId="37667"/>
    <cellStyle name="40% - Accent6 7" xfId="37935"/>
    <cellStyle name="60% - Accent1" xfId="28" builtinId="32" customBuiltin="1"/>
    <cellStyle name="60% - Accent1 2" xfId="185"/>
    <cellStyle name="60% - Accent1 3" xfId="37668"/>
    <cellStyle name="60% - Accent1 4" xfId="37669"/>
    <cellStyle name="60% - Accent1 5" xfId="37670"/>
    <cellStyle name="60% - Accent1 6" xfId="37671"/>
    <cellStyle name="60% - Accent1 7" xfId="37916"/>
    <cellStyle name="60% - Accent2" xfId="29" builtinId="36" customBuiltin="1"/>
    <cellStyle name="60% - Accent2 2" xfId="186"/>
    <cellStyle name="60% - Accent2 3" xfId="37672"/>
    <cellStyle name="60% - Accent2 4" xfId="37673"/>
    <cellStyle name="60% - Accent2 5" xfId="37674"/>
    <cellStyle name="60% - Accent2 6" xfId="37675"/>
    <cellStyle name="60% - Accent2 7" xfId="37920"/>
    <cellStyle name="60% - Accent3" xfId="30" builtinId="40" customBuiltin="1"/>
    <cellStyle name="60% - Accent3 2" xfId="187"/>
    <cellStyle name="60% - Accent3 3" xfId="37676"/>
    <cellStyle name="60% - Accent3 4" xfId="37677"/>
    <cellStyle name="60% - Accent3 5" xfId="37678"/>
    <cellStyle name="60% - Accent3 6" xfId="37679"/>
    <cellStyle name="60% - Accent3 7" xfId="37924"/>
    <cellStyle name="60% - Accent4" xfId="31" builtinId="44" customBuiltin="1"/>
    <cellStyle name="60% - Accent4 2" xfId="188"/>
    <cellStyle name="60% - Accent4 3" xfId="37680"/>
    <cellStyle name="60% - Accent4 4" xfId="37681"/>
    <cellStyle name="60% - Accent4 5" xfId="37682"/>
    <cellStyle name="60% - Accent4 6" xfId="37683"/>
    <cellStyle name="60% - Accent4 7" xfId="37928"/>
    <cellStyle name="60% - Accent5" xfId="32" builtinId="48" customBuiltin="1"/>
    <cellStyle name="60% - Accent5 2" xfId="189"/>
    <cellStyle name="60% - Accent5 3" xfId="37684"/>
    <cellStyle name="60% - Accent5 4" xfId="37685"/>
    <cellStyle name="60% - Accent5 5" xfId="37686"/>
    <cellStyle name="60% - Accent5 6" xfId="37687"/>
    <cellStyle name="60% - Accent5 7" xfId="37932"/>
    <cellStyle name="60% - Accent6" xfId="33" builtinId="52" customBuiltin="1"/>
    <cellStyle name="60% - Accent6 2" xfId="190"/>
    <cellStyle name="60% - Accent6 3" xfId="37688"/>
    <cellStyle name="60% - Accent6 4" xfId="37689"/>
    <cellStyle name="60% - Accent6 5" xfId="37690"/>
    <cellStyle name="60% - Accent6 6" xfId="37691"/>
    <cellStyle name="60% - Accent6 7" xfId="37936"/>
    <cellStyle name="Accent1" xfId="34" builtinId="29" customBuiltin="1"/>
    <cellStyle name="Accent1 - 20%" xfId="37692"/>
    <cellStyle name="Accent1 - 40%" xfId="37693"/>
    <cellStyle name="Accent1 - 60%" xfId="37694"/>
    <cellStyle name="Accent1 2" xfId="191"/>
    <cellStyle name="Accent1 3" xfId="37695"/>
    <cellStyle name="Accent1 4" xfId="37696"/>
    <cellStyle name="Accent1 5" xfId="37697"/>
    <cellStyle name="Accent1 6" xfId="37698"/>
    <cellStyle name="Accent1 7" xfId="37913"/>
    <cellStyle name="Accent1 8" xfId="37963"/>
    <cellStyle name="Accent2" xfId="35" builtinId="33" customBuiltin="1"/>
    <cellStyle name="Accent2 - 20%" xfId="37699"/>
    <cellStyle name="Accent2 - 40%" xfId="37700"/>
    <cellStyle name="Accent2 - 60%" xfId="37701"/>
    <cellStyle name="Accent2 2" xfId="192"/>
    <cellStyle name="Accent2 3" xfId="37702"/>
    <cellStyle name="Accent2 4" xfId="37703"/>
    <cellStyle name="Accent2 5" xfId="37704"/>
    <cellStyle name="Accent2 6" xfId="37705"/>
    <cellStyle name="Accent2 7" xfId="37917"/>
    <cellStyle name="Accent2 8" xfId="37964"/>
    <cellStyle name="Accent3" xfId="36" builtinId="37" customBuiltin="1"/>
    <cellStyle name="Accent3 - 20%" xfId="37706"/>
    <cellStyle name="Accent3 - 40%" xfId="37707"/>
    <cellStyle name="Accent3 - 60%" xfId="37708"/>
    <cellStyle name="Accent3 2" xfId="193"/>
    <cellStyle name="Accent3 3" xfId="37709"/>
    <cellStyle name="Accent3 4" xfId="37710"/>
    <cellStyle name="Accent3 5" xfId="37711"/>
    <cellStyle name="Accent3 6" xfId="37712"/>
    <cellStyle name="Accent3 7" xfId="37921"/>
    <cellStyle name="Accent3 8" xfId="37965"/>
    <cellStyle name="Accent4" xfId="37" builtinId="41" customBuiltin="1"/>
    <cellStyle name="Accent4 - 20%" xfId="37713"/>
    <cellStyle name="Accent4 - 40%" xfId="37714"/>
    <cellStyle name="Accent4 - 60%" xfId="37715"/>
    <cellStyle name="Accent4 2" xfId="194"/>
    <cellStyle name="Accent4 3" xfId="37716"/>
    <cellStyle name="Accent4 4" xfId="37717"/>
    <cellStyle name="Accent4 5" xfId="37718"/>
    <cellStyle name="Accent4 6" xfId="37719"/>
    <cellStyle name="Accent4 7" xfId="37925"/>
    <cellStyle name="Accent4 8" xfId="37966"/>
    <cellStyle name="Accent5" xfId="38" builtinId="45" customBuiltin="1"/>
    <cellStyle name="Accent5 - 20%" xfId="37720"/>
    <cellStyle name="Accent5 - 40%" xfId="37721"/>
    <cellStyle name="Accent5 - 60%" xfId="37722"/>
    <cellStyle name="Accent5 2" xfId="195"/>
    <cellStyle name="Accent5 3" xfId="37723"/>
    <cellStyle name="Accent5 4" xfId="37724"/>
    <cellStyle name="Accent5 5" xfId="37725"/>
    <cellStyle name="Accent5 6" xfId="37726"/>
    <cellStyle name="Accent5 7" xfId="37929"/>
    <cellStyle name="Accent5 8" xfId="37967"/>
    <cellStyle name="Accent6" xfId="39" builtinId="49" customBuiltin="1"/>
    <cellStyle name="Accent6 - 20%" xfId="37727"/>
    <cellStyle name="Accent6 - 40%" xfId="37728"/>
    <cellStyle name="Accent6 - 60%" xfId="37729"/>
    <cellStyle name="Accent6 2" xfId="196"/>
    <cellStyle name="Accent6 3" xfId="37730"/>
    <cellStyle name="Accent6 4" xfId="37731"/>
    <cellStyle name="Accent6 5" xfId="37732"/>
    <cellStyle name="Accent6 6" xfId="37733"/>
    <cellStyle name="Accent6 7" xfId="37933"/>
    <cellStyle name="Accent6 8" xfId="37968"/>
    <cellStyle name="AFE" xfId="37895"/>
    <cellStyle name="Bad" xfId="40" builtinId="27" customBuiltin="1"/>
    <cellStyle name="Bad 2" xfId="197"/>
    <cellStyle name="Bad 3" xfId="37734"/>
    <cellStyle name="Bad 4" xfId="37735"/>
    <cellStyle name="Bad 5" xfId="37736"/>
    <cellStyle name="Bad 6" xfId="37737"/>
    <cellStyle name="Bad 7" xfId="37902"/>
    <cellStyle name="Biomass" xfId="41"/>
    <cellStyle name="Body: normal cell" xfId="37940"/>
    <cellStyle name="Calculation" xfId="42" builtinId="22" customBuiltin="1"/>
    <cellStyle name="Calculation 2" xfId="198"/>
    <cellStyle name="Calculation 3" xfId="37738"/>
    <cellStyle name="Calculation 4" xfId="37739"/>
    <cellStyle name="Calculation 5" xfId="37740"/>
    <cellStyle name="Calculation 6" xfId="37741"/>
    <cellStyle name="Calculation 7" xfId="37906"/>
    <cellStyle name="Capacity" xfId="37947"/>
    <cellStyle name="Check Cell" xfId="43" builtinId="23" customBuiltin="1"/>
    <cellStyle name="Check Cell 2" xfId="199"/>
    <cellStyle name="Check Cell 3" xfId="37742"/>
    <cellStyle name="Check Cell 4" xfId="37743"/>
    <cellStyle name="Check Cell 5" xfId="37744"/>
    <cellStyle name="Check Cell 6" xfId="37745"/>
    <cellStyle name="Check Cell 7" xfId="37908"/>
    <cellStyle name="Comma" xfId="35795" builtinId="3"/>
    <cellStyle name="Comma 2" xfId="44"/>
    <cellStyle name="Comma 2 10" xfId="200"/>
    <cellStyle name="Comma 2 10 2" xfId="201"/>
    <cellStyle name="Comma 2 10 2 2" xfId="202"/>
    <cellStyle name="Comma 2 10 2 2 2" xfId="203"/>
    <cellStyle name="Comma 2 10 2 2 2 2" xfId="204"/>
    <cellStyle name="Comma 2 10 2 2 2 3" xfId="205"/>
    <cellStyle name="Comma 2 10 2 2 3" xfId="206"/>
    <cellStyle name="Comma 2 10 2 2 3 2" xfId="207"/>
    <cellStyle name="Comma 2 10 2 2 4" xfId="208"/>
    <cellStyle name="Comma 2 10 2 3" xfId="209"/>
    <cellStyle name="Comma 2 10 2 3 2" xfId="210"/>
    <cellStyle name="Comma 2 10 2 3 2 2" xfId="211"/>
    <cellStyle name="Comma 2 10 2 3 3" xfId="212"/>
    <cellStyle name="Comma 2 10 2 4" xfId="213"/>
    <cellStyle name="Comma 2 10 2 4 2" xfId="214"/>
    <cellStyle name="Comma 2 10 2 4 3" xfId="215"/>
    <cellStyle name="Comma 2 10 2 5" xfId="216"/>
    <cellStyle name="Comma 2 10 2 5 2" xfId="217"/>
    <cellStyle name="Comma 2 10 2 6" xfId="218"/>
    <cellStyle name="Comma 2 10 2 6 2" xfId="35800"/>
    <cellStyle name="Comma 2 10 2 7" xfId="219"/>
    <cellStyle name="Comma 2 10 3" xfId="220"/>
    <cellStyle name="Comma 2 10 3 2" xfId="221"/>
    <cellStyle name="Comma 2 10 3 2 2" xfId="222"/>
    <cellStyle name="Comma 2 10 3 2 2 2" xfId="223"/>
    <cellStyle name="Comma 2 10 3 2 3" xfId="224"/>
    <cellStyle name="Comma 2 10 3 3" xfId="225"/>
    <cellStyle name="Comma 2 10 3 3 2" xfId="226"/>
    <cellStyle name="Comma 2 10 3 4" xfId="227"/>
    <cellStyle name="Comma 2 10 4" xfId="228"/>
    <cellStyle name="Comma 2 10 4 2" xfId="229"/>
    <cellStyle name="Comma 2 10 4 2 2" xfId="230"/>
    <cellStyle name="Comma 2 10 4 3" xfId="231"/>
    <cellStyle name="Comma 2 10 5" xfId="232"/>
    <cellStyle name="Comma 2 10 5 2" xfId="233"/>
    <cellStyle name="Comma 2 10 5 2 2" xfId="234"/>
    <cellStyle name="Comma 2 10 5 3" xfId="235"/>
    <cellStyle name="Comma 2 10 6" xfId="236"/>
    <cellStyle name="Comma 2 10 6 2" xfId="237"/>
    <cellStyle name="Comma 2 10 7" xfId="238"/>
    <cellStyle name="Comma 2 10 7 2" xfId="35801"/>
    <cellStyle name="Comma 2 10 8" xfId="239"/>
    <cellStyle name="Comma 2 11" xfId="240"/>
    <cellStyle name="Comma 2 11 2" xfId="241"/>
    <cellStyle name="Comma 2 11 2 2" xfId="242"/>
    <cellStyle name="Comma 2 11 2 2 2" xfId="243"/>
    <cellStyle name="Comma 2 11 2 2 2 2" xfId="244"/>
    <cellStyle name="Comma 2 11 2 2 2 3" xfId="245"/>
    <cellStyle name="Comma 2 11 2 2 3" xfId="246"/>
    <cellStyle name="Comma 2 11 2 2 3 2" xfId="247"/>
    <cellStyle name="Comma 2 11 2 2 4" xfId="248"/>
    <cellStyle name="Comma 2 11 2 3" xfId="249"/>
    <cellStyle name="Comma 2 11 2 3 2" xfId="250"/>
    <cellStyle name="Comma 2 11 2 3 2 2" xfId="251"/>
    <cellStyle name="Comma 2 11 2 3 3" xfId="252"/>
    <cellStyle name="Comma 2 11 2 4" xfId="253"/>
    <cellStyle name="Comma 2 11 2 4 2" xfId="254"/>
    <cellStyle name="Comma 2 11 2 4 3" xfId="255"/>
    <cellStyle name="Comma 2 11 2 5" xfId="256"/>
    <cellStyle name="Comma 2 11 2 5 2" xfId="257"/>
    <cellStyle name="Comma 2 11 2 6" xfId="258"/>
    <cellStyle name="Comma 2 11 2 6 2" xfId="35802"/>
    <cellStyle name="Comma 2 11 2 7" xfId="259"/>
    <cellStyle name="Comma 2 11 3" xfId="260"/>
    <cellStyle name="Comma 2 11 3 2" xfId="261"/>
    <cellStyle name="Comma 2 11 3 2 2" xfId="262"/>
    <cellStyle name="Comma 2 11 3 2 2 2" xfId="263"/>
    <cellStyle name="Comma 2 11 3 2 3" xfId="264"/>
    <cellStyle name="Comma 2 11 3 3" xfId="265"/>
    <cellStyle name="Comma 2 11 3 3 2" xfId="266"/>
    <cellStyle name="Comma 2 11 3 4" xfId="267"/>
    <cellStyle name="Comma 2 11 4" xfId="268"/>
    <cellStyle name="Comma 2 11 4 2" xfId="269"/>
    <cellStyle name="Comma 2 11 4 2 2" xfId="270"/>
    <cellStyle name="Comma 2 11 4 3" xfId="271"/>
    <cellStyle name="Comma 2 11 5" xfId="272"/>
    <cellStyle name="Comma 2 11 5 2" xfId="273"/>
    <cellStyle name="Comma 2 11 5 2 2" xfId="274"/>
    <cellStyle name="Comma 2 11 5 3" xfId="275"/>
    <cellStyle name="Comma 2 11 6" xfId="276"/>
    <cellStyle name="Comma 2 11 6 2" xfId="277"/>
    <cellStyle name="Comma 2 11 7" xfId="278"/>
    <cellStyle name="Comma 2 11 7 2" xfId="35803"/>
    <cellStyle name="Comma 2 11 8" xfId="279"/>
    <cellStyle name="Comma 2 12" xfId="280"/>
    <cellStyle name="Comma 2 12 2" xfId="281"/>
    <cellStyle name="Comma 2 12 2 2" xfId="282"/>
    <cellStyle name="Comma 2 12 2 2 2" xfId="283"/>
    <cellStyle name="Comma 2 12 2 2 2 2" xfId="284"/>
    <cellStyle name="Comma 2 12 2 2 2 3" xfId="285"/>
    <cellStyle name="Comma 2 12 2 2 3" xfId="286"/>
    <cellStyle name="Comma 2 12 2 2 3 2" xfId="287"/>
    <cellStyle name="Comma 2 12 2 2 4" xfId="288"/>
    <cellStyle name="Comma 2 12 2 3" xfId="289"/>
    <cellStyle name="Comma 2 12 2 3 2" xfId="290"/>
    <cellStyle name="Comma 2 12 2 3 2 2" xfId="291"/>
    <cellStyle name="Comma 2 12 2 3 3" xfId="292"/>
    <cellStyle name="Comma 2 12 2 4" xfId="293"/>
    <cellStyle name="Comma 2 12 2 4 2" xfId="294"/>
    <cellStyle name="Comma 2 12 2 4 3" xfId="295"/>
    <cellStyle name="Comma 2 12 2 5" xfId="296"/>
    <cellStyle name="Comma 2 12 2 5 2" xfId="297"/>
    <cellStyle name="Comma 2 12 2 6" xfId="298"/>
    <cellStyle name="Comma 2 12 2 6 2" xfId="35804"/>
    <cellStyle name="Comma 2 12 2 7" xfId="299"/>
    <cellStyle name="Comma 2 12 3" xfId="300"/>
    <cellStyle name="Comma 2 12 3 2" xfId="301"/>
    <cellStyle name="Comma 2 12 3 2 2" xfId="302"/>
    <cellStyle name="Comma 2 12 3 2 2 2" xfId="303"/>
    <cellStyle name="Comma 2 12 3 2 3" xfId="304"/>
    <cellStyle name="Comma 2 12 3 3" xfId="305"/>
    <cellStyle name="Comma 2 12 3 3 2" xfId="306"/>
    <cellStyle name="Comma 2 12 3 4" xfId="307"/>
    <cellStyle name="Comma 2 12 4" xfId="308"/>
    <cellStyle name="Comma 2 12 4 2" xfId="309"/>
    <cellStyle name="Comma 2 12 4 2 2" xfId="310"/>
    <cellStyle name="Comma 2 12 4 3" xfId="311"/>
    <cellStyle name="Comma 2 12 5" xfId="312"/>
    <cellStyle name="Comma 2 12 5 2" xfId="313"/>
    <cellStyle name="Comma 2 12 5 2 2" xfId="314"/>
    <cellStyle name="Comma 2 12 5 3" xfId="315"/>
    <cellStyle name="Comma 2 12 6" xfId="316"/>
    <cellStyle name="Comma 2 12 6 2" xfId="317"/>
    <cellStyle name="Comma 2 12 7" xfId="318"/>
    <cellStyle name="Comma 2 12 7 2" xfId="35805"/>
    <cellStyle name="Comma 2 12 8" xfId="319"/>
    <cellStyle name="Comma 2 13" xfId="320"/>
    <cellStyle name="Comma 2 13 2" xfId="321"/>
    <cellStyle name="Comma 2 13 2 2" xfId="322"/>
    <cellStyle name="Comma 2 13 2 2 2" xfId="323"/>
    <cellStyle name="Comma 2 13 2 2 3" xfId="324"/>
    <cellStyle name="Comma 2 13 2 3" xfId="325"/>
    <cellStyle name="Comma 2 13 2 3 2" xfId="326"/>
    <cellStyle name="Comma 2 13 2 4" xfId="327"/>
    <cellStyle name="Comma 2 13 3" xfId="328"/>
    <cellStyle name="Comma 2 13 3 2" xfId="329"/>
    <cellStyle name="Comma 2 13 3 2 2" xfId="330"/>
    <cellStyle name="Comma 2 13 3 3" xfId="331"/>
    <cellStyle name="Comma 2 13 4" xfId="332"/>
    <cellStyle name="Comma 2 13 4 2" xfId="333"/>
    <cellStyle name="Comma 2 13 4 3" xfId="334"/>
    <cellStyle name="Comma 2 13 5" xfId="335"/>
    <cellStyle name="Comma 2 13 5 2" xfId="336"/>
    <cellStyle name="Comma 2 13 6" xfId="337"/>
    <cellStyle name="Comma 2 13 6 2" xfId="35806"/>
    <cellStyle name="Comma 2 13 7" xfId="338"/>
    <cellStyle name="Comma 2 14" xfId="339"/>
    <cellStyle name="Comma 2 14 2" xfId="340"/>
    <cellStyle name="Comma 2 14 2 2" xfId="341"/>
    <cellStyle name="Comma 2 14 2 2 2" xfId="342"/>
    <cellStyle name="Comma 2 14 2 3" xfId="343"/>
    <cellStyle name="Comma 2 14 3" xfId="344"/>
    <cellStyle name="Comma 2 14 3 2" xfId="345"/>
    <cellStyle name="Comma 2 14 4" xfId="346"/>
    <cellStyle name="Comma 2 15" xfId="347"/>
    <cellStyle name="Comma 2 15 2" xfId="348"/>
    <cellStyle name="Comma 2 15 2 2" xfId="349"/>
    <cellStyle name="Comma 2 15 3" xfId="350"/>
    <cellStyle name="Comma 2 16" xfId="351"/>
    <cellStyle name="Comma 2 16 2" xfId="352"/>
    <cellStyle name="Comma 2 16 2 2" xfId="353"/>
    <cellStyle name="Comma 2 16 3" xfId="354"/>
    <cellStyle name="Comma 2 17" xfId="355"/>
    <cellStyle name="Comma 2 17 2" xfId="356"/>
    <cellStyle name="Comma 2 18" xfId="357"/>
    <cellStyle name="Comma 2 18 2" xfId="35807"/>
    <cellStyle name="Comma 2 19" xfId="358"/>
    <cellStyle name="Comma 2 2" xfId="359"/>
    <cellStyle name="Comma 2 2 10" xfId="360"/>
    <cellStyle name="Comma 2 2 10 2" xfId="361"/>
    <cellStyle name="Comma 2 2 10 2 2" xfId="362"/>
    <cellStyle name="Comma 2 2 10 2 2 2" xfId="363"/>
    <cellStyle name="Comma 2 2 10 2 2 2 2" xfId="364"/>
    <cellStyle name="Comma 2 2 10 2 2 2 3" xfId="365"/>
    <cellStyle name="Comma 2 2 10 2 2 3" xfId="366"/>
    <cellStyle name="Comma 2 2 10 2 2 3 2" xfId="367"/>
    <cellStyle name="Comma 2 2 10 2 2 4" xfId="368"/>
    <cellStyle name="Comma 2 2 10 2 3" xfId="369"/>
    <cellStyle name="Comma 2 2 10 2 3 2" xfId="370"/>
    <cellStyle name="Comma 2 2 10 2 3 2 2" xfId="371"/>
    <cellStyle name="Comma 2 2 10 2 3 3" xfId="372"/>
    <cellStyle name="Comma 2 2 10 2 4" xfId="373"/>
    <cellStyle name="Comma 2 2 10 2 4 2" xfId="374"/>
    <cellStyle name="Comma 2 2 10 2 4 3" xfId="375"/>
    <cellStyle name="Comma 2 2 10 2 5" xfId="376"/>
    <cellStyle name="Comma 2 2 10 2 5 2" xfId="377"/>
    <cellStyle name="Comma 2 2 10 2 6" xfId="378"/>
    <cellStyle name="Comma 2 2 10 2 6 2" xfId="35808"/>
    <cellStyle name="Comma 2 2 10 2 7" xfId="379"/>
    <cellStyle name="Comma 2 2 10 3" xfId="380"/>
    <cellStyle name="Comma 2 2 10 3 2" xfId="381"/>
    <cellStyle name="Comma 2 2 10 3 2 2" xfId="382"/>
    <cellStyle name="Comma 2 2 10 3 2 2 2" xfId="383"/>
    <cellStyle name="Comma 2 2 10 3 2 3" xfId="384"/>
    <cellStyle name="Comma 2 2 10 3 3" xfId="385"/>
    <cellStyle name="Comma 2 2 10 3 3 2" xfId="386"/>
    <cellStyle name="Comma 2 2 10 3 4" xfId="387"/>
    <cellStyle name="Comma 2 2 10 4" xfId="388"/>
    <cellStyle name="Comma 2 2 10 4 2" xfId="389"/>
    <cellStyle name="Comma 2 2 10 4 2 2" xfId="390"/>
    <cellStyle name="Comma 2 2 10 4 3" xfId="391"/>
    <cellStyle name="Comma 2 2 10 5" xfId="392"/>
    <cellStyle name="Comma 2 2 10 5 2" xfId="393"/>
    <cellStyle name="Comma 2 2 10 5 2 2" xfId="394"/>
    <cellStyle name="Comma 2 2 10 5 3" xfId="395"/>
    <cellStyle name="Comma 2 2 10 6" xfId="396"/>
    <cellStyle name="Comma 2 2 10 6 2" xfId="397"/>
    <cellStyle name="Comma 2 2 10 7" xfId="398"/>
    <cellStyle name="Comma 2 2 10 7 2" xfId="35809"/>
    <cellStyle name="Comma 2 2 10 8" xfId="399"/>
    <cellStyle name="Comma 2 2 11" xfId="400"/>
    <cellStyle name="Comma 2 2 11 2" xfId="401"/>
    <cellStyle name="Comma 2 2 11 2 2" xfId="402"/>
    <cellStyle name="Comma 2 2 11 2 2 2" xfId="403"/>
    <cellStyle name="Comma 2 2 11 2 2 2 2" xfId="404"/>
    <cellStyle name="Comma 2 2 11 2 2 2 3" xfId="405"/>
    <cellStyle name="Comma 2 2 11 2 2 3" xfId="406"/>
    <cellStyle name="Comma 2 2 11 2 2 3 2" xfId="407"/>
    <cellStyle name="Comma 2 2 11 2 2 4" xfId="408"/>
    <cellStyle name="Comma 2 2 11 2 3" xfId="409"/>
    <cellStyle name="Comma 2 2 11 2 3 2" xfId="410"/>
    <cellStyle name="Comma 2 2 11 2 3 2 2" xfId="411"/>
    <cellStyle name="Comma 2 2 11 2 3 3" xfId="412"/>
    <cellStyle name="Comma 2 2 11 2 4" xfId="413"/>
    <cellStyle name="Comma 2 2 11 2 4 2" xfId="414"/>
    <cellStyle name="Comma 2 2 11 2 4 3" xfId="415"/>
    <cellStyle name="Comma 2 2 11 2 5" xfId="416"/>
    <cellStyle name="Comma 2 2 11 2 5 2" xfId="417"/>
    <cellStyle name="Comma 2 2 11 2 6" xfId="418"/>
    <cellStyle name="Comma 2 2 11 2 6 2" xfId="35810"/>
    <cellStyle name="Comma 2 2 11 2 7" xfId="419"/>
    <cellStyle name="Comma 2 2 11 3" xfId="420"/>
    <cellStyle name="Comma 2 2 11 3 2" xfId="421"/>
    <cellStyle name="Comma 2 2 11 3 2 2" xfId="422"/>
    <cellStyle name="Comma 2 2 11 3 2 2 2" xfId="423"/>
    <cellStyle name="Comma 2 2 11 3 2 3" xfId="424"/>
    <cellStyle name="Comma 2 2 11 3 3" xfId="425"/>
    <cellStyle name="Comma 2 2 11 3 3 2" xfId="426"/>
    <cellStyle name="Comma 2 2 11 3 4" xfId="427"/>
    <cellStyle name="Comma 2 2 11 4" xfId="428"/>
    <cellStyle name="Comma 2 2 11 4 2" xfId="429"/>
    <cellStyle name="Comma 2 2 11 4 2 2" xfId="430"/>
    <cellStyle name="Comma 2 2 11 4 3" xfId="431"/>
    <cellStyle name="Comma 2 2 11 5" xfId="432"/>
    <cellStyle name="Comma 2 2 11 5 2" xfId="433"/>
    <cellStyle name="Comma 2 2 11 5 2 2" xfId="434"/>
    <cellStyle name="Comma 2 2 11 5 3" xfId="435"/>
    <cellStyle name="Comma 2 2 11 6" xfId="436"/>
    <cellStyle name="Comma 2 2 11 6 2" xfId="437"/>
    <cellStyle name="Comma 2 2 11 7" xfId="438"/>
    <cellStyle name="Comma 2 2 11 7 2" xfId="35811"/>
    <cellStyle name="Comma 2 2 11 8" xfId="439"/>
    <cellStyle name="Comma 2 2 12" xfId="440"/>
    <cellStyle name="Comma 2 2 12 2" xfId="441"/>
    <cellStyle name="Comma 2 2 12 2 2" xfId="442"/>
    <cellStyle name="Comma 2 2 12 2 2 2" xfId="443"/>
    <cellStyle name="Comma 2 2 12 2 2 3" xfId="444"/>
    <cellStyle name="Comma 2 2 12 2 3" xfId="445"/>
    <cellStyle name="Comma 2 2 12 2 3 2" xfId="446"/>
    <cellStyle name="Comma 2 2 12 2 4" xfId="447"/>
    <cellStyle name="Comma 2 2 12 3" xfId="448"/>
    <cellStyle name="Comma 2 2 12 3 2" xfId="449"/>
    <cellStyle name="Comma 2 2 12 3 2 2" xfId="450"/>
    <cellStyle name="Comma 2 2 12 3 3" xfId="451"/>
    <cellStyle name="Comma 2 2 12 4" xfId="452"/>
    <cellStyle name="Comma 2 2 12 4 2" xfId="453"/>
    <cellStyle name="Comma 2 2 12 4 3" xfId="454"/>
    <cellStyle name="Comma 2 2 12 5" xfId="455"/>
    <cellStyle name="Comma 2 2 12 5 2" xfId="456"/>
    <cellStyle name="Comma 2 2 12 6" xfId="457"/>
    <cellStyle name="Comma 2 2 12 6 2" xfId="35812"/>
    <cellStyle name="Comma 2 2 12 7" xfId="458"/>
    <cellStyle name="Comma 2 2 13" xfId="459"/>
    <cellStyle name="Comma 2 2 13 2" xfId="460"/>
    <cellStyle name="Comma 2 2 13 2 2" xfId="461"/>
    <cellStyle name="Comma 2 2 13 2 2 2" xfId="462"/>
    <cellStyle name="Comma 2 2 13 2 3" xfId="463"/>
    <cellStyle name="Comma 2 2 13 3" xfId="464"/>
    <cellStyle name="Comma 2 2 13 3 2" xfId="465"/>
    <cellStyle name="Comma 2 2 13 4" xfId="466"/>
    <cellStyle name="Comma 2 2 14" xfId="467"/>
    <cellStyle name="Comma 2 2 14 2" xfId="468"/>
    <cellStyle name="Comma 2 2 14 2 2" xfId="469"/>
    <cellStyle name="Comma 2 2 14 3" xfId="470"/>
    <cellStyle name="Comma 2 2 15" xfId="471"/>
    <cellStyle name="Comma 2 2 15 2" xfId="472"/>
    <cellStyle name="Comma 2 2 15 2 2" xfId="473"/>
    <cellStyle name="Comma 2 2 15 3" xfId="474"/>
    <cellStyle name="Comma 2 2 16" xfId="475"/>
    <cellStyle name="Comma 2 2 16 2" xfId="476"/>
    <cellStyle name="Comma 2 2 17" xfId="477"/>
    <cellStyle name="Comma 2 2 17 2" xfId="35813"/>
    <cellStyle name="Comma 2 2 18" xfId="478"/>
    <cellStyle name="Comma 2 2 19" xfId="37746"/>
    <cellStyle name="Comma 2 2 2" xfId="479"/>
    <cellStyle name="Comma 2 2 2 10" xfId="480"/>
    <cellStyle name="Comma 2 2 2 10 2" xfId="481"/>
    <cellStyle name="Comma 2 2 2 10 2 2" xfId="482"/>
    <cellStyle name="Comma 2 2 2 10 3" xfId="483"/>
    <cellStyle name="Comma 2 2 2 11" xfId="484"/>
    <cellStyle name="Comma 2 2 2 11 2" xfId="485"/>
    <cellStyle name="Comma 2 2 2 11 2 2" xfId="486"/>
    <cellStyle name="Comma 2 2 2 11 3" xfId="487"/>
    <cellStyle name="Comma 2 2 2 12" xfId="488"/>
    <cellStyle name="Comma 2 2 2 12 2" xfId="489"/>
    <cellStyle name="Comma 2 2 2 13" xfId="490"/>
    <cellStyle name="Comma 2 2 2 13 2" xfId="35814"/>
    <cellStyle name="Comma 2 2 2 14" xfId="491"/>
    <cellStyle name="Comma 2 2 2 2" xfId="492"/>
    <cellStyle name="Comma 2 2 2 2 10" xfId="493"/>
    <cellStyle name="Comma 2 2 2 2 2" xfId="494"/>
    <cellStyle name="Comma 2 2 2 2 2 2" xfId="495"/>
    <cellStyle name="Comma 2 2 2 2 2 2 2" xfId="496"/>
    <cellStyle name="Comma 2 2 2 2 2 2 2 2" xfId="497"/>
    <cellStyle name="Comma 2 2 2 2 2 2 2 2 2" xfId="498"/>
    <cellStyle name="Comma 2 2 2 2 2 2 2 2 2 2" xfId="499"/>
    <cellStyle name="Comma 2 2 2 2 2 2 2 2 2 3" xfId="500"/>
    <cellStyle name="Comma 2 2 2 2 2 2 2 2 3" xfId="501"/>
    <cellStyle name="Comma 2 2 2 2 2 2 2 2 3 2" xfId="502"/>
    <cellStyle name="Comma 2 2 2 2 2 2 2 2 4" xfId="503"/>
    <cellStyle name="Comma 2 2 2 2 2 2 2 3" xfId="504"/>
    <cellStyle name="Comma 2 2 2 2 2 2 2 3 2" xfId="505"/>
    <cellStyle name="Comma 2 2 2 2 2 2 2 3 2 2" xfId="506"/>
    <cellStyle name="Comma 2 2 2 2 2 2 2 3 3" xfId="507"/>
    <cellStyle name="Comma 2 2 2 2 2 2 2 4" xfId="508"/>
    <cellStyle name="Comma 2 2 2 2 2 2 2 4 2" xfId="509"/>
    <cellStyle name="Comma 2 2 2 2 2 2 2 4 3" xfId="510"/>
    <cellStyle name="Comma 2 2 2 2 2 2 2 5" xfId="511"/>
    <cellStyle name="Comma 2 2 2 2 2 2 2 5 2" xfId="512"/>
    <cellStyle name="Comma 2 2 2 2 2 2 2 6" xfId="513"/>
    <cellStyle name="Comma 2 2 2 2 2 2 2 6 2" xfId="35815"/>
    <cellStyle name="Comma 2 2 2 2 2 2 2 7" xfId="514"/>
    <cellStyle name="Comma 2 2 2 2 2 2 3" xfId="515"/>
    <cellStyle name="Comma 2 2 2 2 2 2 3 2" xfId="516"/>
    <cellStyle name="Comma 2 2 2 2 2 2 3 2 2" xfId="517"/>
    <cellStyle name="Comma 2 2 2 2 2 2 3 2 2 2" xfId="518"/>
    <cellStyle name="Comma 2 2 2 2 2 2 3 2 3" xfId="519"/>
    <cellStyle name="Comma 2 2 2 2 2 2 3 3" xfId="520"/>
    <cellStyle name="Comma 2 2 2 2 2 2 3 3 2" xfId="521"/>
    <cellStyle name="Comma 2 2 2 2 2 2 3 4" xfId="522"/>
    <cellStyle name="Comma 2 2 2 2 2 2 4" xfId="523"/>
    <cellStyle name="Comma 2 2 2 2 2 2 4 2" xfId="524"/>
    <cellStyle name="Comma 2 2 2 2 2 2 4 2 2" xfId="525"/>
    <cellStyle name="Comma 2 2 2 2 2 2 4 3" xfId="526"/>
    <cellStyle name="Comma 2 2 2 2 2 2 5" xfId="527"/>
    <cellStyle name="Comma 2 2 2 2 2 2 5 2" xfId="528"/>
    <cellStyle name="Comma 2 2 2 2 2 2 5 2 2" xfId="529"/>
    <cellStyle name="Comma 2 2 2 2 2 2 5 3" xfId="530"/>
    <cellStyle name="Comma 2 2 2 2 2 2 6" xfId="531"/>
    <cellStyle name="Comma 2 2 2 2 2 2 6 2" xfId="532"/>
    <cellStyle name="Comma 2 2 2 2 2 2 7" xfId="533"/>
    <cellStyle name="Comma 2 2 2 2 2 2 7 2" xfId="35816"/>
    <cellStyle name="Comma 2 2 2 2 2 2 8" xfId="534"/>
    <cellStyle name="Comma 2 2 2 2 2 3" xfId="535"/>
    <cellStyle name="Comma 2 2 2 2 2 3 2" xfId="536"/>
    <cellStyle name="Comma 2 2 2 2 2 3 2 2" xfId="537"/>
    <cellStyle name="Comma 2 2 2 2 2 3 2 2 2" xfId="538"/>
    <cellStyle name="Comma 2 2 2 2 2 3 2 2 3" xfId="539"/>
    <cellStyle name="Comma 2 2 2 2 2 3 2 3" xfId="540"/>
    <cellStyle name="Comma 2 2 2 2 2 3 2 3 2" xfId="541"/>
    <cellStyle name="Comma 2 2 2 2 2 3 2 4" xfId="542"/>
    <cellStyle name="Comma 2 2 2 2 2 3 3" xfId="543"/>
    <cellStyle name="Comma 2 2 2 2 2 3 3 2" xfId="544"/>
    <cellStyle name="Comma 2 2 2 2 2 3 3 2 2" xfId="545"/>
    <cellStyle name="Comma 2 2 2 2 2 3 3 3" xfId="546"/>
    <cellStyle name="Comma 2 2 2 2 2 3 4" xfId="547"/>
    <cellStyle name="Comma 2 2 2 2 2 3 4 2" xfId="548"/>
    <cellStyle name="Comma 2 2 2 2 2 3 4 3" xfId="549"/>
    <cellStyle name="Comma 2 2 2 2 2 3 5" xfId="550"/>
    <cellStyle name="Comma 2 2 2 2 2 3 5 2" xfId="551"/>
    <cellStyle name="Comma 2 2 2 2 2 3 6" xfId="552"/>
    <cellStyle name="Comma 2 2 2 2 2 3 6 2" xfId="35817"/>
    <cellStyle name="Comma 2 2 2 2 2 3 7" xfId="553"/>
    <cellStyle name="Comma 2 2 2 2 2 4" xfId="554"/>
    <cellStyle name="Comma 2 2 2 2 2 4 2" xfId="555"/>
    <cellStyle name="Comma 2 2 2 2 2 4 2 2" xfId="556"/>
    <cellStyle name="Comma 2 2 2 2 2 4 2 2 2" xfId="557"/>
    <cellStyle name="Comma 2 2 2 2 2 4 2 3" xfId="558"/>
    <cellStyle name="Comma 2 2 2 2 2 4 3" xfId="559"/>
    <cellStyle name="Comma 2 2 2 2 2 4 3 2" xfId="560"/>
    <cellStyle name="Comma 2 2 2 2 2 4 4" xfId="561"/>
    <cellStyle name="Comma 2 2 2 2 2 5" xfId="562"/>
    <cellStyle name="Comma 2 2 2 2 2 5 2" xfId="563"/>
    <cellStyle name="Comma 2 2 2 2 2 5 2 2" xfId="564"/>
    <cellStyle name="Comma 2 2 2 2 2 5 3" xfId="565"/>
    <cellStyle name="Comma 2 2 2 2 2 6" xfId="566"/>
    <cellStyle name="Comma 2 2 2 2 2 6 2" xfId="567"/>
    <cellStyle name="Comma 2 2 2 2 2 6 2 2" xfId="568"/>
    <cellStyle name="Comma 2 2 2 2 2 6 3" xfId="569"/>
    <cellStyle name="Comma 2 2 2 2 2 7" xfId="570"/>
    <cellStyle name="Comma 2 2 2 2 2 7 2" xfId="571"/>
    <cellStyle name="Comma 2 2 2 2 2 8" xfId="572"/>
    <cellStyle name="Comma 2 2 2 2 2 8 2" xfId="35818"/>
    <cellStyle name="Comma 2 2 2 2 2 9" xfId="573"/>
    <cellStyle name="Comma 2 2 2 2 3" xfId="574"/>
    <cellStyle name="Comma 2 2 2 2 3 2" xfId="575"/>
    <cellStyle name="Comma 2 2 2 2 3 2 2" xfId="576"/>
    <cellStyle name="Comma 2 2 2 2 3 2 2 2" xfId="577"/>
    <cellStyle name="Comma 2 2 2 2 3 2 2 2 2" xfId="578"/>
    <cellStyle name="Comma 2 2 2 2 3 2 2 2 3" xfId="579"/>
    <cellStyle name="Comma 2 2 2 2 3 2 2 3" xfId="580"/>
    <cellStyle name="Comma 2 2 2 2 3 2 2 3 2" xfId="581"/>
    <cellStyle name="Comma 2 2 2 2 3 2 2 4" xfId="582"/>
    <cellStyle name="Comma 2 2 2 2 3 2 3" xfId="583"/>
    <cellStyle name="Comma 2 2 2 2 3 2 3 2" xfId="584"/>
    <cellStyle name="Comma 2 2 2 2 3 2 3 2 2" xfId="585"/>
    <cellStyle name="Comma 2 2 2 2 3 2 3 3" xfId="586"/>
    <cellStyle name="Comma 2 2 2 2 3 2 4" xfId="587"/>
    <cellStyle name="Comma 2 2 2 2 3 2 4 2" xfId="588"/>
    <cellStyle name="Comma 2 2 2 2 3 2 4 3" xfId="589"/>
    <cellStyle name="Comma 2 2 2 2 3 2 5" xfId="590"/>
    <cellStyle name="Comma 2 2 2 2 3 2 5 2" xfId="591"/>
    <cellStyle name="Comma 2 2 2 2 3 2 6" xfId="592"/>
    <cellStyle name="Comma 2 2 2 2 3 2 6 2" xfId="35819"/>
    <cellStyle name="Comma 2 2 2 2 3 2 7" xfId="593"/>
    <cellStyle name="Comma 2 2 2 2 3 3" xfId="594"/>
    <cellStyle name="Comma 2 2 2 2 3 3 2" xfId="595"/>
    <cellStyle name="Comma 2 2 2 2 3 3 2 2" xfId="596"/>
    <cellStyle name="Comma 2 2 2 2 3 3 2 2 2" xfId="597"/>
    <cellStyle name="Comma 2 2 2 2 3 3 2 3" xfId="598"/>
    <cellStyle name="Comma 2 2 2 2 3 3 3" xfId="599"/>
    <cellStyle name="Comma 2 2 2 2 3 3 3 2" xfId="600"/>
    <cellStyle name="Comma 2 2 2 2 3 3 4" xfId="601"/>
    <cellStyle name="Comma 2 2 2 2 3 4" xfId="602"/>
    <cellStyle name="Comma 2 2 2 2 3 4 2" xfId="603"/>
    <cellStyle name="Comma 2 2 2 2 3 4 2 2" xfId="604"/>
    <cellStyle name="Comma 2 2 2 2 3 4 3" xfId="605"/>
    <cellStyle name="Comma 2 2 2 2 3 5" xfId="606"/>
    <cellStyle name="Comma 2 2 2 2 3 5 2" xfId="607"/>
    <cellStyle name="Comma 2 2 2 2 3 5 2 2" xfId="608"/>
    <cellStyle name="Comma 2 2 2 2 3 5 3" xfId="609"/>
    <cellStyle name="Comma 2 2 2 2 3 6" xfId="610"/>
    <cellStyle name="Comma 2 2 2 2 3 6 2" xfId="611"/>
    <cellStyle name="Comma 2 2 2 2 3 7" xfId="612"/>
    <cellStyle name="Comma 2 2 2 2 3 7 2" xfId="35820"/>
    <cellStyle name="Comma 2 2 2 2 3 8" xfId="613"/>
    <cellStyle name="Comma 2 2 2 2 4" xfId="614"/>
    <cellStyle name="Comma 2 2 2 2 4 2" xfId="615"/>
    <cellStyle name="Comma 2 2 2 2 4 2 2" xfId="616"/>
    <cellStyle name="Comma 2 2 2 2 4 2 2 2" xfId="617"/>
    <cellStyle name="Comma 2 2 2 2 4 2 2 3" xfId="618"/>
    <cellStyle name="Comma 2 2 2 2 4 2 3" xfId="619"/>
    <cellStyle name="Comma 2 2 2 2 4 2 3 2" xfId="620"/>
    <cellStyle name="Comma 2 2 2 2 4 2 4" xfId="621"/>
    <cellStyle name="Comma 2 2 2 2 4 3" xfId="622"/>
    <cellStyle name="Comma 2 2 2 2 4 3 2" xfId="623"/>
    <cellStyle name="Comma 2 2 2 2 4 3 2 2" xfId="624"/>
    <cellStyle name="Comma 2 2 2 2 4 3 3" xfId="625"/>
    <cellStyle name="Comma 2 2 2 2 4 4" xfId="626"/>
    <cellStyle name="Comma 2 2 2 2 4 4 2" xfId="627"/>
    <cellStyle name="Comma 2 2 2 2 4 4 3" xfId="628"/>
    <cellStyle name="Comma 2 2 2 2 4 5" xfId="629"/>
    <cellStyle name="Comma 2 2 2 2 4 5 2" xfId="630"/>
    <cellStyle name="Comma 2 2 2 2 4 6" xfId="631"/>
    <cellStyle name="Comma 2 2 2 2 4 6 2" xfId="35821"/>
    <cellStyle name="Comma 2 2 2 2 4 7" xfId="632"/>
    <cellStyle name="Comma 2 2 2 2 5" xfId="633"/>
    <cellStyle name="Comma 2 2 2 2 5 2" xfId="634"/>
    <cellStyle name="Comma 2 2 2 2 5 2 2" xfId="635"/>
    <cellStyle name="Comma 2 2 2 2 5 2 2 2" xfId="636"/>
    <cellStyle name="Comma 2 2 2 2 5 2 3" xfId="637"/>
    <cellStyle name="Comma 2 2 2 2 5 3" xfId="638"/>
    <cellStyle name="Comma 2 2 2 2 5 3 2" xfId="639"/>
    <cellStyle name="Comma 2 2 2 2 5 4" xfId="640"/>
    <cellStyle name="Comma 2 2 2 2 6" xfId="641"/>
    <cellStyle name="Comma 2 2 2 2 6 2" xfId="642"/>
    <cellStyle name="Comma 2 2 2 2 6 2 2" xfId="643"/>
    <cellStyle name="Comma 2 2 2 2 6 3" xfId="644"/>
    <cellStyle name="Comma 2 2 2 2 7" xfId="645"/>
    <cellStyle name="Comma 2 2 2 2 7 2" xfId="646"/>
    <cellStyle name="Comma 2 2 2 2 7 2 2" xfId="647"/>
    <cellStyle name="Comma 2 2 2 2 7 3" xfId="648"/>
    <cellStyle name="Comma 2 2 2 2 8" xfId="649"/>
    <cellStyle name="Comma 2 2 2 2 8 2" xfId="650"/>
    <cellStyle name="Comma 2 2 2 2 9" xfId="651"/>
    <cellStyle name="Comma 2 2 2 2 9 2" xfId="35822"/>
    <cellStyle name="Comma 2 2 2 3" xfId="652"/>
    <cellStyle name="Comma 2 2 2 3 2" xfId="653"/>
    <cellStyle name="Comma 2 2 2 3 2 2" xfId="654"/>
    <cellStyle name="Comma 2 2 2 3 2 2 2" xfId="655"/>
    <cellStyle name="Comma 2 2 2 3 2 2 2 2" xfId="656"/>
    <cellStyle name="Comma 2 2 2 3 2 2 2 2 2" xfId="657"/>
    <cellStyle name="Comma 2 2 2 3 2 2 2 2 3" xfId="658"/>
    <cellStyle name="Comma 2 2 2 3 2 2 2 3" xfId="659"/>
    <cellStyle name="Comma 2 2 2 3 2 2 2 3 2" xfId="660"/>
    <cellStyle name="Comma 2 2 2 3 2 2 2 4" xfId="661"/>
    <cellStyle name="Comma 2 2 2 3 2 2 3" xfId="662"/>
    <cellStyle name="Comma 2 2 2 3 2 2 3 2" xfId="663"/>
    <cellStyle name="Comma 2 2 2 3 2 2 3 2 2" xfId="664"/>
    <cellStyle name="Comma 2 2 2 3 2 2 3 3" xfId="665"/>
    <cellStyle name="Comma 2 2 2 3 2 2 4" xfId="666"/>
    <cellStyle name="Comma 2 2 2 3 2 2 4 2" xfId="667"/>
    <cellStyle name="Comma 2 2 2 3 2 2 4 3" xfId="668"/>
    <cellStyle name="Comma 2 2 2 3 2 2 5" xfId="669"/>
    <cellStyle name="Comma 2 2 2 3 2 2 5 2" xfId="670"/>
    <cellStyle name="Comma 2 2 2 3 2 2 6" xfId="671"/>
    <cellStyle name="Comma 2 2 2 3 2 2 6 2" xfId="35823"/>
    <cellStyle name="Comma 2 2 2 3 2 2 7" xfId="672"/>
    <cellStyle name="Comma 2 2 2 3 2 3" xfId="673"/>
    <cellStyle name="Comma 2 2 2 3 2 3 2" xfId="674"/>
    <cellStyle name="Comma 2 2 2 3 2 3 2 2" xfId="675"/>
    <cellStyle name="Comma 2 2 2 3 2 3 2 2 2" xfId="676"/>
    <cellStyle name="Comma 2 2 2 3 2 3 2 3" xfId="677"/>
    <cellStyle name="Comma 2 2 2 3 2 3 3" xfId="678"/>
    <cellStyle name="Comma 2 2 2 3 2 3 3 2" xfId="679"/>
    <cellStyle name="Comma 2 2 2 3 2 3 4" xfId="680"/>
    <cellStyle name="Comma 2 2 2 3 2 4" xfId="681"/>
    <cellStyle name="Comma 2 2 2 3 2 4 2" xfId="682"/>
    <cellStyle name="Comma 2 2 2 3 2 4 2 2" xfId="683"/>
    <cellStyle name="Comma 2 2 2 3 2 4 3" xfId="684"/>
    <cellStyle name="Comma 2 2 2 3 2 5" xfId="685"/>
    <cellStyle name="Comma 2 2 2 3 2 5 2" xfId="686"/>
    <cellStyle name="Comma 2 2 2 3 2 5 2 2" xfId="687"/>
    <cellStyle name="Comma 2 2 2 3 2 5 3" xfId="688"/>
    <cellStyle name="Comma 2 2 2 3 2 6" xfId="689"/>
    <cellStyle name="Comma 2 2 2 3 2 6 2" xfId="690"/>
    <cellStyle name="Comma 2 2 2 3 2 7" xfId="691"/>
    <cellStyle name="Comma 2 2 2 3 2 7 2" xfId="35824"/>
    <cellStyle name="Comma 2 2 2 3 2 8" xfId="692"/>
    <cellStyle name="Comma 2 2 2 3 3" xfId="693"/>
    <cellStyle name="Comma 2 2 2 3 3 2" xfId="694"/>
    <cellStyle name="Comma 2 2 2 3 3 2 2" xfId="695"/>
    <cellStyle name="Comma 2 2 2 3 3 2 2 2" xfId="696"/>
    <cellStyle name="Comma 2 2 2 3 3 2 2 3" xfId="697"/>
    <cellStyle name="Comma 2 2 2 3 3 2 3" xfId="698"/>
    <cellStyle name="Comma 2 2 2 3 3 2 3 2" xfId="699"/>
    <cellStyle name="Comma 2 2 2 3 3 2 4" xfId="700"/>
    <cellStyle name="Comma 2 2 2 3 3 3" xfId="701"/>
    <cellStyle name="Comma 2 2 2 3 3 3 2" xfId="702"/>
    <cellStyle name="Comma 2 2 2 3 3 3 2 2" xfId="703"/>
    <cellStyle name="Comma 2 2 2 3 3 3 3" xfId="704"/>
    <cellStyle name="Comma 2 2 2 3 3 4" xfId="705"/>
    <cellStyle name="Comma 2 2 2 3 3 4 2" xfId="706"/>
    <cellStyle name="Comma 2 2 2 3 3 4 3" xfId="707"/>
    <cellStyle name="Comma 2 2 2 3 3 5" xfId="708"/>
    <cellStyle name="Comma 2 2 2 3 3 5 2" xfId="709"/>
    <cellStyle name="Comma 2 2 2 3 3 6" xfId="710"/>
    <cellStyle name="Comma 2 2 2 3 3 6 2" xfId="35825"/>
    <cellStyle name="Comma 2 2 2 3 3 7" xfId="711"/>
    <cellStyle name="Comma 2 2 2 3 4" xfId="712"/>
    <cellStyle name="Comma 2 2 2 3 4 2" xfId="713"/>
    <cellStyle name="Comma 2 2 2 3 4 2 2" xfId="714"/>
    <cellStyle name="Comma 2 2 2 3 4 2 2 2" xfId="715"/>
    <cellStyle name="Comma 2 2 2 3 4 2 3" xfId="716"/>
    <cellStyle name="Comma 2 2 2 3 4 3" xfId="717"/>
    <cellStyle name="Comma 2 2 2 3 4 3 2" xfId="718"/>
    <cellStyle name="Comma 2 2 2 3 4 4" xfId="719"/>
    <cellStyle name="Comma 2 2 2 3 5" xfId="720"/>
    <cellStyle name="Comma 2 2 2 3 5 2" xfId="721"/>
    <cellStyle name="Comma 2 2 2 3 5 2 2" xfId="722"/>
    <cellStyle name="Comma 2 2 2 3 5 3" xfId="723"/>
    <cellStyle name="Comma 2 2 2 3 6" xfId="724"/>
    <cellStyle name="Comma 2 2 2 3 6 2" xfId="725"/>
    <cellStyle name="Comma 2 2 2 3 6 2 2" xfId="726"/>
    <cellStyle name="Comma 2 2 2 3 6 3" xfId="727"/>
    <cellStyle name="Comma 2 2 2 3 7" xfId="728"/>
    <cellStyle name="Comma 2 2 2 3 7 2" xfId="729"/>
    <cellStyle name="Comma 2 2 2 3 8" xfId="730"/>
    <cellStyle name="Comma 2 2 2 3 8 2" xfId="35826"/>
    <cellStyle name="Comma 2 2 2 3 9" xfId="731"/>
    <cellStyle name="Comma 2 2 2 4" xfId="732"/>
    <cellStyle name="Comma 2 2 2 4 2" xfId="733"/>
    <cellStyle name="Comma 2 2 2 4 2 2" xfId="734"/>
    <cellStyle name="Comma 2 2 2 4 2 2 2" xfId="735"/>
    <cellStyle name="Comma 2 2 2 4 2 2 2 2" xfId="736"/>
    <cellStyle name="Comma 2 2 2 4 2 2 2 2 2" xfId="737"/>
    <cellStyle name="Comma 2 2 2 4 2 2 2 2 3" xfId="738"/>
    <cellStyle name="Comma 2 2 2 4 2 2 2 3" xfId="739"/>
    <cellStyle name="Comma 2 2 2 4 2 2 2 3 2" xfId="740"/>
    <cellStyle name="Comma 2 2 2 4 2 2 2 4" xfId="741"/>
    <cellStyle name="Comma 2 2 2 4 2 2 3" xfId="742"/>
    <cellStyle name="Comma 2 2 2 4 2 2 3 2" xfId="743"/>
    <cellStyle name="Comma 2 2 2 4 2 2 3 2 2" xfId="744"/>
    <cellStyle name="Comma 2 2 2 4 2 2 3 3" xfId="745"/>
    <cellStyle name="Comma 2 2 2 4 2 2 4" xfId="746"/>
    <cellStyle name="Comma 2 2 2 4 2 2 4 2" xfId="747"/>
    <cellStyle name="Comma 2 2 2 4 2 2 4 3" xfId="748"/>
    <cellStyle name="Comma 2 2 2 4 2 2 5" xfId="749"/>
    <cellStyle name="Comma 2 2 2 4 2 2 5 2" xfId="750"/>
    <cellStyle name="Comma 2 2 2 4 2 2 6" xfId="751"/>
    <cellStyle name="Comma 2 2 2 4 2 2 6 2" xfId="35827"/>
    <cellStyle name="Comma 2 2 2 4 2 2 7" xfId="752"/>
    <cellStyle name="Comma 2 2 2 4 2 3" xfId="753"/>
    <cellStyle name="Comma 2 2 2 4 2 3 2" xfId="754"/>
    <cellStyle name="Comma 2 2 2 4 2 3 2 2" xfId="755"/>
    <cellStyle name="Comma 2 2 2 4 2 3 2 2 2" xfId="756"/>
    <cellStyle name="Comma 2 2 2 4 2 3 2 3" xfId="757"/>
    <cellStyle name="Comma 2 2 2 4 2 3 3" xfId="758"/>
    <cellStyle name="Comma 2 2 2 4 2 3 3 2" xfId="759"/>
    <cellStyle name="Comma 2 2 2 4 2 3 4" xfId="760"/>
    <cellStyle name="Comma 2 2 2 4 2 4" xfId="761"/>
    <cellStyle name="Comma 2 2 2 4 2 4 2" xfId="762"/>
    <cellStyle name="Comma 2 2 2 4 2 4 2 2" xfId="763"/>
    <cellStyle name="Comma 2 2 2 4 2 4 3" xfId="764"/>
    <cellStyle name="Comma 2 2 2 4 2 5" xfId="765"/>
    <cellStyle name="Comma 2 2 2 4 2 5 2" xfId="766"/>
    <cellStyle name="Comma 2 2 2 4 2 5 2 2" xfId="767"/>
    <cellStyle name="Comma 2 2 2 4 2 5 3" xfId="768"/>
    <cellStyle name="Comma 2 2 2 4 2 6" xfId="769"/>
    <cellStyle name="Comma 2 2 2 4 2 6 2" xfId="770"/>
    <cellStyle name="Comma 2 2 2 4 2 7" xfId="771"/>
    <cellStyle name="Comma 2 2 2 4 2 7 2" xfId="35828"/>
    <cellStyle name="Comma 2 2 2 4 2 8" xfId="772"/>
    <cellStyle name="Comma 2 2 2 4 3" xfId="773"/>
    <cellStyle name="Comma 2 2 2 4 3 2" xfId="774"/>
    <cellStyle name="Comma 2 2 2 4 3 2 2" xfId="775"/>
    <cellStyle name="Comma 2 2 2 4 3 2 2 2" xfId="776"/>
    <cellStyle name="Comma 2 2 2 4 3 2 2 3" xfId="777"/>
    <cellStyle name="Comma 2 2 2 4 3 2 3" xfId="778"/>
    <cellStyle name="Comma 2 2 2 4 3 2 3 2" xfId="779"/>
    <cellStyle name="Comma 2 2 2 4 3 2 4" xfId="780"/>
    <cellStyle name="Comma 2 2 2 4 3 3" xfId="781"/>
    <cellStyle name="Comma 2 2 2 4 3 3 2" xfId="782"/>
    <cellStyle name="Comma 2 2 2 4 3 3 2 2" xfId="783"/>
    <cellStyle name="Comma 2 2 2 4 3 3 3" xfId="784"/>
    <cellStyle name="Comma 2 2 2 4 3 4" xfId="785"/>
    <cellStyle name="Comma 2 2 2 4 3 4 2" xfId="786"/>
    <cellStyle name="Comma 2 2 2 4 3 4 3" xfId="787"/>
    <cellStyle name="Comma 2 2 2 4 3 5" xfId="788"/>
    <cellStyle name="Comma 2 2 2 4 3 5 2" xfId="789"/>
    <cellStyle name="Comma 2 2 2 4 3 6" xfId="790"/>
    <cellStyle name="Comma 2 2 2 4 3 6 2" xfId="35829"/>
    <cellStyle name="Comma 2 2 2 4 3 7" xfId="791"/>
    <cellStyle name="Comma 2 2 2 4 4" xfId="792"/>
    <cellStyle name="Comma 2 2 2 4 4 2" xfId="793"/>
    <cellStyle name="Comma 2 2 2 4 4 2 2" xfId="794"/>
    <cellStyle name="Comma 2 2 2 4 4 2 2 2" xfId="795"/>
    <cellStyle name="Comma 2 2 2 4 4 2 3" xfId="796"/>
    <cellStyle name="Comma 2 2 2 4 4 3" xfId="797"/>
    <cellStyle name="Comma 2 2 2 4 4 3 2" xfId="798"/>
    <cellStyle name="Comma 2 2 2 4 4 4" xfId="799"/>
    <cellStyle name="Comma 2 2 2 4 5" xfId="800"/>
    <cellStyle name="Comma 2 2 2 4 5 2" xfId="801"/>
    <cellStyle name="Comma 2 2 2 4 5 2 2" xfId="802"/>
    <cellStyle name="Comma 2 2 2 4 5 3" xfId="803"/>
    <cellStyle name="Comma 2 2 2 4 6" xfId="804"/>
    <cellStyle name="Comma 2 2 2 4 6 2" xfId="805"/>
    <cellStyle name="Comma 2 2 2 4 6 2 2" xfId="806"/>
    <cellStyle name="Comma 2 2 2 4 6 3" xfId="807"/>
    <cellStyle name="Comma 2 2 2 4 7" xfId="808"/>
    <cellStyle name="Comma 2 2 2 4 7 2" xfId="809"/>
    <cellStyle name="Comma 2 2 2 4 8" xfId="810"/>
    <cellStyle name="Comma 2 2 2 4 8 2" xfId="35830"/>
    <cellStyle name="Comma 2 2 2 4 9" xfId="811"/>
    <cellStyle name="Comma 2 2 2 5" xfId="812"/>
    <cellStyle name="Comma 2 2 2 5 2" xfId="813"/>
    <cellStyle name="Comma 2 2 2 5 2 2" xfId="814"/>
    <cellStyle name="Comma 2 2 2 5 2 2 2" xfId="815"/>
    <cellStyle name="Comma 2 2 2 5 2 2 2 2" xfId="816"/>
    <cellStyle name="Comma 2 2 2 5 2 2 2 3" xfId="817"/>
    <cellStyle name="Comma 2 2 2 5 2 2 3" xfId="818"/>
    <cellStyle name="Comma 2 2 2 5 2 2 3 2" xfId="819"/>
    <cellStyle name="Comma 2 2 2 5 2 2 4" xfId="820"/>
    <cellStyle name="Comma 2 2 2 5 2 3" xfId="821"/>
    <cellStyle name="Comma 2 2 2 5 2 3 2" xfId="822"/>
    <cellStyle name="Comma 2 2 2 5 2 3 2 2" xfId="823"/>
    <cellStyle name="Comma 2 2 2 5 2 3 3" xfId="824"/>
    <cellStyle name="Comma 2 2 2 5 2 4" xfId="825"/>
    <cellStyle name="Comma 2 2 2 5 2 4 2" xfId="826"/>
    <cellStyle name="Comma 2 2 2 5 2 4 3" xfId="827"/>
    <cellStyle name="Comma 2 2 2 5 2 5" xfId="828"/>
    <cellStyle name="Comma 2 2 2 5 2 5 2" xfId="829"/>
    <cellStyle name="Comma 2 2 2 5 2 6" xfId="830"/>
    <cellStyle name="Comma 2 2 2 5 2 6 2" xfId="35831"/>
    <cellStyle name="Comma 2 2 2 5 2 7" xfId="831"/>
    <cellStyle name="Comma 2 2 2 5 3" xfId="832"/>
    <cellStyle name="Comma 2 2 2 5 3 2" xfId="833"/>
    <cellStyle name="Comma 2 2 2 5 3 2 2" xfId="834"/>
    <cellStyle name="Comma 2 2 2 5 3 2 2 2" xfId="835"/>
    <cellStyle name="Comma 2 2 2 5 3 2 3" xfId="836"/>
    <cellStyle name="Comma 2 2 2 5 3 3" xfId="837"/>
    <cellStyle name="Comma 2 2 2 5 3 3 2" xfId="838"/>
    <cellStyle name="Comma 2 2 2 5 3 4" xfId="839"/>
    <cellStyle name="Comma 2 2 2 5 4" xfId="840"/>
    <cellStyle name="Comma 2 2 2 5 4 2" xfId="841"/>
    <cellStyle name="Comma 2 2 2 5 4 2 2" xfId="842"/>
    <cellStyle name="Comma 2 2 2 5 4 3" xfId="843"/>
    <cellStyle name="Comma 2 2 2 5 5" xfId="844"/>
    <cellStyle name="Comma 2 2 2 5 5 2" xfId="845"/>
    <cellStyle name="Comma 2 2 2 5 5 2 2" xfId="846"/>
    <cellStyle name="Comma 2 2 2 5 5 3" xfId="847"/>
    <cellStyle name="Comma 2 2 2 5 6" xfId="848"/>
    <cellStyle name="Comma 2 2 2 5 6 2" xfId="849"/>
    <cellStyle name="Comma 2 2 2 5 7" xfId="850"/>
    <cellStyle name="Comma 2 2 2 5 7 2" xfId="35832"/>
    <cellStyle name="Comma 2 2 2 5 8" xfId="851"/>
    <cellStyle name="Comma 2 2 2 6" xfId="852"/>
    <cellStyle name="Comma 2 2 2 6 2" xfId="853"/>
    <cellStyle name="Comma 2 2 2 6 2 2" xfId="854"/>
    <cellStyle name="Comma 2 2 2 6 2 2 2" xfId="855"/>
    <cellStyle name="Comma 2 2 2 6 2 2 2 2" xfId="856"/>
    <cellStyle name="Comma 2 2 2 6 2 2 2 3" xfId="857"/>
    <cellStyle name="Comma 2 2 2 6 2 2 3" xfId="858"/>
    <cellStyle name="Comma 2 2 2 6 2 2 3 2" xfId="859"/>
    <cellStyle name="Comma 2 2 2 6 2 2 4" xfId="860"/>
    <cellStyle name="Comma 2 2 2 6 2 3" xfId="861"/>
    <cellStyle name="Comma 2 2 2 6 2 3 2" xfId="862"/>
    <cellStyle name="Comma 2 2 2 6 2 3 2 2" xfId="863"/>
    <cellStyle name="Comma 2 2 2 6 2 3 3" xfId="864"/>
    <cellStyle name="Comma 2 2 2 6 2 4" xfId="865"/>
    <cellStyle name="Comma 2 2 2 6 2 4 2" xfId="866"/>
    <cellStyle name="Comma 2 2 2 6 2 4 3" xfId="867"/>
    <cellStyle name="Comma 2 2 2 6 2 5" xfId="868"/>
    <cellStyle name="Comma 2 2 2 6 2 5 2" xfId="869"/>
    <cellStyle name="Comma 2 2 2 6 2 6" xfId="870"/>
    <cellStyle name="Comma 2 2 2 6 2 6 2" xfId="35833"/>
    <cellStyle name="Comma 2 2 2 6 2 7" xfId="871"/>
    <cellStyle name="Comma 2 2 2 6 3" xfId="872"/>
    <cellStyle name="Comma 2 2 2 6 3 2" xfId="873"/>
    <cellStyle name="Comma 2 2 2 6 3 2 2" xfId="874"/>
    <cellStyle name="Comma 2 2 2 6 3 2 2 2" xfId="875"/>
    <cellStyle name="Comma 2 2 2 6 3 2 3" xfId="876"/>
    <cellStyle name="Comma 2 2 2 6 3 3" xfId="877"/>
    <cellStyle name="Comma 2 2 2 6 3 3 2" xfId="878"/>
    <cellStyle name="Comma 2 2 2 6 3 4" xfId="879"/>
    <cellStyle name="Comma 2 2 2 6 4" xfId="880"/>
    <cellStyle name="Comma 2 2 2 6 4 2" xfId="881"/>
    <cellStyle name="Comma 2 2 2 6 4 2 2" xfId="882"/>
    <cellStyle name="Comma 2 2 2 6 4 3" xfId="883"/>
    <cellStyle name="Comma 2 2 2 6 5" xfId="884"/>
    <cellStyle name="Comma 2 2 2 6 5 2" xfId="885"/>
    <cellStyle name="Comma 2 2 2 6 5 2 2" xfId="886"/>
    <cellStyle name="Comma 2 2 2 6 5 3" xfId="887"/>
    <cellStyle name="Comma 2 2 2 6 6" xfId="888"/>
    <cellStyle name="Comma 2 2 2 6 6 2" xfId="889"/>
    <cellStyle name="Comma 2 2 2 6 7" xfId="890"/>
    <cellStyle name="Comma 2 2 2 6 7 2" xfId="35834"/>
    <cellStyle name="Comma 2 2 2 6 8" xfId="891"/>
    <cellStyle name="Comma 2 2 2 7" xfId="892"/>
    <cellStyle name="Comma 2 2 2 7 2" xfId="893"/>
    <cellStyle name="Comma 2 2 2 7 2 2" xfId="894"/>
    <cellStyle name="Comma 2 2 2 7 2 2 2" xfId="895"/>
    <cellStyle name="Comma 2 2 2 7 2 2 2 2" xfId="896"/>
    <cellStyle name="Comma 2 2 2 7 2 2 2 3" xfId="897"/>
    <cellStyle name="Comma 2 2 2 7 2 2 3" xfId="898"/>
    <cellStyle name="Comma 2 2 2 7 2 2 3 2" xfId="899"/>
    <cellStyle name="Comma 2 2 2 7 2 2 4" xfId="900"/>
    <cellStyle name="Comma 2 2 2 7 2 3" xfId="901"/>
    <cellStyle name="Comma 2 2 2 7 2 3 2" xfId="902"/>
    <cellStyle name="Comma 2 2 2 7 2 3 2 2" xfId="903"/>
    <cellStyle name="Comma 2 2 2 7 2 3 3" xfId="904"/>
    <cellStyle name="Comma 2 2 2 7 2 4" xfId="905"/>
    <cellStyle name="Comma 2 2 2 7 2 4 2" xfId="906"/>
    <cellStyle name="Comma 2 2 2 7 2 4 3" xfId="907"/>
    <cellStyle name="Comma 2 2 2 7 2 5" xfId="908"/>
    <cellStyle name="Comma 2 2 2 7 2 5 2" xfId="909"/>
    <cellStyle name="Comma 2 2 2 7 2 6" xfId="910"/>
    <cellStyle name="Comma 2 2 2 7 2 6 2" xfId="35835"/>
    <cellStyle name="Comma 2 2 2 7 2 7" xfId="911"/>
    <cellStyle name="Comma 2 2 2 7 3" xfId="912"/>
    <cellStyle name="Comma 2 2 2 7 3 2" xfId="913"/>
    <cellStyle name="Comma 2 2 2 7 3 2 2" xfId="914"/>
    <cellStyle name="Comma 2 2 2 7 3 2 2 2" xfId="915"/>
    <cellStyle name="Comma 2 2 2 7 3 2 3" xfId="916"/>
    <cellStyle name="Comma 2 2 2 7 3 3" xfId="917"/>
    <cellStyle name="Comma 2 2 2 7 3 3 2" xfId="918"/>
    <cellStyle name="Comma 2 2 2 7 3 4" xfId="919"/>
    <cellStyle name="Comma 2 2 2 7 4" xfId="920"/>
    <cellStyle name="Comma 2 2 2 7 4 2" xfId="921"/>
    <cellStyle name="Comma 2 2 2 7 4 2 2" xfId="922"/>
    <cellStyle name="Comma 2 2 2 7 4 3" xfId="923"/>
    <cellStyle name="Comma 2 2 2 7 5" xfId="924"/>
    <cellStyle name="Comma 2 2 2 7 5 2" xfId="925"/>
    <cellStyle name="Comma 2 2 2 7 5 2 2" xfId="926"/>
    <cellStyle name="Comma 2 2 2 7 5 3" xfId="927"/>
    <cellStyle name="Comma 2 2 2 7 6" xfId="928"/>
    <cellStyle name="Comma 2 2 2 7 6 2" xfId="929"/>
    <cellStyle name="Comma 2 2 2 7 7" xfId="930"/>
    <cellStyle name="Comma 2 2 2 7 7 2" xfId="35836"/>
    <cellStyle name="Comma 2 2 2 7 8" xfId="931"/>
    <cellStyle name="Comma 2 2 2 8" xfId="932"/>
    <cellStyle name="Comma 2 2 2 8 2" xfId="933"/>
    <cellStyle name="Comma 2 2 2 8 2 2" xfId="934"/>
    <cellStyle name="Comma 2 2 2 8 2 2 2" xfId="935"/>
    <cellStyle name="Comma 2 2 2 8 2 2 3" xfId="936"/>
    <cellStyle name="Comma 2 2 2 8 2 3" xfId="937"/>
    <cellStyle name="Comma 2 2 2 8 2 3 2" xfId="938"/>
    <cellStyle name="Comma 2 2 2 8 2 4" xfId="939"/>
    <cellStyle name="Comma 2 2 2 8 3" xfId="940"/>
    <cellStyle name="Comma 2 2 2 8 3 2" xfId="941"/>
    <cellStyle name="Comma 2 2 2 8 3 2 2" xfId="942"/>
    <cellStyle name="Comma 2 2 2 8 3 3" xfId="943"/>
    <cellStyle name="Comma 2 2 2 8 4" xfId="944"/>
    <cellStyle name="Comma 2 2 2 8 4 2" xfId="945"/>
    <cellStyle name="Comma 2 2 2 8 4 3" xfId="946"/>
    <cellStyle name="Comma 2 2 2 8 5" xfId="947"/>
    <cellStyle name="Comma 2 2 2 8 5 2" xfId="948"/>
    <cellStyle name="Comma 2 2 2 8 6" xfId="949"/>
    <cellStyle name="Comma 2 2 2 8 6 2" xfId="35837"/>
    <cellStyle name="Comma 2 2 2 8 7" xfId="950"/>
    <cellStyle name="Comma 2 2 2 9" xfId="951"/>
    <cellStyle name="Comma 2 2 2 9 2" xfId="952"/>
    <cellStyle name="Comma 2 2 2 9 2 2" xfId="953"/>
    <cellStyle name="Comma 2 2 2 9 2 2 2" xfId="954"/>
    <cellStyle name="Comma 2 2 2 9 2 3" xfId="955"/>
    <cellStyle name="Comma 2 2 2 9 3" xfId="956"/>
    <cellStyle name="Comma 2 2 2 9 3 2" xfId="957"/>
    <cellStyle name="Comma 2 2 2 9 4" xfId="958"/>
    <cellStyle name="Comma 2 2 3" xfId="959"/>
    <cellStyle name="Comma 2 2 3 10" xfId="960"/>
    <cellStyle name="Comma 2 2 3 10 2" xfId="961"/>
    <cellStyle name="Comma 2 2 3 10 2 2" xfId="962"/>
    <cellStyle name="Comma 2 2 3 10 3" xfId="963"/>
    <cellStyle name="Comma 2 2 3 11" xfId="964"/>
    <cellStyle name="Comma 2 2 3 11 2" xfId="965"/>
    <cellStyle name="Comma 2 2 3 11 2 2" xfId="966"/>
    <cellStyle name="Comma 2 2 3 11 3" xfId="967"/>
    <cellStyle name="Comma 2 2 3 12" xfId="968"/>
    <cellStyle name="Comma 2 2 3 12 2" xfId="969"/>
    <cellStyle name="Comma 2 2 3 13" xfId="970"/>
    <cellStyle name="Comma 2 2 3 13 2" xfId="35838"/>
    <cellStyle name="Comma 2 2 3 14" xfId="971"/>
    <cellStyle name="Comma 2 2 3 2" xfId="972"/>
    <cellStyle name="Comma 2 2 3 2 10" xfId="973"/>
    <cellStyle name="Comma 2 2 3 2 2" xfId="974"/>
    <cellStyle name="Comma 2 2 3 2 2 2" xfId="975"/>
    <cellStyle name="Comma 2 2 3 2 2 2 2" xfId="976"/>
    <cellStyle name="Comma 2 2 3 2 2 2 2 2" xfId="977"/>
    <cellStyle name="Comma 2 2 3 2 2 2 2 2 2" xfId="978"/>
    <cellStyle name="Comma 2 2 3 2 2 2 2 2 2 2" xfId="979"/>
    <cellStyle name="Comma 2 2 3 2 2 2 2 2 2 3" xfId="980"/>
    <cellStyle name="Comma 2 2 3 2 2 2 2 2 3" xfId="981"/>
    <cellStyle name="Comma 2 2 3 2 2 2 2 2 3 2" xfId="982"/>
    <cellStyle name="Comma 2 2 3 2 2 2 2 2 4" xfId="983"/>
    <cellStyle name="Comma 2 2 3 2 2 2 2 3" xfId="984"/>
    <cellStyle name="Comma 2 2 3 2 2 2 2 3 2" xfId="985"/>
    <cellStyle name="Comma 2 2 3 2 2 2 2 3 2 2" xfId="986"/>
    <cellStyle name="Comma 2 2 3 2 2 2 2 3 3" xfId="987"/>
    <cellStyle name="Comma 2 2 3 2 2 2 2 4" xfId="988"/>
    <cellStyle name="Comma 2 2 3 2 2 2 2 4 2" xfId="989"/>
    <cellStyle name="Comma 2 2 3 2 2 2 2 4 3" xfId="990"/>
    <cellStyle name="Comma 2 2 3 2 2 2 2 5" xfId="991"/>
    <cellStyle name="Comma 2 2 3 2 2 2 2 5 2" xfId="992"/>
    <cellStyle name="Comma 2 2 3 2 2 2 2 6" xfId="993"/>
    <cellStyle name="Comma 2 2 3 2 2 2 2 6 2" xfId="35839"/>
    <cellStyle name="Comma 2 2 3 2 2 2 2 7" xfId="994"/>
    <cellStyle name="Comma 2 2 3 2 2 2 3" xfId="995"/>
    <cellStyle name="Comma 2 2 3 2 2 2 3 2" xfId="996"/>
    <cellStyle name="Comma 2 2 3 2 2 2 3 2 2" xfId="997"/>
    <cellStyle name="Comma 2 2 3 2 2 2 3 2 2 2" xfId="998"/>
    <cellStyle name="Comma 2 2 3 2 2 2 3 2 3" xfId="999"/>
    <cellStyle name="Comma 2 2 3 2 2 2 3 3" xfId="1000"/>
    <cellStyle name="Comma 2 2 3 2 2 2 3 3 2" xfId="1001"/>
    <cellStyle name="Comma 2 2 3 2 2 2 3 4" xfId="1002"/>
    <cellStyle name="Comma 2 2 3 2 2 2 4" xfId="1003"/>
    <cellStyle name="Comma 2 2 3 2 2 2 4 2" xfId="1004"/>
    <cellStyle name="Comma 2 2 3 2 2 2 4 2 2" xfId="1005"/>
    <cellStyle name="Comma 2 2 3 2 2 2 4 3" xfId="1006"/>
    <cellStyle name="Comma 2 2 3 2 2 2 5" xfId="1007"/>
    <cellStyle name="Comma 2 2 3 2 2 2 5 2" xfId="1008"/>
    <cellStyle name="Comma 2 2 3 2 2 2 5 2 2" xfId="1009"/>
    <cellStyle name="Comma 2 2 3 2 2 2 5 3" xfId="1010"/>
    <cellStyle name="Comma 2 2 3 2 2 2 6" xfId="1011"/>
    <cellStyle name="Comma 2 2 3 2 2 2 6 2" xfId="1012"/>
    <cellStyle name="Comma 2 2 3 2 2 2 7" xfId="1013"/>
    <cellStyle name="Comma 2 2 3 2 2 2 7 2" xfId="35840"/>
    <cellStyle name="Comma 2 2 3 2 2 2 8" xfId="1014"/>
    <cellStyle name="Comma 2 2 3 2 2 3" xfId="1015"/>
    <cellStyle name="Comma 2 2 3 2 2 3 2" xfId="1016"/>
    <cellStyle name="Comma 2 2 3 2 2 3 2 2" xfId="1017"/>
    <cellStyle name="Comma 2 2 3 2 2 3 2 2 2" xfId="1018"/>
    <cellStyle name="Comma 2 2 3 2 2 3 2 2 3" xfId="1019"/>
    <cellStyle name="Comma 2 2 3 2 2 3 2 3" xfId="1020"/>
    <cellStyle name="Comma 2 2 3 2 2 3 2 3 2" xfId="1021"/>
    <cellStyle name="Comma 2 2 3 2 2 3 2 4" xfId="1022"/>
    <cellStyle name="Comma 2 2 3 2 2 3 3" xfId="1023"/>
    <cellStyle name="Comma 2 2 3 2 2 3 3 2" xfId="1024"/>
    <cellStyle name="Comma 2 2 3 2 2 3 3 2 2" xfId="1025"/>
    <cellStyle name="Comma 2 2 3 2 2 3 3 3" xfId="1026"/>
    <cellStyle name="Comma 2 2 3 2 2 3 4" xfId="1027"/>
    <cellStyle name="Comma 2 2 3 2 2 3 4 2" xfId="1028"/>
    <cellStyle name="Comma 2 2 3 2 2 3 4 3" xfId="1029"/>
    <cellStyle name="Comma 2 2 3 2 2 3 5" xfId="1030"/>
    <cellStyle name="Comma 2 2 3 2 2 3 5 2" xfId="1031"/>
    <cellStyle name="Comma 2 2 3 2 2 3 6" xfId="1032"/>
    <cellStyle name="Comma 2 2 3 2 2 3 6 2" xfId="35841"/>
    <cellStyle name="Comma 2 2 3 2 2 3 7" xfId="1033"/>
    <cellStyle name="Comma 2 2 3 2 2 4" xfId="1034"/>
    <cellStyle name="Comma 2 2 3 2 2 4 2" xfId="1035"/>
    <cellStyle name="Comma 2 2 3 2 2 4 2 2" xfId="1036"/>
    <cellStyle name="Comma 2 2 3 2 2 4 2 2 2" xfId="1037"/>
    <cellStyle name="Comma 2 2 3 2 2 4 2 3" xfId="1038"/>
    <cellStyle name="Comma 2 2 3 2 2 4 3" xfId="1039"/>
    <cellStyle name="Comma 2 2 3 2 2 4 3 2" xfId="1040"/>
    <cellStyle name="Comma 2 2 3 2 2 4 4" xfId="1041"/>
    <cellStyle name="Comma 2 2 3 2 2 5" xfId="1042"/>
    <cellStyle name="Comma 2 2 3 2 2 5 2" xfId="1043"/>
    <cellStyle name="Comma 2 2 3 2 2 5 2 2" xfId="1044"/>
    <cellStyle name="Comma 2 2 3 2 2 5 3" xfId="1045"/>
    <cellStyle name="Comma 2 2 3 2 2 6" xfId="1046"/>
    <cellStyle name="Comma 2 2 3 2 2 6 2" xfId="1047"/>
    <cellStyle name="Comma 2 2 3 2 2 6 2 2" xfId="1048"/>
    <cellStyle name="Comma 2 2 3 2 2 6 3" xfId="1049"/>
    <cellStyle name="Comma 2 2 3 2 2 7" xfId="1050"/>
    <cellStyle name="Comma 2 2 3 2 2 7 2" xfId="1051"/>
    <cellStyle name="Comma 2 2 3 2 2 8" xfId="1052"/>
    <cellStyle name="Comma 2 2 3 2 2 8 2" xfId="35842"/>
    <cellStyle name="Comma 2 2 3 2 2 9" xfId="1053"/>
    <cellStyle name="Comma 2 2 3 2 3" xfId="1054"/>
    <cellStyle name="Comma 2 2 3 2 3 2" xfId="1055"/>
    <cellStyle name="Comma 2 2 3 2 3 2 2" xfId="1056"/>
    <cellStyle name="Comma 2 2 3 2 3 2 2 2" xfId="1057"/>
    <cellStyle name="Comma 2 2 3 2 3 2 2 2 2" xfId="1058"/>
    <cellStyle name="Comma 2 2 3 2 3 2 2 2 3" xfId="1059"/>
    <cellStyle name="Comma 2 2 3 2 3 2 2 3" xfId="1060"/>
    <cellStyle name="Comma 2 2 3 2 3 2 2 3 2" xfId="1061"/>
    <cellStyle name="Comma 2 2 3 2 3 2 2 4" xfId="1062"/>
    <cellStyle name="Comma 2 2 3 2 3 2 3" xfId="1063"/>
    <cellStyle name="Comma 2 2 3 2 3 2 3 2" xfId="1064"/>
    <cellStyle name="Comma 2 2 3 2 3 2 3 2 2" xfId="1065"/>
    <cellStyle name="Comma 2 2 3 2 3 2 3 3" xfId="1066"/>
    <cellStyle name="Comma 2 2 3 2 3 2 4" xfId="1067"/>
    <cellStyle name="Comma 2 2 3 2 3 2 4 2" xfId="1068"/>
    <cellStyle name="Comma 2 2 3 2 3 2 4 3" xfId="1069"/>
    <cellStyle name="Comma 2 2 3 2 3 2 5" xfId="1070"/>
    <cellStyle name="Comma 2 2 3 2 3 2 5 2" xfId="1071"/>
    <cellStyle name="Comma 2 2 3 2 3 2 6" xfId="1072"/>
    <cellStyle name="Comma 2 2 3 2 3 2 6 2" xfId="35843"/>
    <cellStyle name="Comma 2 2 3 2 3 2 7" xfId="1073"/>
    <cellStyle name="Comma 2 2 3 2 3 3" xfId="1074"/>
    <cellStyle name="Comma 2 2 3 2 3 3 2" xfId="1075"/>
    <cellStyle name="Comma 2 2 3 2 3 3 2 2" xfId="1076"/>
    <cellStyle name="Comma 2 2 3 2 3 3 2 2 2" xfId="1077"/>
    <cellStyle name="Comma 2 2 3 2 3 3 2 3" xfId="1078"/>
    <cellStyle name="Comma 2 2 3 2 3 3 3" xfId="1079"/>
    <cellStyle name="Comma 2 2 3 2 3 3 3 2" xfId="1080"/>
    <cellStyle name="Comma 2 2 3 2 3 3 4" xfId="1081"/>
    <cellStyle name="Comma 2 2 3 2 3 4" xfId="1082"/>
    <cellStyle name="Comma 2 2 3 2 3 4 2" xfId="1083"/>
    <cellStyle name="Comma 2 2 3 2 3 4 2 2" xfId="1084"/>
    <cellStyle name="Comma 2 2 3 2 3 4 3" xfId="1085"/>
    <cellStyle name="Comma 2 2 3 2 3 5" xfId="1086"/>
    <cellStyle name="Comma 2 2 3 2 3 5 2" xfId="1087"/>
    <cellStyle name="Comma 2 2 3 2 3 5 2 2" xfId="1088"/>
    <cellStyle name="Comma 2 2 3 2 3 5 3" xfId="1089"/>
    <cellStyle name="Comma 2 2 3 2 3 6" xfId="1090"/>
    <cellStyle name="Comma 2 2 3 2 3 6 2" xfId="1091"/>
    <cellStyle name="Comma 2 2 3 2 3 7" xfId="1092"/>
    <cellStyle name="Comma 2 2 3 2 3 7 2" xfId="35844"/>
    <cellStyle name="Comma 2 2 3 2 3 8" xfId="1093"/>
    <cellStyle name="Comma 2 2 3 2 4" xfId="1094"/>
    <cellStyle name="Comma 2 2 3 2 4 2" xfId="1095"/>
    <cellStyle name="Comma 2 2 3 2 4 2 2" xfId="1096"/>
    <cellStyle name="Comma 2 2 3 2 4 2 2 2" xfId="1097"/>
    <cellStyle name="Comma 2 2 3 2 4 2 2 3" xfId="1098"/>
    <cellStyle name="Comma 2 2 3 2 4 2 3" xfId="1099"/>
    <cellStyle name="Comma 2 2 3 2 4 2 3 2" xfId="1100"/>
    <cellStyle name="Comma 2 2 3 2 4 2 4" xfId="1101"/>
    <cellStyle name="Comma 2 2 3 2 4 3" xfId="1102"/>
    <cellStyle name="Comma 2 2 3 2 4 3 2" xfId="1103"/>
    <cellStyle name="Comma 2 2 3 2 4 3 2 2" xfId="1104"/>
    <cellStyle name="Comma 2 2 3 2 4 3 3" xfId="1105"/>
    <cellStyle name="Comma 2 2 3 2 4 4" xfId="1106"/>
    <cellStyle name="Comma 2 2 3 2 4 4 2" xfId="1107"/>
    <cellStyle name="Comma 2 2 3 2 4 4 3" xfId="1108"/>
    <cellStyle name="Comma 2 2 3 2 4 5" xfId="1109"/>
    <cellStyle name="Comma 2 2 3 2 4 5 2" xfId="1110"/>
    <cellStyle name="Comma 2 2 3 2 4 6" xfId="1111"/>
    <cellStyle name="Comma 2 2 3 2 4 6 2" xfId="35845"/>
    <cellStyle name="Comma 2 2 3 2 4 7" xfId="1112"/>
    <cellStyle name="Comma 2 2 3 2 5" xfId="1113"/>
    <cellStyle name="Comma 2 2 3 2 5 2" xfId="1114"/>
    <cellStyle name="Comma 2 2 3 2 5 2 2" xfId="1115"/>
    <cellStyle name="Comma 2 2 3 2 5 2 2 2" xfId="1116"/>
    <cellStyle name="Comma 2 2 3 2 5 2 3" xfId="1117"/>
    <cellStyle name="Comma 2 2 3 2 5 3" xfId="1118"/>
    <cellStyle name="Comma 2 2 3 2 5 3 2" xfId="1119"/>
    <cellStyle name="Comma 2 2 3 2 5 4" xfId="1120"/>
    <cellStyle name="Comma 2 2 3 2 6" xfId="1121"/>
    <cellStyle name="Comma 2 2 3 2 6 2" xfId="1122"/>
    <cellStyle name="Comma 2 2 3 2 6 2 2" xfId="1123"/>
    <cellStyle name="Comma 2 2 3 2 6 3" xfId="1124"/>
    <cellStyle name="Comma 2 2 3 2 7" xfId="1125"/>
    <cellStyle name="Comma 2 2 3 2 7 2" xfId="1126"/>
    <cellStyle name="Comma 2 2 3 2 7 2 2" xfId="1127"/>
    <cellStyle name="Comma 2 2 3 2 7 3" xfId="1128"/>
    <cellStyle name="Comma 2 2 3 2 8" xfId="1129"/>
    <cellStyle name="Comma 2 2 3 2 8 2" xfId="1130"/>
    <cellStyle name="Comma 2 2 3 2 9" xfId="1131"/>
    <cellStyle name="Comma 2 2 3 2 9 2" xfId="35846"/>
    <cellStyle name="Comma 2 2 3 3" xfId="1132"/>
    <cellStyle name="Comma 2 2 3 3 2" xfId="1133"/>
    <cellStyle name="Comma 2 2 3 3 2 2" xfId="1134"/>
    <cellStyle name="Comma 2 2 3 3 2 2 2" xfId="1135"/>
    <cellStyle name="Comma 2 2 3 3 2 2 2 2" xfId="1136"/>
    <cellStyle name="Comma 2 2 3 3 2 2 2 2 2" xfId="1137"/>
    <cellStyle name="Comma 2 2 3 3 2 2 2 2 3" xfId="1138"/>
    <cellStyle name="Comma 2 2 3 3 2 2 2 3" xfId="1139"/>
    <cellStyle name="Comma 2 2 3 3 2 2 2 3 2" xfId="1140"/>
    <cellStyle name="Comma 2 2 3 3 2 2 2 4" xfId="1141"/>
    <cellStyle name="Comma 2 2 3 3 2 2 3" xfId="1142"/>
    <cellStyle name="Comma 2 2 3 3 2 2 3 2" xfId="1143"/>
    <cellStyle name="Comma 2 2 3 3 2 2 3 2 2" xfId="1144"/>
    <cellStyle name="Comma 2 2 3 3 2 2 3 3" xfId="1145"/>
    <cellStyle name="Comma 2 2 3 3 2 2 4" xfId="1146"/>
    <cellStyle name="Comma 2 2 3 3 2 2 4 2" xfId="1147"/>
    <cellStyle name="Comma 2 2 3 3 2 2 4 3" xfId="1148"/>
    <cellStyle name="Comma 2 2 3 3 2 2 5" xfId="1149"/>
    <cellStyle name="Comma 2 2 3 3 2 2 5 2" xfId="1150"/>
    <cellStyle name="Comma 2 2 3 3 2 2 6" xfId="1151"/>
    <cellStyle name="Comma 2 2 3 3 2 2 6 2" xfId="35847"/>
    <cellStyle name="Comma 2 2 3 3 2 2 7" xfId="1152"/>
    <cellStyle name="Comma 2 2 3 3 2 3" xfId="1153"/>
    <cellStyle name="Comma 2 2 3 3 2 3 2" xfId="1154"/>
    <cellStyle name="Comma 2 2 3 3 2 3 2 2" xfId="1155"/>
    <cellStyle name="Comma 2 2 3 3 2 3 2 2 2" xfId="1156"/>
    <cellStyle name="Comma 2 2 3 3 2 3 2 3" xfId="1157"/>
    <cellStyle name="Comma 2 2 3 3 2 3 3" xfId="1158"/>
    <cellStyle name="Comma 2 2 3 3 2 3 3 2" xfId="1159"/>
    <cellStyle name="Comma 2 2 3 3 2 3 4" xfId="1160"/>
    <cellStyle name="Comma 2 2 3 3 2 4" xfId="1161"/>
    <cellStyle name="Comma 2 2 3 3 2 4 2" xfId="1162"/>
    <cellStyle name="Comma 2 2 3 3 2 4 2 2" xfId="1163"/>
    <cellStyle name="Comma 2 2 3 3 2 4 3" xfId="1164"/>
    <cellStyle name="Comma 2 2 3 3 2 5" xfId="1165"/>
    <cellStyle name="Comma 2 2 3 3 2 5 2" xfId="1166"/>
    <cellStyle name="Comma 2 2 3 3 2 5 2 2" xfId="1167"/>
    <cellStyle name="Comma 2 2 3 3 2 5 3" xfId="1168"/>
    <cellStyle name="Comma 2 2 3 3 2 6" xfId="1169"/>
    <cellStyle name="Comma 2 2 3 3 2 6 2" xfId="1170"/>
    <cellStyle name="Comma 2 2 3 3 2 7" xfId="1171"/>
    <cellStyle name="Comma 2 2 3 3 2 7 2" xfId="35848"/>
    <cellStyle name="Comma 2 2 3 3 2 8" xfId="1172"/>
    <cellStyle name="Comma 2 2 3 3 3" xfId="1173"/>
    <cellStyle name="Comma 2 2 3 3 3 2" xfId="1174"/>
    <cellStyle name="Comma 2 2 3 3 3 2 2" xfId="1175"/>
    <cellStyle name="Comma 2 2 3 3 3 2 2 2" xfId="1176"/>
    <cellStyle name="Comma 2 2 3 3 3 2 2 3" xfId="1177"/>
    <cellStyle name="Comma 2 2 3 3 3 2 3" xfId="1178"/>
    <cellStyle name="Comma 2 2 3 3 3 2 3 2" xfId="1179"/>
    <cellStyle name="Comma 2 2 3 3 3 2 4" xfId="1180"/>
    <cellStyle name="Comma 2 2 3 3 3 3" xfId="1181"/>
    <cellStyle name="Comma 2 2 3 3 3 3 2" xfId="1182"/>
    <cellStyle name="Comma 2 2 3 3 3 3 2 2" xfId="1183"/>
    <cellStyle name="Comma 2 2 3 3 3 3 3" xfId="1184"/>
    <cellStyle name="Comma 2 2 3 3 3 4" xfId="1185"/>
    <cellStyle name="Comma 2 2 3 3 3 4 2" xfId="1186"/>
    <cellStyle name="Comma 2 2 3 3 3 4 3" xfId="1187"/>
    <cellStyle name="Comma 2 2 3 3 3 5" xfId="1188"/>
    <cellStyle name="Comma 2 2 3 3 3 5 2" xfId="1189"/>
    <cellStyle name="Comma 2 2 3 3 3 6" xfId="1190"/>
    <cellStyle name="Comma 2 2 3 3 3 6 2" xfId="35849"/>
    <cellStyle name="Comma 2 2 3 3 3 7" xfId="1191"/>
    <cellStyle name="Comma 2 2 3 3 4" xfId="1192"/>
    <cellStyle name="Comma 2 2 3 3 4 2" xfId="1193"/>
    <cellStyle name="Comma 2 2 3 3 4 2 2" xfId="1194"/>
    <cellStyle name="Comma 2 2 3 3 4 2 2 2" xfId="1195"/>
    <cellStyle name="Comma 2 2 3 3 4 2 3" xfId="1196"/>
    <cellStyle name="Comma 2 2 3 3 4 3" xfId="1197"/>
    <cellStyle name="Comma 2 2 3 3 4 3 2" xfId="1198"/>
    <cellStyle name="Comma 2 2 3 3 4 4" xfId="1199"/>
    <cellStyle name="Comma 2 2 3 3 5" xfId="1200"/>
    <cellStyle name="Comma 2 2 3 3 5 2" xfId="1201"/>
    <cellStyle name="Comma 2 2 3 3 5 2 2" xfId="1202"/>
    <cellStyle name="Comma 2 2 3 3 5 3" xfId="1203"/>
    <cellStyle name="Comma 2 2 3 3 6" xfId="1204"/>
    <cellStyle name="Comma 2 2 3 3 6 2" xfId="1205"/>
    <cellStyle name="Comma 2 2 3 3 6 2 2" xfId="1206"/>
    <cellStyle name="Comma 2 2 3 3 6 3" xfId="1207"/>
    <cellStyle name="Comma 2 2 3 3 7" xfId="1208"/>
    <cellStyle name="Comma 2 2 3 3 7 2" xfId="1209"/>
    <cellStyle name="Comma 2 2 3 3 8" xfId="1210"/>
    <cellStyle name="Comma 2 2 3 3 8 2" xfId="35850"/>
    <cellStyle name="Comma 2 2 3 3 9" xfId="1211"/>
    <cellStyle name="Comma 2 2 3 4" xfId="1212"/>
    <cellStyle name="Comma 2 2 3 4 2" xfId="1213"/>
    <cellStyle name="Comma 2 2 3 4 2 2" xfId="1214"/>
    <cellStyle name="Comma 2 2 3 4 2 2 2" xfId="1215"/>
    <cellStyle name="Comma 2 2 3 4 2 2 2 2" xfId="1216"/>
    <cellStyle name="Comma 2 2 3 4 2 2 2 2 2" xfId="1217"/>
    <cellStyle name="Comma 2 2 3 4 2 2 2 2 3" xfId="1218"/>
    <cellStyle name="Comma 2 2 3 4 2 2 2 3" xfId="1219"/>
    <cellStyle name="Comma 2 2 3 4 2 2 2 3 2" xfId="1220"/>
    <cellStyle name="Comma 2 2 3 4 2 2 2 4" xfId="1221"/>
    <cellStyle name="Comma 2 2 3 4 2 2 3" xfId="1222"/>
    <cellStyle name="Comma 2 2 3 4 2 2 3 2" xfId="1223"/>
    <cellStyle name="Comma 2 2 3 4 2 2 3 2 2" xfId="1224"/>
    <cellStyle name="Comma 2 2 3 4 2 2 3 3" xfId="1225"/>
    <cellStyle name="Comma 2 2 3 4 2 2 4" xfId="1226"/>
    <cellStyle name="Comma 2 2 3 4 2 2 4 2" xfId="1227"/>
    <cellStyle name="Comma 2 2 3 4 2 2 4 3" xfId="1228"/>
    <cellStyle name="Comma 2 2 3 4 2 2 5" xfId="1229"/>
    <cellStyle name="Comma 2 2 3 4 2 2 5 2" xfId="1230"/>
    <cellStyle name="Comma 2 2 3 4 2 2 6" xfId="1231"/>
    <cellStyle name="Comma 2 2 3 4 2 2 6 2" xfId="35851"/>
    <cellStyle name="Comma 2 2 3 4 2 2 7" xfId="1232"/>
    <cellStyle name="Comma 2 2 3 4 2 3" xfId="1233"/>
    <cellStyle name="Comma 2 2 3 4 2 3 2" xfId="1234"/>
    <cellStyle name="Comma 2 2 3 4 2 3 2 2" xfId="1235"/>
    <cellStyle name="Comma 2 2 3 4 2 3 2 2 2" xfId="1236"/>
    <cellStyle name="Comma 2 2 3 4 2 3 2 3" xfId="1237"/>
    <cellStyle name="Comma 2 2 3 4 2 3 3" xfId="1238"/>
    <cellStyle name="Comma 2 2 3 4 2 3 3 2" xfId="1239"/>
    <cellStyle name="Comma 2 2 3 4 2 3 4" xfId="1240"/>
    <cellStyle name="Comma 2 2 3 4 2 4" xfId="1241"/>
    <cellStyle name="Comma 2 2 3 4 2 4 2" xfId="1242"/>
    <cellStyle name="Comma 2 2 3 4 2 4 2 2" xfId="1243"/>
    <cellStyle name="Comma 2 2 3 4 2 4 3" xfId="1244"/>
    <cellStyle name="Comma 2 2 3 4 2 5" xfId="1245"/>
    <cellStyle name="Comma 2 2 3 4 2 5 2" xfId="1246"/>
    <cellStyle name="Comma 2 2 3 4 2 5 2 2" xfId="1247"/>
    <cellStyle name="Comma 2 2 3 4 2 5 3" xfId="1248"/>
    <cellStyle name="Comma 2 2 3 4 2 6" xfId="1249"/>
    <cellStyle name="Comma 2 2 3 4 2 6 2" xfId="1250"/>
    <cellStyle name="Comma 2 2 3 4 2 7" xfId="1251"/>
    <cellStyle name="Comma 2 2 3 4 2 7 2" xfId="35852"/>
    <cellStyle name="Comma 2 2 3 4 2 8" xfId="1252"/>
    <cellStyle name="Comma 2 2 3 4 3" xfId="1253"/>
    <cellStyle name="Comma 2 2 3 4 3 2" xfId="1254"/>
    <cellStyle name="Comma 2 2 3 4 3 2 2" xfId="1255"/>
    <cellStyle name="Comma 2 2 3 4 3 2 2 2" xfId="1256"/>
    <cellStyle name="Comma 2 2 3 4 3 2 2 3" xfId="1257"/>
    <cellStyle name="Comma 2 2 3 4 3 2 3" xfId="1258"/>
    <cellStyle name="Comma 2 2 3 4 3 2 3 2" xfId="1259"/>
    <cellStyle name="Comma 2 2 3 4 3 2 4" xfId="1260"/>
    <cellStyle name="Comma 2 2 3 4 3 3" xfId="1261"/>
    <cellStyle name="Comma 2 2 3 4 3 3 2" xfId="1262"/>
    <cellStyle name="Comma 2 2 3 4 3 3 2 2" xfId="1263"/>
    <cellStyle name="Comma 2 2 3 4 3 3 3" xfId="1264"/>
    <cellStyle name="Comma 2 2 3 4 3 4" xfId="1265"/>
    <cellStyle name="Comma 2 2 3 4 3 4 2" xfId="1266"/>
    <cellStyle name="Comma 2 2 3 4 3 4 3" xfId="1267"/>
    <cellStyle name="Comma 2 2 3 4 3 5" xfId="1268"/>
    <cellStyle name="Comma 2 2 3 4 3 5 2" xfId="1269"/>
    <cellStyle name="Comma 2 2 3 4 3 6" xfId="1270"/>
    <cellStyle name="Comma 2 2 3 4 3 6 2" xfId="35853"/>
    <cellStyle name="Comma 2 2 3 4 3 7" xfId="1271"/>
    <cellStyle name="Comma 2 2 3 4 4" xfId="1272"/>
    <cellStyle name="Comma 2 2 3 4 4 2" xfId="1273"/>
    <cellStyle name="Comma 2 2 3 4 4 2 2" xfId="1274"/>
    <cellStyle name="Comma 2 2 3 4 4 2 2 2" xfId="1275"/>
    <cellStyle name="Comma 2 2 3 4 4 2 3" xfId="1276"/>
    <cellStyle name="Comma 2 2 3 4 4 3" xfId="1277"/>
    <cellStyle name="Comma 2 2 3 4 4 3 2" xfId="1278"/>
    <cellStyle name="Comma 2 2 3 4 4 4" xfId="1279"/>
    <cellStyle name="Comma 2 2 3 4 5" xfId="1280"/>
    <cellStyle name="Comma 2 2 3 4 5 2" xfId="1281"/>
    <cellStyle name="Comma 2 2 3 4 5 2 2" xfId="1282"/>
    <cellStyle name="Comma 2 2 3 4 5 3" xfId="1283"/>
    <cellStyle name="Comma 2 2 3 4 6" xfId="1284"/>
    <cellStyle name="Comma 2 2 3 4 6 2" xfId="1285"/>
    <cellStyle name="Comma 2 2 3 4 6 2 2" xfId="1286"/>
    <cellStyle name="Comma 2 2 3 4 6 3" xfId="1287"/>
    <cellStyle name="Comma 2 2 3 4 7" xfId="1288"/>
    <cellStyle name="Comma 2 2 3 4 7 2" xfId="1289"/>
    <cellStyle name="Comma 2 2 3 4 8" xfId="1290"/>
    <cellStyle name="Comma 2 2 3 4 8 2" xfId="35854"/>
    <cellStyle name="Comma 2 2 3 4 9" xfId="1291"/>
    <cellStyle name="Comma 2 2 3 5" xfId="1292"/>
    <cellStyle name="Comma 2 2 3 5 2" xfId="1293"/>
    <cellStyle name="Comma 2 2 3 5 2 2" xfId="1294"/>
    <cellStyle name="Comma 2 2 3 5 2 2 2" xfId="1295"/>
    <cellStyle name="Comma 2 2 3 5 2 2 2 2" xfId="1296"/>
    <cellStyle name="Comma 2 2 3 5 2 2 2 3" xfId="1297"/>
    <cellStyle name="Comma 2 2 3 5 2 2 3" xfId="1298"/>
    <cellStyle name="Comma 2 2 3 5 2 2 3 2" xfId="1299"/>
    <cellStyle name="Comma 2 2 3 5 2 2 4" xfId="1300"/>
    <cellStyle name="Comma 2 2 3 5 2 3" xfId="1301"/>
    <cellStyle name="Comma 2 2 3 5 2 3 2" xfId="1302"/>
    <cellStyle name="Comma 2 2 3 5 2 3 2 2" xfId="1303"/>
    <cellStyle name="Comma 2 2 3 5 2 3 3" xfId="1304"/>
    <cellStyle name="Comma 2 2 3 5 2 4" xfId="1305"/>
    <cellStyle name="Comma 2 2 3 5 2 4 2" xfId="1306"/>
    <cellStyle name="Comma 2 2 3 5 2 4 3" xfId="1307"/>
    <cellStyle name="Comma 2 2 3 5 2 5" xfId="1308"/>
    <cellStyle name="Comma 2 2 3 5 2 5 2" xfId="1309"/>
    <cellStyle name="Comma 2 2 3 5 2 6" xfId="1310"/>
    <cellStyle name="Comma 2 2 3 5 2 6 2" xfId="35855"/>
    <cellStyle name="Comma 2 2 3 5 2 7" xfId="1311"/>
    <cellStyle name="Comma 2 2 3 5 3" xfId="1312"/>
    <cellStyle name="Comma 2 2 3 5 3 2" xfId="1313"/>
    <cellStyle name="Comma 2 2 3 5 3 2 2" xfId="1314"/>
    <cellStyle name="Comma 2 2 3 5 3 2 2 2" xfId="1315"/>
    <cellStyle name="Comma 2 2 3 5 3 2 3" xfId="1316"/>
    <cellStyle name="Comma 2 2 3 5 3 3" xfId="1317"/>
    <cellStyle name="Comma 2 2 3 5 3 3 2" xfId="1318"/>
    <cellStyle name="Comma 2 2 3 5 3 4" xfId="1319"/>
    <cellStyle name="Comma 2 2 3 5 4" xfId="1320"/>
    <cellStyle name="Comma 2 2 3 5 4 2" xfId="1321"/>
    <cellStyle name="Comma 2 2 3 5 4 2 2" xfId="1322"/>
    <cellStyle name="Comma 2 2 3 5 4 3" xfId="1323"/>
    <cellStyle name="Comma 2 2 3 5 5" xfId="1324"/>
    <cellStyle name="Comma 2 2 3 5 5 2" xfId="1325"/>
    <cellStyle name="Comma 2 2 3 5 5 2 2" xfId="1326"/>
    <cellStyle name="Comma 2 2 3 5 5 3" xfId="1327"/>
    <cellStyle name="Comma 2 2 3 5 6" xfId="1328"/>
    <cellStyle name="Comma 2 2 3 5 6 2" xfId="1329"/>
    <cellStyle name="Comma 2 2 3 5 7" xfId="1330"/>
    <cellStyle name="Comma 2 2 3 5 7 2" xfId="35856"/>
    <cellStyle name="Comma 2 2 3 5 8" xfId="1331"/>
    <cellStyle name="Comma 2 2 3 6" xfId="1332"/>
    <cellStyle name="Comma 2 2 3 6 2" xfId="1333"/>
    <cellStyle name="Comma 2 2 3 6 2 2" xfId="1334"/>
    <cellStyle name="Comma 2 2 3 6 2 2 2" xfId="1335"/>
    <cellStyle name="Comma 2 2 3 6 2 2 2 2" xfId="1336"/>
    <cellStyle name="Comma 2 2 3 6 2 2 2 3" xfId="1337"/>
    <cellStyle name="Comma 2 2 3 6 2 2 3" xfId="1338"/>
    <cellStyle name="Comma 2 2 3 6 2 2 3 2" xfId="1339"/>
    <cellStyle name="Comma 2 2 3 6 2 2 4" xfId="1340"/>
    <cellStyle name="Comma 2 2 3 6 2 3" xfId="1341"/>
    <cellStyle name="Comma 2 2 3 6 2 3 2" xfId="1342"/>
    <cellStyle name="Comma 2 2 3 6 2 3 2 2" xfId="1343"/>
    <cellStyle name="Comma 2 2 3 6 2 3 3" xfId="1344"/>
    <cellStyle name="Comma 2 2 3 6 2 4" xfId="1345"/>
    <cellStyle name="Comma 2 2 3 6 2 4 2" xfId="1346"/>
    <cellStyle name="Comma 2 2 3 6 2 4 3" xfId="1347"/>
    <cellStyle name="Comma 2 2 3 6 2 5" xfId="1348"/>
    <cellStyle name="Comma 2 2 3 6 2 5 2" xfId="1349"/>
    <cellStyle name="Comma 2 2 3 6 2 6" xfId="1350"/>
    <cellStyle name="Comma 2 2 3 6 2 6 2" xfId="35857"/>
    <cellStyle name="Comma 2 2 3 6 2 7" xfId="1351"/>
    <cellStyle name="Comma 2 2 3 6 3" xfId="1352"/>
    <cellStyle name="Comma 2 2 3 6 3 2" xfId="1353"/>
    <cellStyle name="Comma 2 2 3 6 3 2 2" xfId="1354"/>
    <cellStyle name="Comma 2 2 3 6 3 2 2 2" xfId="1355"/>
    <cellStyle name="Comma 2 2 3 6 3 2 3" xfId="1356"/>
    <cellStyle name="Comma 2 2 3 6 3 3" xfId="1357"/>
    <cellStyle name="Comma 2 2 3 6 3 3 2" xfId="1358"/>
    <cellStyle name="Comma 2 2 3 6 3 4" xfId="1359"/>
    <cellStyle name="Comma 2 2 3 6 4" xfId="1360"/>
    <cellStyle name="Comma 2 2 3 6 4 2" xfId="1361"/>
    <cellStyle name="Comma 2 2 3 6 4 2 2" xfId="1362"/>
    <cellStyle name="Comma 2 2 3 6 4 3" xfId="1363"/>
    <cellStyle name="Comma 2 2 3 6 5" xfId="1364"/>
    <cellStyle name="Comma 2 2 3 6 5 2" xfId="1365"/>
    <cellStyle name="Comma 2 2 3 6 5 2 2" xfId="1366"/>
    <cellStyle name="Comma 2 2 3 6 5 3" xfId="1367"/>
    <cellStyle name="Comma 2 2 3 6 6" xfId="1368"/>
    <cellStyle name="Comma 2 2 3 6 6 2" xfId="1369"/>
    <cellStyle name="Comma 2 2 3 6 7" xfId="1370"/>
    <cellStyle name="Comma 2 2 3 6 7 2" xfId="35858"/>
    <cellStyle name="Comma 2 2 3 6 8" xfId="1371"/>
    <cellStyle name="Comma 2 2 3 7" xfId="1372"/>
    <cellStyle name="Comma 2 2 3 7 2" xfId="1373"/>
    <cellStyle name="Comma 2 2 3 7 2 2" xfId="1374"/>
    <cellStyle name="Comma 2 2 3 7 2 2 2" xfId="1375"/>
    <cellStyle name="Comma 2 2 3 7 2 2 2 2" xfId="1376"/>
    <cellStyle name="Comma 2 2 3 7 2 2 2 3" xfId="1377"/>
    <cellStyle name="Comma 2 2 3 7 2 2 3" xfId="1378"/>
    <cellStyle name="Comma 2 2 3 7 2 2 3 2" xfId="1379"/>
    <cellStyle name="Comma 2 2 3 7 2 2 4" xfId="1380"/>
    <cellStyle name="Comma 2 2 3 7 2 3" xfId="1381"/>
    <cellStyle name="Comma 2 2 3 7 2 3 2" xfId="1382"/>
    <cellStyle name="Comma 2 2 3 7 2 3 2 2" xfId="1383"/>
    <cellStyle name="Comma 2 2 3 7 2 3 3" xfId="1384"/>
    <cellStyle name="Comma 2 2 3 7 2 4" xfId="1385"/>
    <cellStyle name="Comma 2 2 3 7 2 4 2" xfId="1386"/>
    <cellStyle name="Comma 2 2 3 7 2 4 3" xfId="1387"/>
    <cellStyle name="Comma 2 2 3 7 2 5" xfId="1388"/>
    <cellStyle name="Comma 2 2 3 7 2 5 2" xfId="1389"/>
    <cellStyle name="Comma 2 2 3 7 2 6" xfId="1390"/>
    <cellStyle name="Comma 2 2 3 7 2 6 2" xfId="35859"/>
    <cellStyle name="Comma 2 2 3 7 2 7" xfId="1391"/>
    <cellStyle name="Comma 2 2 3 7 3" xfId="1392"/>
    <cellStyle name="Comma 2 2 3 7 3 2" xfId="1393"/>
    <cellStyle name="Comma 2 2 3 7 3 2 2" xfId="1394"/>
    <cellStyle name="Comma 2 2 3 7 3 2 2 2" xfId="1395"/>
    <cellStyle name="Comma 2 2 3 7 3 2 3" xfId="1396"/>
    <cellStyle name="Comma 2 2 3 7 3 3" xfId="1397"/>
    <cellStyle name="Comma 2 2 3 7 3 3 2" xfId="1398"/>
    <cellStyle name="Comma 2 2 3 7 3 4" xfId="1399"/>
    <cellStyle name="Comma 2 2 3 7 4" xfId="1400"/>
    <cellStyle name="Comma 2 2 3 7 4 2" xfId="1401"/>
    <cellStyle name="Comma 2 2 3 7 4 2 2" xfId="1402"/>
    <cellStyle name="Comma 2 2 3 7 4 3" xfId="1403"/>
    <cellStyle name="Comma 2 2 3 7 5" xfId="1404"/>
    <cellStyle name="Comma 2 2 3 7 5 2" xfId="1405"/>
    <cellStyle name="Comma 2 2 3 7 5 2 2" xfId="1406"/>
    <cellStyle name="Comma 2 2 3 7 5 3" xfId="1407"/>
    <cellStyle name="Comma 2 2 3 7 6" xfId="1408"/>
    <cellStyle name="Comma 2 2 3 7 6 2" xfId="1409"/>
    <cellStyle name="Comma 2 2 3 7 7" xfId="1410"/>
    <cellStyle name="Comma 2 2 3 7 7 2" xfId="35860"/>
    <cellStyle name="Comma 2 2 3 7 8" xfId="1411"/>
    <cellStyle name="Comma 2 2 3 8" xfId="1412"/>
    <cellStyle name="Comma 2 2 3 8 2" xfId="1413"/>
    <cellStyle name="Comma 2 2 3 8 2 2" xfId="1414"/>
    <cellStyle name="Comma 2 2 3 8 2 2 2" xfId="1415"/>
    <cellStyle name="Comma 2 2 3 8 2 2 3" xfId="1416"/>
    <cellStyle name="Comma 2 2 3 8 2 3" xfId="1417"/>
    <cellStyle name="Comma 2 2 3 8 2 3 2" xfId="1418"/>
    <cellStyle name="Comma 2 2 3 8 2 4" xfId="1419"/>
    <cellStyle name="Comma 2 2 3 8 3" xfId="1420"/>
    <cellStyle name="Comma 2 2 3 8 3 2" xfId="1421"/>
    <cellStyle name="Comma 2 2 3 8 3 2 2" xfId="1422"/>
    <cellStyle name="Comma 2 2 3 8 3 3" xfId="1423"/>
    <cellStyle name="Comma 2 2 3 8 4" xfId="1424"/>
    <cellStyle name="Comma 2 2 3 8 4 2" xfId="1425"/>
    <cellStyle name="Comma 2 2 3 8 4 3" xfId="1426"/>
    <cellStyle name="Comma 2 2 3 8 5" xfId="1427"/>
    <cellStyle name="Comma 2 2 3 8 5 2" xfId="1428"/>
    <cellStyle name="Comma 2 2 3 8 6" xfId="1429"/>
    <cellStyle name="Comma 2 2 3 8 6 2" xfId="35861"/>
    <cellStyle name="Comma 2 2 3 8 7" xfId="1430"/>
    <cellStyle name="Comma 2 2 3 9" xfId="1431"/>
    <cellStyle name="Comma 2 2 3 9 2" xfId="1432"/>
    <cellStyle name="Comma 2 2 3 9 2 2" xfId="1433"/>
    <cellStyle name="Comma 2 2 3 9 2 2 2" xfId="1434"/>
    <cellStyle name="Comma 2 2 3 9 2 3" xfId="1435"/>
    <cellStyle name="Comma 2 2 3 9 3" xfId="1436"/>
    <cellStyle name="Comma 2 2 3 9 3 2" xfId="1437"/>
    <cellStyle name="Comma 2 2 3 9 4" xfId="1438"/>
    <cellStyle name="Comma 2 2 4" xfId="1439"/>
    <cellStyle name="Comma 2 2 4 10" xfId="1440"/>
    <cellStyle name="Comma 2 2 4 10 2" xfId="1441"/>
    <cellStyle name="Comma 2 2 4 11" xfId="1442"/>
    <cellStyle name="Comma 2 2 4 11 2" xfId="35862"/>
    <cellStyle name="Comma 2 2 4 12" xfId="1443"/>
    <cellStyle name="Comma 2 2 4 2" xfId="1444"/>
    <cellStyle name="Comma 2 2 4 2 10" xfId="1445"/>
    <cellStyle name="Comma 2 2 4 2 2" xfId="1446"/>
    <cellStyle name="Comma 2 2 4 2 2 2" xfId="1447"/>
    <cellStyle name="Comma 2 2 4 2 2 2 2" xfId="1448"/>
    <cellStyle name="Comma 2 2 4 2 2 2 2 2" xfId="1449"/>
    <cellStyle name="Comma 2 2 4 2 2 2 2 2 2" xfId="1450"/>
    <cellStyle name="Comma 2 2 4 2 2 2 2 2 2 2" xfId="1451"/>
    <cellStyle name="Comma 2 2 4 2 2 2 2 2 2 3" xfId="1452"/>
    <cellStyle name="Comma 2 2 4 2 2 2 2 2 3" xfId="1453"/>
    <cellStyle name="Comma 2 2 4 2 2 2 2 2 3 2" xfId="1454"/>
    <cellStyle name="Comma 2 2 4 2 2 2 2 2 4" xfId="1455"/>
    <cellStyle name="Comma 2 2 4 2 2 2 2 3" xfId="1456"/>
    <cellStyle name="Comma 2 2 4 2 2 2 2 3 2" xfId="1457"/>
    <cellStyle name="Comma 2 2 4 2 2 2 2 3 2 2" xfId="1458"/>
    <cellStyle name="Comma 2 2 4 2 2 2 2 3 3" xfId="1459"/>
    <cellStyle name="Comma 2 2 4 2 2 2 2 4" xfId="1460"/>
    <cellStyle name="Comma 2 2 4 2 2 2 2 4 2" xfId="1461"/>
    <cellStyle name="Comma 2 2 4 2 2 2 2 4 3" xfId="1462"/>
    <cellStyle name="Comma 2 2 4 2 2 2 2 5" xfId="1463"/>
    <cellStyle name="Comma 2 2 4 2 2 2 2 5 2" xfId="1464"/>
    <cellStyle name="Comma 2 2 4 2 2 2 2 6" xfId="1465"/>
    <cellStyle name="Comma 2 2 4 2 2 2 2 6 2" xfId="35863"/>
    <cellStyle name="Comma 2 2 4 2 2 2 2 7" xfId="1466"/>
    <cellStyle name="Comma 2 2 4 2 2 2 3" xfId="1467"/>
    <cellStyle name="Comma 2 2 4 2 2 2 3 2" xfId="1468"/>
    <cellStyle name="Comma 2 2 4 2 2 2 3 2 2" xfId="1469"/>
    <cellStyle name="Comma 2 2 4 2 2 2 3 2 2 2" xfId="1470"/>
    <cellStyle name="Comma 2 2 4 2 2 2 3 2 3" xfId="1471"/>
    <cellStyle name="Comma 2 2 4 2 2 2 3 3" xfId="1472"/>
    <cellStyle name="Comma 2 2 4 2 2 2 3 3 2" xfId="1473"/>
    <cellStyle name="Comma 2 2 4 2 2 2 3 4" xfId="1474"/>
    <cellStyle name="Comma 2 2 4 2 2 2 4" xfId="1475"/>
    <cellStyle name="Comma 2 2 4 2 2 2 4 2" xfId="1476"/>
    <cellStyle name="Comma 2 2 4 2 2 2 4 2 2" xfId="1477"/>
    <cellStyle name="Comma 2 2 4 2 2 2 4 3" xfId="1478"/>
    <cellStyle name="Comma 2 2 4 2 2 2 5" xfId="1479"/>
    <cellStyle name="Comma 2 2 4 2 2 2 5 2" xfId="1480"/>
    <cellStyle name="Comma 2 2 4 2 2 2 5 2 2" xfId="1481"/>
    <cellStyle name="Comma 2 2 4 2 2 2 5 3" xfId="1482"/>
    <cellStyle name="Comma 2 2 4 2 2 2 6" xfId="1483"/>
    <cellStyle name="Comma 2 2 4 2 2 2 6 2" xfId="1484"/>
    <cellStyle name="Comma 2 2 4 2 2 2 7" xfId="1485"/>
    <cellStyle name="Comma 2 2 4 2 2 2 7 2" xfId="35864"/>
    <cellStyle name="Comma 2 2 4 2 2 2 8" xfId="1486"/>
    <cellStyle name="Comma 2 2 4 2 2 3" xfId="1487"/>
    <cellStyle name="Comma 2 2 4 2 2 3 2" xfId="1488"/>
    <cellStyle name="Comma 2 2 4 2 2 3 2 2" xfId="1489"/>
    <cellStyle name="Comma 2 2 4 2 2 3 2 2 2" xfId="1490"/>
    <cellStyle name="Comma 2 2 4 2 2 3 2 2 3" xfId="1491"/>
    <cellStyle name="Comma 2 2 4 2 2 3 2 3" xfId="1492"/>
    <cellStyle name="Comma 2 2 4 2 2 3 2 3 2" xfId="1493"/>
    <cellStyle name="Comma 2 2 4 2 2 3 2 4" xfId="1494"/>
    <cellStyle name="Comma 2 2 4 2 2 3 3" xfId="1495"/>
    <cellStyle name="Comma 2 2 4 2 2 3 3 2" xfId="1496"/>
    <cellStyle name="Comma 2 2 4 2 2 3 3 2 2" xfId="1497"/>
    <cellStyle name="Comma 2 2 4 2 2 3 3 3" xfId="1498"/>
    <cellStyle name="Comma 2 2 4 2 2 3 4" xfId="1499"/>
    <cellStyle name="Comma 2 2 4 2 2 3 4 2" xfId="1500"/>
    <cellStyle name="Comma 2 2 4 2 2 3 4 3" xfId="1501"/>
    <cellStyle name="Comma 2 2 4 2 2 3 5" xfId="1502"/>
    <cellStyle name="Comma 2 2 4 2 2 3 5 2" xfId="1503"/>
    <cellStyle name="Comma 2 2 4 2 2 3 6" xfId="1504"/>
    <cellStyle name="Comma 2 2 4 2 2 3 6 2" xfId="35865"/>
    <cellStyle name="Comma 2 2 4 2 2 3 7" xfId="1505"/>
    <cellStyle name="Comma 2 2 4 2 2 4" xfId="1506"/>
    <cellStyle name="Comma 2 2 4 2 2 4 2" xfId="1507"/>
    <cellStyle name="Comma 2 2 4 2 2 4 2 2" xfId="1508"/>
    <cellStyle name="Comma 2 2 4 2 2 4 2 2 2" xfId="1509"/>
    <cellStyle name="Comma 2 2 4 2 2 4 2 3" xfId="1510"/>
    <cellStyle name="Comma 2 2 4 2 2 4 3" xfId="1511"/>
    <cellStyle name="Comma 2 2 4 2 2 4 3 2" xfId="1512"/>
    <cellStyle name="Comma 2 2 4 2 2 4 4" xfId="1513"/>
    <cellStyle name="Comma 2 2 4 2 2 5" xfId="1514"/>
    <cellStyle name="Comma 2 2 4 2 2 5 2" xfId="1515"/>
    <cellStyle name="Comma 2 2 4 2 2 5 2 2" xfId="1516"/>
    <cellStyle name="Comma 2 2 4 2 2 5 3" xfId="1517"/>
    <cellStyle name="Comma 2 2 4 2 2 6" xfId="1518"/>
    <cellStyle name="Comma 2 2 4 2 2 6 2" xfId="1519"/>
    <cellStyle name="Comma 2 2 4 2 2 6 2 2" xfId="1520"/>
    <cellStyle name="Comma 2 2 4 2 2 6 3" xfId="1521"/>
    <cellStyle name="Comma 2 2 4 2 2 7" xfId="1522"/>
    <cellStyle name="Comma 2 2 4 2 2 7 2" xfId="1523"/>
    <cellStyle name="Comma 2 2 4 2 2 8" xfId="1524"/>
    <cellStyle name="Comma 2 2 4 2 2 8 2" xfId="35866"/>
    <cellStyle name="Comma 2 2 4 2 2 9" xfId="1525"/>
    <cellStyle name="Comma 2 2 4 2 3" xfId="1526"/>
    <cellStyle name="Comma 2 2 4 2 3 2" xfId="1527"/>
    <cellStyle name="Comma 2 2 4 2 3 2 2" xfId="1528"/>
    <cellStyle name="Comma 2 2 4 2 3 2 2 2" xfId="1529"/>
    <cellStyle name="Comma 2 2 4 2 3 2 2 2 2" xfId="1530"/>
    <cellStyle name="Comma 2 2 4 2 3 2 2 2 3" xfId="1531"/>
    <cellStyle name="Comma 2 2 4 2 3 2 2 3" xfId="1532"/>
    <cellStyle name="Comma 2 2 4 2 3 2 2 3 2" xfId="1533"/>
    <cellStyle name="Comma 2 2 4 2 3 2 2 4" xfId="1534"/>
    <cellStyle name="Comma 2 2 4 2 3 2 3" xfId="1535"/>
    <cellStyle name="Comma 2 2 4 2 3 2 3 2" xfId="1536"/>
    <cellStyle name="Comma 2 2 4 2 3 2 3 2 2" xfId="1537"/>
    <cellStyle name="Comma 2 2 4 2 3 2 3 3" xfId="1538"/>
    <cellStyle name="Comma 2 2 4 2 3 2 4" xfId="1539"/>
    <cellStyle name="Comma 2 2 4 2 3 2 4 2" xfId="1540"/>
    <cellStyle name="Comma 2 2 4 2 3 2 4 3" xfId="1541"/>
    <cellStyle name="Comma 2 2 4 2 3 2 5" xfId="1542"/>
    <cellStyle name="Comma 2 2 4 2 3 2 5 2" xfId="1543"/>
    <cellStyle name="Comma 2 2 4 2 3 2 6" xfId="1544"/>
    <cellStyle name="Comma 2 2 4 2 3 2 6 2" xfId="35867"/>
    <cellStyle name="Comma 2 2 4 2 3 2 7" xfId="1545"/>
    <cellStyle name="Comma 2 2 4 2 3 3" xfId="1546"/>
    <cellStyle name="Comma 2 2 4 2 3 3 2" xfId="1547"/>
    <cellStyle name="Comma 2 2 4 2 3 3 2 2" xfId="1548"/>
    <cellStyle name="Comma 2 2 4 2 3 3 2 2 2" xfId="1549"/>
    <cellStyle name="Comma 2 2 4 2 3 3 2 3" xfId="1550"/>
    <cellStyle name="Comma 2 2 4 2 3 3 3" xfId="1551"/>
    <cellStyle name="Comma 2 2 4 2 3 3 3 2" xfId="1552"/>
    <cellStyle name="Comma 2 2 4 2 3 3 4" xfId="1553"/>
    <cellStyle name="Comma 2 2 4 2 3 4" xfId="1554"/>
    <cellStyle name="Comma 2 2 4 2 3 4 2" xfId="1555"/>
    <cellStyle name="Comma 2 2 4 2 3 4 2 2" xfId="1556"/>
    <cellStyle name="Comma 2 2 4 2 3 4 3" xfId="1557"/>
    <cellStyle name="Comma 2 2 4 2 3 5" xfId="1558"/>
    <cellStyle name="Comma 2 2 4 2 3 5 2" xfId="1559"/>
    <cellStyle name="Comma 2 2 4 2 3 5 2 2" xfId="1560"/>
    <cellStyle name="Comma 2 2 4 2 3 5 3" xfId="1561"/>
    <cellStyle name="Comma 2 2 4 2 3 6" xfId="1562"/>
    <cellStyle name="Comma 2 2 4 2 3 6 2" xfId="1563"/>
    <cellStyle name="Comma 2 2 4 2 3 7" xfId="1564"/>
    <cellStyle name="Comma 2 2 4 2 3 7 2" xfId="35868"/>
    <cellStyle name="Comma 2 2 4 2 3 8" xfId="1565"/>
    <cellStyle name="Comma 2 2 4 2 4" xfId="1566"/>
    <cellStyle name="Comma 2 2 4 2 4 2" xfId="1567"/>
    <cellStyle name="Comma 2 2 4 2 4 2 2" xfId="1568"/>
    <cellStyle name="Comma 2 2 4 2 4 2 2 2" xfId="1569"/>
    <cellStyle name="Comma 2 2 4 2 4 2 2 3" xfId="1570"/>
    <cellStyle name="Comma 2 2 4 2 4 2 3" xfId="1571"/>
    <cellStyle name="Comma 2 2 4 2 4 2 3 2" xfId="1572"/>
    <cellStyle name="Comma 2 2 4 2 4 2 4" xfId="1573"/>
    <cellStyle name="Comma 2 2 4 2 4 3" xfId="1574"/>
    <cellStyle name="Comma 2 2 4 2 4 3 2" xfId="1575"/>
    <cellStyle name="Comma 2 2 4 2 4 3 2 2" xfId="1576"/>
    <cellStyle name="Comma 2 2 4 2 4 3 3" xfId="1577"/>
    <cellStyle name="Comma 2 2 4 2 4 4" xfId="1578"/>
    <cellStyle name="Comma 2 2 4 2 4 4 2" xfId="1579"/>
    <cellStyle name="Comma 2 2 4 2 4 4 3" xfId="1580"/>
    <cellStyle name="Comma 2 2 4 2 4 5" xfId="1581"/>
    <cellStyle name="Comma 2 2 4 2 4 5 2" xfId="1582"/>
    <cellStyle name="Comma 2 2 4 2 4 6" xfId="1583"/>
    <cellStyle name="Comma 2 2 4 2 4 6 2" xfId="35869"/>
    <cellStyle name="Comma 2 2 4 2 4 7" xfId="1584"/>
    <cellStyle name="Comma 2 2 4 2 5" xfId="1585"/>
    <cellStyle name="Comma 2 2 4 2 5 2" xfId="1586"/>
    <cellStyle name="Comma 2 2 4 2 5 2 2" xfId="1587"/>
    <cellStyle name="Comma 2 2 4 2 5 2 2 2" xfId="1588"/>
    <cellStyle name="Comma 2 2 4 2 5 2 3" xfId="1589"/>
    <cellStyle name="Comma 2 2 4 2 5 3" xfId="1590"/>
    <cellStyle name="Comma 2 2 4 2 5 3 2" xfId="1591"/>
    <cellStyle name="Comma 2 2 4 2 5 4" xfId="1592"/>
    <cellStyle name="Comma 2 2 4 2 6" xfId="1593"/>
    <cellStyle name="Comma 2 2 4 2 6 2" xfId="1594"/>
    <cellStyle name="Comma 2 2 4 2 6 2 2" xfId="1595"/>
    <cellStyle name="Comma 2 2 4 2 6 3" xfId="1596"/>
    <cellStyle name="Comma 2 2 4 2 7" xfId="1597"/>
    <cellStyle name="Comma 2 2 4 2 7 2" xfId="1598"/>
    <cellStyle name="Comma 2 2 4 2 7 2 2" xfId="1599"/>
    <cellStyle name="Comma 2 2 4 2 7 3" xfId="1600"/>
    <cellStyle name="Comma 2 2 4 2 8" xfId="1601"/>
    <cellStyle name="Comma 2 2 4 2 8 2" xfId="1602"/>
    <cellStyle name="Comma 2 2 4 2 9" xfId="1603"/>
    <cellStyle name="Comma 2 2 4 2 9 2" xfId="35870"/>
    <cellStyle name="Comma 2 2 4 3" xfId="1604"/>
    <cellStyle name="Comma 2 2 4 3 2" xfId="1605"/>
    <cellStyle name="Comma 2 2 4 3 2 2" xfId="1606"/>
    <cellStyle name="Comma 2 2 4 3 2 2 2" xfId="1607"/>
    <cellStyle name="Comma 2 2 4 3 2 2 2 2" xfId="1608"/>
    <cellStyle name="Comma 2 2 4 3 2 2 2 2 2" xfId="1609"/>
    <cellStyle name="Comma 2 2 4 3 2 2 2 2 3" xfId="1610"/>
    <cellStyle name="Comma 2 2 4 3 2 2 2 3" xfId="1611"/>
    <cellStyle name="Comma 2 2 4 3 2 2 2 3 2" xfId="1612"/>
    <cellStyle name="Comma 2 2 4 3 2 2 2 4" xfId="1613"/>
    <cellStyle name="Comma 2 2 4 3 2 2 3" xfId="1614"/>
    <cellStyle name="Comma 2 2 4 3 2 2 3 2" xfId="1615"/>
    <cellStyle name="Comma 2 2 4 3 2 2 3 2 2" xfId="1616"/>
    <cellStyle name="Comma 2 2 4 3 2 2 3 3" xfId="1617"/>
    <cellStyle name="Comma 2 2 4 3 2 2 4" xfId="1618"/>
    <cellStyle name="Comma 2 2 4 3 2 2 4 2" xfId="1619"/>
    <cellStyle name="Comma 2 2 4 3 2 2 4 3" xfId="1620"/>
    <cellStyle name="Comma 2 2 4 3 2 2 5" xfId="1621"/>
    <cellStyle name="Comma 2 2 4 3 2 2 5 2" xfId="1622"/>
    <cellStyle name="Comma 2 2 4 3 2 2 6" xfId="1623"/>
    <cellStyle name="Comma 2 2 4 3 2 2 6 2" xfId="35871"/>
    <cellStyle name="Comma 2 2 4 3 2 2 7" xfId="1624"/>
    <cellStyle name="Comma 2 2 4 3 2 3" xfId="1625"/>
    <cellStyle name="Comma 2 2 4 3 2 3 2" xfId="1626"/>
    <cellStyle name="Comma 2 2 4 3 2 3 2 2" xfId="1627"/>
    <cellStyle name="Comma 2 2 4 3 2 3 2 2 2" xfId="1628"/>
    <cellStyle name="Comma 2 2 4 3 2 3 2 3" xfId="1629"/>
    <cellStyle name="Comma 2 2 4 3 2 3 3" xfId="1630"/>
    <cellStyle name="Comma 2 2 4 3 2 3 3 2" xfId="1631"/>
    <cellStyle name="Comma 2 2 4 3 2 3 4" xfId="1632"/>
    <cellStyle name="Comma 2 2 4 3 2 4" xfId="1633"/>
    <cellStyle name="Comma 2 2 4 3 2 4 2" xfId="1634"/>
    <cellStyle name="Comma 2 2 4 3 2 4 2 2" xfId="1635"/>
    <cellStyle name="Comma 2 2 4 3 2 4 3" xfId="1636"/>
    <cellStyle name="Comma 2 2 4 3 2 5" xfId="1637"/>
    <cellStyle name="Comma 2 2 4 3 2 5 2" xfId="1638"/>
    <cellStyle name="Comma 2 2 4 3 2 5 2 2" xfId="1639"/>
    <cellStyle name="Comma 2 2 4 3 2 5 3" xfId="1640"/>
    <cellStyle name="Comma 2 2 4 3 2 6" xfId="1641"/>
    <cellStyle name="Comma 2 2 4 3 2 6 2" xfId="1642"/>
    <cellStyle name="Comma 2 2 4 3 2 7" xfId="1643"/>
    <cellStyle name="Comma 2 2 4 3 2 7 2" xfId="35872"/>
    <cellStyle name="Comma 2 2 4 3 2 8" xfId="1644"/>
    <cellStyle name="Comma 2 2 4 3 3" xfId="1645"/>
    <cellStyle name="Comma 2 2 4 3 3 2" xfId="1646"/>
    <cellStyle name="Comma 2 2 4 3 3 2 2" xfId="1647"/>
    <cellStyle name="Comma 2 2 4 3 3 2 2 2" xfId="1648"/>
    <cellStyle name="Comma 2 2 4 3 3 2 2 3" xfId="1649"/>
    <cellStyle name="Comma 2 2 4 3 3 2 3" xfId="1650"/>
    <cellStyle name="Comma 2 2 4 3 3 2 3 2" xfId="1651"/>
    <cellStyle name="Comma 2 2 4 3 3 2 4" xfId="1652"/>
    <cellStyle name="Comma 2 2 4 3 3 3" xfId="1653"/>
    <cellStyle name="Comma 2 2 4 3 3 3 2" xfId="1654"/>
    <cellStyle name="Comma 2 2 4 3 3 3 2 2" xfId="1655"/>
    <cellStyle name="Comma 2 2 4 3 3 3 3" xfId="1656"/>
    <cellStyle name="Comma 2 2 4 3 3 4" xfId="1657"/>
    <cellStyle name="Comma 2 2 4 3 3 4 2" xfId="1658"/>
    <cellStyle name="Comma 2 2 4 3 3 4 3" xfId="1659"/>
    <cellStyle name="Comma 2 2 4 3 3 5" xfId="1660"/>
    <cellStyle name="Comma 2 2 4 3 3 5 2" xfId="1661"/>
    <cellStyle name="Comma 2 2 4 3 3 6" xfId="1662"/>
    <cellStyle name="Comma 2 2 4 3 3 6 2" xfId="35873"/>
    <cellStyle name="Comma 2 2 4 3 3 7" xfId="1663"/>
    <cellStyle name="Comma 2 2 4 3 4" xfId="1664"/>
    <cellStyle name="Comma 2 2 4 3 4 2" xfId="1665"/>
    <cellStyle name="Comma 2 2 4 3 4 2 2" xfId="1666"/>
    <cellStyle name="Comma 2 2 4 3 4 2 2 2" xfId="1667"/>
    <cellStyle name="Comma 2 2 4 3 4 2 3" xfId="1668"/>
    <cellStyle name="Comma 2 2 4 3 4 3" xfId="1669"/>
    <cellStyle name="Comma 2 2 4 3 4 3 2" xfId="1670"/>
    <cellStyle name="Comma 2 2 4 3 4 4" xfId="1671"/>
    <cellStyle name="Comma 2 2 4 3 5" xfId="1672"/>
    <cellStyle name="Comma 2 2 4 3 5 2" xfId="1673"/>
    <cellStyle name="Comma 2 2 4 3 5 2 2" xfId="1674"/>
    <cellStyle name="Comma 2 2 4 3 5 3" xfId="1675"/>
    <cellStyle name="Comma 2 2 4 3 6" xfId="1676"/>
    <cellStyle name="Comma 2 2 4 3 6 2" xfId="1677"/>
    <cellStyle name="Comma 2 2 4 3 6 2 2" xfId="1678"/>
    <cellStyle name="Comma 2 2 4 3 6 3" xfId="1679"/>
    <cellStyle name="Comma 2 2 4 3 7" xfId="1680"/>
    <cellStyle name="Comma 2 2 4 3 7 2" xfId="1681"/>
    <cellStyle name="Comma 2 2 4 3 8" xfId="1682"/>
    <cellStyle name="Comma 2 2 4 3 8 2" xfId="35874"/>
    <cellStyle name="Comma 2 2 4 3 9" xfId="1683"/>
    <cellStyle name="Comma 2 2 4 4" xfId="1684"/>
    <cellStyle name="Comma 2 2 4 4 2" xfId="1685"/>
    <cellStyle name="Comma 2 2 4 4 2 2" xfId="1686"/>
    <cellStyle name="Comma 2 2 4 4 2 2 2" xfId="1687"/>
    <cellStyle name="Comma 2 2 4 4 2 2 2 2" xfId="1688"/>
    <cellStyle name="Comma 2 2 4 4 2 2 2 3" xfId="1689"/>
    <cellStyle name="Comma 2 2 4 4 2 2 3" xfId="1690"/>
    <cellStyle name="Comma 2 2 4 4 2 2 3 2" xfId="1691"/>
    <cellStyle name="Comma 2 2 4 4 2 2 4" xfId="1692"/>
    <cellStyle name="Comma 2 2 4 4 2 3" xfId="1693"/>
    <cellStyle name="Comma 2 2 4 4 2 3 2" xfId="1694"/>
    <cellStyle name="Comma 2 2 4 4 2 3 2 2" xfId="1695"/>
    <cellStyle name="Comma 2 2 4 4 2 3 3" xfId="1696"/>
    <cellStyle name="Comma 2 2 4 4 2 4" xfId="1697"/>
    <cellStyle name="Comma 2 2 4 4 2 4 2" xfId="1698"/>
    <cellStyle name="Comma 2 2 4 4 2 4 3" xfId="1699"/>
    <cellStyle name="Comma 2 2 4 4 2 5" xfId="1700"/>
    <cellStyle name="Comma 2 2 4 4 2 5 2" xfId="1701"/>
    <cellStyle name="Comma 2 2 4 4 2 6" xfId="1702"/>
    <cellStyle name="Comma 2 2 4 4 2 6 2" xfId="35875"/>
    <cellStyle name="Comma 2 2 4 4 2 7" xfId="1703"/>
    <cellStyle name="Comma 2 2 4 4 3" xfId="1704"/>
    <cellStyle name="Comma 2 2 4 4 3 2" xfId="1705"/>
    <cellStyle name="Comma 2 2 4 4 3 2 2" xfId="1706"/>
    <cellStyle name="Comma 2 2 4 4 3 2 2 2" xfId="1707"/>
    <cellStyle name="Comma 2 2 4 4 3 2 3" xfId="1708"/>
    <cellStyle name="Comma 2 2 4 4 3 3" xfId="1709"/>
    <cellStyle name="Comma 2 2 4 4 3 3 2" xfId="1710"/>
    <cellStyle name="Comma 2 2 4 4 3 4" xfId="1711"/>
    <cellStyle name="Comma 2 2 4 4 4" xfId="1712"/>
    <cellStyle name="Comma 2 2 4 4 4 2" xfId="1713"/>
    <cellStyle name="Comma 2 2 4 4 4 2 2" xfId="1714"/>
    <cellStyle name="Comma 2 2 4 4 4 3" xfId="1715"/>
    <cellStyle name="Comma 2 2 4 4 5" xfId="1716"/>
    <cellStyle name="Comma 2 2 4 4 5 2" xfId="1717"/>
    <cellStyle name="Comma 2 2 4 4 5 2 2" xfId="1718"/>
    <cellStyle name="Comma 2 2 4 4 5 3" xfId="1719"/>
    <cellStyle name="Comma 2 2 4 4 6" xfId="1720"/>
    <cellStyle name="Comma 2 2 4 4 6 2" xfId="1721"/>
    <cellStyle name="Comma 2 2 4 4 7" xfId="1722"/>
    <cellStyle name="Comma 2 2 4 4 7 2" xfId="35876"/>
    <cellStyle name="Comma 2 2 4 4 8" xfId="1723"/>
    <cellStyle name="Comma 2 2 4 5" xfId="1724"/>
    <cellStyle name="Comma 2 2 4 5 2" xfId="1725"/>
    <cellStyle name="Comma 2 2 4 5 2 2" xfId="1726"/>
    <cellStyle name="Comma 2 2 4 5 2 2 2" xfId="1727"/>
    <cellStyle name="Comma 2 2 4 5 2 2 2 2" xfId="1728"/>
    <cellStyle name="Comma 2 2 4 5 2 2 2 3" xfId="1729"/>
    <cellStyle name="Comma 2 2 4 5 2 2 3" xfId="1730"/>
    <cellStyle name="Comma 2 2 4 5 2 2 3 2" xfId="1731"/>
    <cellStyle name="Comma 2 2 4 5 2 2 4" xfId="1732"/>
    <cellStyle name="Comma 2 2 4 5 2 3" xfId="1733"/>
    <cellStyle name="Comma 2 2 4 5 2 3 2" xfId="1734"/>
    <cellStyle name="Comma 2 2 4 5 2 3 2 2" xfId="1735"/>
    <cellStyle name="Comma 2 2 4 5 2 3 3" xfId="1736"/>
    <cellStyle name="Comma 2 2 4 5 2 4" xfId="1737"/>
    <cellStyle name="Comma 2 2 4 5 2 4 2" xfId="1738"/>
    <cellStyle name="Comma 2 2 4 5 2 4 3" xfId="1739"/>
    <cellStyle name="Comma 2 2 4 5 2 5" xfId="1740"/>
    <cellStyle name="Comma 2 2 4 5 2 5 2" xfId="1741"/>
    <cellStyle name="Comma 2 2 4 5 2 6" xfId="1742"/>
    <cellStyle name="Comma 2 2 4 5 2 6 2" xfId="35877"/>
    <cellStyle name="Comma 2 2 4 5 2 7" xfId="1743"/>
    <cellStyle name="Comma 2 2 4 5 3" xfId="1744"/>
    <cellStyle name="Comma 2 2 4 5 3 2" xfId="1745"/>
    <cellStyle name="Comma 2 2 4 5 3 2 2" xfId="1746"/>
    <cellStyle name="Comma 2 2 4 5 3 2 2 2" xfId="1747"/>
    <cellStyle name="Comma 2 2 4 5 3 2 3" xfId="1748"/>
    <cellStyle name="Comma 2 2 4 5 3 3" xfId="1749"/>
    <cellStyle name="Comma 2 2 4 5 3 3 2" xfId="1750"/>
    <cellStyle name="Comma 2 2 4 5 3 4" xfId="1751"/>
    <cellStyle name="Comma 2 2 4 5 4" xfId="1752"/>
    <cellStyle name="Comma 2 2 4 5 4 2" xfId="1753"/>
    <cellStyle name="Comma 2 2 4 5 4 2 2" xfId="1754"/>
    <cellStyle name="Comma 2 2 4 5 4 3" xfId="1755"/>
    <cellStyle name="Comma 2 2 4 5 5" xfId="1756"/>
    <cellStyle name="Comma 2 2 4 5 5 2" xfId="1757"/>
    <cellStyle name="Comma 2 2 4 5 5 2 2" xfId="1758"/>
    <cellStyle name="Comma 2 2 4 5 5 3" xfId="1759"/>
    <cellStyle name="Comma 2 2 4 5 6" xfId="1760"/>
    <cellStyle name="Comma 2 2 4 5 6 2" xfId="1761"/>
    <cellStyle name="Comma 2 2 4 5 7" xfId="1762"/>
    <cellStyle name="Comma 2 2 4 5 7 2" xfId="35878"/>
    <cellStyle name="Comma 2 2 4 5 8" xfId="1763"/>
    <cellStyle name="Comma 2 2 4 6" xfId="1764"/>
    <cellStyle name="Comma 2 2 4 6 2" xfId="1765"/>
    <cellStyle name="Comma 2 2 4 6 2 2" xfId="1766"/>
    <cellStyle name="Comma 2 2 4 6 2 2 2" xfId="1767"/>
    <cellStyle name="Comma 2 2 4 6 2 2 3" xfId="1768"/>
    <cellStyle name="Comma 2 2 4 6 2 3" xfId="1769"/>
    <cellStyle name="Comma 2 2 4 6 2 3 2" xfId="1770"/>
    <cellStyle name="Comma 2 2 4 6 2 4" xfId="1771"/>
    <cellStyle name="Comma 2 2 4 6 3" xfId="1772"/>
    <cellStyle name="Comma 2 2 4 6 3 2" xfId="1773"/>
    <cellStyle name="Comma 2 2 4 6 3 2 2" xfId="1774"/>
    <cellStyle name="Comma 2 2 4 6 3 3" xfId="1775"/>
    <cellStyle name="Comma 2 2 4 6 4" xfId="1776"/>
    <cellStyle name="Comma 2 2 4 6 4 2" xfId="1777"/>
    <cellStyle name="Comma 2 2 4 6 4 3" xfId="1778"/>
    <cellStyle name="Comma 2 2 4 6 5" xfId="1779"/>
    <cellStyle name="Comma 2 2 4 6 5 2" xfId="1780"/>
    <cellStyle name="Comma 2 2 4 6 6" xfId="1781"/>
    <cellStyle name="Comma 2 2 4 6 6 2" xfId="35879"/>
    <cellStyle name="Comma 2 2 4 6 7" xfId="1782"/>
    <cellStyle name="Comma 2 2 4 7" xfId="1783"/>
    <cellStyle name="Comma 2 2 4 7 2" xfId="1784"/>
    <cellStyle name="Comma 2 2 4 7 2 2" xfId="1785"/>
    <cellStyle name="Comma 2 2 4 7 2 2 2" xfId="1786"/>
    <cellStyle name="Comma 2 2 4 7 2 3" xfId="1787"/>
    <cellStyle name="Comma 2 2 4 7 3" xfId="1788"/>
    <cellStyle name="Comma 2 2 4 7 3 2" xfId="1789"/>
    <cellStyle name="Comma 2 2 4 7 4" xfId="1790"/>
    <cellStyle name="Comma 2 2 4 8" xfId="1791"/>
    <cellStyle name="Comma 2 2 4 8 2" xfId="1792"/>
    <cellStyle name="Comma 2 2 4 8 2 2" xfId="1793"/>
    <cellStyle name="Comma 2 2 4 8 3" xfId="1794"/>
    <cellStyle name="Comma 2 2 4 9" xfId="1795"/>
    <cellStyle name="Comma 2 2 4 9 2" xfId="1796"/>
    <cellStyle name="Comma 2 2 4 9 2 2" xfId="1797"/>
    <cellStyle name="Comma 2 2 4 9 3" xfId="1798"/>
    <cellStyle name="Comma 2 2 5" xfId="1799"/>
    <cellStyle name="Comma 2 2 5 10" xfId="1800"/>
    <cellStyle name="Comma 2 2 5 10 2" xfId="1801"/>
    <cellStyle name="Comma 2 2 5 11" xfId="1802"/>
    <cellStyle name="Comma 2 2 5 11 2" xfId="35880"/>
    <cellStyle name="Comma 2 2 5 12" xfId="1803"/>
    <cellStyle name="Comma 2 2 5 2" xfId="1804"/>
    <cellStyle name="Comma 2 2 5 2 10" xfId="1805"/>
    <cellStyle name="Comma 2 2 5 2 2" xfId="1806"/>
    <cellStyle name="Comma 2 2 5 2 2 2" xfId="1807"/>
    <cellStyle name="Comma 2 2 5 2 2 2 2" xfId="1808"/>
    <cellStyle name="Comma 2 2 5 2 2 2 2 2" xfId="1809"/>
    <cellStyle name="Comma 2 2 5 2 2 2 2 2 2" xfId="1810"/>
    <cellStyle name="Comma 2 2 5 2 2 2 2 2 2 2" xfId="1811"/>
    <cellStyle name="Comma 2 2 5 2 2 2 2 2 2 3" xfId="1812"/>
    <cellStyle name="Comma 2 2 5 2 2 2 2 2 3" xfId="1813"/>
    <cellStyle name="Comma 2 2 5 2 2 2 2 2 3 2" xfId="1814"/>
    <cellStyle name="Comma 2 2 5 2 2 2 2 2 4" xfId="1815"/>
    <cellStyle name="Comma 2 2 5 2 2 2 2 3" xfId="1816"/>
    <cellStyle name="Comma 2 2 5 2 2 2 2 3 2" xfId="1817"/>
    <cellStyle name="Comma 2 2 5 2 2 2 2 3 2 2" xfId="1818"/>
    <cellStyle name="Comma 2 2 5 2 2 2 2 3 3" xfId="1819"/>
    <cellStyle name="Comma 2 2 5 2 2 2 2 4" xfId="1820"/>
    <cellStyle name="Comma 2 2 5 2 2 2 2 4 2" xfId="1821"/>
    <cellStyle name="Comma 2 2 5 2 2 2 2 4 3" xfId="1822"/>
    <cellStyle name="Comma 2 2 5 2 2 2 2 5" xfId="1823"/>
    <cellStyle name="Comma 2 2 5 2 2 2 2 5 2" xfId="1824"/>
    <cellStyle name="Comma 2 2 5 2 2 2 2 6" xfId="1825"/>
    <cellStyle name="Comma 2 2 5 2 2 2 2 6 2" xfId="35881"/>
    <cellStyle name="Comma 2 2 5 2 2 2 2 7" xfId="1826"/>
    <cellStyle name="Comma 2 2 5 2 2 2 3" xfId="1827"/>
    <cellStyle name="Comma 2 2 5 2 2 2 3 2" xfId="1828"/>
    <cellStyle name="Comma 2 2 5 2 2 2 3 2 2" xfId="1829"/>
    <cellStyle name="Comma 2 2 5 2 2 2 3 2 2 2" xfId="1830"/>
    <cellStyle name="Comma 2 2 5 2 2 2 3 2 3" xfId="1831"/>
    <cellStyle name="Comma 2 2 5 2 2 2 3 3" xfId="1832"/>
    <cellStyle name="Comma 2 2 5 2 2 2 3 3 2" xfId="1833"/>
    <cellStyle name="Comma 2 2 5 2 2 2 3 4" xfId="1834"/>
    <cellStyle name="Comma 2 2 5 2 2 2 4" xfId="1835"/>
    <cellStyle name="Comma 2 2 5 2 2 2 4 2" xfId="1836"/>
    <cellStyle name="Comma 2 2 5 2 2 2 4 2 2" xfId="1837"/>
    <cellStyle name="Comma 2 2 5 2 2 2 4 3" xfId="1838"/>
    <cellStyle name="Comma 2 2 5 2 2 2 5" xfId="1839"/>
    <cellStyle name="Comma 2 2 5 2 2 2 5 2" xfId="1840"/>
    <cellStyle name="Comma 2 2 5 2 2 2 5 2 2" xfId="1841"/>
    <cellStyle name="Comma 2 2 5 2 2 2 5 3" xfId="1842"/>
    <cellStyle name="Comma 2 2 5 2 2 2 6" xfId="1843"/>
    <cellStyle name="Comma 2 2 5 2 2 2 6 2" xfId="1844"/>
    <cellStyle name="Comma 2 2 5 2 2 2 7" xfId="1845"/>
    <cellStyle name="Comma 2 2 5 2 2 2 7 2" xfId="35882"/>
    <cellStyle name="Comma 2 2 5 2 2 2 8" xfId="1846"/>
    <cellStyle name="Comma 2 2 5 2 2 3" xfId="1847"/>
    <cellStyle name="Comma 2 2 5 2 2 3 2" xfId="1848"/>
    <cellStyle name="Comma 2 2 5 2 2 3 2 2" xfId="1849"/>
    <cellStyle name="Comma 2 2 5 2 2 3 2 2 2" xfId="1850"/>
    <cellStyle name="Comma 2 2 5 2 2 3 2 2 3" xfId="1851"/>
    <cellStyle name="Comma 2 2 5 2 2 3 2 3" xfId="1852"/>
    <cellStyle name="Comma 2 2 5 2 2 3 2 3 2" xfId="1853"/>
    <cellStyle name="Comma 2 2 5 2 2 3 2 4" xfId="1854"/>
    <cellStyle name="Comma 2 2 5 2 2 3 3" xfId="1855"/>
    <cellStyle name="Comma 2 2 5 2 2 3 3 2" xfId="1856"/>
    <cellStyle name="Comma 2 2 5 2 2 3 3 2 2" xfId="1857"/>
    <cellStyle name="Comma 2 2 5 2 2 3 3 3" xfId="1858"/>
    <cellStyle name="Comma 2 2 5 2 2 3 4" xfId="1859"/>
    <cellStyle name="Comma 2 2 5 2 2 3 4 2" xfId="1860"/>
    <cellStyle name="Comma 2 2 5 2 2 3 4 3" xfId="1861"/>
    <cellStyle name="Comma 2 2 5 2 2 3 5" xfId="1862"/>
    <cellStyle name="Comma 2 2 5 2 2 3 5 2" xfId="1863"/>
    <cellStyle name="Comma 2 2 5 2 2 3 6" xfId="1864"/>
    <cellStyle name="Comma 2 2 5 2 2 3 6 2" xfId="35883"/>
    <cellStyle name="Comma 2 2 5 2 2 3 7" xfId="1865"/>
    <cellStyle name="Comma 2 2 5 2 2 4" xfId="1866"/>
    <cellStyle name="Comma 2 2 5 2 2 4 2" xfId="1867"/>
    <cellStyle name="Comma 2 2 5 2 2 4 2 2" xfId="1868"/>
    <cellStyle name="Comma 2 2 5 2 2 4 2 2 2" xfId="1869"/>
    <cellStyle name="Comma 2 2 5 2 2 4 2 3" xfId="1870"/>
    <cellStyle name="Comma 2 2 5 2 2 4 3" xfId="1871"/>
    <cellStyle name="Comma 2 2 5 2 2 4 3 2" xfId="1872"/>
    <cellStyle name="Comma 2 2 5 2 2 4 4" xfId="1873"/>
    <cellStyle name="Comma 2 2 5 2 2 5" xfId="1874"/>
    <cellStyle name="Comma 2 2 5 2 2 5 2" xfId="1875"/>
    <cellStyle name="Comma 2 2 5 2 2 5 2 2" xfId="1876"/>
    <cellStyle name="Comma 2 2 5 2 2 5 3" xfId="1877"/>
    <cellStyle name="Comma 2 2 5 2 2 6" xfId="1878"/>
    <cellStyle name="Comma 2 2 5 2 2 6 2" xfId="1879"/>
    <cellStyle name="Comma 2 2 5 2 2 6 2 2" xfId="1880"/>
    <cellStyle name="Comma 2 2 5 2 2 6 3" xfId="1881"/>
    <cellStyle name="Comma 2 2 5 2 2 7" xfId="1882"/>
    <cellStyle name="Comma 2 2 5 2 2 7 2" xfId="1883"/>
    <cellStyle name="Comma 2 2 5 2 2 8" xfId="1884"/>
    <cellStyle name="Comma 2 2 5 2 2 8 2" xfId="35884"/>
    <cellStyle name="Comma 2 2 5 2 2 9" xfId="1885"/>
    <cellStyle name="Comma 2 2 5 2 3" xfId="1886"/>
    <cellStyle name="Comma 2 2 5 2 3 2" xfId="1887"/>
    <cellStyle name="Comma 2 2 5 2 3 2 2" xfId="1888"/>
    <cellStyle name="Comma 2 2 5 2 3 2 2 2" xfId="1889"/>
    <cellStyle name="Comma 2 2 5 2 3 2 2 2 2" xfId="1890"/>
    <cellStyle name="Comma 2 2 5 2 3 2 2 2 3" xfId="1891"/>
    <cellStyle name="Comma 2 2 5 2 3 2 2 3" xfId="1892"/>
    <cellStyle name="Comma 2 2 5 2 3 2 2 3 2" xfId="1893"/>
    <cellStyle name="Comma 2 2 5 2 3 2 2 4" xfId="1894"/>
    <cellStyle name="Comma 2 2 5 2 3 2 3" xfId="1895"/>
    <cellStyle name="Comma 2 2 5 2 3 2 3 2" xfId="1896"/>
    <cellStyle name="Comma 2 2 5 2 3 2 3 2 2" xfId="1897"/>
    <cellStyle name="Comma 2 2 5 2 3 2 3 3" xfId="1898"/>
    <cellStyle name="Comma 2 2 5 2 3 2 4" xfId="1899"/>
    <cellStyle name="Comma 2 2 5 2 3 2 4 2" xfId="1900"/>
    <cellStyle name="Comma 2 2 5 2 3 2 4 3" xfId="1901"/>
    <cellStyle name="Comma 2 2 5 2 3 2 5" xfId="1902"/>
    <cellStyle name="Comma 2 2 5 2 3 2 5 2" xfId="1903"/>
    <cellStyle name="Comma 2 2 5 2 3 2 6" xfId="1904"/>
    <cellStyle name="Comma 2 2 5 2 3 2 6 2" xfId="35885"/>
    <cellStyle name="Comma 2 2 5 2 3 2 7" xfId="1905"/>
    <cellStyle name="Comma 2 2 5 2 3 3" xfId="1906"/>
    <cellStyle name="Comma 2 2 5 2 3 3 2" xfId="1907"/>
    <cellStyle name="Comma 2 2 5 2 3 3 2 2" xfId="1908"/>
    <cellStyle name="Comma 2 2 5 2 3 3 2 2 2" xfId="1909"/>
    <cellStyle name="Comma 2 2 5 2 3 3 2 3" xfId="1910"/>
    <cellStyle name="Comma 2 2 5 2 3 3 3" xfId="1911"/>
    <cellStyle name="Comma 2 2 5 2 3 3 3 2" xfId="1912"/>
    <cellStyle name="Comma 2 2 5 2 3 3 4" xfId="1913"/>
    <cellStyle name="Comma 2 2 5 2 3 4" xfId="1914"/>
    <cellStyle name="Comma 2 2 5 2 3 4 2" xfId="1915"/>
    <cellStyle name="Comma 2 2 5 2 3 4 2 2" xfId="1916"/>
    <cellStyle name="Comma 2 2 5 2 3 4 3" xfId="1917"/>
    <cellStyle name="Comma 2 2 5 2 3 5" xfId="1918"/>
    <cellStyle name="Comma 2 2 5 2 3 5 2" xfId="1919"/>
    <cellStyle name="Comma 2 2 5 2 3 5 2 2" xfId="1920"/>
    <cellStyle name="Comma 2 2 5 2 3 5 3" xfId="1921"/>
    <cellStyle name="Comma 2 2 5 2 3 6" xfId="1922"/>
    <cellStyle name="Comma 2 2 5 2 3 6 2" xfId="1923"/>
    <cellStyle name="Comma 2 2 5 2 3 7" xfId="1924"/>
    <cellStyle name="Comma 2 2 5 2 3 7 2" xfId="35886"/>
    <cellStyle name="Comma 2 2 5 2 3 8" xfId="1925"/>
    <cellStyle name="Comma 2 2 5 2 4" xfId="1926"/>
    <cellStyle name="Comma 2 2 5 2 4 2" xfId="1927"/>
    <cellStyle name="Comma 2 2 5 2 4 2 2" xfId="1928"/>
    <cellStyle name="Comma 2 2 5 2 4 2 2 2" xfId="1929"/>
    <cellStyle name="Comma 2 2 5 2 4 2 2 3" xfId="1930"/>
    <cellStyle name="Comma 2 2 5 2 4 2 3" xfId="1931"/>
    <cellStyle name="Comma 2 2 5 2 4 2 3 2" xfId="1932"/>
    <cellStyle name="Comma 2 2 5 2 4 2 4" xfId="1933"/>
    <cellStyle name="Comma 2 2 5 2 4 3" xfId="1934"/>
    <cellStyle name="Comma 2 2 5 2 4 3 2" xfId="1935"/>
    <cellStyle name="Comma 2 2 5 2 4 3 2 2" xfId="1936"/>
    <cellStyle name="Comma 2 2 5 2 4 3 3" xfId="1937"/>
    <cellStyle name="Comma 2 2 5 2 4 4" xfId="1938"/>
    <cellStyle name="Comma 2 2 5 2 4 4 2" xfId="1939"/>
    <cellStyle name="Comma 2 2 5 2 4 4 3" xfId="1940"/>
    <cellStyle name="Comma 2 2 5 2 4 5" xfId="1941"/>
    <cellStyle name="Comma 2 2 5 2 4 5 2" xfId="1942"/>
    <cellStyle name="Comma 2 2 5 2 4 6" xfId="1943"/>
    <cellStyle name="Comma 2 2 5 2 4 6 2" xfId="35887"/>
    <cellStyle name="Comma 2 2 5 2 4 7" xfId="1944"/>
    <cellStyle name="Comma 2 2 5 2 5" xfId="1945"/>
    <cellStyle name="Comma 2 2 5 2 5 2" xfId="1946"/>
    <cellStyle name="Comma 2 2 5 2 5 2 2" xfId="1947"/>
    <cellStyle name="Comma 2 2 5 2 5 2 2 2" xfId="1948"/>
    <cellStyle name="Comma 2 2 5 2 5 2 3" xfId="1949"/>
    <cellStyle name="Comma 2 2 5 2 5 3" xfId="1950"/>
    <cellStyle name="Comma 2 2 5 2 5 3 2" xfId="1951"/>
    <cellStyle name="Comma 2 2 5 2 5 4" xfId="1952"/>
    <cellStyle name="Comma 2 2 5 2 6" xfId="1953"/>
    <cellStyle name="Comma 2 2 5 2 6 2" xfId="1954"/>
    <cellStyle name="Comma 2 2 5 2 6 2 2" xfId="1955"/>
    <cellStyle name="Comma 2 2 5 2 6 3" xfId="1956"/>
    <cellStyle name="Comma 2 2 5 2 7" xfId="1957"/>
    <cellStyle name="Comma 2 2 5 2 7 2" xfId="1958"/>
    <cellStyle name="Comma 2 2 5 2 7 2 2" xfId="1959"/>
    <cellStyle name="Comma 2 2 5 2 7 3" xfId="1960"/>
    <cellStyle name="Comma 2 2 5 2 8" xfId="1961"/>
    <cellStyle name="Comma 2 2 5 2 8 2" xfId="1962"/>
    <cellStyle name="Comma 2 2 5 2 9" xfId="1963"/>
    <cellStyle name="Comma 2 2 5 2 9 2" xfId="35888"/>
    <cellStyle name="Comma 2 2 5 3" xfId="1964"/>
    <cellStyle name="Comma 2 2 5 3 2" xfId="1965"/>
    <cellStyle name="Comma 2 2 5 3 2 2" xfId="1966"/>
    <cellStyle name="Comma 2 2 5 3 2 2 2" xfId="1967"/>
    <cellStyle name="Comma 2 2 5 3 2 2 2 2" xfId="1968"/>
    <cellStyle name="Comma 2 2 5 3 2 2 2 2 2" xfId="1969"/>
    <cellStyle name="Comma 2 2 5 3 2 2 2 2 3" xfId="1970"/>
    <cellStyle name="Comma 2 2 5 3 2 2 2 3" xfId="1971"/>
    <cellStyle name="Comma 2 2 5 3 2 2 2 3 2" xfId="1972"/>
    <cellStyle name="Comma 2 2 5 3 2 2 2 4" xfId="1973"/>
    <cellStyle name="Comma 2 2 5 3 2 2 3" xfId="1974"/>
    <cellStyle name="Comma 2 2 5 3 2 2 3 2" xfId="1975"/>
    <cellStyle name="Comma 2 2 5 3 2 2 3 2 2" xfId="1976"/>
    <cellStyle name="Comma 2 2 5 3 2 2 3 3" xfId="1977"/>
    <cellStyle name="Comma 2 2 5 3 2 2 4" xfId="1978"/>
    <cellStyle name="Comma 2 2 5 3 2 2 4 2" xfId="1979"/>
    <cellStyle name="Comma 2 2 5 3 2 2 4 3" xfId="1980"/>
    <cellStyle name="Comma 2 2 5 3 2 2 5" xfId="1981"/>
    <cellStyle name="Comma 2 2 5 3 2 2 5 2" xfId="1982"/>
    <cellStyle name="Comma 2 2 5 3 2 2 6" xfId="1983"/>
    <cellStyle name="Comma 2 2 5 3 2 2 6 2" xfId="35889"/>
    <cellStyle name="Comma 2 2 5 3 2 2 7" xfId="1984"/>
    <cellStyle name="Comma 2 2 5 3 2 3" xfId="1985"/>
    <cellStyle name="Comma 2 2 5 3 2 3 2" xfId="1986"/>
    <cellStyle name="Comma 2 2 5 3 2 3 2 2" xfId="1987"/>
    <cellStyle name="Comma 2 2 5 3 2 3 2 2 2" xfId="1988"/>
    <cellStyle name="Comma 2 2 5 3 2 3 2 3" xfId="1989"/>
    <cellStyle name="Comma 2 2 5 3 2 3 3" xfId="1990"/>
    <cellStyle name="Comma 2 2 5 3 2 3 3 2" xfId="1991"/>
    <cellStyle name="Comma 2 2 5 3 2 3 4" xfId="1992"/>
    <cellStyle name="Comma 2 2 5 3 2 4" xfId="1993"/>
    <cellStyle name="Comma 2 2 5 3 2 4 2" xfId="1994"/>
    <cellStyle name="Comma 2 2 5 3 2 4 2 2" xfId="1995"/>
    <cellStyle name="Comma 2 2 5 3 2 4 3" xfId="1996"/>
    <cellStyle name="Comma 2 2 5 3 2 5" xfId="1997"/>
    <cellStyle name="Comma 2 2 5 3 2 5 2" xfId="1998"/>
    <cellStyle name="Comma 2 2 5 3 2 5 2 2" xfId="1999"/>
    <cellStyle name="Comma 2 2 5 3 2 5 3" xfId="2000"/>
    <cellStyle name="Comma 2 2 5 3 2 6" xfId="2001"/>
    <cellStyle name="Comma 2 2 5 3 2 6 2" xfId="2002"/>
    <cellStyle name="Comma 2 2 5 3 2 7" xfId="2003"/>
    <cellStyle name="Comma 2 2 5 3 2 7 2" xfId="35890"/>
    <cellStyle name="Comma 2 2 5 3 2 8" xfId="2004"/>
    <cellStyle name="Comma 2 2 5 3 3" xfId="2005"/>
    <cellStyle name="Comma 2 2 5 3 3 2" xfId="2006"/>
    <cellStyle name="Comma 2 2 5 3 3 2 2" xfId="2007"/>
    <cellStyle name="Comma 2 2 5 3 3 2 2 2" xfId="2008"/>
    <cellStyle name="Comma 2 2 5 3 3 2 2 3" xfId="2009"/>
    <cellStyle name="Comma 2 2 5 3 3 2 3" xfId="2010"/>
    <cellStyle name="Comma 2 2 5 3 3 2 3 2" xfId="2011"/>
    <cellStyle name="Comma 2 2 5 3 3 2 4" xfId="2012"/>
    <cellStyle name="Comma 2 2 5 3 3 3" xfId="2013"/>
    <cellStyle name="Comma 2 2 5 3 3 3 2" xfId="2014"/>
    <cellStyle name="Comma 2 2 5 3 3 3 2 2" xfId="2015"/>
    <cellStyle name="Comma 2 2 5 3 3 3 3" xfId="2016"/>
    <cellStyle name="Comma 2 2 5 3 3 4" xfId="2017"/>
    <cellStyle name="Comma 2 2 5 3 3 4 2" xfId="2018"/>
    <cellStyle name="Comma 2 2 5 3 3 4 3" xfId="2019"/>
    <cellStyle name="Comma 2 2 5 3 3 5" xfId="2020"/>
    <cellStyle name="Comma 2 2 5 3 3 5 2" xfId="2021"/>
    <cellStyle name="Comma 2 2 5 3 3 6" xfId="2022"/>
    <cellStyle name="Comma 2 2 5 3 3 6 2" xfId="35891"/>
    <cellStyle name="Comma 2 2 5 3 3 7" xfId="2023"/>
    <cellStyle name="Comma 2 2 5 3 4" xfId="2024"/>
    <cellStyle name="Comma 2 2 5 3 4 2" xfId="2025"/>
    <cellStyle name="Comma 2 2 5 3 4 2 2" xfId="2026"/>
    <cellStyle name="Comma 2 2 5 3 4 2 2 2" xfId="2027"/>
    <cellStyle name="Comma 2 2 5 3 4 2 3" xfId="2028"/>
    <cellStyle name="Comma 2 2 5 3 4 3" xfId="2029"/>
    <cellStyle name="Comma 2 2 5 3 4 3 2" xfId="2030"/>
    <cellStyle name="Comma 2 2 5 3 4 4" xfId="2031"/>
    <cellStyle name="Comma 2 2 5 3 5" xfId="2032"/>
    <cellStyle name="Comma 2 2 5 3 5 2" xfId="2033"/>
    <cellStyle name="Comma 2 2 5 3 5 2 2" xfId="2034"/>
    <cellStyle name="Comma 2 2 5 3 5 3" xfId="2035"/>
    <cellStyle name="Comma 2 2 5 3 6" xfId="2036"/>
    <cellStyle name="Comma 2 2 5 3 6 2" xfId="2037"/>
    <cellStyle name="Comma 2 2 5 3 6 2 2" xfId="2038"/>
    <cellStyle name="Comma 2 2 5 3 6 3" xfId="2039"/>
    <cellStyle name="Comma 2 2 5 3 7" xfId="2040"/>
    <cellStyle name="Comma 2 2 5 3 7 2" xfId="2041"/>
    <cellStyle name="Comma 2 2 5 3 8" xfId="2042"/>
    <cellStyle name="Comma 2 2 5 3 8 2" xfId="35892"/>
    <cellStyle name="Comma 2 2 5 3 9" xfId="2043"/>
    <cellStyle name="Comma 2 2 5 4" xfId="2044"/>
    <cellStyle name="Comma 2 2 5 4 2" xfId="2045"/>
    <cellStyle name="Comma 2 2 5 4 2 2" xfId="2046"/>
    <cellStyle name="Comma 2 2 5 4 2 2 2" xfId="2047"/>
    <cellStyle name="Comma 2 2 5 4 2 2 2 2" xfId="2048"/>
    <cellStyle name="Comma 2 2 5 4 2 2 2 3" xfId="2049"/>
    <cellStyle name="Comma 2 2 5 4 2 2 3" xfId="2050"/>
    <cellStyle name="Comma 2 2 5 4 2 2 3 2" xfId="2051"/>
    <cellStyle name="Comma 2 2 5 4 2 2 4" xfId="2052"/>
    <cellStyle name="Comma 2 2 5 4 2 3" xfId="2053"/>
    <cellStyle name="Comma 2 2 5 4 2 3 2" xfId="2054"/>
    <cellStyle name="Comma 2 2 5 4 2 3 2 2" xfId="2055"/>
    <cellStyle name="Comma 2 2 5 4 2 3 3" xfId="2056"/>
    <cellStyle name="Comma 2 2 5 4 2 4" xfId="2057"/>
    <cellStyle name="Comma 2 2 5 4 2 4 2" xfId="2058"/>
    <cellStyle name="Comma 2 2 5 4 2 4 3" xfId="2059"/>
    <cellStyle name="Comma 2 2 5 4 2 5" xfId="2060"/>
    <cellStyle name="Comma 2 2 5 4 2 5 2" xfId="2061"/>
    <cellStyle name="Comma 2 2 5 4 2 6" xfId="2062"/>
    <cellStyle name="Comma 2 2 5 4 2 6 2" xfId="35893"/>
    <cellStyle name="Comma 2 2 5 4 2 7" xfId="2063"/>
    <cellStyle name="Comma 2 2 5 4 3" xfId="2064"/>
    <cellStyle name="Comma 2 2 5 4 3 2" xfId="2065"/>
    <cellStyle name="Comma 2 2 5 4 3 2 2" xfId="2066"/>
    <cellStyle name="Comma 2 2 5 4 3 2 2 2" xfId="2067"/>
    <cellStyle name="Comma 2 2 5 4 3 2 3" xfId="2068"/>
    <cellStyle name="Comma 2 2 5 4 3 3" xfId="2069"/>
    <cellStyle name="Comma 2 2 5 4 3 3 2" xfId="2070"/>
    <cellStyle name="Comma 2 2 5 4 3 4" xfId="2071"/>
    <cellStyle name="Comma 2 2 5 4 4" xfId="2072"/>
    <cellStyle name="Comma 2 2 5 4 4 2" xfId="2073"/>
    <cellStyle name="Comma 2 2 5 4 4 2 2" xfId="2074"/>
    <cellStyle name="Comma 2 2 5 4 4 3" xfId="2075"/>
    <cellStyle name="Comma 2 2 5 4 5" xfId="2076"/>
    <cellStyle name="Comma 2 2 5 4 5 2" xfId="2077"/>
    <cellStyle name="Comma 2 2 5 4 5 2 2" xfId="2078"/>
    <cellStyle name="Comma 2 2 5 4 5 3" xfId="2079"/>
    <cellStyle name="Comma 2 2 5 4 6" xfId="2080"/>
    <cellStyle name="Comma 2 2 5 4 6 2" xfId="2081"/>
    <cellStyle name="Comma 2 2 5 4 7" xfId="2082"/>
    <cellStyle name="Comma 2 2 5 4 7 2" xfId="35894"/>
    <cellStyle name="Comma 2 2 5 4 8" xfId="2083"/>
    <cellStyle name="Comma 2 2 5 5" xfId="2084"/>
    <cellStyle name="Comma 2 2 5 5 2" xfId="2085"/>
    <cellStyle name="Comma 2 2 5 5 2 2" xfId="2086"/>
    <cellStyle name="Comma 2 2 5 5 2 2 2" xfId="2087"/>
    <cellStyle name="Comma 2 2 5 5 2 2 2 2" xfId="2088"/>
    <cellStyle name="Comma 2 2 5 5 2 2 2 3" xfId="2089"/>
    <cellStyle name="Comma 2 2 5 5 2 2 3" xfId="2090"/>
    <cellStyle name="Comma 2 2 5 5 2 2 3 2" xfId="2091"/>
    <cellStyle name="Comma 2 2 5 5 2 2 4" xfId="2092"/>
    <cellStyle name="Comma 2 2 5 5 2 3" xfId="2093"/>
    <cellStyle name="Comma 2 2 5 5 2 3 2" xfId="2094"/>
    <cellStyle name="Comma 2 2 5 5 2 3 2 2" xfId="2095"/>
    <cellStyle name="Comma 2 2 5 5 2 3 3" xfId="2096"/>
    <cellStyle name="Comma 2 2 5 5 2 4" xfId="2097"/>
    <cellStyle name="Comma 2 2 5 5 2 4 2" xfId="2098"/>
    <cellStyle name="Comma 2 2 5 5 2 4 3" xfId="2099"/>
    <cellStyle name="Comma 2 2 5 5 2 5" xfId="2100"/>
    <cellStyle name="Comma 2 2 5 5 2 5 2" xfId="2101"/>
    <cellStyle name="Comma 2 2 5 5 2 6" xfId="2102"/>
    <cellStyle name="Comma 2 2 5 5 2 6 2" xfId="35895"/>
    <cellStyle name="Comma 2 2 5 5 2 7" xfId="2103"/>
    <cellStyle name="Comma 2 2 5 5 3" xfId="2104"/>
    <cellStyle name="Comma 2 2 5 5 3 2" xfId="2105"/>
    <cellStyle name="Comma 2 2 5 5 3 2 2" xfId="2106"/>
    <cellStyle name="Comma 2 2 5 5 3 2 2 2" xfId="2107"/>
    <cellStyle name="Comma 2 2 5 5 3 2 3" xfId="2108"/>
    <cellStyle name="Comma 2 2 5 5 3 3" xfId="2109"/>
    <cellStyle name="Comma 2 2 5 5 3 3 2" xfId="2110"/>
    <cellStyle name="Comma 2 2 5 5 3 4" xfId="2111"/>
    <cellStyle name="Comma 2 2 5 5 4" xfId="2112"/>
    <cellStyle name="Comma 2 2 5 5 4 2" xfId="2113"/>
    <cellStyle name="Comma 2 2 5 5 4 2 2" xfId="2114"/>
    <cellStyle name="Comma 2 2 5 5 4 3" xfId="2115"/>
    <cellStyle name="Comma 2 2 5 5 5" xfId="2116"/>
    <cellStyle name="Comma 2 2 5 5 5 2" xfId="2117"/>
    <cellStyle name="Comma 2 2 5 5 5 2 2" xfId="2118"/>
    <cellStyle name="Comma 2 2 5 5 5 3" xfId="2119"/>
    <cellStyle name="Comma 2 2 5 5 6" xfId="2120"/>
    <cellStyle name="Comma 2 2 5 5 6 2" xfId="2121"/>
    <cellStyle name="Comma 2 2 5 5 7" xfId="2122"/>
    <cellStyle name="Comma 2 2 5 5 7 2" xfId="35896"/>
    <cellStyle name="Comma 2 2 5 5 8" xfId="2123"/>
    <cellStyle name="Comma 2 2 5 6" xfId="2124"/>
    <cellStyle name="Comma 2 2 5 6 2" xfId="2125"/>
    <cellStyle name="Comma 2 2 5 6 2 2" xfId="2126"/>
    <cellStyle name="Comma 2 2 5 6 2 2 2" xfId="2127"/>
    <cellStyle name="Comma 2 2 5 6 2 2 3" xfId="2128"/>
    <cellStyle name="Comma 2 2 5 6 2 3" xfId="2129"/>
    <cellStyle name="Comma 2 2 5 6 2 3 2" xfId="2130"/>
    <cellStyle name="Comma 2 2 5 6 2 4" xfId="2131"/>
    <cellStyle name="Comma 2 2 5 6 3" xfId="2132"/>
    <cellStyle name="Comma 2 2 5 6 3 2" xfId="2133"/>
    <cellStyle name="Comma 2 2 5 6 3 2 2" xfId="2134"/>
    <cellStyle name="Comma 2 2 5 6 3 3" xfId="2135"/>
    <cellStyle name="Comma 2 2 5 6 4" xfId="2136"/>
    <cellStyle name="Comma 2 2 5 6 4 2" xfId="2137"/>
    <cellStyle name="Comma 2 2 5 6 4 3" xfId="2138"/>
    <cellStyle name="Comma 2 2 5 6 5" xfId="2139"/>
    <cellStyle name="Comma 2 2 5 6 5 2" xfId="2140"/>
    <cellStyle name="Comma 2 2 5 6 6" xfId="2141"/>
    <cellStyle name="Comma 2 2 5 6 6 2" xfId="35897"/>
    <cellStyle name="Comma 2 2 5 6 7" xfId="2142"/>
    <cellStyle name="Comma 2 2 5 7" xfId="2143"/>
    <cellStyle name="Comma 2 2 5 7 2" xfId="2144"/>
    <cellStyle name="Comma 2 2 5 7 2 2" xfId="2145"/>
    <cellStyle name="Comma 2 2 5 7 2 2 2" xfId="2146"/>
    <cellStyle name="Comma 2 2 5 7 2 3" xfId="2147"/>
    <cellStyle name="Comma 2 2 5 7 3" xfId="2148"/>
    <cellStyle name="Comma 2 2 5 7 3 2" xfId="2149"/>
    <cellStyle name="Comma 2 2 5 7 4" xfId="2150"/>
    <cellStyle name="Comma 2 2 5 8" xfId="2151"/>
    <cellStyle name="Comma 2 2 5 8 2" xfId="2152"/>
    <cellStyle name="Comma 2 2 5 8 2 2" xfId="2153"/>
    <cellStyle name="Comma 2 2 5 8 3" xfId="2154"/>
    <cellStyle name="Comma 2 2 5 9" xfId="2155"/>
    <cellStyle name="Comma 2 2 5 9 2" xfId="2156"/>
    <cellStyle name="Comma 2 2 5 9 2 2" xfId="2157"/>
    <cellStyle name="Comma 2 2 5 9 3" xfId="2158"/>
    <cellStyle name="Comma 2 2 6" xfId="2159"/>
    <cellStyle name="Comma 2 2 6 10" xfId="2160"/>
    <cellStyle name="Comma 2 2 6 2" xfId="2161"/>
    <cellStyle name="Comma 2 2 6 2 2" xfId="2162"/>
    <cellStyle name="Comma 2 2 6 2 2 2" xfId="2163"/>
    <cellStyle name="Comma 2 2 6 2 2 2 2" xfId="2164"/>
    <cellStyle name="Comma 2 2 6 2 2 2 2 2" xfId="2165"/>
    <cellStyle name="Comma 2 2 6 2 2 2 2 2 2" xfId="2166"/>
    <cellStyle name="Comma 2 2 6 2 2 2 2 2 3" xfId="2167"/>
    <cellStyle name="Comma 2 2 6 2 2 2 2 3" xfId="2168"/>
    <cellStyle name="Comma 2 2 6 2 2 2 2 3 2" xfId="2169"/>
    <cellStyle name="Comma 2 2 6 2 2 2 2 4" xfId="2170"/>
    <cellStyle name="Comma 2 2 6 2 2 2 3" xfId="2171"/>
    <cellStyle name="Comma 2 2 6 2 2 2 3 2" xfId="2172"/>
    <cellStyle name="Comma 2 2 6 2 2 2 3 2 2" xfId="2173"/>
    <cellStyle name="Comma 2 2 6 2 2 2 3 3" xfId="2174"/>
    <cellStyle name="Comma 2 2 6 2 2 2 4" xfId="2175"/>
    <cellStyle name="Comma 2 2 6 2 2 2 4 2" xfId="2176"/>
    <cellStyle name="Comma 2 2 6 2 2 2 4 3" xfId="2177"/>
    <cellStyle name="Comma 2 2 6 2 2 2 5" xfId="2178"/>
    <cellStyle name="Comma 2 2 6 2 2 2 5 2" xfId="2179"/>
    <cellStyle name="Comma 2 2 6 2 2 2 6" xfId="2180"/>
    <cellStyle name="Comma 2 2 6 2 2 2 6 2" xfId="35898"/>
    <cellStyle name="Comma 2 2 6 2 2 2 7" xfId="2181"/>
    <cellStyle name="Comma 2 2 6 2 2 3" xfId="2182"/>
    <cellStyle name="Comma 2 2 6 2 2 3 2" xfId="2183"/>
    <cellStyle name="Comma 2 2 6 2 2 3 2 2" xfId="2184"/>
    <cellStyle name="Comma 2 2 6 2 2 3 2 2 2" xfId="2185"/>
    <cellStyle name="Comma 2 2 6 2 2 3 2 3" xfId="2186"/>
    <cellStyle name="Comma 2 2 6 2 2 3 3" xfId="2187"/>
    <cellStyle name="Comma 2 2 6 2 2 3 3 2" xfId="2188"/>
    <cellStyle name="Comma 2 2 6 2 2 3 4" xfId="2189"/>
    <cellStyle name="Comma 2 2 6 2 2 4" xfId="2190"/>
    <cellStyle name="Comma 2 2 6 2 2 4 2" xfId="2191"/>
    <cellStyle name="Comma 2 2 6 2 2 4 2 2" xfId="2192"/>
    <cellStyle name="Comma 2 2 6 2 2 4 3" xfId="2193"/>
    <cellStyle name="Comma 2 2 6 2 2 5" xfId="2194"/>
    <cellStyle name="Comma 2 2 6 2 2 5 2" xfId="2195"/>
    <cellStyle name="Comma 2 2 6 2 2 5 2 2" xfId="2196"/>
    <cellStyle name="Comma 2 2 6 2 2 5 3" xfId="2197"/>
    <cellStyle name="Comma 2 2 6 2 2 6" xfId="2198"/>
    <cellStyle name="Comma 2 2 6 2 2 6 2" xfId="2199"/>
    <cellStyle name="Comma 2 2 6 2 2 7" xfId="2200"/>
    <cellStyle name="Comma 2 2 6 2 2 7 2" xfId="35899"/>
    <cellStyle name="Comma 2 2 6 2 2 8" xfId="2201"/>
    <cellStyle name="Comma 2 2 6 2 3" xfId="2202"/>
    <cellStyle name="Comma 2 2 6 2 3 2" xfId="2203"/>
    <cellStyle name="Comma 2 2 6 2 3 2 2" xfId="2204"/>
    <cellStyle name="Comma 2 2 6 2 3 2 2 2" xfId="2205"/>
    <cellStyle name="Comma 2 2 6 2 3 2 2 3" xfId="2206"/>
    <cellStyle name="Comma 2 2 6 2 3 2 3" xfId="2207"/>
    <cellStyle name="Comma 2 2 6 2 3 2 3 2" xfId="2208"/>
    <cellStyle name="Comma 2 2 6 2 3 2 4" xfId="2209"/>
    <cellStyle name="Comma 2 2 6 2 3 3" xfId="2210"/>
    <cellStyle name="Comma 2 2 6 2 3 3 2" xfId="2211"/>
    <cellStyle name="Comma 2 2 6 2 3 3 2 2" xfId="2212"/>
    <cellStyle name="Comma 2 2 6 2 3 3 3" xfId="2213"/>
    <cellStyle name="Comma 2 2 6 2 3 4" xfId="2214"/>
    <cellStyle name="Comma 2 2 6 2 3 4 2" xfId="2215"/>
    <cellStyle name="Comma 2 2 6 2 3 4 3" xfId="2216"/>
    <cellStyle name="Comma 2 2 6 2 3 5" xfId="2217"/>
    <cellStyle name="Comma 2 2 6 2 3 5 2" xfId="2218"/>
    <cellStyle name="Comma 2 2 6 2 3 6" xfId="2219"/>
    <cellStyle name="Comma 2 2 6 2 3 6 2" xfId="35900"/>
    <cellStyle name="Comma 2 2 6 2 3 7" xfId="2220"/>
    <cellStyle name="Comma 2 2 6 2 4" xfId="2221"/>
    <cellStyle name="Comma 2 2 6 2 4 2" xfId="2222"/>
    <cellStyle name="Comma 2 2 6 2 4 2 2" xfId="2223"/>
    <cellStyle name="Comma 2 2 6 2 4 2 2 2" xfId="2224"/>
    <cellStyle name="Comma 2 2 6 2 4 2 3" xfId="2225"/>
    <cellStyle name="Comma 2 2 6 2 4 3" xfId="2226"/>
    <cellStyle name="Comma 2 2 6 2 4 3 2" xfId="2227"/>
    <cellStyle name="Comma 2 2 6 2 4 4" xfId="2228"/>
    <cellStyle name="Comma 2 2 6 2 5" xfId="2229"/>
    <cellStyle name="Comma 2 2 6 2 5 2" xfId="2230"/>
    <cellStyle name="Comma 2 2 6 2 5 2 2" xfId="2231"/>
    <cellStyle name="Comma 2 2 6 2 5 3" xfId="2232"/>
    <cellStyle name="Comma 2 2 6 2 6" xfId="2233"/>
    <cellStyle name="Comma 2 2 6 2 6 2" xfId="2234"/>
    <cellStyle name="Comma 2 2 6 2 6 2 2" xfId="2235"/>
    <cellStyle name="Comma 2 2 6 2 6 3" xfId="2236"/>
    <cellStyle name="Comma 2 2 6 2 7" xfId="2237"/>
    <cellStyle name="Comma 2 2 6 2 7 2" xfId="2238"/>
    <cellStyle name="Comma 2 2 6 2 8" xfId="2239"/>
    <cellStyle name="Comma 2 2 6 2 8 2" xfId="35901"/>
    <cellStyle name="Comma 2 2 6 2 9" xfId="2240"/>
    <cellStyle name="Comma 2 2 6 3" xfId="2241"/>
    <cellStyle name="Comma 2 2 6 3 2" xfId="2242"/>
    <cellStyle name="Comma 2 2 6 3 2 2" xfId="2243"/>
    <cellStyle name="Comma 2 2 6 3 2 2 2" xfId="2244"/>
    <cellStyle name="Comma 2 2 6 3 2 2 2 2" xfId="2245"/>
    <cellStyle name="Comma 2 2 6 3 2 2 2 3" xfId="2246"/>
    <cellStyle name="Comma 2 2 6 3 2 2 3" xfId="2247"/>
    <cellStyle name="Comma 2 2 6 3 2 2 3 2" xfId="2248"/>
    <cellStyle name="Comma 2 2 6 3 2 2 4" xfId="2249"/>
    <cellStyle name="Comma 2 2 6 3 2 3" xfId="2250"/>
    <cellStyle name="Comma 2 2 6 3 2 3 2" xfId="2251"/>
    <cellStyle name="Comma 2 2 6 3 2 3 2 2" xfId="2252"/>
    <cellStyle name="Comma 2 2 6 3 2 3 3" xfId="2253"/>
    <cellStyle name="Comma 2 2 6 3 2 4" xfId="2254"/>
    <cellStyle name="Comma 2 2 6 3 2 4 2" xfId="2255"/>
    <cellStyle name="Comma 2 2 6 3 2 4 3" xfId="2256"/>
    <cellStyle name="Comma 2 2 6 3 2 5" xfId="2257"/>
    <cellStyle name="Comma 2 2 6 3 2 5 2" xfId="2258"/>
    <cellStyle name="Comma 2 2 6 3 2 6" xfId="2259"/>
    <cellStyle name="Comma 2 2 6 3 2 6 2" xfId="35902"/>
    <cellStyle name="Comma 2 2 6 3 2 7" xfId="2260"/>
    <cellStyle name="Comma 2 2 6 3 3" xfId="2261"/>
    <cellStyle name="Comma 2 2 6 3 3 2" xfId="2262"/>
    <cellStyle name="Comma 2 2 6 3 3 2 2" xfId="2263"/>
    <cellStyle name="Comma 2 2 6 3 3 2 2 2" xfId="2264"/>
    <cellStyle name="Comma 2 2 6 3 3 2 3" xfId="2265"/>
    <cellStyle name="Comma 2 2 6 3 3 3" xfId="2266"/>
    <cellStyle name="Comma 2 2 6 3 3 3 2" xfId="2267"/>
    <cellStyle name="Comma 2 2 6 3 3 4" xfId="2268"/>
    <cellStyle name="Comma 2 2 6 3 4" xfId="2269"/>
    <cellStyle name="Comma 2 2 6 3 4 2" xfId="2270"/>
    <cellStyle name="Comma 2 2 6 3 4 2 2" xfId="2271"/>
    <cellStyle name="Comma 2 2 6 3 4 3" xfId="2272"/>
    <cellStyle name="Comma 2 2 6 3 5" xfId="2273"/>
    <cellStyle name="Comma 2 2 6 3 5 2" xfId="2274"/>
    <cellStyle name="Comma 2 2 6 3 5 2 2" xfId="2275"/>
    <cellStyle name="Comma 2 2 6 3 5 3" xfId="2276"/>
    <cellStyle name="Comma 2 2 6 3 6" xfId="2277"/>
    <cellStyle name="Comma 2 2 6 3 6 2" xfId="2278"/>
    <cellStyle name="Comma 2 2 6 3 7" xfId="2279"/>
    <cellStyle name="Comma 2 2 6 3 7 2" xfId="35903"/>
    <cellStyle name="Comma 2 2 6 3 8" xfId="2280"/>
    <cellStyle name="Comma 2 2 6 4" xfId="2281"/>
    <cellStyle name="Comma 2 2 6 4 2" xfId="2282"/>
    <cellStyle name="Comma 2 2 6 4 2 2" xfId="2283"/>
    <cellStyle name="Comma 2 2 6 4 2 2 2" xfId="2284"/>
    <cellStyle name="Comma 2 2 6 4 2 2 3" xfId="2285"/>
    <cellStyle name="Comma 2 2 6 4 2 3" xfId="2286"/>
    <cellStyle name="Comma 2 2 6 4 2 3 2" xfId="2287"/>
    <cellStyle name="Comma 2 2 6 4 2 4" xfId="2288"/>
    <cellStyle name="Comma 2 2 6 4 3" xfId="2289"/>
    <cellStyle name="Comma 2 2 6 4 3 2" xfId="2290"/>
    <cellStyle name="Comma 2 2 6 4 3 2 2" xfId="2291"/>
    <cellStyle name="Comma 2 2 6 4 3 3" xfId="2292"/>
    <cellStyle name="Comma 2 2 6 4 4" xfId="2293"/>
    <cellStyle name="Comma 2 2 6 4 4 2" xfId="2294"/>
    <cellStyle name="Comma 2 2 6 4 4 3" xfId="2295"/>
    <cellStyle name="Comma 2 2 6 4 5" xfId="2296"/>
    <cellStyle name="Comma 2 2 6 4 5 2" xfId="2297"/>
    <cellStyle name="Comma 2 2 6 4 6" xfId="2298"/>
    <cellStyle name="Comma 2 2 6 4 6 2" xfId="35904"/>
    <cellStyle name="Comma 2 2 6 4 7" xfId="2299"/>
    <cellStyle name="Comma 2 2 6 5" xfId="2300"/>
    <cellStyle name="Comma 2 2 6 5 2" xfId="2301"/>
    <cellStyle name="Comma 2 2 6 5 2 2" xfId="2302"/>
    <cellStyle name="Comma 2 2 6 5 2 2 2" xfId="2303"/>
    <cellStyle name="Comma 2 2 6 5 2 3" xfId="2304"/>
    <cellStyle name="Comma 2 2 6 5 3" xfId="2305"/>
    <cellStyle name="Comma 2 2 6 5 3 2" xfId="2306"/>
    <cellStyle name="Comma 2 2 6 5 4" xfId="2307"/>
    <cellStyle name="Comma 2 2 6 6" xfId="2308"/>
    <cellStyle name="Comma 2 2 6 6 2" xfId="2309"/>
    <cellStyle name="Comma 2 2 6 6 2 2" xfId="2310"/>
    <cellStyle name="Comma 2 2 6 6 3" xfId="2311"/>
    <cellStyle name="Comma 2 2 6 7" xfId="2312"/>
    <cellStyle name="Comma 2 2 6 7 2" xfId="2313"/>
    <cellStyle name="Comma 2 2 6 7 2 2" xfId="2314"/>
    <cellStyle name="Comma 2 2 6 7 3" xfId="2315"/>
    <cellStyle name="Comma 2 2 6 8" xfId="2316"/>
    <cellStyle name="Comma 2 2 6 8 2" xfId="2317"/>
    <cellStyle name="Comma 2 2 6 9" xfId="2318"/>
    <cellStyle name="Comma 2 2 6 9 2" xfId="35905"/>
    <cellStyle name="Comma 2 2 7" xfId="2319"/>
    <cellStyle name="Comma 2 2 7 2" xfId="2320"/>
    <cellStyle name="Comma 2 2 7 2 2" xfId="2321"/>
    <cellStyle name="Comma 2 2 7 2 2 2" xfId="2322"/>
    <cellStyle name="Comma 2 2 7 2 2 2 2" xfId="2323"/>
    <cellStyle name="Comma 2 2 7 2 2 2 2 2" xfId="2324"/>
    <cellStyle name="Comma 2 2 7 2 2 2 2 3" xfId="2325"/>
    <cellStyle name="Comma 2 2 7 2 2 2 3" xfId="2326"/>
    <cellStyle name="Comma 2 2 7 2 2 2 3 2" xfId="2327"/>
    <cellStyle name="Comma 2 2 7 2 2 2 4" xfId="2328"/>
    <cellStyle name="Comma 2 2 7 2 2 3" xfId="2329"/>
    <cellStyle name="Comma 2 2 7 2 2 3 2" xfId="2330"/>
    <cellStyle name="Comma 2 2 7 2 2 3 2 2" xfId="2331"/>
    <cellStyle name="Comma 2 2 7 2 2 3 3" xfId="2332"/>
    <cellStyle name="Comma 2 2 7 2 2 4" xfId="2333"/>
    <cellStyle name="Comma 2 2 7 2 2 4 2" xfId="2334"/>
    <cellStyle name="Comma 2 2 7 2 2 4 3" xfId="2335"/>
    <cellStyle name="Comma 2 2 7 2 2 5" xfId="2336"/>
    <cellStyle name="Comma 2 2 7 2 2 5 2" xfId="2337"/>
    <cellStyle name="Comma 2 2 7 2 2 6" xfId="2338"/>
    <cellStyle name="Comma 2 2 7 2 2 6 2" xfId="35906"/>
    <cellStyle name="Comma 2 2 7 2 2 7" xfId="2339"/>
    <cellStyle name="Comma 2 2 7 2 3" xfId="2340"/>
    <cellStyle name="Comma 2 2 7 2 3 2" xfId="2341"/>
    <cellStyle name="Comma 2 2 7 2 3 2 2" xfId="2342"/>
    <cellStyle name="Comma 2 2 7 2 3 2 2 2" xfId="2343"/>
    <cellStyle name="Comma 2 2 7 2 3 2 3" xfId="2344"/>
    <cellStyle name="Comma 2 2 7 2 3 3" xfId="2345"/>
    <cellStyle name="Comma 2 2 7 2 3 3 2" xfId="2346"/>
    <cellStyle name="Comma 2 2 7 2 3 4" xfId="2347"/>
    <cellStyle name="Comma 2 2 7 2 4" xfId="2348"/>
    <cellStyle name="Comma 2 2 7 2 4 2" xfId="2349"/>
    <cellStyle name="Comma 2 2 7 2 4 2 2" xfId="2350"/>
    <cellStyle name="Comma 2 2 7 2 4 3" xfId="2351"/>
    <cellStyle name="Comma 2 2 7 2 5" xfId="2352"/>
    <cellStyle name="Comma 2 2 7 2 5 2" xfId="2353"/>
    <cellStyle name="Comma 2 2 7 2 5 2 2" xfId="2354"/>
    <cellStyle name="Comma 2 2 7 2 5 3" xfId="2355"/>
    <cellStyle name="Comma 2 2 7 2 6" xfId="2356"/>
    <cellStyle name="Comma 2 2 7 2 6 2" xfId="2357"/>
    <cellStyle name="Comma 2 2 7 2 7" xfId="2358"/>
    <cellStyle name="Comma 2 2 7 2 7 2" xfId="35907"/>
    <cellStyle name="Comma 2 2 7 2 8" xfId="2359"/>
    <cellStyle name="Comma 2 2 7 3" xfId="2360"/>
    <cellStyle name="Comma 2 2 7 3 2" xfId="2361"/>
    <cellStyle name="Comma 2 2 7 3 2 2" xfId="2362"/>
    <cellStyle name="Comma 2 2 7 3 2 2 2" xfId="2363"/>
    <cellStyle name="Comma 2 2 7 3 2 2 3" xfId="2364"/>
    <cellStyle name="Comma 2 2 7 3 2 3" xfId="2365"/>
    <cellStyle name="Comma 2 2 7 3 2 3 2" xfId="2366"/>
    <cellStyle name="Comma 2 2 7 3 2 4" xfId="2367"/>
    <cellStyle name="Comma 2 2 7 3 3" xfId="2368"/>
    <cellStyle name="Comma 2 2 7 3 3 2" xfId="2369"/>
    <cellStyle name="Comma 2 2 7 3 3 2 2" xfId="2370"/>
    <cellStyle name="Comma 2 2 7 3 3 3" xfId="2371"/>
    <cellStyle name="Comma 2 2 7 3 4" xfId="2372"/>
    <cellStyle name="Comma 2 2 7 3 4 2" xfId="2373"/>
    <cellStyle name="Comma 2 2 7 3 4 3" xfId="2374"/>
    <cellStyle name="Comma 2 2 7 3 5" xfId="2375"/>
    <cellStyle name="Comma 2 2 7 3 5 2" xfId="2376"/>
    <cellStyle name="Comma 2 2 7 3 6" xfId="2377"/>
    <cellStyle name="Comma 2 2 7 3 6 2" xfId="35908"/>
    <cellStyle name="Comma 2 2 7 3 7" xfId="2378"/>
    <cellStyle name="Comma 2 2 7 4" xfId="2379"/>
    <cellStyle name="Comma 2 2 7 4 2" xfId="2380"/>
    <cellStyle name="Comma 2 2 7 4 2 2" xfId="2381"/>
    <cellStyle name="Comma 2 2 7 4 2 2 2" xfId="2382"/>
    <cellStyle name="Comma 2 2 7 4 2 3" xfId="2383"/>
    <cellStyle name="Comma 2 2 7 4 3" xfId="2384"/>
    <cellStyle name="Comma 2 2 7 4 3 2" xfId="2385"/>
    <cellStyle name="Comma 2 2 7 4 4" xfId="2386"/>
    <cellStyle name="Comma 2 2 7 5" xfId="2387"/>
    <cellStyle name="Comma 2 2 7 5 2" xfId="2388"/>
    <cellStyle name="Comma 2 2 7 5 2 2" xfId="2389"/>
    <cellStyle name="Comma 2 2 7 5 3" xfId="2390"/>
    <cellStyle name="Comma 2 2 7 6" xfId="2391"/>
    <cellStyle name="Comma 2 2 7 6 2" xfId="2392"/>
    <cellStyle name="Comma 2 2 7 6 2 2" xfId="2393"/>
    <cellStyle name="Comma 2 2 7 6 3" xfId="2394"/>
    <cellStyle name="Comma 2 2 7 7" xfId="2395"/>
    <cellStyle name="Comma 2 2 7 7 2" xfId="2396"/>
    <cellStyle name="Comma 2 2 7 8" xfId="2397"/>
    <cellStyle name="Comma 2 2 7 8 2" xfId="35909"/>
    <cellStyle name="Comma 2 2 7 9" xfId="2398"/>
    <cellStyle name="Comma 2 2 8" xfId="2399"/>
    <cellStyle name="Comma 2 2 8 2" xfId="2400"/>
    <cellStyle name="Comma 2 2 8 2 2" xfId="2401"/>
    <cellStyle name="Comma 2 2 8 2 2 2" xfId="2402"/>
    <cellStyle name="Comma 2 2 8 2 2 2 2" xfId="2403"/>
    <cellStyle name="Comma 2 2 8 2 2 2 2 2" xfId="2404"/>
    <cellStyle name="Comma 2 2 8 2 2 2 2 3" xfId="2405"/>
    <cellStyle name="Comma 2 2 8 2 2 2 3" xfId="2406"/>
    <cellStyle name="Comma 2 2 8 2 2 2 3 2" xfId="2407"/>
    <cellStyle name="Comma 2 2 8 2 2 2 4" xfId="2408"/>
    <cellStyle name="Comma 2 2 8 2 2 3" xfId="2409"/>
    <cellStyle name="Comma 2 2 8 2 2 3 2" xfId="2410"/>
    <cellStyle name="Comma 2 2 8 2 2 3 2 2" xfId="2411"/>
    <cellStyle name="Comma 2 2 8 2 2 3 3" xfId="2412"/>
    <cellStyle name="Comma 2 2 8 2 2 4" xfId="2413"/>
    <cellStyle name="Comma 2 2 8 2 2 4 2" xfId="2414"/>
    <cellStyle name="Comma 2 2 8 2 2 4 3" xfId="2415"/>
    <cellStyle name="Comma 2 2 8 2 2 5" xfId="2416"/>
    <cellStyle name="Comma 2 2 8 2 2 5 2" xfId="2417"/>
    <cellStyle name="Comma 2 2 8 2 2 6" xfId="2418"/>
    <cellStyle name="Comma 2 2 8 2 2 6 2" xfId="35910"/>
    <cellStyle name="Comma 2 2 8 2 2 7" xfId="2419"/>
    <cellStyle name="Comma 2 2 8 2 3" xfId="2420"/>
    <cellStyle name="Comma 2 2 8 2 3 2" xfId="2421"/>
    <cellStyle name="Comma 2 2 8 2 3 2 2" xfId="2422"/>
    <cellStyle name="Comma 2 2 8 2 3 2 2 2" xfId="2423"/>
    <cellStyle name="Comma 2 2 8 2 3 2 3" xfId="2424"/>
    <cellStyle name="Comma 2 2 8 2 3 3" xfId="2425"/>
    <cellStyle name="Comma 2 2 8 2 3 3 2" xfId="2426"/>
    <cellStyle name="Comma 2 2 8 2 3 4" xfId="2427"/>
    <cellStyle name="Comma 2 2 8 2 4" xfId="2428"/>
    <cellStyle name="Comma 2 2 8 2 4 2" xfId="2429"/>
    <cellStyle name="Comma 2 2 8 2 4 2 2" xfId="2430"/>
    <cellStyle name="Comma 2 2 8 2 4 3" xfId="2431"/>
    <cellStyle name="Comma 2 2 8 2 5" xfId="2432"/>
    <cellStyle name="Comma 2 2 8 2 5 2" xfId="2433"/>
    <cellStyle name="Comma 2 2 8 2 5 2 2" xfId="2434"/>
    <cellStyle name="Comma 2 2 8 2 5 3" xfId="2435"/>
    <cellStyle name="Comma 2 2 8 2 6" xfId="2436"/>
    <cellStyle name="Comma 2 2 8 2 6 2" xfId="2437"/>
    <cellStyle name="Comma 2 2 8 2 7" xfId="2438"/>
    <cellStyle name="Comma 2 2 8 2 7 2" xfId="35911"/>
    <cellStyle name="Comma 2 2 8 2 8" xfId="2439"/>
    <cellStyle name="Comma 2 2 8 3" xfId="2440"/>
    <cellStyle name="Comma 2 2 8 3 2" xfId="2441"/>
    <cellStyle name="Comma 2 2 8 3 2 2" xfId="2442"/>
    <cellStyle name="Comma 2 2 8 3 2 2 2" xfId="2443"/>
    <cellStyle name="Comma 2 2 8 3 2 2 3" xfId="2444"/>
    <cellStyle name="Comma 2 2 8 3 2 3" xfId="2445"/>
    <cellStyle name="Comma 2 2 8 3 2 3 2" xfId="2446"/>
    <cellStyle name="Comma 2 2 8 3 2 4" xfId="2447"/>
    <cellStyle name="Comma 2 2 8 3 3" xfId="2448"/>
    <cellStyle name="Comma 2 2 8 3 3 2" xfId="2449"/>
    <cellStyle name="Comma 2 2 8 3 3 2 2" xfId="2450"/>
    <cellStyle name="Comma 2 2 8 3 3 3" xfId="2451"/>
    <cellStyle name="Comma 2 2 8 3 4" xfId="2452"/>
    <cellStyle name="Comma 2 2 8 3 4 2" xfId="2453"/>
    <cellStyle name="Comma 2 2 8 3 4 3" xfId="2454"/>
    <cellStyle name="Comma 2 2 8 3 5" xfId="2455"/>
    <cellStyle name="Comma 2 2 8 3 5 2" xfId="2456"/>
    <cellStyle name="Comma 2 2 8 3 6" xfId="2457"/>
    <cellStyle name="Comma 2 2 8 3 6 2" xfId="35912"/>
    <cellStyle name="Comma 2 2 8 3 7" xfId="2458"/>
    <cellStyle name="Comma 2 2 8 4" xfId="2459"/>
    <cellStyle name="Comma 2 2 8 4 2" xfId="2460"/>
    <cellStyle name="Comma 2 2 8 4 2 2" xfId="2461"/>
    <cellStyle name="Comma 2 2 8 4 2 2 2" xfId="2462"/>
    <cellStyle name="Comma 2 2 8 4 2 3" xfId="2463"/>
    <cellStyle name="Comma 2 2 8 4 3" xfId="2464"/>
    <cellStyle name="Comma 2 2 8 4 3 2" xfId="2465"/>
    <cellStyle name="Comma 2 2 8 4 4" xfId="2466"/>
    <cellStyle name="Comma 2 2 8 5" xfId="2467"/>
    <cellStyle name="Comma 2 2 8 5 2" xfId="2468"/>
    <cellStyle name="Comma 2 2 8 5 2 2" xfId="2469"/>
    <cellStyle name="Comma 2 2 8 5 3" xfId="2470"/>
    <cellStyle name="Comma 2 2 8 6" xfId="2471"/>
    <cellStyle name="Comma 2 2 8 6 2" xfId="2472"/>
    <cellStyle name="Comma 2 2 8 6 2 2" xfId="2473"/>
    <cellStyle name="Comma 2 2 8 6 3" xfId="2474"/>
    <cellStyle name="Comma 2 2 8 7" xfId="2475"/>
    <cellStyle name="Comma 2 2 8 7 2" xfId="2476"/>
    <cellStyle name="Comma 2 2 8 8" xfId="2477"/>
    <cellStyle name="Comma 2 2 8 8 2" xfId="35913"/>
    <cellStyle name="Comma 2 2 8 9" xfId="2478"/>
    <cellStyle name="Comma 2 2 9" xfId="2479"/>
    <cellStyle name="Comma 2 2 9 2" xfId="2480"/>
    <cellStyle name="Comma 2 2 9 2 2" xfId="2481"/>
    <cellStyle name="Comma 2 2 9 2 2 2" xfId="2482"/>
    <cellStyle name="Comma 2 2 9 2 2 2 2" xfId="2483"/>
    <cellStyle name="Comma 2 2 9 2 2 2 3" xfId="2484"/>
    <cellStyle name="Comma 2 2 9 2 2 3" xfId="2485"/>
    <cellStyle name="Comma 2 2 9 2 2 3 2" xfId="2486"/>
    <cellStyle name="Comma 2 2 9 2 2 4" xfId="2487"/>
    <cellStyle name="Comma 2 2 9 2 3" xfId="2488"/>
    <cellStyle name="Comma 2 2 9 2 3 2" xfId="2489"/>
    <cellStyle name="Comma 2 2 9 2 3 2 2" xfId="2490"/>
    <cellStyle name="Comma 2 2 9 2 3 3" xfId="2491"/>
    <cellStyle name="Comma 2 2 9 2 4" xfId="2492"/>
    <cellStyle name="Comma 2 2 9 2 4 2" xfId="2493"/>
    <cellStyle name="Comma 2 2 9 2 4 3" xfId="2494"/>
    <cellStyle name="Comma 2 2 9 2 5" xfId="2495"/>
    <cellStyle name="Comma 2 2 9 2 5 2" xfId="2496"/>
    <cellStyle name="Comma 2 2 9 2 6" xfId="2497"/>
    <cellStyle name="Comma 2 2 9 2 6 2" xfId="35914"/>
    <cellStyle name="Comma 2 2 9 2 7" xfId="2498"/>
    <cellStyle name="Comma 2 2 9 3" xfId="2499"/>
    <cellStyle name="Comma 2 2 9 3 2" xfId="2500"/>
    <cellStyle name="Comma 2 2 9 3 2 2" xfId="2501"/>
    <cellStyle name="Comma 2 2 9 3 2 2 2" xfId="2502"/>
    <cellStyle name="Comma 2 2 9 3 2 3" xfId="2503"/>
    <cellStyle name="Comma 2 2 9 3 3" xfId="2504"/>
    <cellStyle name="Comma 2 2 9 3 3 2" xfId="2505"/>
    <cellStyle name="Comma 2 2 9 3 4" xfId="2506"/>
    <cellStyle name="Comma 2 2 9 4" xfId="2507"/>
    <cellStyle name="Comma 2 2 9 4 2" xfId="2508"/>
    <cellStyle name="Comma 2 2 9 4 2 2" xfId="2509"/>
    <cellStyle name="Comma 2 2 9 4 3" xfId="2510"/>
    <cellStyle name="Comma 2 2 9 5" xfId="2511"/>
    <cellStyle name="Comma 2 2 9 5 2" xfId="2512"/>
    <cellStyle name="Comma 2 2 9 5 2 2" xfId="2513"/>
    <cellStyle name="Comma 2 2 9 5 3" xfId="2514"/>
    <cellStyle name="Comma 2 2 9 6" xfId="2515"/>
    <cellStyle name="Comma 2 2 9 6 2" xfId="2516"/>
    <cellStyle name="Comma 2 2 9 7" xfId="2517"/>
    <cellStyle name="Comma 2 2 9 7 2" xfId="35915"/>
    <cellStyle name="Comma 2 2 9 8" xfId="2518"/>
    <cellStyle name="Comma 2 20" xfId="37747"/>
    <cellStyle name="Comma 2 3" xfId="2519"/>
    <cellStyle name="Comma 2 3 10" xfId="2520"/>
    <cellStyle name="Comma 2 3 10 2" xfId="2521"/>
    <cellStyle name="Comma 2 3 10 2 2" xfId="2522"/>
    <cellStyle name="Comma 2 3 10 3" xfId="2523"/>
    <cellStyle name="Comma 2 3 11" xfId="2524"/>
    <cellStyle name="Comma 2 3 11 2" xfId="2525"/>
    <cellStyle name="Comma 2 3 11 2 2" xfId="2526"/>
    <cellStyle name="Comma 2 3 11 3" xfId="2527"/>
    <cellStyle name="Comma 2 3 12" xfId="2528"/>
    <cellStyle name="Comma 2 3 12 2" xfId="2529"/>
    <cellStyle name="Comma 2 3 13" xfId="2530"/>
    <cellStyle name="Comma 2 3 13 2" xfId="35916"/>
    <cellStyle name="Comma 2 3 14" xfId="2531"/>
    <cellStyle name="Comma 2 3 2" xfId="2532"/>
    <cellStyle name="Comma 2 3 2 10" xfId="2533"/>
    <cellStyle name="Comma 2 3 2 2" xfId="2534"/>
    <cellStyle name="Comma 2 3 2 2 2" xfId="2535"/>
    <cellStyle name="Comma 2 3 2 2 2 2" xfId="2536"/>
    <cellStyle name="Comma 2 3 2 2 2 2 2" xfId="2537"/>
    <cellStyle name="Comma 2 3 2 2 2 2 2 2" xfId="2538"/>
    <cellStyle name="Comma 2 3 2 2 2 2 2 2 2" xfId="2539"/>
    <cellStyle name="Comma 2 3 2 2 2 2 2 2 3" xfId="2540"/>
    <cellStyle name="Comma 2 3 2 2 2 2 2 3" xfId="2541"/>
    <cellStyle name="Comma 2 3 2 2 2 2 2 3 2" xfId="2542"/>
    <cellStyle name="Comma 2 3 2 2 2 2 2 4" xfId="2543"/>
    <cellStyle name="Comma 2 3 2 2 2 2 3" xfId="2544"/>
    <cellStyle name="Comma 2 3 2 2 2 2 3 2" xfId="2545"/>
    <cellStyle name="Comma 2 3 2 2 2 2 3 2 2" xfId="2546"/>
    <cellStyle name="Comma 2 3 2 2 2 2 3 3" xfId="2547"/>
    <cellStyle name="Comma 2 3 2 2 2 2 4" xfId="2548"/>
    <cellStyle name="Comma 2 3 2 2 2 2 4 2" xfId="2549"/>
    <cellStyle name="Comma 2 3 2 2 2 2 4 3" xfId="2550"/>
    <cellStyle name="Comma 2 3 2 2 2 2 5" xfId="2551"/>
    <cellStyle name="Comma 2 3 2 2 2 2 5 2" xfId="2552"/>
    <cellStyle name="Comma 2 3 2 2 2 2 6" xfId="2553"/>
    <cellStyle name="Comma 2 3 2 2 2 2 6 2" xfId="35917"/>
    <cellStyle name="Comma 2 3 2 2 2 2 7" xfId="2554"/>
    <cellStyle name="Comma 2 3 2 2 2 3" xfId="2555"/>
    <cellStyle name="Comma 2 3 2 2 2 3 2" xfId="2556"/>
    <cellStyle name="Comma 2 3 2 2 2 3 2 2" xfId="2557"/>
    <cellStyle name="Comma 2 3 2 2 2 3 2 2 2" xfId="2558"/>
    <cellStyle name="Comma 2 3 2 2 2 3 2 3" xfId="2559"/>
    <cellStyle name="Comma 2 3 2 2 2 3 3" xfId="2560"/>
    <cellStyle name="Comma 2 3 2 2 2 3 3 2" xfId="2561"/>
    <cellStyle name="Comma 2 3 2 2 2 3 4" xfId="2562"/>
    <cellStyle name="Comma 2 3 2 2 2 4" xfId="2563"/>
    <cellStyle name="Comma 2 3 2 2 2 4 2" xfId="2564"/>
    <cellStyle name="Comma 2 3 2 2 2 4 2 2" xfId="2565"/>
    <cellStyle name="Comma 2 3 2 2 2 4 3" xfId="2566"/>
    <cellStyle name="Comma 2 3 2 2 2 5" xfId="2567"/>
    <cellStyle name="Comma 2 3 2 2 2 5 2" xfId="2568"/>
    <cellStyle name="Comma 2 3 2 2 2 5 2 2" xfId="2569"/>
    <cellStyle name="Comma 2 3 2 2 2 5 3" xfId="2570"/>
    <cellStyle name="Comma 2 3 2 2 2 6" xfId="2571"/>
    <cellStyle name="Comma 2 3 2 2 2 6 2" xfId="2572"/>
    <cellStyle name="Comma 2 3 2 2 2 7" xfId="2573"/>
    <cellStyle name="Comma 2 3 2 2 2 7 2" xfId="35918"/>
    <cellStyle name="Comma 2 3 2 2 2 8" xfId="2574"/>
    <cellStyle name="Comma 2 3 2 2 3" xfId="2575"/>
    <cellStyle name="Comma 2 3 2 2 3 2" xfId="2576"/>
    <cellStyle name="Comma 2 3 2 2 3 2 2" xfId="2577"/>
    <cellStyle name="Comma 2 3 2 2 3 2 2 2" xfId="2578"/>
    <cellStyle name="Comma 2 3 2 2 3 2 2 3" xfId="2579"/>
    <cellStyle name="Comma 2 3 2 2 3 2 3" xfId="2580"/>
    <cellStyle name="Comma 2 3 2 2 3 2 3 2" xfId="2581"/>
    <cellStyle name="Comma 2 3 2 2 3 2 4" xfId="2582"/>
    <cellStyle name="Comma 2 3 2 2 3 3" xfId="2583"/>
    <cellStyle name="Comma 2 3 2 2 3 3 2" xfId="2584"/>
    <cellStyle name="Comma 2 3 2 2 3 3 2 2" xfId="2585"/>
    <cellStyle name="Comma 2 3 2 2 3 3 3" xfId="2586"/>
    <cellStyle name="Comma 2 3 2 2 3 4" xfId="2587"/>
    <cellStyle name="Comma 2 3 2 2 3 4 2" xfId="2588"/>
    <cellStyle name="Comma 2 3 2 2 3 4 3" xfId="2589"/>
    <cellStyle name="Comma 2 3 2 2 3 5" xfId="2590"/>
    <cellStyle name="Comma 2 3 2 2 3 5 2" xfId="2591"/>
    <cellStyle name="Comma 2 3 2 2 3 6" xfId="2592"/>
    <cellStyle name="Comma 2 3 2 2 3 6 2" xfId="35919"/>
    <cellStyle name="Comma 2 3 2 2 3 7" xfId="2593"/>
    <cellStyle name="Comma 2 3 2 2 4" xfId="2594"/>
    <cellStyle name="Comma 2 3 2 2 4 2" xfId="2595"/>
    <cellStyle name="Comma 2 3 2 2 4 2 2" xfId="2596"/>
    <cellStyle name="Comma 2 3 2 2 4 2 2 2" xfId="2597"/>
    <cellStyle name="Comma 2 3 2 2 4 2 3" xfId="2598"/>
    <cellStyle name="Comma 2 3 2 2 4 3" xfId="2599"/>
    <cellStyle name="Comma 2 3 2 2 4 3 2" xfId="2600"/>
    <cellStyle name="Comma 2 3 2 2 4 4" xfId="2601"/>
    <cellStyle name="Comma 2 3 2 2 5" xfId="2602"/>
    <cellStyle name="Comma 2 3 2 2 5 2" xfId="2603"/>
    <cellStyle name="Comma 2 3 2 2 5 2 2" xfId="2604"/>
    <cellStyle name="Comma 2 3 2 2 5 3" xfId="2605"/>
    <cellStyle name="Comma 2 3 2 2 6" xfId="2606"/>
    <cellStyle name="Comma 2 3 2 2 6 2" xfId="2607"/>
    <cellStyle name="Comma 2 3 2 2 6 2 2" xfId="2608"/>
    <cellStyle name="Comma 2 3 2 2 6 3" xfId="2609"/>
    <cellStyle name="Comma 2 3 2 2 7" xfId="2610"/>
    <cellStyle name="Comma 2 3 2 2 7 2" xfId="2611"/>
    <cellStyle name="Comma 2 3 2 2 8" xfId="2612"/>
    <cellStyle name="Comma 2 3 2 2 8 2" xfId="35920"/>
    <cellStyle name="Comma 2 3 2 2 9" xfId="2613"/>
    <cellStyle name="Comma 2 3 2 3" xfId="2614"/>
    <cellStyle name="Comma 2 3 2 3 2" xfId="2615"/>
    <cellStyle name="Comma 2 3 2 3 2 2" xfId="2616"/>
    <cellStyle name="Comma 2 3 2 3 2 2 2" xfId="2617"/>
    <cellStyle name="Comma 2 3 2 3 2 2 2 2" xfId="2618"/>
    <cellStyle name="Comma 2 3 2 3 2 2 2 3" xfId="2619"/>
    <cellStyle name="Comma 2 3 2 3 2 2 3" xfId="2620"/>
    <cellStyle name="Comma 2 3 2 3 2 2 3 2" xfId="2621"/>
    <cellStyle name="Comma 2 3 2 3 2 2 4" xfId="2622"/>
    <cellStyle name="Comma 2 3 2 3 2 3" xfId="2623"/>
    <cellStyle name="Comma 2 3 2 3 2 3 2" xfId="2624"/>
    <cellStyle name="Comma 2 3 2 3 2 3 2 2" xfId="2625"/>
    <cellStyle name="Comma 2 3 2 3 2 3 3" xfId="2626"/>
    <cellStyle name="Comma 2 3 2 3 2 4" xfId="2627"/>
    <cellStyle name="Comma 2 3 2 3 2 4 2" xfId="2628"/>
    <cellStyle name="Comma 2 3 2 3 2 4 3" xfId="2629"/>
    <cellStyle name="Comma 2 3 2 3 2 5" xfId="2630"/>
    <cellStyle name="Comma 2 3 2 3 2 5 2" xfId="2631"/>
    <cellStyle name="Comma 2 3 2 3 2 6" xfId="2632"/>
    <cellStyle name="Comma 2 3 2 3 2 6 2" xfId="35921"/>
    <cellStyle name="Comma 2 3 2 3 2 7" xfId="2633"/>
    <cellStyle name="Comma 2 3 2 3 3" xfId="2634"/>
    <cellStyle name="Comma 2 3 2 3 3 2" xfId="2635"/>
    <cellStyle name="Comma 2 3 2 3 3 2 2" xfId="2636"/>
    <cellStyle name="Comma 2 3 2 3 3 2 2 2" xfId="2637"/>
    <cellStyle name="Comma 2 3 2 3 3 2 3" xfId="2638"/>
    <cellStyle name="Comma 2 3 2 3 3 3" xfId="2639"/>
    <cellStyle name="Comma 2 3 2 3 3 3 2" xfId="2640"/>
    <cellStyle name="Comma 2 3 2 3 3 4" xfId="2641"/>
    <cellStyle name="Comma 2 3 2 3 4" xfId="2642"/>
    <cellStyle name="Comma 2 3 2 3 4 2" xfId="2643"/>
    <cellStyle name="Comma 2 3 2 3 4 2 2" xfId="2644"/>
    <cellStyle name="Comma 2 3 2 3 4 3" xfId="2645"/>
    <cellStyle name="Comma 2 3 2 3 5" xfId="2646"/>
    <cellStyle name="Comma 2 3 2 3 5 2" xfId="2647"/>
    <cellStyle name="Comma 2 3 2 3 5 2 2" xfId="2648"/>
    <cellStyle name="Comma 2 3 2 3 5 3" xfId="2649"/>
    <cellStyle name="Comma 2 3 2 3 6" xfId="2650"/>
    <cellStyle name="Comma 2 3 2 3 6 2" xfId="2651"/>
    <cellStyle name="Comma 2 3 2 3 7" xfId="2652"/>
    <cellStyle name="Comma 2 3 2 3 7 2" xfId="35922"/>
    <cellStyle name="Comma 2 3 2 3 8" xfId="2653"/>
    <cellStyle name="Comma 2 3 2 4" xfId="2654"/>
    <cellStyle name="Comma 2 3 2 4 2" xfId="2655"/>
    <cellStyle name="Comma 2 3 2 4 2 2" xfId="2656"/>
    <cellStyle name="Comma 2 3 2 4 2 2 2" xfId="2657"/>
    <cellStyle name="Comma 2 3 2 4 2 2 3" xfId="2658"/>
    <cellStyle name="Comma 2 3 2 4 2 3" xfId="2659"/>
    <cellStyle name="Comma 2 3 2 4 2 3 2" xfId="2660"/>
    <cellStyle name="Comma 2 3 2 4 2 4" xfId="2661"/>
    <cellStyle name="Comma 2 3 2 4 3" xfId="2662"/>
    <cellStyle name="Comma 2 3 2 4 3 2" xfId="2663"/>
    <cellStyle name="Comma 2 3 2 4 3 2 2" xfId="2664"/>
    <cellStyle name="Comma 2 3 2 4 3 3" xfId="2665"/>
    <cellStyle name="Comma 2 3 2 4 4" xfId="2666"/>
    <cellStyle name="Comma 2 3 2 4 4 2" xfId="2667"/>
    <cellStyle name="Comma 2 3 2 4 4 3" xfId="2668"/>
    <cellStyle name="Comma 2 3 2 4 5" xfId="2669"/>
    <cellStyle name="Comma 2 3 2 4 5 2" xfId="2670"/>
    <cellStyle name="Comma 2 3 2 4 6" xfId="2671"/>
    <cellStyle name="Comma 2 3 2 4 6 2" xfId="35923"/>
    <cellStyle name="Comma 2 3 2 4 7" xfId="2672"/>
    <cellStyle name="Comma 2 3 2 5" xfId="2673"/>
    <cellStyle name="Comma 2 3 2 5 2" xfId="2674"/>
    <cellStyle name="Comma 2 3 2 5 2 2" xfId="2675"/>
    <cellStyle name="Comma 2 3 2 5 2 2 2" xfId="2676"/>
    <cellStyle name="Comma 2 3 2 5 2 3" xfId="2677"/>
    <cellStyle name="Comma 2 3 2 5 3" xfId="2678"/>
    <cellStyle name="Comma 2 3 2 5 3 2" xfId="2679"/>
    <cellStyle name="Comma 2 3 2 5 4" xfId="2680"/>
    <cellStyle name="Comma 2 3 2 6" xfId="2681"/>
    <cellStyle name="Comma 2 3 2 6 2" xfId="2682"/>
    <cellStyle name="Comma 2 3 2 6 2 2" xfId="2683"/>
    <cellStyle name="Comma 2 3 2 6 3" xfId="2684"/>
    <cellStyle name="Comma 2 3 2 7" xfId="2685"/>
    <cellStyle name="Comma 2 3 2 7 2" xfId="2686"/>
    <cellStyle name="Comma 2 3 2 7 2 2" xfId="2687"/>
    <cellStyle name="Comma 2 3 2 7 3" xfId="2688"/>
    <cellStyle name="Comma 2 3 2 8" xfId="2689"/>
    <cellStyle name="Comma 2 3 2 8 2" xfId="2690"/>
    <cellStyle name="Comma 2 3 2 9" xfId="2691"/>
    <cellStyle name="Comma 2 3 2 9 2" xfId="35924"/>
    <cellStyle name="Comma 2 3 3" xfId="2692"/>
    <cellStyle name="Comma 2 3 3 2" xfId="2693"/>
    <cellStyle name="Comma 2 3 3 2 2" xfId="2694"/>
    <cellStyle name="Comma 2 3 3 2 2 2" xfId="2695"/>
    <cellStyle name="Comma 2 3 3 2 2 2 2" xfId="2696"/>
    <cellStyle name="Comma 2 3 3 2 2 2 2 2" xfId="2697"/>
    <cellStyle name="Comma 2 3 3 2 2 2 2 3" xfId="2698"/>
    <cellStyle name="Comma 2 3 3 2 2 2 3" xfId="2699"/>
    <cellStyle name="Comma 2 3 3 2 2 2 3 2" xfId="2700"/>
    <cellStyle name="Comma 2 3 3 2 2 2 4" xfId="2701"/>
    <cellStyle name="Comma 2 3 3 2 2 3" xfId="2702"/>
    <cellStyle name="Comma 2 3 3 2 2 3 2" xfId="2703"/>
    <cellStyle name="Comma 2 3 3 2 2 3 2 2" xfId="2704"/>
    <cellStyle name="Comma 2 3 3 2 2 3 3" xfId="2705"/>
    <cellStyle name="Comma 2 3 3 2 2 4" xfId="2706"/>
    <cellStyle name="Comma 2 3 3 2 2 4 2" xfId="2707"/>
    <cellStyle name="Comma 2 3 3 2 2 4 3" xfId="2708"/>
    <cellStyle name="Comma 2 3 3 2 2 5" xfId="2709"/>
    <cellStyle name="Comma 2 3 3 2 2 5 2" xfId="2710"/>
    <cellStyle name="Comma 2 3 3 2 2 6" xfId="2711"/>
    <cellStyle name="Comma 2 3 3 2 2 6 2" xfId="35925"/>
    <cellStyle name="Comma 2 3 3 2 2 7" xfId="2712"/>
    <cellStyle name="Comma 2 3 3 2 3" xfId="2713"/>
    <cellStyle name="Comma 2 3 3 2 3 2" xfId="2714"/>
    <cellStyle name="Comma 2 3 3 2 3 2 2" xfId="2715"/>
    <cellStyle name="Comma 2 3 3 2 3 2 2 2" xfId="2716"/>
    <cellStyle name="Comma 2 3 3 2 3 2 3" xfId="2717"/>
    <cellStyle name="Comma 2 3 3 2 3 3" xfId="2718"/>
    <cellStyle name="Comma 2 3 3 2 3 3 2" xfId="2719"/>
    <cellStyle name="Comma 2 3 3 2 3 4" xfId="2720"/>
    <cellStyle name="Comma 2 3 3 2 4" xfId="2721"/>
    <cellStyle name="Comma 2 3 3 2 4 2" xfId="2722"/>
    <cellStyle name="Comma 2 3 3 2 4 2 2" xfId="2723"/>
    <cellStyle name="Comma 2 3 3 2 4 3" xfId="2724"/>
    <cellStyle name="Comma 2 3 3 2 5" xfId="2725"/>
    <cellStyle name="Comma 2 3 3 2 5 2" xfId="2726"/>
    <cellStyle name="Comma 2 3 3 2 5 2 2" xfId="2727"/>
    <cellStyle name="Comma 2 3 3 2 5 3" xfId="2728"/>
    <cellStyle name="Comma 2 3 3 2 6" xfId="2729"/>
    <cellStyle name="Comma 2 3 3 2 6 2" xfId="2730"/>
    <cellStyle name="Comma 2 3 3 2 7" xfId="2731"/>
    <cellStyle name="Comma 2 3 3 2 7 2" xfId="35926"/>
    <cellStyle name="Comma 2 3 3 2 8" xfId="2732"/>
    <cellStyle name="Comma 2 3 3 3" xfId="2733"/>
    <cellStyle name="Comma 2 3 3 3 2" xfId="2734"/>
    <cellStyle name="Comma 2 3 3 3 2 2" xfId="2735"/>
    <cellStyle name="Comma 2 3 3 3 2 2 2" xfId="2736"/>
    <cellStyle name="Comma 2 3 3 3 2 2 3" xfId="2737"/>
    <cellStyle name="Comma 2 3 3 3 2 3" xfId="2738"/>
    <cellStyle name="Comma 2 3 3 3 2 3 2" xfId="2739"/>
    <cellStyle name="Comma 2 3 3 3 2 4" xfId="2740"/>
    <cellStyle name="Comma 2 3 3 3 3" xfId="2741"/>
    <cellStyle name="Comma 2 3 3 3 3 2" xfId="2742"/>
    <cellStyle name="Comma 2 3 3 3 3 2 2" xfId="2743"/>
    <cellStyle name="Comma 2 3 3 3 3 3" xfId="2744"/>
    <cellStyle name="Comma 2 3 3 3 4" xfId="2745"/>
    <cellStyle name="Comma 2 3 3 3 4 2" xfId="2746"/>
    <cellStyle name="Comma 2 3 3 3 4 3" xfId="2747"/>
    <cellStyle name="Comma 2 3 3 3 5" xfId="2748"/>
    <cellStyle name="Comma 2 3 3 3 5 2" xfId="2749"/>
    <cellStyle name="Comma 2 3 3 3 6" xfId="2750"/>
    <cellStyle name="Comma 2 3 3 3 6 2" xfId="35927"/>
    <cellStyle name="Comma 2 3 3 3 7" xfId="2751"/>
    <cellStyle name="Comma 2 3 3 4" xfId="2752"/>
    <cellStyle name="Comma 2 3 3 4 2" xfId="2753"/>
    <cellStyle name="Comma 2 3 3 4 2 2" xfId="2754"/>
    <cellStyle name="Comma 2 3 3 4 2 2 2" xfId="2755"/>
    <cellStyle name="Comma 2 3 3 4 2 3" xfId="2756"/>
    <cellStyle name="Comma 2 3 3 4 3" xfId="2757"/>
    <cellStyle name="Comma 2 3 3 4 3 2" xfId="2758"/>
    <cellStyle name="Comma 2 3 3 4 4" xfId="2759"/>
    <cellStyle name="Comma 2 3 3 5" xfId="2760"/>
    <cellStyle name="Comma 2 3 3 5 2" xfId="2761"/>
    <cellStyle name="Comma 2 3 3 5 2 2" xfId="2762"/>
    <cellStyle name="Comma 2 3 3 5 3" xfId="2763"/>
    <cellStyle name="Comma 2 3 3 6" xfId="2764"/>
    <cellStyle name="Comma 2 3 3 6 2" xfId="2765"/>
    <cellStyle name="Comma 2 3 3 6 2 2" xfId="2766"/>
    <cellStyle name="Comma 2 3 3 6 3" xfId="2767"/>
    <cellStyle name="Comma 2 3 3 7" xfId="2768"/>
    <cellStyle name="Comma 2 3 3 7 2" xfId="2769"/>
    <cellStyle name="Comma 2 3 3 8" xfId="2770"/>
    <cellStyle name="Comma 2 3 3 8 2" xfId="35928"/>
    <cellStyle name="Comma 2 3 3 9" xfId="2771"/>
    <cellStyle name="Comma 2 3 4" xfId="2772"/>
    <cellStyle name="Comma 2 3 4 2" xfId="2773"/>
    <cellStyle name="Comma 2 3 4 2 2" xfId="2774"/>
    <cellStyle name="Comma 2 3 4 2 2 2" xfId="2775"/>
    <cellStyle name="Comma 2 3 4 2 2 2 2" xfId="2776"/>
    <cellStyle name="Comma 2 3 4 2 2 2 2 2" xfId="2777"/>
    <cellStyle name="Comma 2 3 4 2 2 2 2 3" xfId="2778"/>
    <cellStyle name="Comma 2 3 4 2 2 2 3" xfId="2779"/>
    <cellStyle name="Comma 2 3 4 2 2 2 3 2" xfId="2780"/>
    <cellStyle name="Comma 2 3 4 2 2 2 4" xfId="2781"/>
    <cellStyle name="Comma 2 3 4 2 2 3" xfId="2782"/>
    <cellStyle name="Comma 2 3 4 2 2 3 2" xfId="2783"/>
    <cellStyle name="Comma 2 3 4 2 2 3 2 2" xfId="2784"/>
    <cellStyle name="Comma 2 3 4 2 2 3 3" xfId="2785"/>
    <cellStyle name="Comma 2 3 4 2 2 4" xfId="2786"/>
    <cellStyle name="Comma 2 3 4 2 2 4 2" xfId="2787"/>
    <cellStyle name="Comma 2 3 4 2 2 4 3" xfId="2788"/>
    <cellStyle name="Comma 2 3 4 2 2 5" xfId="2789"/>
    <cellStyle name="Comma 2 3 4 2 2 5 2" xfId="2790"/>
    <cellStyle name="Comma 2 3 4 2 2 6" xfId="2791"/>
    <cellStyle name="Comma 2 3 4 2 2 6 2" xfId="35929"/>
    <cellStyle name="Comma 2 3 4 2 2 7" xfId="2792"/>
    <cellStyle name="Comma 2 3 4 2 3" xfId="2793"/>
    <cellStyle name="Comma 2 3 4 2 3 2" xfId="2794"/>
    <cellStyle name="Comma 2 3 4 2 3 2 2" xfId="2795"/>
    <cellStyle name="Comma 2 3 4 2 3 2 2 2" xfId="2796"/>
    <cellStyle name="Comma 2 3 4 2 3 2 3" xfId="2797"/>
    <cellStyle name="Comma 2 3 4 2 3 3" xfId="2798"/>
    <cellStyle name="Comma 2 3 4 2 3 3 2" xfId="2799"/>
    <cellStyle name="Comma 2 3 4 2 3 4" xfId="2800"/>
    <cellStyle name="Comma 2 3 4 2 4" xfId="2801"/>
    <cellStyle name="Comma 2 3 4 2 4 2" xfId="2802"/>
    <cellStyle name="Comma 2 3 4 2 4 2 2" xfId="2803"/>
    <cellStyle name="Comma 2 3 4 2 4 3" xfId="2804"/>
    <cellStyle name="Comma 2 3 4 2 5" xfId="2805"/>
    <cellStyle name="Comma 2 3 4 2 5 2" xfId="2806"/>
    <cellStyle name="Comma 2 3 4 2 5 2 2" xfId="2807"/>
    <cellStyle name="Comma 2 3 4 2 5 3" xfId="2808"/>
    <cellStyle name="Comma 2 3 4 2 6" xfId="2809"/>
    <cellStyle name="Comma 2 3 4 2 6 2" xfId="2810"/>
    <cellStyle name="Comma 2 3 4 2 7" xfId="2811"/>
    <cellStyle name="Comma 2 3 4 2 7 2" xfId="35930"/>
    <cellStyle name="Comma 2 3 4 2 8" xfId="2812"/>
    <cellStyle name="Comma 2 3 4 3" xfId="2813"/>
    <cellStyle name="Comma 2 3 4 3 2" xfId="2814"/>
    <cellStyle name="Comma 2 3 4 3 2 2" xfId="2815"/>
    <cellStyle name="Comma 2 3 4 3 2 2 2" xfId="2816"/>
    <cellStyle name="Comma 2 3 4 3 2 2 3" xfId="2817"/>
    <cellStyle name="Comma 2 3 4 3 2 3" xfId="2818"/>
    <cellStyle name="Comma 2 3 4 3 2 3 2" xfId="2819"/>
    <cellStyle name="Comma 2 3 4 3 2 4" xfId="2820"/>
    <cellStyle name="Comma 2 3 4 3 3" xfId="2821"/>
    <cellStyle name="Comma 2 3 4 3 3 2" xfId="2822"/>
    <cellStyle name="Comma 2 3 4 3 3 2 2" xfId="2823"/>
    <cellStyle name="Comma 2 3 4 3 3 3" xfId="2824"/>
    <cellStyle name="Comma 2 3 4 3 4" xfId="2825"/>
    <cellStyle name="Comma 2 3 4 3 4 2" xfId="2826"/>
    <cellStyle name="Comma 2 3 4 3 4 3" xfId="2827"/>
    <cellStyle name="Comma 2 3 4 3 5" xfId="2828"/>
    <cellStyle name="Comma 2 3 4 3 5 2" xfId="2829"/>
    <cellStyle name="Comma 2 3 4 3 6" xfId="2830"/>
    <cellStyle name="Comma 2 3 4 3 6 2" xfId="35931"/>
    <cellStyle name="Comma 2 3 4 3 7" xfId="2831"/>
    <cellStyle name="Comma 2 3 4 4" xfId="2832"/>
    <cellStyle name="Comma 2 3 4 4 2" xfId="2833"/>
    <cellStyle name="Comma 2 3 4 4 2 2" xfId="2834"/>
    <cellStyle name="Comma 2 3 4 4 2 2 2" xfId="2835"/>
    <cellStyle name="Comma 2 3 4 4 2 3" xfId="2836"/>
    <cellStyle name="Comma 2 3 4 4 3" xfId="2837"/>
    <cellStyle name="Comma 2 3 4 4 3 2" xfId="2838"/>
    <cellStyle name="Comma 2 3 4 4 4" xfId="2839"/>
    <cellStyle name="Comma 2 3 4 5" xfId="2840"/>
    <cellStyle name="Comma 2 3 4 5 2" xfId="2841"/>
    <cellStyle name="Comma 2 3 4 5 2 2" xfId="2842"/>
    <cellStyle name="Comma 2 3 4 5 3" xfId="2843"/>
    <cellStyle name="Comma 2 3 4 6" xfId="2844"/>
    <cellStyle name="Comma 2 3 4 6 2" xfId="2845"/>
    <cellStyle name="Comma 2 3 4 6 2 2" xfId="2846"/>
    <cellStyle name="Comma 2 3 4 6 3" xfId="2847"/>
    <cellStyle name="Comma 2 3 4 7" xfId="2848"/>
    <cellStyle name="Comma 2 3 4 7 2" xfId="2849"/>
    <cellStyle name="Comma 2 3 4 8" xfId="2850"/>
    <cellStyle name="Comma 2 3 4 8 2" xfId="35932"/>
    <cellStyle name="Comma 2 3 4 9" xfId="2851"/>
    <cellStyle name="Comma 2 3 5" xfId="2852"/>
    <cellStyle name="Comma 2 3 5 2" xfId="2853"/>
    <cellStyle name="Comma 2 3 5 2 2" xfId="2854"/>
    <cellStyle name="Comma 2 3 5 2 2 2" xfId="2855"/>
    <cellStyle name="Comma 2 3 5 2 2 2 2" xfId="2856"/>
    <cellStyle name="Comma 2 3 5 2 2 2 3" xfId="2857"/>
    <cellStyle name="Comma 2 3 5 2 2 3" xfId="2858"/>
    <cellStyle name="Comma 2 3 5 2 2 3 2" xfId="2859"/>
    <cellStyle name="Comma 2 3 5 2 2 4" xfId="2860"/>
    <cellStyle name="Comma 2 3 5 2 3" xfId="2861"/>
    <cellStyle name="Comma 2 3 5 2 3 2" xfId="2862"/>
    <cellStyle name="Comma 2 3 5 2 3 2 2" xfId="2863"/>
    <cellStyle name="Comma 2 3 5 2 3 3" xfId="2864"/>
    <cellStyle name="Comma 2 3 5 2 4" xfId="2865"/>
    <cellStyle name="Comma 2 3 5 2 4 2" xfId="2866"/>
    <cellStyle name="Comma 2 3 5 2 4 3" xfId="2867"/>
    <cellStyle name="Comma 2 3 5 2 5" xfId="2868"/>
    <cellStyle name="Comma 2 3 5 2 5 2" xfId="2869"/>
    <cellStyle name="Comma 2 3 5 2 6" xfId="2870"/>
    <cellStyle name="Comma 2 3 5 2 6 2" xfId="35933"/>
    <cellStyle name="Comma 2 3 5 2 7" xfId="2871"/>
    <cellStyle name="Comma 2 3 5 3" xfId="2872"/>
    <cellStyle name="Comma 2 3 5 3 2" xfId="2873"/>
    <cellStyle name="Comma 2 3 5 3 2 2" xfId="2874"/>
    <cellStyle name="Comma 2 3 5 3 2 2 2" xfId="2875"/>
    <cellStyle name="Comma 2 3 5 3 2 3" xfId="2876"/>
    <cellStyle name="Comma 2 3 5 3 3" xfId="2877"/>
    <cellStyle name="Comma 2 3 5 3 3 2" xfId="2878"/>
    <cellStyle name="Comma 2 3 5 3 4" xfId="2879"/>
    <cellStyle name="Comma 2 3 5 4" xfId="2880"/>
    <cellStyle name="Comma 2 3 5 4 2" xfId="2881"/>
    <cellStyle name="Comma 2 3 5 4 2 2" xfId="2882"/>
    <cellStyle name="Comma 2 3 5 4 3" xfId="2883"/>
    <cellStyle name="Comma 2 3 5 5" xfId="2884"/>
    <cellStyle name="Comma 2 3 5 5 2" xfId="2885"/>
    <cellStyle name="Comma 2 3 5 5 2 2" xfId="2886"/>
    <cellStyle name="Comma 2 3 5 5 3" xfId="2887"/>
    <cellStyle name="Comma 2 3 5 6" xfId="2888"/>
    <cellStyle name="Comma 2 3 5 6 2" xfId="2889"/>
    <cellStyle name="Comma 2 3 5 7" xfId="2890"/>
    <cellStyle name="Comma 2 3 5 7 2" xfId="35934"/>
    <cellStyle name="Comma 2 3 5 8" xfId="2891"/>
    <cellStyle name="Comma 2 3 6" xfId="2892"/>
    <cellStyle name="Comma 2 3 6 2" xfId="2893"/>
    <cellStyle name="Comma 2 3 6 2 2" xfId="2894"/>
    <cellStyle name="Comma 2 3 6 2 2 2" xfId="2895"/>
    <cellStyle name="Comma 2 3 6 2 2 2 2" xfId="2896"/>
    <cellStyle name="Comma 2 3 6 2 2 2 3" xfId="2897"/>
    <cellStyle name="Comma 2 3 6 2 2 3" xfId="2898"/>
    <cellStyle name="Comma 2 3 6 2 2 3 2" xfId="2899"/>
    <cellStyle name="Comma 2 3 6 2 2 4" xfId="2900"/>
    <cellStyle name="Comma 2 3 6 2 3" xfId="2901"/>
    <cellStyle name="Comma 2 3 6 2 3 2" xfId="2902"/>
    <cellStyle name="Comma 2 3 6 2 3 2 2" xfId="2903"/>
    <cellStyle name="Comma 2 3 6 2 3 3" xfId="2904"/>
    <cellStyle name="Comma 2 3 6 2 4" xfId="2905"/>
    <cellStyle name="Comma 2 3 6 2 4 2" xfId="2906"/>
    <cellStyle name="Comma 2 3 6 2 4 3" xfId="2907"/>
    <cellStyle name="Comma 2 3 6 2 5" xfId="2908"/>
    <cellStyle name="Comma 2 3 6 2 5 2" xfId="2909"/>
    <cellStyle name="Comma 2 3 6 2 6" xfId="2910"/>
    <cellStyle name="Comma 2 3 6 2 6 2" xfId="35935"/>
    <cellStyle name="Comma 2 3 6 2 7" xfId="2911"/>
    <cellStyle name="Comma 2 3 6 3" xfId="2912"/>
    <cellStyle name="Comma 2 3 6 3 2" xfId="2913"/>
    <cellStyle name="Comma 2 3 6 3 2 2" xfId="2914"/>
    <cellStyle name="Comma 2 3 6 3 2 2 2" xfId="2915"/>
    <cellStyle name="Comma 2 3 6 3 2 3" xfId="2916"/>
    <cellStyle name="Comma 2 3 6 3 3" xfId="2917"/>
    <cellStyle name="Comma 2 3 6 3 3 2" xfId="2918"/>
    <cellStyle name="Comma 2 3 6 3 4" xfId="2919"/>
    <cellStyle name="Comma 2 3 6 4" xfId="2920"/>
    <cellStyle name="Comma 2 3 6 4 2" xfId="2921"/>
    <cellStyle name="Comma 2 3 6 4 2 2" xfId="2922"/>
    <cellStyle name="Comma 2 3 6 4 3" xfId="2923"/>
    <cellStyle name="Comma 2 3 6 5" xfId="2924"/>
    <cellStyle name="Comma 2 3 6 5 2" xfId="2925"/>
    <cellStyle name="Comma 2 3 6 5 2 2" xfId="2926"/>
    <cellStyle name="Comma 2 3 6 5 3" xfId="2927"/>
    <cellStyle name="Comma 2 3 6 6" xfId="2928"/>
    <cellStyle name="Comma 2 3 6 6 2" xfId="2929"/>
    <cellStyle name="Comma 2 3 6 7" xfId="2930"/>
    <cellStyle name="Comma 2 3 6 7 2" xfId="35936"/>
    <cellStyle name="Comma 2 3 6 8" xfId="2931"/>
    <cellStyle name="Comma 2 3 7" xfId="2932"/>
    <cellStyle name="Comma 2 3 7 2" xfId="2933"/>
    <cellStyle name="Comma 2 3 7 2 2" xfId="2934"/>
    <cellStyle name="Comma 2 3 7 2 2 2" xfId="2935"/>
    <cellStyle name="Comma 2 3 7 2 2 2 2" xfId="2936"/>
    <cellStyle name="Comma 2 3 7 2 2 2 3" xfId="2937"/>
    <cellStyle name="Comma 2 3 7 2 2 3" xfId="2938"/>
    <cellStyle name="Comma 2 3 7 2 2 3 2" xfId="2939"/>
    <cellStyle name="Comma 2 3 7 2 2 4" xfId="2940"/>
    <cellStyle name="Comma 2 3 7 2 3" xfId="2941"/>
    <cellStyle name="Comma 2 3 7 2 3 2" xfId="2942"/>
    <cellStyle name="Comma 2 3 7 2 3 2 2" xfId="2943"/>
    <cellStyle name="Comma 2 3 7 2 3 3" xfId="2944"/>
    <cellStyle name="Comma 2 3 7 2 4" xfId="2945"/>
    <cellStyle name="Comma 2 3 7 2 4 2" xfId="2946"/>
    <cellStyle name="Comma 2 3 7 2 4 3" xfId="2947"/>
    <cellStyle name="Comma 2 3 7 2 5" xfId="2948"/>
    <cellStyle name="Comma 2 3 7 2 5 2" xfId="2949"/>
    <cellStyle name="Comma 2 3 7 2 6" xfId="2950"/>
    <cellStyle name="Comma 2 3 7 2 6 2" xfId="35937"/>
    <cellStyle name="Comma 2 3 7 2 7" xfId="2951"/>
    <cellStyle name="Comma 2 3 7 3" xfId="2952"/>
    <cellStyle name="Comma 2 3 7 3 2" xfId="2953"/>
    <cellStyle name="Comma 2 3 7 3 2 2" xfId="2954"/>
    <cellStyle name="Comma 2 3 7 3 2 2 2" xfId="2955"/>
    <cellStyle name="Comma 2 3 7 3 2 3" xfId="2956"/>
    <cellStyle name="Comma 2 3 7 3 3" xfId="2957"/>
    <cellStyle name="Comma 2 3 7 3 3 2" xfId="2958"/>
    <cellStyle name="Comma 2 3 7 3 4" xfId="2959"/>
    <cellStyle name="Comma 2 3 7 4" xfId="2960"/>
    <cellStyle name="Comma 2 3 7 4 2" xfId="2961"/>
    <cellStyle name="Comma 2 3 7 4 2 2" xfId="2962"/>
    <cellStyle name="Comma 2 3 7 4 3" xfId="2963"/>
    <cellStyle name="Comma 2 3 7 5" xfId="2964"/>
    <cellStyle name="Comma 2 3 7 5 2" xfId="2965"/>
    <cellStyle name="Comma 2 3 7 5 2 2" xfId="2966"/>
    <cellStyle name="Comma 2 3 7 5 3" xfId="2967"/>
    <cellStyle name="Comma 2 3 7 6" xfId="2968"/>
    <cellStyle name="Comma 2 3 7 6 2" xfId="2969"/>
    <cellStyle name="Comma 2 3 7 7" xfId="2970"/>
    <cellStyle name="Comma 2 3 7 7 2" xfId="35938"/>
    <cellStyle name="Comma 2 3 7 8" xfId="2971"/>
    <cellStyle name="Comma 2 3 8" xfId="2972"/>
    <cellStyle name="Comma 2 3 8 2" xfId="2973"/>
    <cellStyle name="Comma 2 3 8 2 2" xfId="2974"/>
    <cellStyle name="Comma 2 3 8 2 2 2" xfId="2975"/>
    <cellStyle name="Comma 2 3 8 2 2 3" xfId="2976"/>
    <cellStyle name="Comma 2 3 8 2 3" xfId="2977"/>
    <cellStyle name="Comma 2 3 8 2 3 2" xfId="2978"/>
    <cellStyle name="Comma 2 3 8 2 4" xfId="2979"/>
    <cellStyle name="Comma 2 3 8 3" xfId="2980"/>
    <cellStyle name="Comma 2 3 8 3 2" xfId="2981"/>
    <cellStyle name="Comma 2 3 8 3 2 2" xfId="2982"/>
    <cellStyle name="Comma 2 3 8 3 3" xfId="2983"/>
    <cellStyle name="Comma 2 3 8 4" xfId="2984"/>
    <cellStyle name="Comma 2 3 8 4 2" xfId="2985"/>
    <cellStyle name="Comma 2 3 8 4 3" xfId="2986"/>
    <cellStyle name="Comma 2 3 8 5" xfId="2987"/>
    <cellStyle name="Comma 2 3 8 5 2" xfId="2988"/>
    <cellStyle name="Comma 2 3 8 6" xfId="2989"/>
    <cellStyle name="Comma 2 3 8 6 2" xfId="35939"/>
    <cellStyle name="Comma 2 3 8 7" xfId="2990"/>
    <cellStyle name="Comma 2 3 9" xfId="2991"/>
    <cellStyle name="Comma 2 3 9 2" xfId="2992"/>
    <cellStyle name="Comma 2 3 9 2 2" xfId="2993"/>
    <cellStyle name="Comma 2 3 9 2 2 2" xfId="2994"/>
    <cellStyle name="Comma 2 3 9 2 3" xfId="2995"/>
    <cellStyle name="Comma 2 3 9 3" xfId="2996"/>
    <cellStyle name="Comma 2 3 9 3 2" xfId="2997"/>
    <cellStyle name="Comma 2 3 9 4" xfId="2998"/>
    <cellStyle name="Comma 2 4" xfId="2999"/>
    <cellStyle name="Comma 2 4 10" xfId="3000"/>
    <cellStyle name="Comma 2 4 10 2" xfId="3001"/>
    <cellStyle name="Comma 2 4 10 2 2" xfId="3002"/>
    <cellStyle name="Comma 2 4 10 3" xfId="3003"/>
    <cellStyle name="Comma 2 4 11" xfId="3004"/>
    <cellStyle name="Comma 2 4 11 2" xfId="3005"/>
    <cellStyle name="Comma 2 4 11 2 2" xfId="3006"/>
    <cellStyle name="Comma 2 4 11 3" xfId="3007"/>
    <cellStyle name="Comma 2 4 12" xfId="3008"/>
    <cellStyle name="Comma 2 4 12 2" xfId="3009"/>
    <cellStyle name="Comma 2 4 13" xfId="3010"/>
    <cellStyle name="Comma 2 4 13 2" xfId="35940"/>
    <cellStyle name="Comma 2 4 14" xfId="3011"/>
    <cellStyle name="Comma 2 4 2" xfId="3012"/>
    <cellStyle name="Comma 2 4 2 10" xfId="3013"/>
    <cellStyle name="Comma 2 4 2 2" xfId="3014"/>
    <cellStyle name="Comma 2 4 2 2 2" xfId="3015"/>
    <cellStyle name="Comma 2 4 2 2 2 2" xfId="3016"/>
    <cellStyle name="Comma 2 4 2 2 2 2 2" xfId="3017"/>
    <cellStyle name="Comma 2 4 2 2 2 2 2 2" xfId="3018"/>
    <cellStyle name="Comma 2 4 2 2 2 2 2 2 2" xfId="3019"/>
    <cellStyle name="Comma 2 4 2 2 2 2 2 2 3" xfId="3020"/>
    <cellStyle name="Comma 2 4 2 2 2 2 2 3" xfId="3021"/>
    <cellStyle name="Comma 2 4 2 2 2 2 2 3 2" xfId="3022"/>
    <cellStyle name="Comma 2 4 2 2 2 2 2 4" xfId="3023"/>
    <cellStyle name="Comma 2 4 2 2 2 2 3" xfId="3024"/>
    <cellStyle name="Comma 2 4 2 2 2 2 3 2" xfId="3025"/>
    <cellStyle name="Comma 2 4 2 2 2 2 3 2 2" xfId="3026"/>
    <cellStyle name="Comma 2 4 2 2 2 2 3 3" xfId="3027"/>
    <cellStyle name="Comma 2 4 2 2 2 2 4" xfId="3028"/>
    <cellStyle name="Comma 2 4 2 2 2 2 4 2" xfId="3029"/>
    <cellStyle name="Comma 2 4 2 2 2 2 4 3" xfId="3030"/>
    <cellStyle name="Comma 2 4 2 2 2 2 5" xfId="3031"/>
    <cellStyle name="Comma 2 4 2 2 2 2 5 2" xfId="3032"/>
    <cellStyle name="Comma 2 4 2 2 2 2 6" xfId="3033"/>
    <cellStyle name="Comma 2 4 2 2 2 2 6 2" xfId="35941"/>
    <cellStyle name="Comma 2 4 2 2 2 2 7" xfId="3034"/>
    <cellStyle name="Comma 2 4 2 2 2 3" xfId="3035"/>
    <cellStyle name="Comma 2 4 2 2 2 3 2" xfId="3036"/>
    <cellStyle name="Comma 2 4 2 2 2 3 2 2" xfId="3037"/>
    <cellStyle name="Comma 2 4 2 2 2 3 2 2 2" xfId="3038"/>
    <cellStyle name="Comma 2 4 2 2 2 3 2 3" xfId="3039"/>
    <cellStyle name="Comma 2 4 2 2 2 3 3" xfId="3040"/>
    <cellStyle name="Comma 2 4 2 2 2 3 3 2" xfId="3041"/>
    <cellStyle name="Comma 2 4 2 2 2 3 4" xfId="3042"/>
    <cellStyle name="Comma 2 4 2 2 2 4" xfId="3043"/>
    <cellStyle name="Comma 2 4 2 2 2 4 2" xfId="3044"/>
    <cellStyle name="Comma 2 4 2 2 2 4 2 2" xfId="3045"/>
    <cellStyle name="Comma 2 4 2 2 2 4 3" xfId="3046"/>
    <cellStyle name="Comma 2 4 2 2 2 5" xfId="3047"/>
    <cellStyle name="Comma 2 4 2 2 2 5 2" xfId="3048"/>
    <cellStyle name="Comma 2 4 2 2 2 5 2 2" xfId="3049"/>
    <cellStyle name="Comma 2 4 2 2 2 5 3" xfId="3050"/>
    <cellStyle name="Comma 2 4 2 2 2 6" xfId="3051"/>
    <cellStyle name="Comma 2 4 2 2 2 6 2" xfId="3052"/>
    <cellStyle name="Comma 2 4 2 2 2 7" xfId="3053"/>
    <cellStyle name="Comma 2 4 2 2 2 7 2" xfId="35942"/>
    <cellStyle name="Comma 2 4 2 2 2 8" xfId="3054"/>
    <cellStyle name="Comma 2 4 2 2 3" xfId="3055"/>
    <cellStyle name="Comma 2 4 2 2 3 2" xfId="3056"/>
    <cellStyle name="Comma 2 4 2 2 3 2 2" xfId="3057"/>
    <cellStyle name="Comma 2 4 2 2 3 2 2 2" xfId="3058"/>
    <cellStyle name="Comma 2 4 2 2 3 2 2 3" xfId="3059"/>
    <cellStyle name="Comma 2 4 2 2 3 2 3" xfId="3060"/>
    <cellStyle name="Comma 2 4 2 2 3 2 3 2" xfId="3061"/>
    <cellStyle name="Comma 2 4 2 2 3 2 4" xfId="3062"/>
    <cellStyle name="Comma 2 4 2 2 3 3" xfId="3063"/>
    <cellStyle name="Comma 2 4 2 2 3 3 2" xfId="3064"/>
    <cellStyle name="Comma 2 4 2 2 3 3 2 2" xfId="3065"/>
    <cellStyle name="Comma 2 4 2 2 3 3 3" xfId="3066"/>
    <cellStyle name="Comma 2 4 2 2 3 4" xfId="3067"/>
    <cellStyle name="Comma 2 4 2 2 3 4 2" xfId="3068"/>
    <cellStyle name="Comma 2 4 2 2 3 4 3" xfId="3069"/>
    <cellStyle name="Comma 2 4 2 2 3 5" xfId="3070"/>
    <cellStyle name="Comma 2 4 2 2 3 5 2" xfId="3071"/>
    <cellStyle name="Comma 2 4 2 2 3 6" xfId="3072"/>
    <cellStyle name="Comma 2 4 2 2 3 6 2" xfId="35943"/>
    <cellStyle name="Comma 2 4 2 2 3 7" xfId="3073"/>
    <cellStyle name="Comma 2 4 2 2 4" xfId="3074"/>
    <cellStyle name="Comma 2 4 2 2 4 2" xfId="3075"/>
    <cellStyle name="Comma 2 4 2 2 4 2 2" xfId="3076"/>
    <cellStyle name="Comma 2 4 2 2 4 2 2 2" xfId="3077"/>
    <cellStyle name="Comma 2 4 2 2 4 2 3" xfId="3078"/>
    <cellStyle name="Comma 2 4 2 2 4 3" xfId="3079"/>
    <cellStyle name="Comma 2 4 2 2 4 3 2" xfId="3080"/>
    <cellStyle name="Comma 2 4 2 2 4 4" xfId="3081"/>
    <cellStyle name="Comma 2 4 2 2 5" xfId="3082"/>
    <cellStyle name="Comma 2 4 2 2 5 2" xfId="3083"/>
    <cellStyle name="Comma 2 4 2 2 5 2 2" xfId="3084"/>
    <cellStyle name="Comma 2 4 2 2 5 3" xfId="3085"/>
    <cellStyle name="Comma 2 4 2 2 6" xfId="3086"/>
    <cellStyle name="Comma 2 4 2 2 6 2" xfId="3087"/>
    <cellStyle name="Comma 2 4 2 2 6 2 2" xfId="3088"/>
    <cellStyle name="Comma 2 4 2 2 6 3" xfId="3089"/>
    <cellStyle name="Comma 2 4 2 2 7" xfId="3090"/>
    <cellStyle name="Comma 2 4 2 2 7 2" xfId="3091"/>
    <cellStyle name="Comma 2 4 2 2 8" xfId="3092"/>
    <cellStyle name="Comma 2 4 2 2 8 2" xfId="35944"/>
    <cellStyle name="Comma 2 4 2 2 9" xfId="3093"/>
    <cellStyle name="Comma 2 4 2 3" xfId="3094"/>
    <cellStyle name="Comma 2 4 2 3 2" xfId="3095"/>
    <cellStyle name="Comma 2 4 2 3 2 2" xfId="3096"/>
    <cellStyle name="Comma 2 4 2 3 2 2 2" xfId="3097"/>
    <cellStyle name="Comma 2 4 2 3 2 2 2 2" xfId="3098"/>
    <cellStyle name="Comma 2 4 2 3 2 2 2 3" xfId="3099"/>
    <cellStyle name="Comma 2 4 2 3 2 2 3" xfId="3100"/>
    <cellStyle name="Comma 2 4 2 3 2 2 3 2" xfId="3101"/>
    <cellStyle name="Comma 2 4 2 3 2 2 4" xfId="3102"/>
    <cellStyle name="Comma 2 4 2 3 2 3" xfId="3103"/>
    <cellStyle name="Comma 2 4 2 3 2 3 2" xfId="3104"/>
    <cellStyle name="Comma 2 4 2 3 2 3 2 2" xfId="3105"/>
    <cellStyle name="Comma 2 4 2 3 2 3 3" xfId="3106"/>
    <cellStyle name="Comma 2 4 2 3 2 4" xfId="3107"/>
    <cellStyle name="Comma 2 4 2 3 2 4 2" xfId="3108"/>
    <cellStyle name="Comma 2 4 2 3 2 4 3" xfId="3109"/>
    <cellStyle name="Comma 2 4 2 3 2 5" xfId="3110"/>
    <cellStyle name="Comma 2 4 2 3 2 5 2" xfId="3111"/>
    <cellStyle name="Comma 2 4 2 3 2 6" xfId="3112"/>
    <cellStyle name="Comma 2 4 2 3 2 6 2" xfId="35945"/>
    <cellStyle name="Comma 2 4 2 3 2 7" xfId="3113"/>
    <cellStyle name="Comma 2 4 2 3 3" xfId="3114"/>
    <cellStyle name="Comma 2 4 2 3 3 2" xfId="3115"/>
    <cellStyle name="Comma 2 4 2 3 3 2 2" xfId="3116"/>
    <cellStyle name="Comma 2 4 2 3 3 2 2 2" xfId="3117"/>
    <cellStyle name="Comma 2 4 2 3 3 2 3" xfId="3118"/>
    <cellStyle name="Comma 2 4 2 3 3 3" xfId="3119"/>
    <cellStyle name="Comma 2 4 2 3 3 3 2" xfId="3120"/>
    <cellStyle name="Comma 2 4 2 3 3 4" xfId="3121"/>
    <cellStyle name="Comma 2 4 2 3 4" xfId="3122"/>
    <cellStyle name="Comma 2 4 2 3 4 2" xfId="3123"/>
    <cellStyle name="Comma 2 4 2 3 4 2 2" xfId="3124"/>
    <cellStyle name="Comma 2 4 2 3 4 3" xfId="3125"/>
    <cellStyle name="Comma 2 4 2 3 5" xfId="3126"/>
    <cellStyle name="Comma 2 4 2 3 5 2" xfId="3127"/>
    <cellStyle name="Comma 2 4 2 3 5 2 2" xfId="3128"/>
    <cellStyle name="Comma 2 4 2 3 5 3" xfId="3129"/>
    <cellStyle name="Comma 2 4 2 3 6" xfId="3130"/>
    <cellStyle name="Comma 2 4 2 3 6 2" xfId="3131"/>
    <cellStyle name="Comma 2 4 2 3 7" xfId="3132"/>
    <cellStyle name="Comma 2 4 2 3 7 2" xfId="35946"/>
    <cellStyle name="Comma 2 4 2 3 8" xfId="3133"/>
    <cellStyle name="Comma 2 4 2 4" xfId="3134"/>
    <cellStyle name="Comma 2 4 2 4 2" xfId="3135"/>
    <cellStyle name="Comma 2 4 2 4 2 2" xfId="3136"/>
    <cellStyle name="Comma 2 4 2 4 2 2 2" xfId="3137"/>
    <cellStyle name="Comma 2 4 2 4 2 2 3" xfId="3138"/>
    <cellStyle name="Comma 2 4 2 4 2 3" xfId="3139"/>
    <cellStyle name="Comma 2 4 2 4 2 3 2" xfId="3140"/>
    <cellStyle name="Comma 2 4 2 4 2 4" xfId="3141"/>
    <cellStyle name="Comma 2 4 2 4 3" xfId="3142"/>
    <cellStyle name="Comma 2 4 2 4 3 2" xfId="3143"/>
    <cellStyle name="Comma 2 4 2 4 3 2 2" xfId="3144"/>
    <cellStyle name="Comma 2 4 2 4 3 3" xfId="3145"/>
    <cellStyle name="Comma 2 4 2 4 4" xfId="3146"/>
    <cellStyle name="Comma 2 4 2 4 4 2" xfId="3147"/>
    <cellStyle name="Comma 2 4 2 4 4 3" xfId="3148"/>
    <cellStyle name="Comma 2 4 2 4 5" xfId="3149"/>
    <cellStyle name="Comma 2 4 2 4 5 2" xfId="3150"/>
    <cellStyle name="Comma 2 4 2 4 6" xfId="3151"/>
    <cellStyle name="Comma 2 4 2 4 6 2" xfId="35947"/>
    <cellStyle name="Comma 2 4 2 4 7" xfId="3152"/>
    <cellStyle name="Comma 2 4 2 5" xfId="3153"/>
    <cellStyle name="Comma 2 4 2 5 2" xfId="3154"/>
    <cellStyle name="Comma 2 4 2 5 2 2" xfId="3155"/>
    <cellStyle name="Comma 2 4 2 5 2 2 2" xfId="3156"/>
    <cellStyle name="Comma 2 4 2 5 2 3" xfId="3157"/>
    <cellStyle name="Comma 2 4 2 5 3" xfId="3158"/>
    <cellStyle name="Comma 2 4 2 5 3 2" xfId="3159"/>
    <cellStyle name="Comma 2 4 2 5 4" xfId="3160"/>
    <cellStyle name="Comma 2 4 2 6" xfId="3161"/>
    <cellStyle name="Comma 2 4 2 6 2" xfId="3162"/>
    <cellStyle name="Comma 2 4 2 6 2 2" xfId="3163"/>
    <cellStyle name="Comma 2 4 2 6 3" xfId="3164"/>
    <cellStyle name="Comma 2 4 2 7" xfId="3165"/>
    <cellStyle name="Comma 2 4 2 7 2" xfId="3166"/>
    <cellStyle name="Comma 2 4 2 7 2 2" xfId="3167"/>
    <cellStyle name="Comma 2 4 2 7 3" xfId="3168"/>
    <cellStyle name="Comma 2 4 2 8" xfId="3169"/>
    <cellStyle name="Comma 2 4 2 8 2" xfId="3170"/>
    <cellStyle name="Comma 2 4 2 9" xfId="3171"/>
    <cellStyle name="Comma 2 4 2 9 2" xfId="35948"/>
    <cellStyle name="Comma 2 4 3" xfId="3172"/>
    <cellStyle name="Comma 2 4 3 2" xfId="3173"/>
    <cellStyle name="Comma 2 4 3 2 2" xfId="3174"/>
    <cellStyle name="Comma 2 4 3 2 2 2" xfId="3175"/>
    <cellStyle name="Comma 2 4 3 2 2 2 2" xfId="3176"/>
    <cellStyle name="Comma 2 4 3 2 2 2 2 2" xfId="3177"/>
    <cellStyle name="Comma 2 4 3 2 2 2 2 3" xfId="3178"/>
    <cellStyle name="Comma 2 4 3 2 2 2 3" xfId="3179"/>
    <cellStyle name="Comma 2 4 3 2 2 2 3 2" xfId="3180"/>
    <cellStyle name="Comma 2 4 3 2 2 2 4" xfId="3181"/>
    <cellStyle name="Comma 2 4 3 2 2 3" xfId="3182"/>
    <cellStyle name="Comma 2 4 3 2 2 3 2" xfId="3183"/>
    <cellStyle name="Comma 2 4 3 2 2 3 2 2" xfId="3184"/>
    <cellStyle name="Comma 2 4 3 2 2 3 3" xfId="3185"/>
    <cellStyle name="Comma 2 4 3 2 2 4" xfId="3186"/>
    <cellStyle name="Comma 2 4 3 2 2 4 2" xfId="3187"/>
    <cellStyle name="Comma 2 4 3 2 2 4 3" xfId="3188"/>
    <cellStyle name="Comma 2 4 3 2 2 5" xfId="3189"/>
    <cellStyle name="Comma 2 4 3 2 2 5 2" xfId="3190"/>
    <cellStyle name="Comma 2 4 3 2 2 6" xfId="3191"/>
    <cellStyle name="Comma 2 4 3 2 2 6 2" xfId="35949"/>
    <cellStyle name="Comma 2 4 3 2 2 7" xfId="3192"/>
    <cellStyle name="Comma 2 4 3 2 3" xfId="3193"/>
    <cellStyle name="Comma 2 4 3 2 3 2" xfId="3194"/>
    <cellStyle name="Comma 2 4 3 2 3 2 2" xfId="3195"/>
    <cellStyle name="Comma 2 4 3 2 3 2 2 2" xfId="3196"/>
    <cellStyle name="Comma 2 4 3 2 3 2 3" xfId="3197"/>
    <cellStyle name="Comma 2 4 3 2 3 3" xfId="3198"/>
    <cellStyle name="Comma 2 4 3 2 3 3 2" xfId="3199"/>
    <cellStyle name="Comma 2 4 3 2 3 4" xfId="3200"/>
    <cellStyle name="Comma 2 4 3 2 4" xfId="3201"/>
    <cellStyle name="Comma 2 4 3 2 4 2" xfId="3202"/>
    <cellStyle name="Comma 2 4 3 2 4 2 2" xfId="3203"/>
    <cellStyle name="Comma 2 4 3 2 4 3" xfId="3204"/>
    <cellStyle name="Comma 2 4 3 2 5" xfId="3205"/>
    <cellStyle name="Comma 2 4 3 2 5 2" xfId="3206"/>
    <cellStyle name="Comma 2 4 3 2 5 2 2" xfId="3207"/>
    <cellStyle name="Comma 2 4 3 2 5 3" xfId="3208"/>
    <cellStyle name="Comma 2 4 3 2 6" xfId="3209"/>
    <cellStyle name="Comma 2 4 3 2 6 2" xfId="3210"/>
    <cellStyle name="Comma 2 4 3 2 7" xfId="3211"/>
    <cellStyle name="Comma 2 4 3 2 7 2" xfId="35950"/>
    <cellStyle name="Comma 2 4 3 2 8" xfId="3212"/>
    <cellStyle name="Comma 2 4 3 3" xfId="3213"/>
    <cellStyle name="Comma 2 4 3 3 2" xfId="3214"/>
    <cellStyle name="Comma 2 4 3 3 2 2" xfId="3215"/>
    <cellStyle name="Comma 2 4 3 3 2 2 2" xfId="3216"/>
    <cellStyle name="Comma 2 4 3 3 2 2 3" xfId="3217"/>
    <cellStyle name="Comma 2 4 3 3 2 3" xfId="3218"/>
    <cellStyle name="Comma 2 4 3 3 2 3 2" xfId="3219"/>
    <cellStyle name="Comma 2 4 3 3 2 4" xfId="3220"/>
    <cellStyle name="Comma 2 4 3 3 3" xfId="3221"/>
    <cellStyle name="Comma 2 4 3 3 3 2" xfId="3222"/>
    <cellStyle name="Comma 2 4 3 3 3 2 2" xfId="3223"/>
    <cellStyle name="Comma 2 4 3 3 3 3" xfId="3224"/>
    <cellStyle name="Comma 2 4 3 3 4" xfId="3225"/>
    <cellStyle name="Comma 2 4 3 3 4 2" xfId="3226"/>
    <cellStyle name="Comma 2 4 3 3 4 3" xfId="3227"/>
    <cellStyle name="Comma 2 4 3 3 5" xfId="3228"/>
    <cellStyle name="Comma 2 4 3 3 5 2" xfId="3229"/>
    <cellStyle name="Comma 2 4 3 3 6" xfId="3230"/>
    <cellStyle name="Comma 2 4 3 3 6 2" xfId="35951"/>
    <cellStyle name="Comma 2 4 3 3 7" xfId="3231"/>
    <cellStyle name="Comma 2 4 3 4" xfId="3232"/>
    <cellStyle name="Comma 2 4 3 4 2" xfId="3233"/>
    <cellStyle name="Comma 2 4 3 4 2 2" xfId="3234"/>
    <cellStyle name="Comma 2 4 3 4 2 2 2" xfId="3235"/>
    <cellStyle name="Comma 2 4 3 4 2 3" xfId="3236"/>
    <cellStyle name="Comma 2 4 3 4 3" xfId="3237"/>
    <cellStyle name="Comma 2 4 3 4 3 2" xfId="3238"/>
    <cellStyle name="Comma 2 4 3 4 4" xfId="3239"/>
    <cellStyle name="Comma 2 4 3 5" xfId="3240"/>
    <cellStyle name="Comma 2 4 3 5 2" xfId="3241"/>
    <cellStyle name="Comma 2 4 3 5 2 2" xfId="3242"/>
    <cellStyle name="Comma 2 4 3 5 3" xfId="3243"/>
    <cellStyle name="Comma 2 4 3 6" xfId="3244"/>
    <cellStyle name="Comma 2 4 3 6 2" xfId="3245"/>
    <cellStyle name="Comma 2 4 3 6 2 2" xfId="3246"/>
    <cellStyle name="Comma 2 4 3 6 3" xfId="3247"/>
    <cellStyle name="Comma 2 4 3 7" xfId="3248"/>
    <cellStyle name="Comma 2 4 3 7 2" xfId="3249"/>
    <cellStyle name="Comma 2 4 3 8" xfId="3250"/>
    <cellStyle name="Comma 2 4 3 8 2" xfId="35952"/>
    <cellStyle name="Comma 2 4 3 9" xfId="3251"/>
    <cellStyle name="Comma 2 4 4" xfId="3252"/>
    <cellStyle name="Comma 2 4 4 2" xfId="3253"/>
    <cellStyle name="Comma 2 4 4 2 2" xfId="3254"/>
    <cellStyle name="Comma 2 4 4 2 2 2" xfId="3255"/>
    <cellStyle name="Comma 2 4 4 2 2 2 2" xfId="3256"/>
    <cellStyle name="Comma 2 4 4 2 2 2 2 2" xfId="3257"/>
    <cellStyle name="Comma 2 4 4 2 2 2 2 3" xfId="3258"/>
    <cellStyle name="Comma 2 4 4 2 2 2 3" xfId="3259"/>
    <cellStyle name="Comma 2 4 4 2 2 2 3 2" xfId="3260"/>
    <cellStyle name="Comma 2 4 4 2 2 2 4" xfId="3261"/>
    <cellStyle name="Comma 2 4 4 2 2 3" xfId="3262"/>
    <cellStyle name="Comma 2 4 4 2 2 3 2" xfId="3263"/>
    <cellStyle name="Comma 2 4 4 2 2 3 2 2" xfId="3264"/>
    <cellStyle name="Comma 2 4 4 2 2 3 3" xfId="3265"/>
    <cellStyle name="Comma 2 4 4 2 2 4" xfId="3266"/>
    <cellStyle name="Comma 2 4 4 2 2 4 2" xfId="3267"/>
    <cellStyle name="Comma 2 4 4 2 2 4 3" xfId="3268"/>
    <cellStyle name="Comma 2 4 4 2 2 5" xfId="3269"/>
    <cellStyle name="Comma 2 4 4 2 2 5 2" xfId="3270"/>
    <cellStyle name="Comma 2 4 4 2 2 6" xfId="3271"/>
    <cellStyle name="Comma 2 4 4 2 2 6 2" xfId="35953"/>
    <cellStyle name="Comma 2 4 4 2 2 7" xfId="3272"/>
    <cellStyle name="Comma 2 4 4 2 3" xfId="3273"/>
    <cellStyle name="Comma 2 4 4 2 3 2" xfId="3274"/>
    <cellStyle name="Comma 2 4 4 2 3 2 2" xfId="3275"/>
    <cellStyle name="Comma 2 4 4 2 3 2 2 2" xfId="3276"/>
    <cellStyle name="Comma 2 4 4 2 3 2 3" xfId="3277"/>
    <cellStyle name="Comma 2 4 4 2 3 3" xfId="3278"/>
    <cellStyle name="Comma 2 4 4 2 3 3 2" xfId="3279"/>
    <cellStyle name="Comma 2 4 4 2 3 4" xfId="3280"/>
    <cellStyle name="Comma 2 4 4 2 4" xfId="3281"/>
    <cellStyle name="Comma 2 4 4 2 4 2" xfId="3282"/>
    <cellStyle name="Comma 2 4 4 2 4 2 2" xfId="3283"/>
    <cellStyle name="Comma 2 4 4 2 4 3" xfId="3284"/>
    <cellStyle name="Comma 2 4 4 2 5" xfId="3285"/>
    <cellStyle name="Comma 2 4 4 2 5 2" xfId="3286"/>
    <cellStyle name="Comma 2 4 4 2 5 2 2" xfId="3287"/>
    <cellStyle name="Comma 2 4 4 2 5 3" xfId="3288"/>
    <cellStyle name="Comma 2 4 4 2 6" xfId="3289"/>
    <cellStyle name="Comma 2 4 4 2 6 2" xfId="3290"/>
    <cellStyle name="Comma 2 4 4 2 7" xfId="3291"/>
    <cellStyle name="Comma 2 4 4 2 7 2" xfId="35954"/>
    <cellStyle name="Comma 2 4 4 2 8" xfId="3292"/>
    <cellStyle name="Comma 2 4 4 3" xfId="3293"/>
    <cellStyle name="Comma 2 4 4 3 2" xfId="3294"/>
    <cellStyle name="Comma 2 4 4 3 2 2" xfId="3295"/>
    <cellStyle name="Comma 2 4 4 3 2 2 2" xfId="3296"/>
    <cellStyle name="Comma 2 4 4 3 2 2 3" xfId="3297"/>
    <cellStyle name="Comma 2 4 4 3 2 3" xfId="3298"/>
    <cellStyle name="Comma 2 4 4 3 2 3 2" xfId="3299"/>
    <cellStyle name="Comma 2 4 4 3 2 4" xfId="3300"/>
    <cellStyle name="Comma 2 4 4 3 3" xfId="3301"/>
    <cellStyle name="Comma 2 4 4 3 3 2" xfId="3302"/>
    <cellStyle name="Comma 2 4 4 3 3 2 2" xfId="3303"/>
    <cellStyle name="Comma 2 4 4 3 3 3" xfId="3304"/>
    <cellStyle name="Comma 2 4 4 3 4" xfId="3305"/>
    <cellStyle name="Comma 2 4 4 3 4 2" xfId="3306"/>
    <cellStyle name="Comma 2 4 4 3 4 3" xfId="3307"/>
    <cellStyle name="Comma 2 4 4 3 5" xfId="3308"/>
    <cellStyle name="Comma 2 4 4 3 5 2" xfId="3309"/>
    <cellStyle name="Comma 2 4 4 3 6" xfId="3310"/>
    <cellStyle name="Comma 2 4 4 3 6 2" xfId="35955"/>
    <cellStyle name="Comma 2 4 4 3 7" xfId="3311"/>
    <cellStyle name="Comma 2 4 4 4" xfId="3312"/>
    <cellStyle name="Comma 2 4 4 4 2" xfId="3313"/>
    <cellStyle name="Comma 2 4 4 4 2 2" xfId="3314"/>
    <cellStyle name="Comma 2 4 4 4 2 2 2" xfId="3315"/>
    <cellStyle name="Comma 2 4 4 4 2 3" xfId="3316"/>
    <cellStyle name="Comma 2 4 4 4 3" xfId="3317"/>
    <cellStyle name="Comma 2 4 4 4 3 2" xfId="3318"/>
    <cellStyle name="Comma 2 4 4 4 4" xfId="3319"/>
    <cellStyle name="Comma 2 4 4 5" xfId="3320"/>
    <cellStyle name="Comma 2 4 4 5 2" xfId="3321"/>
    <cellStyle name="Comma 2 4 4 5 2 2" xfId="3322"/>
    <cellStyle name="Comma 2 4 4 5 3" xfId="3323"/>
    <cellStyle name="Comma 2 4 4 6" xfId="3324"/>
    <cellStyle name="Comma 2 4 4 6 2" xfId="3325"/>
    <cellStyle name="Comma 2 4 4 6 2 2" xfId="3326"/>
    <cellStyle name="Comma 2 4 4 6 3" xfId="3327"/>
    <cellStyle name="Comma 2 4 4 7" xfId="3328"/>
    <cellStyle name="Comma 2 4 4 7 2" xfId="3329"/>
    <cellStyle name="Comma 2 4 4 8" xfId="3330"/>
    <cellStyle name="Comma 2 4 4 8 2" xfId="35956"/>
    <cellStyle name="Comma 2 4 4 9" xfId="3331"/>
    <cellStyle name="Comma 2 4 5" xfId="3332"/>
    <cellStyle name="Comma 2 4 5 2" xfId="3333"/>
    <cellStyle name="Comma 2 4 5 2 2" xfId="3334"/>
    <cellStyle name="Comma 2 4 5 2 2 2" xfId="3335"/>
    <cellStyle name="Comma 2 4 5 2 2 2 2" xfId="3336"/>
    <cellStyle name="Comma 2 4 5 2 2 2 3" xfId="3337"/>
    <cellStyle name="Comma 2 4 5 2 2 3" xfId="3338"/>
    <cellStyle name="Comma 2 4 5 2 2 3 2" xfId="3339"/>
    <cellStyle name="Comma 2 4 5 2 2 4" xfId="3340"/>
    <cellStyle name="Comma 2 4 5 2 3" xfId="3341"/>
    <cellStyle name="Comma 2 4 5 2 3 2" xfId="3342"/>
    <cellStyle name="Comma 2 4 5 2 3 2 2" xfId="3343"/>
    <cellStyle name="Comma 2 4 5 2 3 3" xfId="3344"/>
    <cellStyle name="Comma 2 4 5 2 4" xfId="3345"/>
    <cellStyle name="Comma 2 4 5 2 4 2" xfId="3346"/>
    <cellStyle name="Comma 2 4 5 2 4 3" xfId="3347"/>
    <cellStyle name="Comma 2 4 5 2 5" xfId="3348"/>
    <cellStyle name="Comma 2 4 5 2 5 2" xfId="3349"/>
    <cellStyle name="Comma 2 4 5 2 6" xfId="3350"/>
    <cellStyle name="Comma 2 4 5 2 6 2" xfId="35957"/>
    <cellStyle name="Comma 2 4 5 2 7" xfId="3351"/>
    <cellStyle name="Comma 2 4 5 3" xfId="3352"/>
    <cellStyle name="Comma 2 4 5 3 2" xfId="3353"/>
    <cellStyle name="Comma 2 4 5 3 2 2" xfId="3354"/>
    <cellStyle name="Comma 2 4 5 3 2 2 2" xfId="3355"/>
    <cellStyle name="Comma 2 4 5 3 2 3" xfId="3356"/>
    <cellStyle name="Comma 2 4 5 3 3" xfId="3357"/>
    <cellStyle name="Comma 2 4 5 3 3 2" xfId="3358"/>
    <cellStyle name="Comma 2 4 5 3 4" xfId="3359"/>
    <cellStyle name="Comma 2 4 5 4" xfId="3360"/>
    <cellStyle name="Comma 2 4 5 4 2" xfId="3361"/>
    <cellStyle name="Comma 2 4 5 4 2 2" xfId="3362"/>
    <cellStyle name="Comma 2 4 5 4 3" xfId="3363"/>
    <cellStyle name="Comma 2 4 5 5" xfId="3364"/>
    <cellStyle name="Comma 2 4 5 5 2" xfId="3365"/>
    <cellStyle name="Comma 2 4 5 5 2 2" xfId="3366"/>
    <cellStyle name="Comma 2 4 5 5 3" xfId="3367"/>
    <cellStyle name="Comma 2 4 5 6" xfId="3368"/>
    <cellStyle name="Comma 2 4 5 6 2" xfId="3369"/>
    <cellStyle name="Comma 2 4 5 7" xfId="3370"/>
    <cellStyle name="Comma 2 4 5 7 2" xfId="35958"/>
    <cellStyle name="Comma 2 4 5 8" xfId="3371"/>
    <cellStyle name="Comma 2 4 6" xfId="3372"/>
    <cellStyle name="Comma 2 4 6 2" xfId="3373"/>
    <cellStyle name="Comma 2 4 6 2 2" xfId="3374"/>
    <cellStyle name="Comma 2 4 6 2 2 2" xfId="3375"/>
    <cellStyle name="Comma 2 4 6 2 2 2 2" xfId="3376"/>
    <cellStyle name="Comma 2 4 6 2 2 2 3" xfId="3377"/>
    <cellStyle name="Comma 2 4 6 2 2 3" xfId="3378"/>
    <cellStyle name="Comma 2 4 6 2 2 3 2" xfId="3379"/>
    <cellStyle name="Comma 2 4 6 2 2 4" xfId="3380"/>
    <cellStyle name="Comma 2 4 6 2 3" xfId="3381"/>
    <cellStyle name="Comma 2 4 6 2 3 2" xfId="3382"/>
    <cellStyle name="Comma 2 4 6 2 3 2 2" xfId="3383"/>
    <cellStyle name="Comma 2 4 6 2 3 3" xfId="3384"/>
    <cellStyle name="Comma 2 4 6 2 4" xfId="3385"/>
    <cellStyle name="Comma 2 4 6 2 4 2" xfId="3386"/>
    <cellStyle name="Comma 2 4 6 2 4 3" xfId="3387"/>
    <cellStyle name="Comma 2 4 6 2 5" xfId="3388"/>
    <cellStyle name="Comma 2 4 6 2 5 2" xfId="3389"/>
    <cellStyle name="Comma 2 4 6 2 6" xfId="3390"/>
    <cellStyle name="Comma 2 4 6 2 6 2" xfId="35959"/>
    <cellStyle name="Comma 2 4 6 2 7" xfId="3391"/>
    <cellStyle name="Comma 2 4 6 3" xfId="3392"/>
    <cellStyle name="Comma 2 4 6 3 2" xfId="3393"/>
    <cellStyle name="Comma 2 4 6 3 2 2" xfId="3394"/>
    <cellStyle name="Comma 2 4 6 3 2 2 2" xfId="3395"/>
    <cellStyle name="Comma 2 4 6 3 2 3" xfId="3396"/>
    <cellStyle name="Comma 2 4 6 3 3" xfId="3397"/>
    <cellStyle name="Comma 2 4 6 3 3 2" xfId="3398"/>
    <cellStyle name="Comma 2 4 6 3 4" xfId="3399"/>
    <cellStyle name="Comma 2 4 6 4" xfId="3400"/>
    <cellStyle name="Comma 2 4 6 4 2" xfId="3401"/>
    <cellStyle name="Comma 2 4 6 4 2 2" xfId="3402"/>
    <cellStyle name="Comma 2 4 6 4 3" xfId="3403"/>
    <cellStyle name="Comma 2 4 6 5" xfId="3404"/>
    <cellStyle name="Comma 2 4 6 5 2" xfId="3405"/>
    <cellStyle name="Comma 2 4 6 5 2 2" xfId="3406"/>
    <cellStyle name="Comma 2 4 6 5 3" xfId="3407"/>
    <cellStyle name="Comma 2 4 6 6" xfId="3408"/>
    <cellStyle name="Comma 2 4 6 6 2" xfId="3409"/>
    <cellStyle name="Comma 2 4 6 7" xfId="3410"/>
    <cellStyle name="Comma 2 4 6 7 2" xfId="35960"/>
    <cellStyle name="Comma 2 4 6 8" xfId="3411"/>
    <cellStyle name="Comma 2 4 7" xfId="3412"/>
    <cellStyle name="Comma 2 4 7 2" xfId="3413"/>
    <cellStyle name="Comma 2 4 7 2 2" xfId="3414"/>
    <cellStyle name="Comma 2 4 7 2 2 2" xfId="3415"/>
    <cellStyle name="Comma 2 4 7 2 2 2 2" xfId="3416"/>
    <cellStyle name="Comma 2 4 7 2 2 2 3" xfId="3417"/>
    <cellStyle name="Comma 2 4 7 2 2 3" xfId="3418"/>
    <cellStyle name="Comma 2 4 7 2 2 3 2" xfId="3419"/>
    <cellStyle name="Comma 2 4 7 2 2 4" xfId="3420"/>
    <cellStyle name="Comma 2 4 7 2 3" xfId="3421"/>
    <cellStyle name="Comma 2 4 7 2 3 2" xfId="3422"/>
    <cellStyle name="Comma 2 4 7 2 3 2 2" xfId="3423"/>
    <cellStyle name="Comma 2 4 7 2 3 3" xfId="3424"/>
    <cellStyle name="Comma 2 4 7 2 4" xfId="3425"/>
    <cellStyle name="Comma 2 4 7 2 4 2" xfId="3426"/>
    <cellStyle name="Comma 2 4 7 2 4 3" xfId="3427"/>
    <cellStyle name="Comma 2 4 7 2 5" xfId="3428"/>
    <cellStyle name="Comma 2 4 7 2 5 2" xfId="3429"/>
    <cellStyle name="Comma 2 4 7 2 6" xfId="3430"/>
    <cellStyle name="Comma 2 4 7 2 6 2" xfId="35961"/>
    <cellStyle name="Comma 2 4 7 2 7" xfId="3431"/>
    <cellStyle name="Comma 2 4 7 3" xfId="3432"/>
    <cellStyle name="Comma 2 4 7 3 2" xfId="3433"/>
    <cellStyle name="Comma 2 4 7 3 2 2" xfId="3434"/>
    <cellStyle name="Comma 2 4 7 3 2 2 2" xfId="3435"/>
    <cellStyle name="Comma 2 4 7 3 2 3" xfId="3436"/>
    <cellStyle name="Comma 2 4 7 3 3" xfId="3437"/>
    <cellStyle name="Comma 2 4 7 3 3 2" xfId="3438"/>
    <cellStyle name="Comma 2 4 7 3 4" xfId="3439"/>
    <cellStyle name="Comma 2 4 7 4" xfId="3440"/>
    <cellStyle name="Comma 2 4 7 4 2" xfId="3441"/>
    <cellStyle name="Comma 2 4 7 4 2 2" xfId="3442"/>
    <cellStyle name="Comma 2 4 7 4 3" xfId="3443"/>
    <cellStyle name="Comma 2 4 7 5" xfId="3444"/>
    <cellStyle name="Comma 2 4 7 5 2" xfId="3445"/>
    <cellStyle name="Comma 2 4 7 5 2 2" xfId="3446"/>
    <cellStyle name="Comma 2 4 7 5 3" xfId="3447"/>
    <cellStyle name="Comma 2 4 7 6" xfId="3448"/>
    <cellStyle name="Comma 2 4 7 6 2" xfId="3449"/>
    <cellStyle name="Comma 2 4 7 7" xfId="3450"/>
    <cellStyle name="Comma 2 4 7 7 2" xfId="35962"/>
    <cellStyle name="Comma 2 4 7 8" xfId="3451"/>
    <cellStyle name="Comma 2 4 8" xfId="3452"/>
    <cellStyle name="Comma 2 4 8 2" xfId="3453"/>
    <cellStyle name="Comma 2 4 8 2 2" xfId="3454"/>
    <cellStyle name="Comma 2 4 8 2 2 2" xfId="3455"/>
    <cellStyle name="Comma 2 4 8 2 2 3" xfId="3456"/>
    <cellStyle name="Comma 2 4 8 2 3" xfId="3457"/>
    <cellStyle name="Comma 2 4 8 2 3 2" xfId="3458"/>
    <cellStyle name="Comma 2 4 8 2 4" xfId="3459"/>
    <cellStyle name="Comma 2 4 8 3" xfId="3460"/>
    <cellStyle name="Comma 2 4 8 3 2" xfId="3461"/>
    <cellStyle name="Comma 2 4 8 3 2 2" xfId="3462"/>
    <cellStyle name="Comma 2 4 8 3 3" xfId="3463"/>
    <cellStyle name="Comma 2 4 8 4" xfId="3464"/>
    <cellStyle name="Comma 2 4 8 4 2" xfId="3465"/>
    <cellStyle name="Comma 2 4 8 4 3" xfId="3466"/>
    <cellStyle name="Comma 2 4 8 5" xfId="3467"/>
    <cellStyle name="Comma 2 4 8 5 2" xfId="3468"/>
    <cellStyle name="Comma 2 4 8 6" xfId="3469"/>
    <cellStyle name="Comma 2 4 8 6 2" xfId="35963"/>
    <cellStyle name="Comma 2 4 8 7" xfId="3470"/>
    <cellStyle name="Comma 2 4 9" xfId="3471"/>
    <cellStyle name="Comma 2 4 9 2" xfId="3472"/>
    <cellStyle name="Comma 2 4 9 2 2" xfId="3473"/>
    <cellStyle name="Comma 2 4 9 2 2 2" xfId="3474"/>
    <cellStyle name="Comma 2 4 9 2 3" xfId="3475"/>
    <cellStyle name="Comma 2 4 9 3" xfId="3476"/>
    <cellStyle name="Comma 2 4 9 3 2" xfId="3477"/>
    <cellStyle name="Comma 2 4 9 4" xfId="3478"/>
    <cellStyle name="Comma 2 5" xfId="3479"/>
    <cellStyle name="Comma 2 5 10" xfId="3480"/>
    <cellStyle name="Comma 2 5 10 2" xfId="3481"/>
    <cellStyle name="Comma 2 5 10 2 2" xfId="3482"/>
    <cellStyle name="Comma 2 5 10 3" xfId="3483"/>
    <cellStyle name="Comma 2 5 11" xfId="3484"/>
    <cellStyle name="Comma 2 5 11 2" xfId="3485"/>
    <cellStyle name="Comma 2 5 11 2 2" xfId="3486"/>
    <cellStyle name="Comma 2 5 11 3" xfId="3487"/>
    <cellStyle name="Comma 2 5 12" xfId="3488"/>
    <cellStyle name="Comma 2 5 12 2" xfId="3489"/>
    <cellStyle name="Comma 2 5 13" xfId="3490"/>
    <cellStyle name="Comma 2 5 13 2" xfId="35964"/>
    <cellStyle name="Comma 2 5 14" xfId="3491"/>
    <cellStyle name="Comma 2 5 2" xfId="3492"/>
    <cellStyle name="Comma 2 5 2 10" xfId="3493"/>
    <cellStyle name="Comma 2 5 2 2" xfId="3494"/>
    <cellStyle name="Comma 2 5 2 2 2" xfId="3495"/>
    <cellStyle name="Comma 2 5 2 2 2 2" xfId="3496"/>
    <cellStyle name="Comma 2 5 2 2 2 2 2" xfId="3497"/>
    <cellStyle name="Comma 2 5 2 2 2 2 2 2" xfId="3498"/>
    <cellStyle name="Comma 2 5 2 2 2 2 2 2 2" xfId="3499"/>
    <cellStyle name="Comma 2 5 2 2 2 2 2 2 3" xfId="3500"/>
    <cellStyle name="Comma 2 5 2 2 2 2 2 3" xfId="3501"/>
    <cellStyle name="Comma 2 5 2 2 2 2 2 3 2" xfId="3502"/>
    <cellStyle name="Comma 2 5 2 2 2 2 2 4" xfId="3503"/>
    <cellStyle name="Comma 2 5 2 2 2 2 3" xfId="3504"/>
    <cellStyle name="Comma 2 5 2 2 2 2 3 2" xfId="3505"/>
    <cellStyle name="Comma 2 5 2 2 2 2 3 2 2" xfId="3506"/>
    <cellStyle name="Comma 2 5 2 2 2 2 3 3" xfId="3507"/>
    <cellStyle name="Comma 2 5 2 2 2 2 4" xfId="3508"/>
    <cellStyle name="Comma 2 5 2 2 2 2 4 2" xfId="3509"/>
    <cellStyle name="Comma 2 5 2 2 2 2 4 3" xfId="3510"/>
    <cellStyle name="Comma 2 5 2 2 2 2 5" xfId="3511"/>
    <cellStyle name="Comma 2 5 2 2 2 2 5 2" xfId="3512"/>
    <cellStyle name="Comma 2 5 2 2 2 2 6" xfId="3513"/>
    <cellStyle name="Comma 2 5 2 2 2 2 6 2" xfId="35965"/>
    <cellStyle name="Comma 2 5 2 2 2 2 7" xfId="3514"/>
    <cellStyle name="Comma 2 5 2 2 2 3" xfId="3515"/>
    <cellStyle name="Comma 2 5 2 2 2 3 2" xfId="3516"/>
    <cellStyle name="Comma 2 5 2 2 2 3 2 2" xfId="3517"/>
    <cellStyle name="Comma 2 5 2 2 2 3 2 2 2" xfId="3518"/>
    <cellStyle name="Comma 2 5 2 2 2 3 2 3" xfId="3519"/>
    <cellStyle name="Comma 2 5 2 2 2 3 3" xfId="3520"/>
    <cellStyle name="Comma 2 5 2 2 2 3 3 2" xfId="3521"/>
    <cellStyle name="Comma 2 5 2 2 2 3 4" xfId="3522"/>
    <cellStyle name="Comma 2 5 2 2 2 4" xfId="3523"/>
    <cellStyle name="Comma 2 5 2 2 2 4 2" xfId="3524"/>
    <cellStyle name="Comma 2 5 2 2 2 4 2 2" xfId="3525"/>
    <cellStyle name="Comma 2 5 2 2 2 4 3" xfId="3526"/>
    <cellStyle name="Comma 2 5 2 2 2 5" xfId="3527"/>
    <cellStyle name="Comma 2 5 2 2 2 5 2" xfId="3528"/>
    <cellStyle name="Comma 2 5 2 2 2 5 2 2" xfId="3529"/>
    <cellStyle name="Comma 2 5 2 2 2 5 3" xfId="3530"/>
    <cellStyle name="Comma 2 5 2 2 2 6" xfId="3531"/>
    <cellStyle name="Comma 2 5 2 2 2 6 2" xfId="3532"/>
    <cellStyle name="Comma 2 5 2 2 2 7" xfId="3533"/>
    <cellStyle name="Comma 2 5 2 2 2 7 2" xfId="35966"/>
    <cellStyle name="Comma 2 5 2 2 2 8" xfId="3534"/>
    <cellStyle name="Comma 2 5 2 2 3" xfId="3535"/>
    <cellStyle name="Comma 2 5 2 2 3 2" xfId="3536"/>
    <cellStyle name="Comma 2 5 2 2 3 2 2" xfId="3537"/>
    <cellStyle name="Comma 2 5 2 2 3 2 2 2" xfId="3538"/>
    <cellStyle name="Comma 2 5 2 2 3 2 2 3" xfId="3539"/>
    <cellStyle name="Comma 2 5 2 2 3 2 3" xfId="3540"/>
    <cellStyle name="Comma 2 5 2 2 3 2 3 2" xfId="3541"/>
    <cellStyle name="Comma 2 5 2 2 3 2 4" xfId="3542"/>
    <cellStyle name="Comma 2 5 2 2 3 3" xfId="3543"/>
    <cellStyle name="Comma 2 5 2 2 3 3 2" xfId="3544"/>
    <cellStyle name="Comma 2 5 2 2 3 3 2 2" xfId="3545"/>
    <cellStyle name="Comma 2 5 2 2 3 3 3" xfId="3546"/>
    <cellStyle name="Comma 2 5 2 2 3 4" xfId="3547"/>
    <cellStyle name="Comma 2 5 2 2 3 4 2" xfId="3548"/>
    <cellStyle name="Comma 2 5 2 2 3 4 3" xfId="3549"/>
    <cellStyle name="Comma 2 5 2 2 3 5" xfId="3550"/>
    <cellStyle name="Comma 2 5 2 2 3 5 2" xfId="3551"/>
    <cellStyle name="Comma 2 5 2 2 3 6" xfId="3552"/>
    <cellStyle name="Comma 2 5 2 2 3 6 2" xfId="35967"/>
    <cellStyle name="Comma 2 5 2 2 3 7" xfId="3553"/>
    <cellStyle name="Comma 2 5 2 2 4" xfId="3554"/>
    <cellStyle name="Comma 2 5 2 2 4 2" xfId="3555"/>
    <cellStyle name="Comma 2 5 2 2 4 2 2" xfId="3556"/>
    <cellStyle name="Comma 2 5 2 2 4 2 2 2" xfId="3557"/>
    <cellStyle name="Comma 2 5 2 2 4 2 3" xfId="3558"/>
    <cellStyle name="Comma 2 5 2 2 4 3" xfId="3559"/>
    <cellStyle name="Comma 2 5 2 2 4 3 2" xfId="3560"/>
    <cellStyle name="Comma 2 5 2 2 4 4" xfId="3561"/>
    <cellStyle name="Comma 2 5 2 2 5" xfId="3562"/>
    <cellStyle name="Comma 2 5 2 2 5 2" xfId="3563"/>
    <cellStyle name="Comma 2 5 2 2 5 2 2" xfId="3564"/>
    <cellStyle name="Comma 2 5 2 2 5 3" xfId="3565"/>
    <cellStyle name="Comma 2 5 2 2 6" xfId="3566"/>
    <cellStyle name="Comma 2 5 2 2 6 2" xfId="3567"/>
    <cellStyle name="Comma 2 5 2 2 6 2 2" xfId="3568"/>
    <cellStyle name="Comma 2 5 2 2 6 3" xfId="3569"/>
    <cellStyle name="Comma 2 5 2 2 7" xfId="3570"/>
    <cellStyle name="Comma 2 5 2 2 7 2" xfId="3571"/>
    <cellStyle name="Comma 2 5 2 2 8" xfId="3572"/>
    <cellStyle name="Comma 2 5 2 2 8 2" xfId="35968"/>
    <cellStyle name="Comma 2 5 2 2 9" xfId="3573"/>
    <cellStyle name="Comma 2 5 2 3" xfId="3574"/>
    <cellStyle name="Comma 2 5 2 3 2" xfId="3575"/>
    <cellStyle name="Comma 2 5 2 3 2 2" xfId="3576"/>
    <cellStyle name="Comma 2 5 2 3 2 2 2" xfId="3577"/>
    <cellStyle name="Comma 2 5 2 3 2 2 2 2" xfId="3578"/>
    <cellStyle name="Comma 2 5 2 3 2 2 2 3" xfId="3579"/>
    <cellStyle name="Comma 2 5 2 3 2 2 3" xfId="3580"/>
    <cellStyle name="Comma 2 5 2 3 2 2 3 2" xfId="3581"/>
    <cellStyle name="Comma 2 5 2 3 2 2 4" xfId="3582"/>
    <cellStyle name="Comma 2 5 2 3 2 3" xfId="3583"/>
    <cellStyle name="Comma 2 5 2 3 2 3 2" xfId="3584"/>
    <cellStyle name="Comma 2 5 2 3 2 3 2 2" xfId="3585"/>
    <cellStyle name="Comma 2 5 2 3 2 3 3" xfId="3586"/>
    <cellStyle name="Comma 2 5 2 3 2 4" xfId="3587"/>
    <cellStyle name="Comma 2 5 2 3 2 4 2" xfId="3588"/>
    <cellStyle name="Comma 2 5 2 3 2 4 3" xfId="3589"/>
    <cellStyle name="Comma 2 5 2 3 2 5" xfId="3590"/>
    <cellStyle name="Comma 2 5 2 3 2 5 2" xfId="3591"/>
    <cellStyle name="Comma 2 5 2 3 2 6" xfId="3592"/>
    <cellStyle name="Comma 2 5 2 3 2 6 2" xfId="35969"/>
    <cellStyle name="Comma 2 5 2 3 2 7" xfId="3593"/>
    <cellStyle name="Comma 2 5 2 3 3" xfId="3594"/>
    <cellStyle name="Comma 2 5 2 3 3 2" xfId="3595"/>
    <cellStyle name="Comma 2 5 2 3 3 2 2" xfId="3596"/>
    <cellStyle name="Comma 2 5 2 3 3 2 2 2" xfId="3597"/>
    <cellStyle name="Comma 2 5 2 3 3 2 3" xfId="3598"/>
    <cellStyle name="Comma 2 5 2 3 3 3" xfId="3599"/>
    <cellStyle name="Comma 2 5 2 3 3 3 2" xfId="3600"/>
    <cellStyle name="Comma 2 5 2 3 3 4" xfId="3601"/>
    <cellStyle name="Comma 2 5 2 3 4" xfId="3602"/>
    <cellStyle name="Comma 2 5 2 3 4 2" xfId="3603"/>
    <cellStyle name="Comma 2 5 2 3 4 2 2" xfId="3604"/>
    <cellStyle name="Comma 2 5 2 3 4 3" xfId="3605"/>
    <cellStyle name="Comma 2 5 2 3 5" xfId="3606"/>
    <cellStyle name="Comma 2 5 2 3 5 2" xfId="3607"/>
    <cellStyle name="Comma 2 5 2 3 5 2 2" xfId="3608"/>
    <cellStyle name="Comma 2 5 2 3 5 3" xfId="3609"/>
    <cellStyle name="Comma 2 5 2 3 6" xfId="3610"/>
    <cellStyle name="Comma 2 5 2 3 6 2" xfId="3611"/>
    <cellStyle name="Comma 2 5 2 3 7" xfId="3612"/>
    <cellStyle name="Comma 2 5 2 3 7 2" xfId="35970"/>
    <cellStyle name="Comma 2 5 2 3 8" xfId="3613"/>
    <cellStyle name="Comma 2 5 2 4" xfId="3614"/>
    <cellStyle name="Comma 2 5 2 4 2" xfId="3615"/>
    <cellStyle name="Comma 2 5 2 4 2 2" xfId="3616"/>
    <cellStyle name="Comma 2 5 2 4 2 2 2" xfId="3617"/>
    <cellStyle name="Comma 2 5 2 4 2 2 3" xfId="3618"/>
    <cellStyle name="Comma 2 5 2 4 2 3" xfId="3619"/>
    <cellStyle name="Comma 2 5 2 4 2 3 2" xfId="3620"/>
    <cellStyle name="Comma 2 5 2 4 2 4" xfId="3621"/>
    <cellStyle name="Comma 2 5 2 4 3" xfId="3622"/>
    <cellStyle name="Comma 2 5 2 4 3 2" xfId="3623"/>
    <cellStyle name="Comma 2 5 2 4 3 2 2" xfId="3624"/>
    <cellStyle name="Comma 2 5 2 4 3 3" xfId="3625"/>
    <cellStyle name="Comma 2 5 2 4 4" xfId="3626"/>
    <cellStyle name="Comma 2 5 2 4 4 2" xfId="3627"/>
    <cellStyle name="Comma 2 5 2 4 4 3" xfId="3628"/>
    <cellStyle name="Comma 2 5 2 4 5" xfId="3629"/>
    <cellStyle name="Comma 2 5 2 4 5 2" xfId="3630"/>
    <cellStyle name="Comma 2 5 2 4 6" xfId="3631"/>
    <cellStyle name="Comma 2 5 2 4 6 2" xfId="35971"/>
    <cellStyle name="Comma 2 5 2 4 7" xfId="3632"/>
    <cellStyle name="Comma 2 5 2 5" xfId="3633"/>
    <cellStyle name="Comma 2 5 2 5 2" xfId="3634"/>
    <cellStyle name="Comma 2 5 2 5 2 2" xfId="3635"/>
    <cellStyle name="Comma 2 5 2 5 2 2 2" xfId="3636"/>
    <cellStyle name="Comma 2 5 2 5 2 3" xfId="3637"/>
    <cellStyle name="Comma 2 5 2 5 3" xfId="3638"/>
    <cellStyle name="Comma 2 5 2 5 3 2" xfId="3639"/>
    <cellStyle name="Comma 2 5 2 5 4" xfId="3640"/>
    <cellStyle name="Comma 2 5 2 6" xfId="3641"/>
    <cellStyle name="Comma 2 5 2 6 2" xfId="3642"/>
    <cellStyle name="Comma 2 5 2 6 2 2" xfId="3643"/>
    <cellStyle name="Comma 2 5 2 6 3" xfId="3644"/>
    <cellStyle name="Comma 2 5 2 7" xfId="3645"/>
    <cellStyle name="Comma 2 5 2 7 2" xfId="3646"/>
    <cellStyle name="Comma 2 5 2 7 2 2" xfId="3647"/>
    <cellStyle name="Comma 2 5 2 7 3" xfId="3648"/>
    <cellStyle name="Comma 2 5 2 8" xfId="3649"/>
    <cellStyle name="Comma 2 5 2 8 2" xfId="3650"/>
    <cellStyle name="Comma 2 5 2 9" xfId="3651"/>
    <cellStyle name="Comma 2 5 2 9 2" xfId="35972"/>
    <cellStyle name="Comma 2 5 3" xfId="3652"/>
    <cellStyle name="Comma 2 5 3 2" xfId="3653"/>
    <cellStyle name="Comma 2 5 3 2 2" xfId="3654"/>
    <cellStyle name="Comma 2 5 3 2 2 2" xfId="3655"/>
    <cellStyle name="Comma 2 5 3 2 2 2 2" xfId="3656"/>
    <cellStyle name="Comma 2 5 3 2 2 2 2 2" xfId="3657"/>
    <cellStyle name="Comma 2 5 3 2 2 2 2 3" xfId="3658"/>
    <cellStyle name="Comma 2 5 3 2 2 2 3" xfId="3659"/>
    <cellStyle name="Comma 2 5 3 2 2 2 3 2" xfId="3660"/>
    <cellStyle name="Comma 2 5 3 2 2 2 4" xfId="3661"/>
    <cellStyle name="Comma 2 5 3 2 2 3" xfId="3662"/>
    <cellStyle name="Comma 2 5 3 2 2 3 2" xfId="3663"/>
    <cellStyle name="Comma 2 5 3 2 2 3 2 2" xfId="3664"/>
    <cellStyle name="Comma 2 5 3 2 2 3 3" xfId="3665"/>
    <cellStyle name="Comma 2 5 3 2 2 4" xfId="3666"/>
    <cellStyle name="Comma 2 5 3 2 2 4 2" xfId="3667"/>
    <cellStyle name="Comma 2 5 3 2 2 4 3" xfId="3668"/>
    <cellStyle name="Comma 2 5 3 2 2 5" xfId="3669"/>
    <cellStyle name="Comma 2 5 3 2 2 5 2" xfId="3670"/>
    <cellStyle name="Comma 2 5 3 2 2 6" xfId="3671"/>
    <cellStyle name="Comma 2 5 3 2 2 6 2" xfId="35973"/>
    <cellStyle name="Comma 2 5 3 2 2 7" xfId="3672"/>
    <cellStyle name="Comma 2 5 3 2 3" xfId="3673"/>
    <cellStyle name="Comma 2 5 3 2 3 2" xfId="3674"/>
    <cellStyle name="Comma 2 5 3 2 3 2 2" xfId="3675"/>
    <cellStyle name="Comma 2 5 3 2 3 2 2 2" xfId="3676"/>
    <cellStyle name="Comma 2 5 3 2 3 2 3" xfId="3677"/>
    <cellStyle name="Comma 2 5 3 2 3 3" xfId="3678"/>
    <cellStyle name="Comma 2 5 3 2 3 3 2" xfId="3679"/>
    <cellStyle name="Comma 2 5 3 2 3 4" xfId="3680"/>
    <cellStyle name="Comma 2 5 3 2 4" xfId="3681"/>
    <cellStyle name="Comma 2 5 3 2 4 2" xfId="3682"/>
    <cellStyle name="Comma 2 5 3 2 4 2 2" xfId="3683"/>
    <cellStyle name="Comma 2 5 3 2 4 3" xfId="3684"/>
    <cellStyle name="Comma 2 5 3 2 5" xfId="3685"/>
    <cellStyle name="Comma 2 5 3 2 5 2" xfId="3686"/>
    <cellStyle name="Comma 2 5 3 2 5 2 2" xfId="3687"/>
    <cellStyle name="Comma 2 5 3 2 5 3" xfId="3688"/>
    <cellStyle name="Comma 2 5 3 2 6" xfId="3689"/>
    <cellStyle name="Comma 2 5 3 2 6 2" xfId="3690"/>
    <cellStyle name="Comma 2 5 3 2 7" xfId="3691"/>
    <cellStyle name="Comma 2 5 3 2 7 2" xfId="35974"/>
    <cellStyle name="Comma 2 5 3 2 8" xfId="3692"/>
    <cellStyle name="Comma 2 5 3 3" xfId="3693"/>
    <cellStyle name="Comma 2 5 3 3 2" xfId="3694"/>
    <cellStyle name="Comma 2 5 3 3 2 2" xfId="3695"/>
    <cellStyle name="Comma 2 5 3 3 2 2 2" xfId="3696"/>
    <cellStyle name="Comma 2 5 3 3 2 2 3" xfId="3697"/>
    <cellStyle name="Comma 2 5 3 3 2 3" xfId="3698"/>
    <cellStyle name="Comma 2 5 3 3 2 3 2" xfId="3699"/>
    <cellStyle name="Comma 2 5 3 3 2 4" xfId="3700"/>
    <cellStyle name="Comma 2 5 3 3 3" xfId="3701"/>
    <cellStyle name="Comma 2 5 3 3 3 2" xfId="3702"/>
    <cellStyle name="Comma 2 5 3 3 3 2 2" xfId="3703"/>
    <cellStyle name="Comma 2 5 3 3 3 3" xfId="3704"/>
    <cellStyle name="Comma 2 5 3 3 4" xfId="3705"/>
    <cellStyle name="Comma 2 5 3 3 4 2" xfId="3706"/>
    <cellStyle name="Comma 2 5 3 3 4 3" xfId="3707"/>
    <cellStyle name="Comma 2 5 3 3 5" xfId="3708"/>
    <cellStyle name="Comma 2 5 3 3 5 2" xfId="3709"/>
    <cellStyle name="Comma 2 5 3 3 6" xfId="3710"/>
    <cellStyle name="Comma 2 5 3 3 6 2" xfId="35975"/>
    <cellStyle name="Comma 2 5 3 3 7" xfId="3711"/>
    <cellStyle name="Comma 2 5 3 4" xfId="3712"/>
    <cellStyle name="Comma 2 5 3 4 2" xfId="3713"/>
    <cellStyle name="Comma 2 5 3 4 2 2" xfId="3714"/>
    <cellStyle name="Comma 2 5 3 4 2 2 2" xfId="3715"/>
    <cellStyle name="Comma 2 5 3 4 2 3" xfId="3716"/>
    <cellStyle name="Comma 2 5 3 4 3" xfId="3717"/>
    <cellStyle name="Comma 2 5 3 4 3 2" xfId="3718"/>
    <cellStyle name="Comma 2 5 3 4 4" xfId="3719"/>
    <cellStyle name="Comma 2 5 3 5" xfId="3720"/>
    <cellStyle name="Comma 2 5 3 5 2" xfId="3721"/>
    <cellStyle name="Comma 2 5 3 5 2 2" xfId="3722"/>
    <cellStyle name="Comma 2 5 3 5 3" xfId="3723"/>
    <cellStyle name="Comma 2 5 3 6" xfId="3724"/>
    <cellStyle name="Comma 2 5 3 6 2" xfId="3725"/>
    <cellStyle name="Comma 2 5 3 6 2 2" xfId="3726"/>
    <cellStyle name="Comma 2 5 3 6 3" xfId="3727"/>
    <cellStyle name="Comma 2 5 3 7" xfId="3728"/>
    <cellStyle name="Comma 2 5 3 7 2" xfId="3729"/>
    <cellStyle name="Comma 2 5 3 8" xfId="3730"/>
    <cellStyle name="Comma 2 5 3 8 2" xfId="35976"/>
    <cellStyle name="Comma 2 5 3 9" xfId="3731"/>
    <cellStyle name="Comma 2 5 4" xfId="3732"/>
    <cellStyle name="Comma 2 5 4 2" xfId="3733"/>
    <cellStyle name="Comma 2 5 4 2 2" xfId="3734"/>
    <cellStyle name="Comma 2 5 4 2 2 2" xfId="3735"/>
    <cellStyle name="Comma 2 5 4 2 2 2 2" xfId="3736"/>
    <cellStyle name="Comma 2 5 4 2 2 2 2 2" xfId="3737"/>
    <cellStyle name="Comma 2 5 4 2 2 2 2 3" xfId="3738"/>
    <cellStyle name="Comma 2 5 4 2 2 2 3" xfId="3739"/>
    <cellStyle name="Comma 2 5 4 2 2 2 3 2" xfId="3740"/>
    <cellStyle name="Comma 2 5 4 2 2 2 4" xfId="3741"/>
    <cellStyle name="Comma 2 5 4 2 2 3" xfId="3742"/>
    <cellStyle name="Comma 2 5 4 2 2 3 2" xfId="3743"/>
    <cellStyle name="Comma 2 5 4 2 2 3 2 2" xfId="3744"/>
    <cellStyle name="Comma 2 5 4 2 2 3 3" xfId="3745"/>
    <cellStyle name="Comma 2 5 4 2 2 4" xfId="3746"/>
    <cellStyle name="Comma 2 5 4 2 2 4 2" xfId="3747"/>
    <cellStyle name="Comma 2 5 4 2 2 4 3" xfId="3748"/>
    <cellStyle name="Comma 2 5 4 2 2 5" xfId="3749"/>
    <cellStyle name="Comma 2 5 4 2 2 5 2" xfId="3750"/>
    <cellStyle name="Comma 2 5 4 2 2 6" xfId="3751"/>
    <cellStyle name="Comma 2 5 4 2 2 6 2" xfId="35977"/>
    <cellStyle name="Comma 2 5 4 2 2 7" xfId="3752"/>
    <cellStyle name="Comma 2 5 4 2 3" xfId="3753"/>
    <cellStyle name="Comma 2 5 4 2 3 2" xfId="3754"/>
    <cellStyle name="Comma 2 5 4 2 3 2 2" xfId="3755"/>
    <cellStyle name="Comma 2 5 4 2 3 2 2 2" xfId="3756"/>
    <cellStyle name="Comma 2 5 4 2 3 2 3" xfId="3757"/>
    <cellStyle name="Comma 2 5 4 2 3 3" xfId="3758"/>
    <cellStyle name="Comma 2 5 4 2 3 3 2" xfId="3759"/>
    <cellStyle name="Comma 2 5 4 2 3 4" xfId="3760"/>
    <cellStyle name="Comma 2 5 4 2 4" xfId="3761"/>
    <cellStyle name="Comma 2 5 4 2 4 2" xfId="3762"/>
    <cellStyle name="Comma 2 5 4 2 4 2 2" xfId="3763"/>
    <cellStyle name="Comma 2 5 4 2 4 3" xfId="3764"/>
    <cellStyle name="Comma 2 5 4 2 5" xfId="3765"/>
    <cellStyle name="Comma 2 5 4 2 5 2" xfId="3766"/>
    <cellStyle name="Comma 2 5 4 2 5 2 2" xfId="3767"/>
    <cellStyle name="Comma 2 5 4 2 5 3" xfId="3768"/>
    <cellStyle name="Comma 2 5 4 2 6" xfId="3769"/>
    <cellStyle name="Comma 2 5 4 2 6 2" xfId="3770"/>
    <cellStyle name="Comma 2 5 4 2 7" xfId="3771"/>
    <cellStyle name="Comma 2 5 4 2 7 2" xfId="35978"/>
    <cellStyle name="Comma 2 5 4 2 8" xfId="3772"/>
    <cellStyle name="Comma 2 5 4 3" xfId="3773"/>
    <cellStyle name="Comma 2 5 4 3 2" xfId="3774"/>
    <cellStyle name="Comma 2 5 4 3 2 2" xfId="3775"/>
    <cellStyle name="Comma 2 5 4 3 2 2 2" xfId="3776"/>
    <cellStyle name="Comma 2 5 4 3 2 2 3" xfId="3777"/>
    <cellStyle name="Comma 2 5 4 3 2 3" xfId="3778"/>
    <cellStyle name="Comma 2 5 4 3 2 3 2" xfId="3779"/>
    <cellStyle name="Comma 2 5 4 3 2 4" xfId="3780"/>
    <cellStyle name="Comma 2 5 4 3 3" xfId="3781"/>
    <cellStyle name="Comma 2 5 4 3 3 2" xfId="3782"/>
    <cellStyle name="Comma 2 5 4 3 3 2 2" xfId="3783"/>
    <cellStyle name="Comma 2 5 4 3 3 3" xfId="3784"/>
    <cellStyle name="Comma 2 5 4 3 4" xfId="3785"/>
    <cellStyle name="Comma 2 5 4 3 4 2" xfId="3786"/>
    <cellStyle name="Comma 2 5 4 3 4 3" xfId="3787"/>
    <cellStyle name="Comma 2 5 4 3 5" xfId="3788"/>
    <cellStyle name="Comma 2 5 4 3 5 2" xfId="3789"/>
    <cellStyle name="Comma 2 5 4 3 6" xfId="3790"/>
    <cellStyle name="Comma 2 5 4 3 6 2" xfId="35979"/>
    <cellStyle name="Comma 2 5 4 3 7" xfId="3791"/>
    <cellStyle name="Comma 2 5 4 4" xfId="3792"/>
    <cellStyle name="Comma 2 5 4 4 2" xfId="3793"/>
    <cellStyle name="Comma 2 5 4 4 2 2" xfId="3794"/>
    <cellStyle name="Comma 2 5 4 4 2 2 2" xfId="3795"/>
    <cellStyle name="Comma 2 5 4 4 2 3" xfId="3796"/>
    <cellStyle name="Comma 2 5 4 4 3" xfId="3797"/>
    <cellStyle name="Comma 2 5 4 4 3 2" xfId="3798"/>
    <cellStyle name="Comma 2 5 4 4 4" xfId="3799"/>
    <cellStyle name="Comma 2 5 4 5" xfId="3800"/>
    <cellStyle name="Comma 2 5 4 5 2" xfId="3801"/>
    <cellStyle name="Comma 2 5 4 5 2 2" xfId="3802"/>
    <cellStyle name="Comma 2 5 4 5 3" xfId="3803"/>
    <cellStyle name="Comma 2 5 4 6" xfId="3804"/>
    <cellStyle name="Comma 2 5 4 6 2" xfId="3805"/>
    <cellStyle name="Comma 2 5 4 6 2 2" xfId="3806"/>
    <cellStyle name="Comma 2 5 4 6 3" xfId="3807"/>
    <cellStyle name="Comma 2 5 4 7" xfId="3808"/>
    <cellStyle name="Comma 2 5 4 7 2" xfId="3809"/>
    <cellStyle name="Comma 2 5 4 8" xfId="3810"/>
    <cellStyle name="Comma 2 5 4 8 2" xfId="35980"/>
    <cellStyle name="Comma 2 5 4 9" xfId="3811"/>
    <cellStyle name="Comma 2 5 5" xfId="3812"/>
    <cellStyle name="Comma 2 5 5 2" xfId="3813"/>
    <cellStyle name="Comma 2 5 5 2 2" xfId="3814"/>
    <cellStyle name="Comma 2 5 5 2 2 2" xfId="3815"/>
    <cellStyle name="Comma 2 5 5 2 2 2 2" xfId="3816"/>
    <cellStyle name="Comma 2 5 5 2 2 2 3" xfId="3817"/>
    <cellStyle name="Comma 2 5 5 2 2 3" xfId="3818"/>
    <cellStyle name="Comma 2 5 5 2 2 3 2" xfId="3819"/>
    <cellStyle name="Comma 2 5 5 2 2 4" xfId="3820"/>
    <cellStyle name="Comma 2 5 5 2 3" xfId="3821"/>
    <cellStyle name="Comma 2 5 5 2 3 2" xfId="3822"/>
    <cellStyle name="Comma 2 5 5 2 3 2 2" xfId="3823"/>
    <cellStyle name="Comma 2 5 5 2 3 3" xfId="3824"/>
    <cellStyle name="Comma 2 5 5 2 4" xfId="3825"/>
    <cellStyle name="Comma 2 5 5 2 4 2" xfId="3826"/>
    <cellStyle name="Comma 2 5 5 2 4 3" xfId="3827"/>
    <cellStyle name="Comma 2 5 5 2 5" xfId="3828"/>
    <cellStyle name="Comma 2 5 5 2 5 2" xfId="3829"/>
    <cellStyle name="Comma 2 5 5 2 6" xfId="3830"/>
    <cellStyle name="Comma 2 5 5 2 6 2" xfId="35981"/>
    <cellStyle name="Comma 2 5 5 2 7" xfId="3831"/>
    <cellStyle name="Comma 2 5 5 3" xfId="3832"/>
    <cellStyle name="Comma 2 5 5 3 2" xfId="3833"/>
    <cellStyle name="Comma 2 5 5 3 2 2" xfId="3834"/>
    <cellStyle name="Comma 2 5 5 3 2 2 2" xfId="3835"/>
    <cellStyle name="Comma 2 5 5 3 2 3" xfId="3836"/>
    <cellStyle name="Comma 2 5 5 3 3" xfId="3837"/>
    <cellStyle name="Comma 2 5 5 3 3 2" xfId="3838"/>
    <cellStyle name="Comma 2 5 5 3 4" xfId="3839"/>
    <cellStyle name="Comma 2 5 5 4" xfId="3840"/>
    <cellStyle name="Comma 2 5 5 4 2" xfId="3841"/>
    <cellStyle name="Comma 2 5 5 4 2 2" xfId="3842"/>
    <cellStyle name="Comma 2 5 5 4 3" xfId="3843"/>
    <cellStyle name="Comma 2 5 5 5" xfId="3844"/>
    <cellStyle name="Comma 2 5 5 5 2" xfId="3845"/>
    <cellStyle name="Comma 2 5 5 5 2 2" xfId="3846"/>
    <cellStyle name="Comma 2 5 5 5 3" xfId="3847"/>
    <cellStyle name="Comma 2 5 5 6" xfId="3848"/>
    <cellStyle name="Comma 2 5 5 6 2" xfId="3849"/>
    <cellStyle name="Comma 2 5 5 7" xfId="3850"/>
    <cellStyle name="Comma 2 5 5 7 2" xfId="35982"/>
    <cellStyle name="Comma 2 5 5 8" xfId="3851"/>
    <cellStyle name="Comma 2 5 6" xfId="3852"/>
    <cellStyle name="Comma 2 5 6 2" xfId="3853"/>
    <cellStyle name="Comma 2 5 6 2 2" xfId="3854"/>
    <cellStyle name="Comma 2 5 6 2 2 2" xfId="3855"/>
    <cellStyle name="Comma 2 5 6 2 2 2 2" xfId="3856"/>
    <cellStyle name="Comma 2 5 6 2 2 2 3" xfId="3857"/>
    <cellStyle name="Comma 2 5 6 2 2 3" xfId="3858"/>
    <cellStyle name="Comma 2 5 6 2 2 3 2" xfId="3859"/>
    <cellStyle name="Comma 2 5 6 2 2 4" xfId="3860"/>
    <cellStyle name="Comma 2 5 6 2 3" xfId="3861"/>
    <cellStyle name="Comma 2 5 6 2 3 2" xfId="3862"/>
    <cellStyle name="Comma 2 5 6 2 3 2 2" xfId="3863"/>
    <cellStyle name="Comma 2 5 6 2 3 3" xfId="3864"/>
    <cellStyle name="Comma 2 5 6 2 4" xfId="3865"/>
    <cellStyle name="Comma 2 5 6 2 4 2" xfId="3866"/>
    <cellStyle name="Comma 2 5 6 2 4 3" xfId="3867"/>
    <cellStyle name="Comma 2 5 6 2 5" xfId="3868"/>
    <cellStyle name="Comma 2 5 6 2 5 2" xfId="3869"/>
    <cellStyle name="Comma 2 5 6 2 6" xfId="3870"/>
    <cellStyle name="Comma 2 5 6 2 6 2" xfId="35983"/>
    <cellStyle name="Comma 2 5 6 2 7" xfId="3871"/>
    <cellStyle name="Comma 2 5 6 3" xfId="3872"/>
    <cellStyle name="Comma 2 5 6 3 2" xfId="3873"/>
    <cellStyle name="Comma 2 5 6 3 2 2" xfId="3874"/>
    <cellStyle name="Comma 2 5 6 3 2 2 2" xfId="3875"/>
    <cellStyle name="Comma 2 5 6 3 2 3" xfId="3876"/>
    <cellStyle name="Comma 2 5 6 3 3" xfId="3877"/>
    <cellStyle name="Comma 2 5 6 3 3 2" xfId="3878"/>
    <cellStyle name="Comma 2 5 6 3 4" xfId="3879"/>
    <cellStyle name="Comma 2 5 6 4" xfId="3880"/>
    <cellStyle name="Comma 2 5 6 4 2" xfId="3881"/>
    <cellStyle name="Comma 2 5 6 4 2 2" xfId="3882"/>
    <cellStyle name="Comma 2 5 6 4 3" xfId="3883"/>
    <cellStyle name="Comma 2 5 6 5" xfId="3884"/>
    <cellStyle name="Comma 2 5 6 5 2" xfId="3885"/>
    <cellStyle name="Comma 2 5 6 5 2 2" xfId="3886"/>
    <cellStyle name="Comma 2 5 6 5 3" xfId="3887"/>
    <cellStyle name="Comma 2 5 6 6" xfId="3888"/>
    <cellStyle name="Comma 2 5 6 6 2" xfId="3889"/>
    <cellStyle name="Comma 2 5 6 7" xfId="3890"/>
    <cellStyle name="Comma 2 5 6 7 2" xfId="35984"/>
    <cellStyle name="Comma 2 5 6 8" xfId="3891"/>
    <cellStyle name="Comma 2 5 7" xfId="3892"/>
    <cellStyle name="Comma 2 5 7 2" xfId="3893"/>
    <cellStyle name="Comma 2 5 7 2 2" xfId="3894"/>
    <cellStyle name="Comma 2 5 7 2 2 2" xfId="3895"/>
    <cellStyle name="Comma 2 5 7 2 2 2 2" xfId="3896"/>
    <cellStyle name="Comma 2 5 7 2 2 2 3" xfId="3897"/>
    <cellStyle name="Comma 2 5 7 2 2 3" xfId="3898"/>
    <cellStyle name="Comma 2 5 7 2 2 3 2" xfId="3899"/>
    <cellStyle name="Comma 2 5 7 2 2 4" xfId="3900"/>
    <cellStyle name="Comma 2 5 7 2 3" xfId="3901"/>
    <cellStyle name="Comma 2 5 7 2 3 2" xfId="3902"/>
    <cellStyle name="Comma 2 5 7 2 3 2 2" xfId="3903"/>
    <cellStyle name="Comma 2 5 7 2 3 3" xfId="3904"/>
    <cellStyle name="Comma 2 5 7 2 4" xfId="3905"/>
    <cellStyle name="Comma 2 5 7 2 4 2" xfId="3906"/>
    <cellStyle name="Comma 2 5 7 2 4 3" xfId="3907"/>
    <cellStyle name="Comma 2 5 7 2 5" xfId="3908"/>
    <cellStyle name="Comma 2 5 7 2 5 2" xfId="3909"/>
    <cellStyle name="Comma 2 5 7 2 6" xfId="3910"/>
    <cellStyle name="Comma 2 5 7 2 6 2" xfId="35985"/>
    <cellStyle name="Comma 2 5 7 2 7" xfId="3911"/>
    <cellStyle name="Comma 2 5 7 3" xfId="3912"/>
    <cellStyle name="Comma 2 5 7 3 2" xfId="3913"/>
    <cellStyle name="Comma 2 5 7 3 2 2" xfId="3914"/>
    <cellStyle name="Comma 2 5 7 3 2 2 2" xfId="3915"/>
    <cellStyle name="Comma 2 5 7 3 2 3" xfId="3916"/>
    <cellStyle name="Comma 2 5 7 3 3" xfId="3917"/>
    <cellStyle name="Comma 2 5 7 3 3 2" xfId="3918"/>
    <cellStyle name="Comma 2 5 7 3 4" xfId="3919"/>
    <cellStyle name="Comma 2 5 7 4" xfId="3920"/>
    <cellStyle name="Comma 2 5 7 4 2" xfId="3921"/>
    <cellStyle name="Comma 2 5 7 4 2 2" xfId="3922"/>
    <cellStyle name="Comma 2 5 7 4 3" xfId="3923"/>
    <cellStyle name="Comma 2 5 7 5" xfId="3924"/>
    <cellStyle name="Comma 2 5 7 5 2" xfId="3925"/>
    <cellStyle name="Comma 2 5 7 5 2 2" xfId="3926"/>
    <cellStyle name="Comma 2 5 7 5 3" xfId="3927"/>
    <cellStyle name="Comma 2 5 7 6" xfId="3928"/>
    <cellStyle name="Comma 2 5 7 6 2" xfId="3929"/>
    <cellStyle name="Comma 2 5 7 7" xfId="3930"/>
    <cellStyle name="Comma 2 5 7 7 2" xfId="35986"/>
    <cellStyle name="Comma 2 5 7 8" xfId="3931"/>
    <cellStyle name="Comma 2 5 8" xfId="3932"/>
    <cellStyle name="Comma 2 5 8 2" xfId="3933"/>
    <cellStyle name="Comma 2 5 8 2 2" xfId="3934"/>
    <cellStyle name="Comma 2 5 8 2 2 2" xfId="3935"/>
    <cellStyle name="Comma 2 5 8 2 2 3" xfId="3936"/>
    <cellStyle name="Comma 2 5 8 2 3" xfId="3937"/>
    <cellStyle name="Comma 2 5 8 2 3 2" xfId="3938"/>
    <cellStyle name="Comma 2 5 8 2 4" xfId="3939"/>
    <cellStyle name="Comma 2 5 8 3" xfId="3940"/>
    <cellStyle name="Comma 2 5 8 3 2" xfId="3941"/>
    <cellStyle name="Comma 2 5 8 3 2 2" xfId="3942"/>
    <cellStyle name="Comma 2 5 8 3 3" xfId="3943"/>
    <cellStyle name="Comma 2 5 8 4" xfId="3944"/>
    <cellStyle name="Comma 2 5 8 4 2" xfId="3945"/>
    <cellStyle name="Comma 2 5 8 4 3" xfId="3946"/>
    <cellStyle name="Comma 2 5 8 5" xfId="3947"/>
    <cellStyle name="Comma 2 5 8 5 2" xfId="3948"/>
    <cellStyle name="Comma 2 5 8 6" xfId="3949"/>
    <cellStyle name="Comma 2 5 8 6 2" xfId="35987"/>
    <cellStyle name="Comma 2 5 8 7" xfId="3950"/>
    <cellStyle name="Comma 2 5 9" xfId="3951"/>
    <cellStyle name="Comma 2 5 9 2" xfId="3952"/>
    <cellStyle name="Comma 2 5 9 2 2" xfId="3953"/>
    <cellStyle name="Comma 2 5 9 2 2 2" xfId="3954"/>
    <cellStyle name="Comma 2 5 9 2 3" xfId="3955"/>
    <cellStyle name="Comma 2 5 9 3" xfId="3956"/>
    <cellStyle name="Comma 2 5 9 3 2" xfId="3957"/>
    <cellStyle name="Comma 2 5 9 4" xfId="3958"/>
    <cellStyle name="Comma 2 6" xfId="3959"/>
    <cellStyle name="Comma 2 6 10" xfId="3960"/>
    <cellStyle name="Comma 2 6 10 2" xfId="3961"/>
    <cellStyle name="Comma 2 6 10 2 2" xfId="3962"/>
    <cellStyle name="Comma 2 6 10 3" xfId="3963"/>
    <cellStyle name="Comma 2 6 11" xfId="3964"/>
    <cellStyle name="Comma 2 6 11 2" xfId="3965"/>
    <cellStyle name="Comma 2 6 12" xfId="3966"/>
    <cellStyle name="Comma 2 6 12 2" xfId="35988"/>
    <cellStyle name="Comma 2 6 13" xfId="3967"/>
    <cellStyle name="Comma 2 6 2" xfId="3968"/>
    <cellStyle name="Comma 2 6 2 10" xfId="3969"/>
    <cellStyle name="Comma 2 6 2 2" xfId="3970"/>
    <cellStyle name="Comma 2 6 2 2 2" xfId="3971"/>
    <cellStyle name="Comma 2 6 2 2 2 2" xfId="3972"/>
    <cellStyle name="Comma 2 6 2 2 2 2 2" xfId="3973"/>
    <cellStyle name="Comma 2 6 2 2 2 2 2 2" xfId="3974"/>
    <cellStyle name="Comma 2 6 2 2 2 2 2 2 2" xfId="3975"/>
    <cellStyle name="Comma 2 6 2 2 2 2 2 2 3" xfId="3976"/>
    <cellStyle name="Comma 2 6 2 2 2 2 2 3" xfId="3977"/>
    <cellStyle name="Comma 2 6 2 2 2 2 2 3 2" xfId="3978"/>
    <cellStyle name="Comma 2 6 2 2 2 2 2 4" xfId="3979"/>
    <cellStyle name="Comma 2 6 2 2 2 2 3" xfId="3980"/>
    <cellStyle name="Comma 2 6 2 2 2 2 3 2" xfId="3981"/>
    <cellStyle name="Comma 2 6 2 2 2 2 3 2 2" xfId="3982"/>
    <cellStyle name="Comma 2 6 2 2 2 2 3 3" xfId="3983"/>
    <cellStyle name="Comma 2 6 2 2 2 2 4" xfId="3984"/>
    <cellStyle name="Comma 2 6 2 2 2 2 4 2" xfId="3985"/>
    <cellStyle name="Comma 2 6 2 2 2 2 4 3" xfId="3986"/>
    <cellStyle name="Comma 2 6 2 2 2 2 5" xfId="3987"/>
    <cellStyle name="Comma 2 6 2 2 2 2 5 2" xfId="3988"/>
    <cellStyle name="Comma 2 6 2 2 2 2 6" xfId="3989"/>
    <cellStyle name="Comma 2 6 2 2 2 2 6 2" xfId="35989"/>
    <cellStyle name="Comma 2 6 2 2 2 2 7" xfId="3990"/>
    <cellStyle name="Comma 2 6 2 2 2 3" xfId="3991"/>
    <cellStyle name="Comma 2 6 2 2 2 3 2" xfId="3992"/>
    <cellStyle name="Comma 2 6 2 2 2 3 2 2" xfId="3993"/>
    <cellStyle name="Comma 2 6 2 2 2 3 2 2 2" xfId="3994"/>
    <cellStyle name="Comma 2 6 2 2 2 3 2 3" xfId="3995"/>
    <cellStyle name="Comma 2 6 2 2 2 3 3" xfId="3996"/>
    <cellStyle name="Comma 2 6 2 2 2 3 3 2" xfId="3997"/>
    <cellStyle name="Comma 2 6 2 2 2 3 4" xfId="3998"/>
    <cellStyle name="Comma 2 6 2 2 2 4" xfId="3999"/>
    <cellStyle name="Comma 2 6 2 2 2 4 2" xfId="4000"/>
    <cellStyle name="Comma 2 6 2 2 2 4 2 2" xfId="4001"/>
    <cellStyle name="Comma 2 6 2 2 2 4 3" xfId="4002"/>
    <cellStyle name="Comma 2 6 2 2 2 5" xfId="4003"/>
    <cellStyle name="Comma 2 6 2 2 2 5 2" xfId="4004"/>
    <cellStyle name="Comma 2 6 2 2 2 5 2 2" xfId="4005"/>
    <cellStyle name="Comma 2 6 2 2 2 5 3" xfId="4006"/>
    <cellStyle name="Comma 2 6 2 2 2 6" xfId="4007"/>
    <cellStyle name="Comma 2 6 2 2 2 6 2" xfId="4008"/>
    <cellStyle name="Comma 2 6 2 2 2 7" xfId="4009"/>
    <cellStyle name="Comma 2 6 2 2 2 7 2" xfId="35990"/>
    <cellStyle name="Comma 2 6 2 2 2 8" xfId="4010"/>
    <cellStyle name="Comma 2 6 2 2 3" xfId="4011"/>
    <cellStyle name="Comma 2 6 2 2 3 2" xfId="4012"/>
    <cellStyle name="Comma 2 6 2 2 3 2 2" xfId="4013"/>
    <cellStyle name="Comma 2 6 2 2 3 2 2 2" xfId="4014"/>
    <cellStyle name="Comma 2 6 2 2 3 2 2 3" xfId="4015"/>
    <cellStyle name="Comma 2 6 2 2 3 2 3" xfId="4016"/>
    <cellStyle name="Comma 2 6 2 2 3 2 3 2" xfId="4017"/>
    <cellStyle name="Comma 2 6 2 2 3 2 4" xfId="4018"/>
    <cellStyle name="Comma 2 6 2 2 3 3" xfId="4019"/>
    <cellStyle name="Comma 2 6 2 2 3 3 2" xfId="4020"/>
    <cellStyle name="Comma 2 6 2 2 3 3 2 2" xfId="4021"/>
    <cellStyle name="Comma 2 6 2 2 3 3 3" xfId="4022"/>
    <cellStyle name="Comma 2 6 2 2 3 4" xfId="4023"/>
    <cellStyle name="Comma 2 6 2 2 3 4 2" xfId="4024"/>
    <cellStyle name="Comma 2 6 2 2 3 4 3" xfId="4025"/>
    <cellStyle name="Comma 2 6 2 2 3 5" xfId="4026"/>
    <cellStyle name="Comma 2 6 2 2 3 5 2" xfId="4027"/>
    <cellStyle name="Comma 2 6 2 2 3 6" xfId="4028"/>
    <cellStyle name="Comma 2 6 2 2 3 6 2" xfId="35991"/>
    <cellStyle name="Comma 2 6 2 2 3 7" xfId="4029"/>
    <cellStyle name="Comma 2 6 2 2 4" xfId="4030"/>
    <cellStyle name="Comma 2 6 2 2 4 2" xfId="4031"/>
    <cellStyle name="Comma 2 6 2 2 4 2 2" xfId="4032"/>
    <cellStyle name="Comma 2 6 2 2 4 2 2 2" xfId="4033"/>
    <cellStyle name="Comma 2 6 2 2 4 2 3" xfId="4034"/>
    <cellStyle name="Comma 2 6 2 2 4 3" xfId="4035"/>
    <cellStyle name="Comma 2 6 2 2 4 3 2" xfId="4036"/>
    <cellStyle name="Comma 2 6 2 2 4 4" xfId="4037"/>
    <cellStyle name="Comma 2 6 2 2 5" xfId="4038"/>
    <cellStyle name="Comma 2 6 2 2 5 2" xfId="4039"/>
    <cellStyle name="Comma 2 6 2 2 5 2 2" xfId="4040"/>
    <cellStyle name="Comma 2 6 2 2 5 3" xfId="4041"/>
    <cellStyle name="Comma 2 6 2 2 6" xfId="4042"/>
    <cellStyle name="Comma 2 6 2 2 6 2" xfId="4043"/>
    <cellStyle name="Comma 2 6 2 2 6 2 2" xfId="4044"/>
    <cellStyle name="Comma 2 6 2 2 6 3" xfId="4045"/>
    <cellStyle name="Comma 2 6 2 2 7" xfId="4046"/>
    <cellStyle name="Comma 2 6 2 2 7 2" xfId="4047"/>
    <cellStyle name="Comma 2 6 2 2 8" xfId="4048"/>
    <cellStyle name="Comma 2 6 2 2 8 2" xfId="35992"/>
    <cellStyle name="Comma 2 6 2 2 9" xfId="4049"/>
    <cellStyle name="Comma 2 6 2 3" xfId="4050"/>
    <cellStyle name="Comma 2 6 2 3 2" xfId="4051"/>
    <cellStyle name="Comma 2 6 2 3 2 2" xfId="4052"/>
    <cellStyle name="Comma 2 6 2 3 2 2 2" xfId="4053"/>
    <cellStyle name="Comma 2 6 2 3 2 2 2 2" xfId="4054"/>
    <cellStyle name="Comma 2 6 2 3 2 2 2 3" xfId="4055"/>
    <cellStyle name="Comma 2 6 2 3 2 2 3" xfId="4056"/>
    <cellStyle name="Comma 2 6 2 3 2 2 3 2" xfId="4057"/>
    <cellStyle name="Comma 2 6 2 3 2 2 4" xfId="4058"/>
    <cellStyle name="Comma 2 6 2 3 2 3" xfId="4059"/>
    <cellStyle name="Comma 2 6 2 3 2 3 2" xfId="4060"/>
    <cellStyle name="Comma 2 6 2 3 2 3 2 2" xfId="4061"/>
    <cellStyle name="Comma 2 6 2 3 2 3 3" xfId="4062"/>
    <cellStyle name="Comma 2 6 2 3 2 4" xfId="4063"/>
    <cellStyle name="Comma 2 6 2 3 2 4 2" xfId="4064"/>
    <cellStyle name="Comma 2 6 2 3 2 4 3" xfId="4065"/>
    <cellStyle name="Comma 2 6 2 3 2 5" xfId="4066"/>
    <cellStyle name="Comma 2 6 2 3 2 5 2" xfId="4067"/>
    <cellStyle name="Comma 2 6 2 3 2 6" xfId="4068"/>
    <cellStyle name="Comma 2 6 2 3 2 6 2" xfId="35993"/>
    <cellStyle name="Comma 2 6 2 3 2 7" xfId="4069"/>
    <cellStyle name="Comma 2 6 2 3 3" xfId="4070"/>
    <cellStyle name="Comma 2 6 2 3 3 2" xfId="4071"/>
    <cellStyle name="Comma 2 6 2 3 3 2 2" xfId="4072"/>
    <cellStyle name="Comma 2 6 2 3 3 2 2 2" xfId="4073"/>
    <cellStyle name="Comma 2 6 2 3 3 2 3" xfId="4074"/>
    <cellStyle name="Comma 2 6 2 3 3 3" xfId="4075"/>
    <cellStyle name="Comma 2 6 2 3 3 3 2" xfId="4076"/>
    <cellStyle name="Comma 2 6 2 3 3 4" xfId="4077"/>
    <cellStyle name="Comma 2 6 2 3 4" xfId="4078"/>
    <cellStyle name="Comma 2 6 2 3 4 2" xfId="4079"/>
    <cellStyle name="Comma 2 6 2 3 4 2 2" xfId="4080"/>
    <cellStyle name="Comma 2 6 2 3 4 3" xfId="4081"/>
    <cellStyle name="Comma 2 6 2 3 5" xfId="4082"/>
    <cellStyle name="Comma 2 6 2 3 5 2" xfId="4083"/>
    <cellStyle name="Comma 2 6 2 3 5 2 2" xfId="4084"/>
    <cellStyle name="Comma 2 6 2 3 5 3" xfId="4085"/>
    <cellStyle name="Comma 2 6 2 3 6" xfId="4086"/>
    <cellStyle name="Comma 2 6 2 3 6 2" xfId="4087"/>
    <cellStyle name="Comma 2 6 2 3 7" xfId="4088"/>
    <cellStyle name="Comma 2 6 2 3 7 2" xfId="35994"/>
    <cellStyle name="Comma 2 6 2 3 8" xfId="4089"/>
    <cellStyle name="Comma 2 6 2 4" xfId="4090"/>
    <cellStyle name="Comma 2 6 2 4 2" xfId="4091"/>
    <cellStyle name="Comma 2 6 2 4 2 2" xfId="4092"/>
    <cellStyle name="Comma 2 6 2 4 2 2 2" xfId="4093"/>
    <cellStyle name="Comma 2 6 2 4 2 2 3" xfId="4094"/>
    <cellStyle name="Comma 2 6 2 4 2 3" xfId="4095"/>
    <cellStyle name="Comma 2 6 2 4 2 3 2" xfId="4096"/>
    <cellStyle name="Comma 2 6 2 4 2 4" xfId="4097"/>
    <cellStyle name="Comma 2 6 2 4 3" xfId="4098"/>
    <cellStyle name="Comma 2 6 2 4 3 2" xfId="4099"/>
    <cellStyle name="Comma 2 6 2 4 3 2 2" xfId="4100"/>
    <cellStyle name="Comma 2 6 2 4 3 3" xfId="4101"/>
    <cellStyle name="Comma 2 6 2 4 4" xfId="4102"/>
    <cellStyle name="Comma 2 6 2 4 4 2" xfId="4103"/>
    <cellStyle name="Comma 2 6 2 4 4 3" xfId="4104"/>
    <cellStyle name="Comma 2 6 2 4 5" xfId="4105"/>
    <cellStyle name="Comma 2 6 2 4 5 2" xfId="4106"/>
    <cellStyle name="Comma 2 6 2 4 6" xfId="4107"/>
    <cellStyle name="Comma 2 6 2 4 6 2" xfId="35995"/>
    <cellStyle name="Comma 2 6 2 4 7" xfId="4108"/>
    <cellStyle name="Comma 2 6 2 5" xfId="4109"/>
    <cellStyle name="Comma 2 6 2 5 2" xfId="4110"/>
    <cellStyle name="Comma 2 6 2 5 2 2" xfId="4111"/>
    <cellStyle name="Comma 2 6 2 5 2 2 2" xfId="4112"/>
    <cellStyle name="Comma 2 6 2 5 2 3" xfId="4113"/>
    <cellStyle name="Comma 2 6 2 5 3" xfId="4114"/>
    <cellStyle name="Comma 2 6 2 5 3 2" xfId="4115"/>
    <cellStyle name="Comma 2 6 2 5 4" xfId="4116"/>
    <cellStyle name="Comma 2 6 2 6" xfId="4117"/>
    <cellStyle name="Comma 2 6 2 6 2" xfId="4118"/>
    <cellStyle name="Comma 2 6 2 6 2 2" xfId="4119"/>
    <cellStyle name="Comma 2 6 2 6 3" xfId="4120"/>
    <cellStyle name="Comma 2 6 2 7" xfId="4121"/>
    <cellStyle name="Comma 2 6 2 7 2" xfId="4122"/>
    <cellStyle name="Comma 2 6 2 7 2 2" xfId="4123"/>
    <cellStyle name="Comma 2 6 2 7 3" xfId="4124"/>
    <cellStyle name="Comma 2 6 2 8" xfId="4125"/>
    <cellStyle name="Comma 2 6 2 8 2" xfId="4126"/>
    <cellStyle name="Comma 2 6 2 9" xfId="4127"/>
    <cellStyle name="Comma 2 6 2 9 2" xfId="35996"/>
    <cellStyle name="Comma 2 6 3" xfId="4128"/>
    <cellStyle name="Comma 2 6 3 2" xfId="4129"/>
    <cellStyle name="Comma 2 6 3 2 2" xfId="4130"/>
    <cellStyle name="Comma 2 6 3 2 2 2" xfId="4131"/>
    <cellStyle name="Comma 2 6 3 2 2 2 2" xfId="4132"/>
    <cellStyle name="Comma 2 6 3 2 2 2 2 2" xfId="4133"/>
    <cellStyle name="Comma 2 6 3 2 2 2 2 3" xfId="4134"/>
    <cellStyle name="Comma 2 6 3 2 2 2 3" xfId="4135"/>
    <cellStyle name="Comma 2 6 3 2 2 2 3 2" xfId="4136"/>
    <cellStyle name="Comma 2 6 3 2 2 2 4" xfId="4137"/>
    <cellStyle name="Comma 2 6 3 2 2 3" xfId="4138"/>
    <cellStyle name="Comma 2 6 3 2 2 3 2" xfId="4139"/>
    <cellStyle name="Comma 2 6 3 2 2 3 2 2" xfId="4140"/>
    <cellStyle name="Comma 2 6 3 2 2 3 3" xfId="4141"/>
    <cellStyle name="Comma 2 6 3 2 2 4" xfId="4142"/>
    <cellStyle name="Comma 2 6 3 2 2 4 2" xfId="4143"/>
    <cellStyle name="Comma 2 6 3 2 2 4 3" xfId="4144"/>
    <cellStyle name="Comma 2 6 3 2 2 5" xfId="4145"/>
    <cellStyle name="Comma 2 6 3 2 2 5 2" xfId="4146"/>
    <cellStyle name="Comma 2 6 3 2 2 6" xfId="4147"/>
    <cellStyle name="Comma 2 6 3 2 2 6 2" xfId="35997"/>
    <cellStyle name="Comma 2 6 3 2 2 7" xfId="4148"/>
    <cellStyle name="Comma 2 6 3 2 3" xfId="4149"/>
    <cellStyle name="Comma 2 6 3 2 3 2" xfId="4150"/>
    <cellStyle name="Comma 2 6 3 2 3 2 2" xfId="4151"/>
    <cellStyle name="Comma 2 6 3 2 3 2 2 2" xfId="4152"/>
    <cellStyle name="Comma 2 6 3 2 3 2 3" xfId="4153"/>
    <cellStyle name="Comma 2 6 3 2 3 3" xfId="4154"/>
    <cellStyle name="Comma 2 6 3 2 3 3 2" xfId="4155"/>
    <cellStyle name="Comma 2 6 3 2 3 4" xfId="4156"/>
    <cellStyle name="Comma 2 6 3 2 4" xfId="4157"/>
    <cellStyle name="Comma 2 6 3 2 4 2" xfId="4158"/>
    <cellStyle name="Comma 2 6 3 2 4 2 2" xfId="4159"/>
    <cellStyle name="Comma 2 6 3 2 4 3" xfId="4160"/>
    <cellStyle name="Comma 2 6 3 2 5" xfId="4161"/>
    <cellStyle name="Comma 2 6 3 2 5 2" xfId="4162"/>
    <cellStyle name="Comma 2 6 3 2 5 2 2" xfId="4163"/>
    <cellStyle name="Comma 2 6 3 2 5 3" xfId="4164"/>
    <cellStyle name="Comma 2 6 3 2 6" xfId="4165"/>
    <cellStyle name="Comma 2 6 3 2 6 2" xfId="4166"/>
    <cellStyle name="Comma 2 6 3 2 7" xfId="4167"/>
    <cellStyle name="Comma 2 6 3 2 7 2" xfId="35998"/>
    <cellStyle name="Comma 2 6 3 2 8" xfId="4168"/>
    <cellStyle name="Comma 2 6 3 3" xfId="4169"/>
    <cellStyle name="Comma 2 6 3 3 2" xfId="4170"/>
    <cellStyle name="Comma 2 6 3 3 2 2" xfId="4171"/>
    <cellStyle name="Comma 2 6 3 3 2 2 2" xfId="4172"/>
    <cellStyle name="Comma 2 6 3 3 2 2 3" xfId="4173"/>
    <cellStyle name="Comma 2 6 3 3 2 3" xfId="4174"/>
    <cellStyle name="Comma 2 6 3 3 2 3 2" xfId="4175"/>
    <cellStyle name="Comma 2 6 3 3 2 4" xfId="4176"/>
    <cellStyle name="Comma 2 6 3 3 3" xfId="4177"/>
    <cellStyle name="Comma 2 6 3 3 3 2" xfId="4178"/>
    <cellStyle name="Comma 2 6 3 3 3 2 2" xfId="4179"/>
    <cellStyle name="Comma 2 6 3 3 3 3" xfId="4180"/>
    <cellStyle name="Comma 2 6 3 3 4" xfId="4181"/>
    <cellStyle name="Comma 2 6 3 3 4 2" xfId="4182"/>
    <cellStyle name="Comma 2 6 3 3 4 3" xfId="4183"/>
    <cellStyle name="Comma 2 6 3 3 5" xfId="4184"/>
    <cellStyle name="Comma 2 6 3 3 5 2" xfId="4185"/>
    <cellStyle name="Comma 2 6 3 3 6" xfId="4186"/>
    <cellStyle name="Comma 2 6 3 3 6 2" xfId="35999"/>
    <cellStyle name="Comma 2 6 3 3 7" xfId="4187"/>
    <cellStyle name="Comma 2 6 3 4" xfId="4188"/>
    <cellStyle name="Comma 2 6 3 4 2" xfId="4189"/>
    <cellStyle name="Comma 2 6 3 4 2 2" xfId="4190"/>
    <cellStyle name="Comma 2 6 3 4 2 2 2" xfId="4191"/>
    <cellStyle name="Comma 2 6 3 4 2 3" xfId="4192"/>
    <cellStyle name="Comma 2 6 3 4 3" xfId="4193"/>
    <cellStyle name="Comma 2 6 3 4 3 2" xfId="4194"/>
    <cellStyle name="Comma 2 6 3 4 4" xfId="4195"/>
    <cellStyle name="Comma 2 6 3 5" xfId="4196"/>
    <cellStyle name="Comma 2 6 3 5 2" xfId="4197"/>
    <cellStyle name="Comma 2 6 3 5 2 2" xfId="4198"/>
    <cellStyle name="Comma 2 6 3 5 3" xfId="4199"/>
    <cellStyle name="Comma 2 6 3 6" xfId="4200"/>
    <cellStyle name="Comma 2 6 3 6 2" xfId="4201"/>
    <cellStyle name="Comma 2 6 3 6 2 2" xfId="4202"/>
    <cellStyle name="Comma 2 6 3 6 3" xfId="4203"/>
    <cellStyle name="Comma 2 6 3 7" xfId="4204"/>
    <cellStyle name="Comma 2 6 3 7 2" xfId="4205"/>
    <cellStyle name="Comma 2 6 3 8" xfId="4206"/>
    <cellStyle name="Comma 2 6 3 8 2" xfId="36000"/>
    <cellStyle name="Comma 2 6 3 9" xfId="4207"/>
    <cellStyle name="Comma 2 6 4" xfId="4208"/>
    <cellStyle name="Comma 2 6 4 2" xfId="4209"/>
    <cellStyle name="Comma 2 6 4 2 2" xfId="4210"/>
    <cellStyle name="Comma 2 6 4 2 2 2" xfId="4211"/>
    <cellStyle name="Comma 2 6 4 2 2 2 2" xfId="4212"/>
    <cellStyle name="Comma 2 6 4 2 2 2 3" xfId="4213"/>
    <cellStyle name="Comma 2 6 4 2 2 3" xfId="4214"/>
    <cellStyle name="Comma 2 6 4 2 2 3 2" xfId="4215"/>
    <cellStyle name="Comma 2 6 4 2 2 4" xfId="4216"/>
    <cellStyle name="Comma 2 6 4 2 3" xfId="4217"/>
    <cellStyle name="Comma 2 6 4 2 3 2" xfId="4218"/>
    <cellStyle name="Comma 2 6 4 2 3 2 2" xfId="4219"/>
    <cellStyle name="Comma 2 6 4 2 3 3" xfId="4220"/>
    <cellStyle name="Comma 2 6 4 2 4" xfId="4221"/>
    <cellStyle name="Comma 2 6 4 2 4 2" xfId="4222"/>
    <cellStyle name="Comma 2 6 4 2 4 3" xfId="4223"/>
    <cellStyle name="Comma 2 6 4 2 5" xfId="4224"/>
    <cellStyle name="Comma 2 6 4 2 5 2" xfId="4225"/>
    <cellStyle name="Comma 2 6 4 2 6" xfId="4226"/>
    <cellStyle name="Comma 2 6 4 2 6 2" xfId="36001"/>
    <cellStyle name="Comma 2 6 4 2 7" xfId="4227"/>
    <cellStyle name="Comma 2 6 4 3" xfId="4228"/>
    <cellStyle name="Comma 2 6 4 3 2" xfId="4229"/>
    <cellStyle name="Comma 2 6 4 3 2 2" xfId="4230"/>
    <cellStyle name="Comma 2 6 4 3 2 2 2" xfId="4231"/>
    <cellStyle name="Comma 2 6 4 3 2 3" xfId="4232"/>
    <cellStyle name="Comma 2 6 4 3 3" xfId="4233"/>
    <cellStyle name="Comma 2 6 4 3 3 2" xfId="4234"/>
    <cellStyle name="Comma 2 6 4 3 4" xfId="4235"/>
    <cellStyle name="Comma 2 6 4 4" xfId="4236"/>
    <cellStyle name="Comma 2 6 4 4 2" xfId="4237"/>
    <cellStyle name="Comma 2 6 4 4 2 2" xfId="4238"/>
    <cellStyle name="Comma 2 6 4 4 3" xfId="4239"/>
    <cellStyle name="Comma 2 6 4 5" xfId="4240"/>
    <cellStyle name="Comma 2 6 4 5 2" xfId="4241"/>
    <cellStyle name="Comma 2 6 4 5 2 2" xfId="4242"/>
    <cellStyle name="Comma 2 6 4 5 3" xfId="4243"/>
    <cellStyle name="Comma 2 6 4 6" xfId="4244"/>
    <cellStyle name="Comma 2 6 4 6 2" xfId="4245"/>
    <cellStyle name="Comma 2 6 4 7" xfId="4246"/>
    <cellStyle name="Comma 2 6 4 7 2" xfId="36002"/>
    <cellStyle name="Comma 2 6 4 8" xfId="4247"/>
    <cellStyle name="Comma 2 6 5" xfId="4248"/>
    <cellStyle name="Comma 2 6 5 2" xfId="4249"/>
    <cellStyle name="Comma 2 6 5 2 2" xfId="4250"/>
    <cellStyle name="Comma 2 6 5 2 2 2" xfId="4251"/>
    <cellStyle name="Comma 2 6 5 2 2 2 2" xfId="4252"/>
    <cellStyle name="Comma 2 6 5 2 2 2 3" xfId="4253"/>
    <cellStyle name="Comma 2 6 5 2 2 3" xfId="4254"/>
    <cellStyle name="Comma 2 6 5 2 2 3 2" xfId="4255"/>
    <cellStyle name="Comma 2 6 5 2 2 4" xfId="4256"/>
    <cellStyle name="Comma 2 6 5 2 3" xfId="4257"/>
    <cellStyle name="Comma 2 6 5 2 3 2" xfId="4258"/>
    <cellStyle name="Comma 2 6 5 2 3 2 2" xfId="4259"/>
    <cellStyle name="Comma 2 6 5 2 3 3" xfId="4260"/>
    <cellStyle name="Comma 2 6 5 2 4" xfId="4261"/>
    <cellStyle name="Comma 2 6 5 2 4 2" xfId="4262"/>
    <cellStyle name="Comma 2 6 5 2 4 3" xfId="4263"/>
    <cellStyle name="Comma 2 6 5 2 5" xfId="4264"/>
    <cellStyle name="Comma 2 6 5 2 5 2" xfId="4265"/>
    <cellStyle name="Comma 2 6 5 2 6" xfId="4266"/>
    <cellStyle name="Comma 2 6 5 2 6 2" xfId="36003"/>
    <cellStyle name="Comma 2 6 5 2 7" xfId="4267"/>
    <cellStyle name="Comma 2 6 5 3" xfId="4268"/>
    <cellStyle name="Comma 2 6 5 3 2" xfId="4269"/>
    <cellStyle name="Comma 2 6 5 3 2 2" xfId="4270"/>
    <cellStyle name="Comma 2 6 5 3 2 2 2" xfId="4271"/>
    <cellStyle name="Comma 2 6 5 3 2 3" xfId="4272"/>
    <cellStyle name="Comma 2 6 5 3 3" xfId="4273"/>
    <cellStyle name="Comma 2 6 5 3 3 2" xfId="4274"/>
    <cellStyle name="Comma 2 6 5 3 4" xfId="4275"/>
    <cellStyle name="Comma 2 6 5 4" xfId="4276"/>
    <cellStyle name="Comma 2 6 5 4 2" xfId="4277"/>
    <cellStyle name="Comma 2 6 5 4 2 2" xfId="4278"/>
    <cellStyle name="Comma 2 6 5 4 3" xfId="4279"/>
    <cellStyle name="Comma 2 6 5 5" xfId="4280"/>
    <cellStyle name="Comma 2 6 5 5 2" xfId="4281"/>
    <cellStyle name="Comma 2 6 5 5 2 2" xfId="4282"/>
    <cellStyle name="Comma 2 6 5 5 3" xfId="4283"/>
    <cellStyle name="Comma 2 6 5 6" xfId="4284"/>
    <cellStyle name="Comma 2 6 5 6 2" xfId="4285"/>
    <cellStyle name="Comma 2 6 5 7" xfId="4286"/>
    <cellStyle name="Comma 2 6 5 7 2" xfId="36004"/>
    <cellStyle name="Comma 2 6 5 8" xfId="4287"/>
    <cellStyle name="Comma 2 6 6" xfId="4288"/>
    <cellStyle name="Comma 2 6 7" xfId="4289"/>
    <cellStyle name="Comma 2 6 7 2" xfId="4290"/>
    <cellStyle name="Comma 2 6 7 2 2" xfId="4291"/>
    <cellStyle name="Comma 2 6 7 2 2 2" xfId="4292"/>
    <cellStyle name="Comma 2 6 7 2 2 3" xfId="4293"/>
    <cellStyle name="Comma 2 6 7 2 3" xfId="4294"/>
    <cellStyle name="Comma 2 6 7 2 3 2" xfId="4295"/>
    <cellStyle name="Comma 2 6 7 2 4" xfId="4296"/>
    <cellStyle name="Comma 2 6 7 3" xfId="4297"/>
    <cellStyle name="Comma 2 6 7 3 2" xfId="4298"/>
    <cellStyle name="Comma 2 6 7 3 2 2" xfId="4299"/>
    <cellStyle name="Comma 2 6 7 3 3" xfId="4300"/>
    <cellStyle name="Comma 2 6 7 4" xfId="4301"/>
    <cellStyle name="Comma 2 6 7 4 2" xfId="4302"/>
    <cellStyle name="Comma 2 6 7 4 3" xfId="4303"/>
    <cellStyle name="Comma 2 6 7 5" xfId="4304"/>
    <cellStyle name="Comma 2 6 7 5 2" xfId="4305"/>
    <cellStyle name="Comma 2 6 7 6" xfId="4306"/>
    <cellStyle name="Comma 2 6 7 6 2" xfId="36005"/>
    <cellStyle name="Comma 2 6 7 7" xfId="4307"/>
    <cellStyle name="Comma 2 6 8" xfId="4308"/>
    <cellStyle name="Comma 2 6 8 2" xfId="4309"/>
    <cellStyle name="Comma 2 6 8 2 2" xfId="4310"/>
    <cellStyle name="Comma 2 6 8 2 2 2" xfId="4311"/>
    <cellStyle name="Comma 2 6 8 2 3" xfId="4312"/>
    <cellStyle name="Comma 2 6 8 3" xfId="4313"/>
    <cellStyle name="Comma 2 6 8 3 2" xfId="4314"/>
    <cellStyle name="Comma 2 6 8 4" xfId="4315"/>
    <cellStyle name="Comma 2 6 9" xfId="4316"/>
    <cellStyle name="Comma 2 6 9 2" xfId="4317"/>
    <cellStyle name="Comma 2 6 9 2 2" xfId="4318"/>
    <cellStyle name="Comma 2 6 9 3" xfId="4319"/>
    <cellStyle name="Comma 2 7" xfId="4320"/>
    <cellStyle name="Comma 2 7 10" xfId="4321"/>
    <cellStyle name="Comma 2 7 2" xfId="4322"/>
    <cellStyle name="Comma 2 7 2 2" xfId="4323"/>
    <cellStyle name="Comma 2 7 2 2 2" xfId="4324"/>
    <cellStyle name="Comma 2 7 2 2 2 2" xfId="4325"/>
    <cellStyle name="Comma 2 7 2 2 2 2 2" xfId="4326"/>
    <cellStyle name="Comma 2 7 2 2 2 2 2 2" xfId="4327"/>
    <cellStyle name="Comma 2 7 2 2 2 2 2 3" xfId="4328"/>
    <cellStyle name="Comma 2 7 2 2 2 2 3" xfId="4329"/>
    <cellStyle name="Comma 2 7 2 2 2 2 3 2" xfId="4330"/>
    <cellStyle name="Comma 2 7 2 2 2 2 4" xfId="4331"/>
    <cellStyle name="Comma 2 7 2 2 2 3" xfId="4332"/>
    <cellStyle name="Comma 2 7 2 2 2 3 2" xfId="4333"/>
    <cellStyle name="Comma 2 7 2 2 2 3 2 2" xfId="4334"/>
    <cellStyle name="Comma 2 7 2 2 2 3 3" xfId="4335"/>
    <cellStyle name="Comma 2 7 2 2 2 4" xfId="4336"/>
    <cellStyle name="Comma 2 7 2 2 2 4 2" xfId="4337"/>
    <cellStyle name="Comma 2 7 2 2 2 4 3" xfId="4338"/>
    <cellStyle name="Comma 2 7 2 2 2 5" xfId="4339"/>
    <cellStyle name="Comma 2 7 2 2 2 5 2" xfId="4340"/>
    <cellStyle name="Comma 2 7 2 2 2 6" xfId="4341"/>
    <cellStyle name="Comma 2 7 2 2 2 6 2" xfId="36006"/>
    <cellStyle name="Comma 2 7 2 2 2 7" xfId="4342"/>
    <cellStyle name="Comma 2 7 2 2 3" xfId="4343"/>
    <cellStyle name="Comma 2 7 2 2 3 2" xfId="4344"/>
    <cellStyle name="Comma 2 7 2 2 3 2 2" xfId="4345"/>
    <cellStyle name="Comma 2 7 2 2 3 2 2 2" xfId="4346"/>
    <cellStyle name="Comma 2 7 2 2 3 2 3" xfId="4347"/>
    <cellStyle name="Comma 2 7 2 2 3 3" xfId="4348"/>
    <cellStyle name="Comma 2 7 2 2 3 3 2" xfId="4349"/>
    <cellStyle name="Comma 2 7 2 2 3 4" xfId="4350"/>
    <cellStyle name="Comma 2 7 2 2 4" xfId="4351"/>
    <cellStyle name="Comma 2 7 2 2 4 2" xfId="4352"/>
    <cellStyle name="Comma 2 7 2 2 4 2 2" xfId="4353"/>
    <cellStyle name="Comma 2 7 2 2 4 3" xfId="4354"/>
    <cellStyle name="Comma 2 7 2 2 5" xfId="4355"/>
    <cellStyle name="Comma 2 7 2 2 5 2" xfId="4356"/>
    <cellStyle name="Comma 2 7 2 2 5 2 2" xfId="4357"/>
    <cellStyle name="Comma 2 7 2 2 5 3" xfId="4358"/>
    <cellStyle name="Comma 2 7 2 2 6" xfId="4359"/>
    <cellStyle name="Comma 2 7 2 2 6 2" xfId="4360"/>
    <cellStyle name="Comma 2 7 2 2 7" xfId="4361"/>
    <cellStyle name="Comma 2 7 2 2 7 2" xfId="36007"/>
    <cellStyle name="Comma 2 7 2 2 8" xfId="4362"/>
    <cellStyle name="Comma 2 7 2 3" xfId="4363"/>
    <cellStyle name="Comma 2 7 2 3 2" xfId="4364"/>
    <cellStyle name="Comma 2 7 2 3 2 2" xfId="4365"/>
    <cellStyle name="Comma 2 7 2 3 2 2 2" xfId="4366"/>
    <cellStyle name="Comma 2 7 2 3 2 2 3" xfId="4367"/>
    <cellStyle name="Comma 2 7 2 3 2 3" xfId="4368"/>
    <cellStyle name="Comma 2 7 2 3 2 3 2" xfId="4369"/>
    <cellStyle name="Comma 2 7 2 3 2 4" xfId="4370"/>
    <cellStyle name="Comma 2 7 2 3 3" xfId="4371"/>
    <cellStyle name="Comma 2 7 2 3 3 2" xfId="4372"/>
    <cellStyle name="Comma 2 7 2 3 3 2 2" xfId="4373"/>
    <cellStyle name="Comma 2 7 2 3 3 3" xfId="4374"/>
    <cellStyle name="Comma 2 7 2 3 4" xfId="4375"/>
    <cellStyle name="Comma 2 7 2 3 4 2" xfId="4376"/>
    <cellStyle name="Comma 2 7 2 3 4 3" xfId="4377"/>
    <cellStyle name="Comma 2 7 2 3 5" xfId="4378"/>
    <cellStyle name="Comma 2 7 2 3 5 2" xfId="4379"/>
    <cellStyle name="Comma 2 7 2 3 6" xfId="4380"/>
    <cellStyle name="Comma 2 7 2 3 6 2" xfId="36008"/>
    <cellStyle name="Comma 2 7 2 3 7" xfId="4381"/>
    <cellStyle name="Comma 2 7 2 4" xfId="4382"/>
    <cellStyle name="Comma 2 7 2 4 2" xfId="4383"/>
    <cellStyle name="Comma 2 7 2 4 2 2" xfId="4384"/>
    <cellStyle name="Comma 2 7 2 4 2 2 2" xfId="4385"/>
    <cellStyle name="Comma 2 7 2 4 2 3" xfId="4386"/>
    <cellStyle name="Comma 2 7 2 4 3" xfId="4387"/>
    <cellStyle name="Comma 2 7 2 4 3 2" xfId="4388"/>
    <cellStyle name="Comma 2 7 2 4 4" xfId="4389"/>
    <cellStyle name="Comma 2 7 2 5" xfId="4390"/>
    <cellStyle name="Comma 2 7 2 5 2" xfId="4391"/>
    <cellStyle name="Comma 2 7 2 5 2 2" xfId="4392"/>
    <cellStyle name="Comma 2 7 2 5 3" xfId="4393"/>
    <cellStyle name="Comma 2 7 2 6" xfId="4394"/>
    <cellStyle name="Comma 2 7 2 6 2" xfId="4395"/>
    <cellStyle name="Comma 2 7 2 6 2 2" xfId="4396"/>
    <cellStyle name="Comma 2 7 2 6 3" xfId="4397"/>
    <cellStyle name="Comma 2 7 2 7" xfId="4398"/>
    <cellStyle name="Comma 2 7 2 7 2" xfId="4399"/>
    <cellStyle name="Comma 2 7 2 8" xfId="4400"/>
    <cellStyle name="Comma 2 7 2 8 2" xfId="36009"/>
    <cellStyle name="Comma 2 7 2 9" xfId="4401"/>
    <cellStyle name="Comma 2 7 3" xfId="4402"/>
    <cellStyle name="Comma 2 7 3 2" xfId="4403"/>
    <cellStyle name="Comma 2 7 3 2 2" xfId="4404"/>
    <cellStyle name="Comma 2 7 3 2 2 2" xfId="4405"/>
    <cellStyle name="Comma 2 7 3 2 2 2 2" xfId="4406"/>
    <cellStyle name="Comma 2 7 3 2 2 2 3" xfId="4407"/>
    <cellStyle name="Comma 2 7 3 2 2 3" xfId="4408"/>
    <cellStyle name="Comma 2 7 3 2 2 3 2" xfId="4409"/>
    <cellStyle name="Comma 2 7 3 2 2 4" xfId="4410"/>
    <cellStyle name="Comma 2 7 3 2 3" xfId="4411"/>
    <cellStyle name="Comma 2 7 3 2 3 2" xfId="4412"/>
    <cellStyle name="Comma 2 7 3 2 3 2 2" xfId="4413"/>
    <cellStyle name="Comma 2 7 3 2 3 3" xfId="4414"/>
    <cellStyle name="Comma 2 7 3 2 4" xfId="4415"/>
    <cellStyle name="Comma 2 7 3 2 4 2" xfId="4416"/>
    <cellStyle name="Comma 2 7 3 2 4 3" xfId="4417"/>
    <cellStyle name="Comma 2 7 3 2 5" xfId="4418"/>
    <cellStyle name="Comma 2 7 3 2 5 2" xfId="4419"/>
    <cellStyle name="Comma 2 7 3 2 6" xfId="4420"/>
    <cellStyle name="Comma 2 7 3 2 6 2" xfId="36010"/>
    <cellStyle name="Comma 2 7 3 2 7" xfId="4421"/>
    <cellStyle name="Comma 2 7 3 3" xfId="4422"/>
    <cellStyle name="Comma 2 7 3 3 2" xfId="4423"/>
    <cellStyle name="Comma 2 7 3 3 2 2" xfId="4424"/>
    <cellStyle name="Comma 2 7 3 3 2 2 2" xfId="4425"/>
    <cellStyle name="Comma 2 7 3 3 2 3" xfId="4426"/>
    <cellStyle name="Comma 2 7 3 3 3" xfId="4427"/>
    <cellStyle name="Comma 2 7 3 3 3 2" xfId="4428"/>
    <cellStyle name="Comma 2 7 3 3 4" xfId="4429"/>
    <cellStyle name="Comma 2 7 3 4" xfId="4430"/>
    <cellStyle name="Comma 2 7 3 4 2" xfId="4431"/>
    <cellStyle name="Comma 2 7 3 4 2 2" xfId="4432"/>
    <cellStyle name="Comma 2 7 3 4 3" xfId="4433"/>
    <cellStyle name="Comma 2 7 3 5" xfId="4434"/>
    <cellStyle name="Comma 2 7 3 5 2" xfId="4435"/>
    <cellStyle name="Comma 2 7 3 5 2 2" xfId="4436"/>
    <cellStyle name="Comma 2 7 3 5 3" xfId="4437"/>
    <cellStyle name="Comma 2 7 3 6" xfId="4438"/>
    <cellStyle name="Comma 2 7 3 6 2" xfId="4439"/>
    <cellStyle name="Comma 2 7 3 7" xfId="4440"/>
    <cellStyle name="Comma 2 7 3 7 2" xfId="36011"/>
    <cellStyle name="Comma 2 7 3 8" xfId="4441"/>
    <cellStyle name="Comma 2 7 4" xfId="4442"/>
    <cellStyle name="Comma 2 7 4 2" xfId="4443"/>
    <cellStyle name="Comma 2 7 4 2 2" xfId="4444"/>
    <cellStyle name="Comma 2 7 4 2 2 2" xfId="4445"/>
    <cellStyle name="Comma 2 7 4 2 2 3" xfId="4446"/>
    <cellStyle name="Comma 2 7 4 2 3" xfId="4447"/>
    <cellStyle name="Comma 2 7 4 2 3 2" xfId="4448"/>
    <cellStyle name="Comma 2 7 4 2 4" xfId="4449"/>
    <cellStyle name="Comma 2 7 4 3" xfId="4450"/>
    <cellStyle name="Comma 2 7 4 3 2" xfId="4451"/>
    <cellStyle name="Comma 2 7 4 3 2 2" xfId="4452"/>
    <cellStyle name="Comma 2 7 4 3 3" xfId="4453"/>
    <cellStyle name="Comma 2 7 4 4" xfId="4454"/>
    <cellStyle name="Comma 2 7 4 4 2" xfId="4455"/>
    <cellStyle name="Comma 2 7 4 4 3" xfId="4456"/>
    <cellStyle name="Comma 2 7 4 5" xfId="4457"/>
    <cellStyle name="Comma 2 7 4 5 2" xfId="4458"/>
    <cellStyle name="Comma 2 7 4 6" xfId="4459"/>
    <cellStyle name="Comma 2 7 4 6 2" xfId="36012"/>
    <cellStyle name="Comma 2 7 4 7" xfId="4460"/>
    <cellStyle name="Comma 2 7 5" xfId="4461"/>
    <cellStyle name="Comma 2 7 5 2" xfId="4462"/>
    <cellStyle name="Comma 2 7 5 2 2" xfId="4463"/>
    <cellStyle name="Comma 2 7 5 2 2 2" xfId="4464"/>
    <cellStyle name="Comma 2 7 5 2 3" xfId="4465"/>
    <cellStyle name="Comma 2 7 5 3" xfId="4466"/>
    <cellStyle name="Comma 2 7 5 3 2" xfId="4467"/>
    <cellStyle name="Comma 2 7 5 4" xfId="4468"/>
    <cellStyle name="Comma 2 7 6" xfId="4469"/>
    <cellStyle name="Comma 2 7 6 2" xfId="4470"/>
    <cellStyle name="Comma 2 7 6 2 2" xfId="4471"/>
    <cellStyle name="Comma 2 7 6 3" xfId="4472"/>
    <cellStyle name="Comma 2 7 7" xfId="4473"/>
    <cellStyle name="Comma 2 7 7 2" xfId="4474"/>
    <cellStyle name="Comma 2 7 7 2 2" xfId="4475"/>
    <cellStyle name="Comma 2 7 7 3" xfId="4476"/>
    <cellStyle name="Comma 2 7 8" xfId="4477"/>
    <cellStyle name="Comma 2 7 8 2" xfId="4478"/>
    <cellStyle name="Comma 2 7 9" xfId="4479"/>
    <cellStyle name="Comma 2 7 9 2" xfId="36013"/>
    <cellStyle name="Comma 2 8" xfId="4480"/>
    <cellStyle name="Comma 2 8 2" xfId="4481"/>
    <cellStyle name="Comma 2 8 2 2" xfId="4482"/>
    <cellStyle name="Comma 2 8 2 2 2" xfId="4483"/>
    <cellStyle name="Comma 2 8 2 2 2 2" xfId="4484"/>
    <cellStyle name="Comma 2 8 2 2 2 2 2" xfId="4485"/>
    <cellStyle name="Comma 2 8 2 2 2 2 3" xfId="4486"/>
    <cellStyle name="Comma 2 8 2 2 2 3" xfId="4487"/>
    <cellStyle name="Comma 2 8 2 2 2 3 2" xfId="4488"/>
    <cellStyle name="Comma 2 8 2 2 2 4" xfId="4489"/>
    <cellStyle name="Comma 2 8 2 2 3" xfId="4490"/>
    <cellStyle name="Comma 2 8 2 2 3 2" xfId="4491"/>
    <cellStyle name="Comma 2 8 2 2 3 2 2" xfId="4492"/>
    <cellStyle name="Comma 2 8 2 2 3 3" xfId="4493"/>
    <cellStyle name="Comma 2 8 2 2 4" xfId="4494"/>
    <cellStyle name="Comma 2 8 2 2 4 2" xfId="4495"/>
    <cellStyle name="Comma 2 8 2 2 4 3" xfId="4496"/>
    <cellStyle name="Comma 2 8 2 2 5" xfId="4497"/>
    <cellStyle name="Comma 2 8 2 2 5 2" xfId="4498"/>
    <cellStyle name="Comma 2 8 2 2 6" xfId="4499"/>
    <cellStyle name="Comma 2 8 2 2 6 2" xfId="36014"/>
    <cellStyle name="Comma 2 8 2 2 7" xfId="4500"/>
    <cellStyle name="Comma 2 8 2 3" xfId="4501"/>
    <cellStyle name="Comma 2 8 2 3 2" xfId="4502"/>
    <cellStyle name="Comma 2 8 2 3 2 2" xfId="4503"/>
    <cellStyle name="Comma 2 8 2 3 2 2 2" xfId="4504"/>
    <cellStyle name="Comma 2 8 2 3 2 3" xfId="4505"/>
    <cellStyle name="Comma 2 8 2 3 3" xfId="4506"/>
    <cellStyle name="Comma 2 8 2 3 3 2" xfId="4507"/>
    <cellStyle name="Comma 2 8 2 3 4" xfId="4508"/>
    <cellStyle name="Comma 2 8 2 4" xfId="4509"/>
    <cellStyle name="Comma 2 8 2 4 2" xfId="4510"/>
    <cellStyle name="Comma 2 8 2 4 2 2" xfId="4511"/>
    <cellStyle name="Comma 2 8 2 4 3" xfId="4512"/>
    <cellStyle name="Comma 2 8 2 5" xfId="4513"/>
    <cellStyle name="Comma 2 8 2 5 2" xfId="4514"/>
    <cellStyle name="Comma 2 8 2 5 2 2" xfId="4515"/>
    <cellStyle name="Comma 2 8 2 5 3" xfId="4516"/>
    <cellStyle name="Comma 2 8 2 6" xfId="4517"/>
    <cellStyle name="Comma 2 8 2 6 2" xfId="4518"/>
    <cellStyle name="Comma 2 8 2 7" xfId="4519"/>
    <cellStyle name="Comma 2 8 2 7 2" xfId="36015"/>
    <cellStyle name="Comma 2 8 2 8" xfId="4520"/>
    <cellStyle name="Comma 2 8 3" xfId="4521"/>
    <cellStyle name="Comma 2 8 3 2" xfId="4522"/>
    <cellStyle name="Comma 2 8 3 2 2" xfId="4523"/>
    <cellStyle name="Comma 2 8 3 2 2 2" xfId="4524"/>
    <cellStyle name="Comma 2 8 3 2 2 3" xfId="4525"/>
    <cellStyle name="Comma 2 8 3 2 3" xfId="4526"/>
    <cellStyle name="Comma 2 8 3 2 3 2" xfId="4527"/>
    <cellStyle name="Comma 2 8 3 2 4" xfId="4528"/>
    <cellStyle name="Comma 2 8 3 3" xfId="4529"/>
    <cellStyle name="Comma 2 8 3 3 2" xfId="4530"/>
    <cellStyle name="Comma 2 8 3 3 2 2" xfId="4531"/>
    <cellStyle name="Comma 2 8 3 3 3" xfId="4532"/>
    <cellStyle name="Comma 2 8 3 4" xfId="4533"/>
    <cellStyle name="Comma 2 8 3 4 2" xfId="4534"/>
    <cellStyle name="Comma 2 8 3 4 3" xfId="4535"/>
    <cellStyle name="Comma 2 8 3 5" xfId="4536"/>
    <cellStyle name="Comma 2 8 3 5 2" xfId="4537"/>
    <cellStyle name="Comma 2 8 3 6" xfId="4538"/>
    <cellStyle name="Comma 2 8 3 6 2" xfId="36016"/>
    <cellStyle name="Comma 2 8 3 7" xfId="4539"/>
    <cellStyle name="Comma 2 8 4" xfId="4540"/>
    <cellStyle name="Comma 2 8 4 2" xfId="4541"/>
    <cellStyle name="Comma 2 8 4 2 2" xfId="4542"/>
    <cellStyle name="Comma 2 8 4 2 2 2" xfId="4543"/>
    <cellStyle name="Comma 2 8 4 2 3" xfId="4544"/>
    <cellStyle name="Comma 2 8 4 3" xfId="4545"/>
    <cellStyle name="Comma 2 8 4 3 2" xfId="4546"/>
    <cellStyle name="Comma 2 8 4 4" xfId="4547"/>
    <cellStyle name="Comma 2 8 5" xfId="4548"/>
    <cellStyle name="Comma 2 8 5 2" xfId="4549"/>
    <cellStyle name="Comma 2 8 5 2 2" xfId="4550"/>
    <cellStyle name="Comma 2 8 5 3" xfId="4551"/>
    <cellStyle name="Comma 2 8 6" xfId="4552"/>
    <cellStyle name="Comma 2 8 6 2" xfId="4553"/>
    <cellStyle name="Comma 2 8 6 2 2" xfId="4554"/>
    <cellStyle name="Comma 2 8 6 3" xfId="4555"/>
    <cellStyle name="Comma 2 8 7" xfId="4556"/>
    <cellStyle name="Comma 2 8 7 2" xfId="4557"/>
    <cellStyle name="Comma 2 8 8" xfId="4558"/>
    <cellStyle name="Comma 2 8 8 2" xfId="36017"/>
    <cellStyle name="Comma 2 8 9" xfId="4559"/>
    <cellStyle name="Comma 2 9" xfId="4560"/>
    <cellStyle name="Comma 2 9 2" xfId="4561"/>
    <cellStyle name="Comma 2 9 2 2" xfId="4562"/>
    <cellStyle name="Comma 2 9 2 2 2" xfId="4563"/>
    <cellStyle name="Comma 2 9 2 2 2 2" xfId="4564"/>
    <cellStyle name="Comma 2 9 2 2 2 2 2" xfId="4565"/>
    <cellStyle name="Comma 2 9 2 2 2 2 3" xfId="4566"/>
    <cellStyle name="Comma 2 9 2 2 2 3" xfId="4567"/>
    <cellStyle name="Comma 2 9 2 2 2 3 2" xfId="4568"/>
    <cellStyle name="Comma 2 9 2 2 2 4" xfId="4569"/>
    <cellStyle name="Comma 2 9 2 2 3" xfId="4570"/>
    <cellStyle name="Comma 2 9 2 2 3 2" xfId="4571"/>
    <cellStyle name="Comma 2 9 2 2 3 2 2" xfId="4572"/>
    <cellStyle name="Comma 2 9 2 2 3 3" xfId="4573"/>
    <cellStyle name="Comma 2 9 2 2 4" xfId="4574"/>
    <cellStyle name="Comma 2 9 2 2 4 2" xfId="4575"/>
    <cellStyle name="Comma 2 9 2 2 4 3" xfId="4576"/>
    <cellStyle name="Comma 2 9 2 2 5" xfId="4577"/>
    <cellStyle name="Comma 2 9 2 2 5 2" xfId="4578"/>
    <cellStyle name="Comma 2 9 2 2 6" xfId="4579"/>
    <cellStyle name="Comma 2 9 2 2 6 2" xfId="36018"/>
    <cellStyle name="Comma 2 9 2 2 7" xfId="4580"/>
    <cellStyle name="Comma 2 9 2 3" xfId="4581"/>
    <cellStyle name="Comma 2 9 2 3 2" xfId="4582"/>
    <cellStyle name="Comma 2 9 2 3 2 2" xfId="4583"/>
    <cellStyle name="Comma 2 9 2 3 2 2 2" xfId="4584"/>
    <cellStyle name="Comma 2 9 2 3 2 3" xfId="4585"/>
    <cellStyle name="Comma 2 9 2 3 3" xfId="4586"/>
    <cellStyle name="Comma 2 9 2 3 3 2" xfId="4587"/>
    <cellStyle name="Comma 2 9 2 3 4" xfId="4588"/>
    <cellStyle name="Comma 2 9 2 4" xfId="4589"/>
    <cellStyle name="Comma 2 9 2 4 2" xfId="4590"/>
    <cellStyle name="Comma 2 9 2 4 2 2" xfId="4591"/>
    <cellStyle name="Comma 2 9 2 4 3" xfId="4592"/>
    <cellStyle name="Comma 2 9 2 5" xfId="4593"/>
    <cellStyle name="Comma 2 9 2 5 2" xfId="4594"/>
    <cellStyle name="Comma 2 9 2 5 2 2" xfId="4595"/>
    <cellStyle name="Comma 2 9 2 5 3" xfId="4596"/>
    <cellStyle name="Comma 2 9 2 6" xfId="4597"/>
    <cellStyle name="Comma 2 9 2 6 2" xfId="4598"/>
    <cellStyle name="Comma 2 9 2 7" xfId="4599"/>
    <cellStyle name="Comma 2 9 2 7 2" xfId="36019"/>
    <cellStyle name="Comma 2 9 2 8" xfId="4600"/>
    <cellStyle name="Comma 2 9 3" xfId="4601"/>
    <cellStyle name="Comma 2 9 3 2" xfId="4602"/>
    <cellStyle name="Comma 2 9 3 2 2" xfId="4603"/>
    <cellStyle name="Comma 2 9 3 2 2 2" xfId="4604"/>
    <cellStyle name="Comma 2 9 3 2 2 3" xfId="4605"/>
    <cellStyle name="Comma 2 9 3 2 3" xfId="4606"/>
    <cellStyle name="Comma 2 9 3 2 3 2" xfId="4607"/>
    <cellStyle name="Comma 2 9 3 2 4" xfId="4608"/>
    <cellStyle name="Comma 2 9 3 3" xfId="4609"/>
    <cellStyle name="Comma 2 9 3 3 2" xfId="4610"/>
    <cellStyle name="Comma 2 9 3 3 2 2" xfId="4611"/>
    <cellStyle name="Comma 2 9 3 3 3" xfId="4612"/>
    <cellStyle name="Comma 2 9 3 4" xfId="4613"/>
    <cellStyle name="Comma 2 9 3 4 2" xfId="4614"/>
    <cellStyle name="Comma 2 9 3 4 3" xfId="4615"/>
    <cellStyle name="Comma 2 9 3 5" xfId="4616"/>
    <cellStyle name="Comma 2 9 3 5 2" xfId="4617"/>
    <cellStyle name="Comma 2 9 3 6" xfId="4618"/>
    <cellStyle name="Comma 2 9 3 6 2" xfId="36020"/>
    <cellStyle name="Comma 2 9 3 7" xfId="4619"/>
    <cellStyle name="Comma 2 9 4" xfId="4620"/>
    <cellStyle name="Comma 2 9 4 2" xfId="4621"/>
    <cellStyle name="Comma 2 9 4 2 2" xfId="4622"/>
    <cellStyle name="Comma 2 9 4 2 2 2" xfId="4623"/>
    <cellStyle name="Comma 2 9 4 2 3" xfId="4624"/>
    <cellStyle name="Comma 2 9 4 3" xfId="4625"/>
    <cellStyle name="Comma 2 9 4 3 2" xfId="4626"/>
    <cellStyle name="Comma 2 9 4 4" xfId="4627"/>
    <cellStyle name="Comma 2 9 5" xfId="4628"/>
    <cellStyle name="Comma 2 9 5 2" xfId="4629"/>
    <cellStyle name="Comma 2 9 5 2 2" xfId="4630"/>
    <cellStyle name="Comma 2 9 5 3" xfId="4631"/>
    <cellStyle name="Comma 2 9 6" xfId="4632"/>
    <cellStyle name="Comma 2 9 6 2" xfId="4633"/>
    <cellStyle name="Comma 2 9 6 2 2" xfId="4634"/>
    <cellStyle name="Comma 2 9 6 3" xfId="4635"/>
    <cellStyle name="Comma 2 9 7" xfId="4636"/>
    <cellStyle name="Comma 2 9 7 2" xfId="4637"/>
    <cellStyle name="Comma 2 9 8" xfId="4638"/>
    <cellStyle name="Comma 2 9 8 2" xfId="36021"/>
    <cellStyle name="Comma 2 9 9" xfId="4639"/>
    <cellStyle name="Comma 3" xfId="45"/>
    <cellStyle name="Comma 3 10" xfId="4640"/>
    <cellStyle name="Comma 3 10 2" xfId="4641"/>
    <cellStyle name="Comma 3 10 2 2" xfId="4642"/>
    <cellStyle name="Comma 3 10 2 2 2" xfId="4643"/>
    <cellStyle name="Comma 3 10 2 2 2 2" xfId="4644"/>
    <cellStyle name="Comma 3 10 2 2 2 3" xfId="4645"/>
    <cellStyle name="Comma 3 10 2 2 3" xfId="4646"/>
    <cellStyle name="Comma 3 10 2 2 3 2" xfId="4647"/>
    <cellStyle name="Comma 3 10 2 2 4" xfId="4648"/>
    <cellStyle name="Comma 3 10 2 3" xfId="4649"/>
    <cellStyle name="Comma 3 10 2 3 2" xfId="4650"/>
    <cellStyle name="Comma 3 10 2 3 2 2" xfId="4651"/>
    <cellStyle name="Comma 3 10 2 3 3" xfId="4652"/>
    <cellStyle name="Comma 3 10 2 4" xfId="4653"/>
    <cellStyle name="Comma 3 10 2 4 2" xfId="4654"/>
    <cellStyle name="Comma 3 10 2 4 3" xfId="4655"/>
    <cellStyle name="Comma 3 10 2 5" xfId="4656"/>
    <cellStyle name="Comma 3 10 2 5 2" xfId="4657"/>
    <cellStyle name="Comma 3 10 2 6" xfId="4658"/>
    <cellStyle name="Comma 3 10 2 6 2" xfId="36022"/>
    <cellStyle name="Comma 3 10 2 7" xfId="4659"/>
    <cellStyle name="Comma 3 10 3" xfId="4660"/>
    <cellStyle name="Comma 3 10 3 2" xfId="4661"/>
    <cellStyle name="Comma 3 10 3 2 2" xfId="4662"/>
    <cellStyle name="Comma 3 10 3 2 2 2" xfId="4663"/>
    <cellStyle name="Comma 3 10 3 2 3" xfId="4664"/>
    <cellStyle name="Comma 3 10 3 3" xfId="4665"/>
    <cellStyle name="Comma 3 10 3 3 2" xfId="4666"/>
    <cellStyle name="Comma 3 10 3 4" xfId="4667"/>
    <cellStyle name="Comma 3 10 4" xfId="4668"/>
    <cellStyle name="Comma 3 10 4 2" xfId="4669"/>
    <cellStyle name="Comma 3 10 4 2 2" xfId="4670"/>
    <cellStyle name="Comma 3 10 4 3" xfId="4671"/>
    <cellStyle name="Comma 3 10 5" xfId="4672"/>
    <cellStyle name="Comma 3 10 5 2" xfId="4673"/>
    <cellStyle name="Comma 3 10 5 2 2" xfId="4674"/>
    <cellStyle name="Comma 3 10 5 3" xfId="4675"/>
    <cellStyle name="Comma 3 10 6" xfId="4676"/>
    <cellStyle name="Comma 3 10 6 2" xfId="4677"/>
    <cellStyle name="Comma 3 10 7" xfId="4678"/>
    <cellStyle name="Comma 3 10 7 2" xfId="36023"/>
    <cellStyle name="Comma 3 10 8" xfId="4679"/>
    <cellStyle name="Comma 3 11" xfId="4680"/>
    <cellStyle name="Comma 3 11 2" xfId="4681"/>
    <cellStyle name="Comma 3 11 2 2" xfId="4682"/>
    <cellStyle name="Comma 3 11 2 2 2" xfId="4683"/>
    <cellStyle name="Comma 3 11 2 2 2 2" xfId="4684"/>
    <cellStyle name="Comma 3 11 2 2 2 3" xfId="4685"/>
    <cellStyle name="Comma 3 11 2 2 3" xfId="4686"/>
    <cellStyle name="Comma 3 11 2 2 3 2" xfId="4687"/>
    <cellStyle name="Comma 3 11 2 2 4" xfId="4688"/>
    <cellStyle name="Comma 3 11 2 3" xfId="4689"/>
    <cellStyle name="Comma 3 11 2 3 2" xfId="4690"/>
    <cellStyle name="Comma 3 11 2 3 2 2" xfId="4691"/>
    <cellStyle name="Comma 3 11 2 3 3" xfId="4692"/>
    <cellStyle name="Comma 3 11 2 4" xfId="4693"/>
    <cellStyle name="Comma 3 11 2 4 2" xfId="4694"/>
    <cellStyle name="Comma 3 11 2 4 3" xfId="4695"/>
    <cellStyle name="Comma 3 11 2 5" xfId="4696"/>
    <cellStyle name="Comma 3 11 2 5 2" xfId="4697"/>
    <cellStyle name="Comma 3 11 2 6" xfId="4698"/>
    <cellStyle name="Comma 3 11 2 6 2" xfId="36024"/>
    <cellStyle name="Comma 3 11 2 7" xfId="4699"/>
    <cellStyle name="Comma 3 11 3" xfId="4700"/>
    <cellStyle name="Comma 3 11 3 2" xfId="4701"/>
    <cellStyle name="Comma 3 11 3 2 2" xfId="4702"/>
    <cellStyle name="Comma 3 11 3 2 2 2" xfId="4703"/>
    <cellStyle name="Comma 3 11 3 2 3" xfId="4704"/>
    <cellStyle name="Comma 3 11 3 3" xfId="4705"/>
    <cellStyle name="Comma 3 11 3 3 2" xfId="4706"/>
    <cellStyle name="Comma 3 11 3 4" xfId="4707"/>
    <cellStyle name="Comma 3 11 4" xfId="4708"/>
    <cellStyle name="Comma 3 11 4 2" xfId="4709"/>
    <cellStyle name="Comma 3 11 4 2 2" xfId="4710"/>
    <cellStyle name="Comma 3 11 4 3" xfId="4711"/>
    <cellStyle name="Comma 3 11 5" xfId="4712"/>
    <cellStyle name="Comma 3 11 5 2" xfId="4713"/>
    <cellStyle name="Comma 3 11 5 2 2" xfId="4714"/>
    <cellStyle name="Comma 3 11 5 3" xfId="4715"/>
    <cellStyle name="Comma 3 11 6" xfId="4716"/>
    <cellStyle name="Comma 3 11 6 2" xfId="4717"/>
    <cellStyle name="Comma 3 11 7" xfId="4718"/>
    <cellStyle name="Comma 3 11 7 2" xfId="36025"/>
    <cellStyle name="Comma 3 11 8" xfId="4719"/>
    <cellStyle name="Comma 3 12" xfId="4720"/>
    <cellStyle name="Comma 3 12 2" xfId="4721"/>
    <cellStyle name="Comma 3 12 2 2" xfId="4722"/>
    <cellStyle name="Comma 3 12 2 2 2" xfId="4723"/>
    <cellStyle name="Comma 3 12 2 2 2 2" xfId="4724"/>
    <cellStyle name="Comma 3 12 2 2 2 3" xfId="4725"/>
    <cellStyle name="Comma 3 12 2 2 3" xfId="4726"/>
    <cellStyle name="Comma 3 12 2 2 3 2" xfId="4727"/>
    <cellStyle name="Comma 3 12 2 2 4" xfId="4728"/>
    <cellStyle name="Comma 3 12 2 3" xfId="4729"/>
    <cellStyle name="Comma 3 12 2 3 2" xfId="4730"/>
    <cellStyle name="Comma 3 12 2 3 2 2" xfId="4731"/>
    <cellStyle name="Comma 3 12 2 3 3" xfId="4732"/>
    <cellStyle name="Comma 3 12 2 4" xfId="4733"/>
    <cellStyle name="Comma 3 12 2 4 2" xfId="4734"/>
    <cellStyle name="Comma 3 12 2 4 3" xfId="4735"/>
    <cellStyle name="Comma 3 12 2 5" xfId="4736"/>
    <cellStyle name="Comma 3 12 2 5 2" xfId="4737"/>
    <cellStyle name="Comma 3 12 2 6" xfId="4738"/>
    <cellStyle name="Comma 3 12 2 6 2" xfId="36026"/>
    <cellStyle name="Comma 3 12 2 7" xfId="4739"/>
    <cellStyle name="Comma 3 12 3" xfId="4740"/>
    <cellStyle name="Comma 3 12 3 2" xfId="4741"/>
    <cellStyle name="Comma 3 12 3 2 2" xfId="4742"/>
    <cellStyle name="Comma 3 12 3 2 2 2" xfId="4743"/>
    <cellStyle name="Comma 3 12 3 2 3" xfId="4744"/>
    <cellStyle name="Comma 3 12 3 3" xfId="4745"/>
    <cellStyle name="Comma 3 12 3 3 2" xfId="4746"/>
    <cellStyle name="Comma 3 12 3 4" xfId="4747"/>
    <cellStyle name="Comma 3 12 4" xfId="4748"/>
    <cellStyle name="Comma 3 12 4 2" xfId="4749"/>
    <cellStyle name="Comma 3 12 4 2 2" xfId="4750"/>
    <cellStyle name="Comma 3 12 4 3" xfId="4751"/>
    <cellStyle name="Comma 3 12 5" xfId="4752"/>
    <cellStyle name="Comma 3 12 5 2" xfId="4753"/>
    <cellStyle name="Comma 3 12 5 2 2" xfId="4754"/>
    <cellStyle name="Comma 3 12 5 3" xfId="4755"/>
    <cellStyle name="Comma 3 12 6" xfId="4756"/>
    <cellStyle name="Comma 3 12 6 2" xfId="4757"/>
    <cellStyle name="Comma 3 12 7" xfId="4758"/>
    <cellStyle name="Comma 3 12 7 2" xfId="36027"/>
    <cellStyle name="Comma 3 12 8" xfId="4759"/>
    <cellStyle name="Comma 3 13" xfId="4760"/>
    <cellStyle name="Comma 3 13 2" xfId="4761"/>
    <cellStyle name="Comma 3 13 2 2" xfId="4762"/>
    <cellStyle name="Comma 3 13 2 2 2" xfId="4763"/>
    <cellStyle name="Comma 3 13 2 2 3" xfId="4764"/>
    <cellStyle name="Comma 3 13 2 3" xfId="4765"/>
    <cellStyle name="Comma 3 13 2 3 2" xfId="4766"/>
    <cellStyle name="Comma 3 13 2 4" xfId="4767"/>
    <cellStyle name="Comma 3 13 3" xfId="4768"/>
    <cellStyle name="Comma 3 13 3 2" xfId="4769"/>
    <cellStyle name="Comma 3 13 3 2 2" xfId="4770"/>
    <cellStyle name="Comma 3 13 3 3" xfId="4771"/>
    <cellStyle name="Comma 3 13 4" xfId="4772"/>
    <cellStyle name="Comma 3 13 4 2" xfId="4773"/>
    <cellStyle name="Comma 3 13 4 3" xfId="4774"/>
    <cellStyle name="Comma 3 13 5" xfId="4775"/>
    <cellStyle name="Comma 3 13 5 2" xfId="4776"/>
    <cellStyle name="Comma 3 13 6" xfId="4777"/>
    <cellStyle name="Comma 3 13 6 2" xfId="36028"/>
    <cellStyle name="Comma 3 13 7" xfId="4778"/>
    <cellStyle name="Comma 3 14" xfId="4779"/>
    <cellStyle name="Comma 3 14 2" xfId="4780"/>
    <cellStyle name="Comma 3 14 2 2" xfId="4781"/>
    <cellStyle name="Comma 3 14 2 2 2" xfId="4782"/>
    <cellStyle name="Comma 3 14 2 3" xfId="4783"/>
    <cellStyle name="Comma 3 14 3" xfId="4784"/>
    <cellStyle name="Comma 3 14 3 2" xfId="4785"/>
    <cellStyle name="Comma 3 14 4" xfId="4786"/>
    <cellStyle name="Comma 3 15" xfId="4787"/>
    <cellStyle name="Comma 3 15 2" xfId="4788"/>
    <cellStyle name="Comma 3 15 2 2" xfId="4789"/>
    <cellStyle name="Comma 3 15 3" xfId="4790"/>
    <cellStyle name="Comma 3 16" xfId="4791"/>
    <cellStyle name="Comma 3 16 2" xfId="4792"/>
    <cellStyle name="Comma 3 16 2 2" xfId="4793"/>
    <cellStyle name="Comma 3 16 3" xfId="4794"/>
    <cellStyle name="Comma 3 17" xfId="4795"/>
    <cellStyle name="Comma 3 17 2" xfId="4796"/>
    <cellStyle name="Comma 3 18" xfId="4797"/>
    <cellStyle name="Comma 3 18 2" xfId="36029"/>
    <cellStyle name="Comma 3 19" xfId="4798"/>
    <cellStyle name="Comma 3 2" xfId="179"/>
    <cellStyle name="Comma 3 2 10" xfId="4799"/>
    <cellStyle name="Comma 3 2 10 2" xfId="4800"/>
    <cellStyle name="Comma 3 2 10 2 2" xfId="4801"/>
    <cellStyle name="Comma 3 2 10 2 2 2" xfId="4802"/>
    <cellStyle name="Comma 3 2 10 2 2 2 2" xfId="4803"/>
    <cellStyle name="Comma 3 2 10 2 2 2 3" xfId="4804"/>
    <cellStyle name="Comma 3 2 10 2 2 3" xfId="4805"/>
    <cellStyle name="Comma 3 2 10 2 2 3 2" xfId="4806"/>
    <cellStyle name="Comma 3 2 10 2 2 4" xfId="4807"/>
    <cellStyle name="Comma 3 2 10 2 3" xfId="4808"/>
    <cellStyle name="Comma 3 2 10 2 3 2" xfId="4809"/>
    <cellStyle name="Comma 3 2 10 2 3 2 2" xfId="4810"/>
    <cellStyle name="Comma 3 2 10 2 3 3" xfId="4811"/>
    <cellStyle name="Comma 3 2 10 2 4" xfId="4812"/>
    <cellStyle name="Comma 3 2 10 2 4 2" xfId="4813"/>
    <cellStyle name="Comma 3 2 10 2 4 3" xfId="4814"/>
    <cellStyle name="Comma 3 2 10 2 5" xfId="4815"/>
    <cellStyle name="Comma 3 2 10 2 5 2" xfId="4816"/>
    <cellStyle name="Comma 3 2 10 2 6" xfId="4817"/>
    <cellStyle name="Comma 3 2 10 2 6 2" xfId="36030"/>
    <cellStyle name="Comma 3 2 10 2 7" xfId="4818"/>
    <cellStyle name="Comma 3 2 10 3" xfId="4819"/>
    <cellStyle name="Comma 3 2 10 3 2" xfId="4820"/>
    <cellStyle name="Comma 3 2 10 3 2 2" xfId="4821"/>
    <cellStyle name="Comma 3 2 10 3 2 2 2" xfId="4822"/>
    <cellStyle name="Comma 3 2 10 3 2 3" xfId="4823"/>
    <cellStyle name="Comma 3 2 10 3 3" xfId="4824"/>
    <cellStyle name="Comma 3 2 10 3 3 2" xfId="4825"/>
    <cellStyle name="Comma 3 2 10 3 4" xfId="4826"/>
    <cellStyle name="Comma 3 2 10 4" xfId="4827"/>
    <cellStyle name="Comma 3 2 10 4 2" xfId="4828"/>
    <cellStyle name="Comma 3 2 10 4 2 2" xfId="4829"/>
    <cellStyle name="Comma 3 2 10 4 3" xfId="4830"/>
    <cellStyle name="Comma 3 2 10 5" xfId="4831"/>
    <cellStyle name="Comma 3 2 10 5 2" xfId="4832"/>
    <cellStyle name="Comma 3 2 10 5 2 2" xfId="4833"/>
    <cellStyle name="Comma 3 2 10 5 3" xfId="4834"/>
    <cellStyle name="Comma 3 2 10 6" xfId="4835"/>
    <cellStyle name="Comma 3 2 10 6 2" xfId="4836"/>
    <cellStyle name="Comma 3 2 10 7" xfId="4837"/>
    <cellStyle name="Comma 3 2 10 7 2" xfId="36031"/>
    <cellStyle name="Comma 3 2 10 8" xfId="4838"/>
    <cellStyle name="Comma 3 2 11" xfId="4839"/>
    <cellStyle name="Comma 3 2 11 2" xfId="4840"/>
    <cellStyle name="Comma 3 2 11 2 2" xfId="4841"/>
    <cellStyle name="Comma 3 2 11 2 2 2" xfId="4842"/>
    <cellStyle name="Comma 3 2 11 2 2 2 2" xfId="4843"/>
    <cellStyle name="Comma 3 2 11 2 2 2 3" xfId="4844"/>
    <cellStyle name="Comma 3 2 11 2 2 3" xfId="4845"/>
    <cellStyle name="Comma 3 2 11 2 2 3 2" xfId="4846"/>
    <cellStyle name="Comma 3 2 11 2 2 4" xfId="4847"/>
    <cellStyle name="Comma 3 2 11 2 3" xfId="4848"/>
    <cellStyle name="Comma 3 2 11 2 3 2" xfId="4849"/>
    <cellStyle name="Comma 3 2 11 2 3 2 2" xfId="4850"/>
    <cellStyle name="Comma 3 2 11 2 3 3" xfId="4851"/>
    <cellStyle name="Comma 3 2 11 2 4" xfId="4852"/>
    <cellStyle name="Comma 3 2 11 2 4 2" xfId="4853"/>
    <cellStyle name="Comma 3 2 11 2 4 3" xfId="4854"/>
    <cellStyle name="Comma 3 2 11 2 5" xfId="4855"/>
    <cellStyle name="Comma 3 2 11 2 5 2" xfId="4856"/>
    <cellStyle name="Comma 3 2 11 2 6" xfId="4857"/>
    <cellStyle name="Comma 3 2 11 2 6 2" xfId="36032"/>
    <cellStyle name="Comma 3 2 11 2 7" xfId="4858"/>
    <cellStyle name="Comma 3 2 11 3" xfId="4859"/>
    <cellStyle name="Comma 3 2 11 3 2" xfId="4860"/>
    <cellStyle name="Comma 3 2 11 3 2 2" xfId="4861"/>
    <cellStyle name="Comma 3 2 11 3 2 2 2" xfId="4862"/>
    <cellStyle name="Comma 3 2 11 3 2 3" xfId="4863"/>
    <cellStyle name="Comma 3 2 11 3 3" xfId="4864"/>
    <cellStyle name="Comma 3 2 11 3 3 2" xfId="4865"/>
    <cellStyle name="Comma 3 2 11 3 4" xfId="4866"/>
    <cellStyle name="Comma 3 2 11 4" xfId="4867"/>
    <cellStyle name="Comma 3 2 11 4 2" xfId="4868"/>
    <cellStyle name="Comma 3 2 11 4 2 2" xfId="4869"/>
    <cellStyle name="Comma 3 2 11 4 3" xfId="4870"/>
    <cellStyle name="Comma 3 2 11 5" xfId="4871"/>
    <cellStyle name="Comma 3 2 11 5 2" xfId="4872"/>
    <cellStyle name="Comma 3 2 11 5 2 2" xfId="4873"/>
    <cellStyle name="Comma 3 2 11 5 3" xfId="4874"/>
    <cellStyle name="Comma 3 2 11 6" xfId="4875"/>
    <cellStyle name="Comma 3 2 11 6 2" xfId="4876"/>
    <cellStyle name="Comma 3 2 11 7" xfId="4877"/>
    <cellStyle name="Comma 3 2 11 7 2" xfId="36033"/>
    <cellStyle name="Comma 3 2 11 8" xfId="4878"/>
    <cellStyle name="Comma 3 2 12" xfId="4879"/>
    <cellStyle name="Comma 3 2 12 2" xfId="4880"/>
    <cellStyle name="Comma 3 2 12 2 2" xfId="4881"/>
    <cellStyle name="Comma 3 2 12 2 2 2" xfId="4882"/>
    <cellStyle name="Comma 3 2 12 2 2 3" xfId="4883"/>
    <cellStyle name="Comma 3 2 12 2 3" xfId="4884"/>
    <cellStyle name="Comma 3 2 12 2 3 2" xfId="4885"/>
    <cellStyle name="Comma 3 2 12 2 4" xfId="4886"/>
    <cellStyle name="Comma 3 2 12 3" xfId="4887"/>
    <cellStyle name="Comma 3 2 12 3 2" xfId="4888"/>
    <cellStyle name="Comma 3 2 12 3 2 2" xfId="4889"/>
    <cellStyle name="Comma 3 2 12 3 3" xfId="4890"/>
    <cellStyle name="Comma 3 2 12 4" xfId="4891"/>
    <cellStyle name="Comma 3 2 12 4 2" xfId="4892"/>
    <cellStyle name="Comma 3 2 12 4 3" xfId="4893"/>
    <cellStyle name="Comma 3 2 12 5" xfId="4894"/>
    <cellStyle name="Comma 3 2 12 5 2" xfId="4895"/>
    <cellStyle name="Comma 3 2 12 6" xfId="4896"/>
    <cellStyle name="Comma 3 2 12 6 2" xfId="36034"/>
    <cellStyle name="Comma 3 2 12 7" xfId="4897"/>
    <cellStyle name="Comma 3 2 13" xfId="4898"/>
    <cellStyle name="Comma 3 2 13 2" xfId="4899"/>
    <cellStyle name="Comma 3 2 13 2 2" xfId="4900"/>
    <cellStyle name="Comma 3 2 13 2 2 2" xfId="4901"/>
    <cellStyle name="Comma 3 2 13 2 3" xfId="4902"/>
    <cellStyle name="Comma 3 2 13 3" xfId="4903"/>
    <cellStyle name="Comma 3 2 13 3 2" xfId="4904"/>
    <cellStyle name="Comma 3 2 13 4" xfId="4905"/>
    <cellStyle name="Comma 3 2 14" xfId="4906"/>
    <cellStyle name="Comma 3 2 14 2" xfId="4907"/>
    <cellStyle name="Comma 3 2 14 2 2" xfId="4908"/>
    <cellStyle name="Comma 3 2 14 3" xfId="4909"/>
    <cellStyle name="Comma 3 2 15" xfId="4910"/>
    <cellStyle name="Comma 3 2 15 2" xfId="4911"/>
    <cellStyle name="Comma 3 2 15 2 2" xfId="4912"/>
    <cellStyle name="Comma 3 2 15 3" xfId="4913"/>
    <cellStyle name="Comma 3 2 16" xfId="4914"/>
    <cellStyle name="Comma 3 2 16 2" xfId="4915"/>
    <cellStyle name="Comma 3 2 17" xfId="4916"/>
    <cellStyle name="Comma 3 2 17 2" xfId="36035"/>
    <cellStyle name="Comma 3 2 18" xfId="4917"/>
    <cellStyle name="Comma 3 2 2" xfId="4918"/>
    <cellStyle name="Comma 3 2 2 10" xfId="4919"/>
    <cellStyle name="Comma 3 2 2 10 2" xfId="4920"/>
    <cellStyle name="Comma 3 2 2 10 2 2" xfId="4921"/>
    <cellStyle name="Comma 3 2 2 10 3" xfId="4922"/>
    <cellStyle name="Comma 3 2 2 11" xfId="4923"/>
    <cellStyle name="Comma 3 2 2 11 2" xfId="4924"/>
    <cellStyle name="Comma 3 2 2 11 2 2" xfId="4925"/>
    <cellStyle name="Comma 3 2 2 11 3" xfId="4926"/>
    <cellStyle name="Comma 3 2 2 12" xfId="4927"/>
    <cellStyle name="Comma 3 2 2 12 2" xfId="4928"/>
    <cellStyle name="Comma 3 2 2 13" xfId="4929"/>
    <cellStyle name="Comma 3 2 2 13 2" xfId="36036"/>
    <cellStyle name="Comma 3 2 2 14" xfId="4930"/>
    <cellStyle name="Comma 3 2 2 2" xfId="4931"/>
    <cellStyle name="Comma 3 2 2 2 10" xfId="4932"/>
    <cellStyle name="Comma 3 2 2 2 2" xfId="4933"/>
    <cellStyle name="Comma 3 2 2 2 2 2" xfId="4934"/>
    <cellStyle name="Comma 3 2 2 2 2 2 2" xfId="4935"/>
    <cellStyle name="Comma 3 2 2 2 2 2 2 2" xfId="4936"/>
    <cellStyle name="Comma 3 2 2 2 2 2 2 2 2" xfId="4937"/>
    <cellStyle name="Comma 3 2 2 2 2 2 2 2 2 2" xfId="4938"/>
    <cellStyle name="Comma 3 2 2 2 2 2 2 2 2 3" xfId="4939"/>
    <cellStyle name="Comma 3 2 2 2 2 2 2 2 3" xfId="4940"/>
    <cellStyle name="Comma 3 2 2 2 2 2 2 2 3 2" xfId="4941"/>
    <cellStyle name="Comma 3 2 2 2 2 2 2 2 4" xfId="4942"/>
    <cellStyle name="Comma 3 2 2 2 2 2 2 3" xfId="4943"/>
    <cellStyle name="Comma 3 2 2 2 2 2 2 3 2" xfId="4944"/>
    <cellStyle name="Comma 3 2 2 2 2 2 2 3 2 2" xfId="4945"/>
    <cellStyle name="Comma 3 2 2 2 2 2 2 3 3" xfId="4946"/>
    <cellStyle name="Comma 3 2 2 2 2 2 2 4" xfId="4947"/>
    <cellStyle name="Comma 3 2 2 2 2 2 2 4 2" xfId="4948"/>
    <cellStyle name="Comma 3 2 2 2 2 2 2 4 3" xfId="4949"/>
    <cellStyle name="Comma 3 2 2 2 2 2 2 5" xfId="4950"/>
    <cellStyle name="Comma 3 2 2 2 2 2 2 5 2" xfId="4951"/>
    <cellStyle name="Comma 3 2 2 2 2 2 2 6" xfId="4952"/>
    <cellStyle name="Comma 3 2 2 2 2 2 2 6 2" xfId="36037"/>
    <cellStyle name="Comma 3 2 2 2 2 2 2 7" xfId="4953"/>
    <cellStyle name="Comma 3 2 2 2 2 2 3" xfId="4954"/>
    <cellStyle name="Comma 3 2 2 2 2 2 3 2" xfId="4955"/>
    <cellStyle name="Comma 3 2 2 2 2 2 3 2 2" xfId="4956"/>
    <cellStyle name="Comma 3 2 2 2 2 2 3 2 2 2" xfId="4957"/>
    <cellStyle name="Comma 3 2 2 2 2 2 3 2 3" xfId="4958"/>
    <cellStyle name="Comma 3 2 2 2 2 2 3 3" xfId="4959"/>
    <cellStyle name="Comma 3 2 2 2 2 2 3 3 2" xfId="4960"/>
    <cellStyle name="Comma 3 2 2 2 2 2 3 4" xfId="4961"/>
    <cellStyle name="Comma 3 2 2 2 2 2 4" xfId="4962"/>
    <cellStyle name="Comma 3 2 2 2 2 2 4 2" xfId="4963"/>
    <cellStyle name="Comma 3 2 2 2 2 2 4 2 2" xfId="4964"/>
    <cellStyle name="Comma 3 2 2 2 2 2 4 3" xfId="4965"/>
    <cellStyle name="Comma 3 2 2 2 2 2 5" xfId="4966"/>
    <cellStyle name="Comma 3 2 2 2 2 2 5 2" xfId="4967"/>
    <cellStyle name="Comma 3 2 2 2 2 2 5 2 2" xfId="4968"/>
    <cellStyle name="Comma 3 2 2 2 2 2 5 3" xfId="4969"/>
    <cellStyle name="Comma 3 2 2 2 2 2 6" xfId="4970"/>
    <cellStyle name="Comma 3 2 2 2 2 2 6 2" xfId="4971"/>
    <cellStyle name="Comma 3 2 2 2 2 2 7" xfId="4972"/>
    <cellStyle name="Comma 3 2 2 2 2 2 7 2" xfId="36038"/>
    <cellStyle name="Comma 3 2 2 2 2 2 8" xfId="4973"/>
    <cellStyle name="Comma 3 2 2 2 2 3" xfId="4974"/>
    <cellStyle name="Comma 3 2 2 2 2 3 2" xfId="4975"/>
    <cellStyle name="Comma 3 2 2 2 2 3 2 2" xfId="4976"/>
    <cellStyle name="Comma 3 2 2 2 2 3 2 2 2" xfId="4977"/>
    <cellStyle name="Comma 3 2 2 2 2 3 2 2 3" xfId="4978"/>
    <cellStyle name="Comma 3 2 2 2 2 3 2 3" xfId="4979"/>
    <cellStyle name="Comma 3 2 2 2 2 3 2 3 2" xfId="4980"/>
    <cellStyle name="Comma 3 2 2 2 2 3 2 4" xfId="4981"/>
    <cellStyle name="Comma 3 2 2 2 2 3 3" xfId="4982"/>
    <cellStyle name="Comma 3 2 2 2 2 3 3 2" xfId="4983"/>
    <cellStyle name="Comma 3 2 2 2 2 3 3 2 2" xfId="4984"/>
    <cellStyle name="Comma 3 2 2 2 2 3 3 3" xfId="4985"/>
    <cellStyle name="Comma 3 2 2 2 2 3 4" xfId="4986"/>
    <cellStyle name="Comma 3 2 2 2 2 3 4 2" xfId="4987"/>
    <cellStyle name="Comma 3 2 2 2 2 3 4 3" xfId="4988"/>
    <cellStyle name="Comma 3 2 2 2 2 3 5" xfId="4989"/>
    <cellStyle name="Comma 3 2 2 2 2 3 5 2" xfId="4990"/>
    <cellStyle name="Comma 3 2 2 2 2 3 6" xfId="4991"/>
    <cellStyle name="Comma 3 2 2 2 2 3 6 2" xfId="36039"/>
    <cellStyle name="Comma 3 2 2 2 2 3 7" xfId="4992"/>
    <cellStyle name="Comma 3 2 2 2 2 4" xfId="4993"/>
    <cellStyle name="Comma 3 2 2 2 2 4 2" xfId="4994"/>
    <cellStyle name="Comma 3 2 2 2 2 4 2 2" xfId="4995"/>
    <cellStyle name="Comma 3 2 2 2 2 4 2 2 2" xfId="4996"/>
    <cellStyle name="Comma 3 2 2 2 2 4 2 3" xfId="4997"/>
    <cellStyle name="Comma 3 2 2 2 2 4 3" xfId="4998"/>
    <cellStyle name="Comma 3 2 2 2 2 4 3 2" xfId="4999"/>
    <cellStyle name="Comma 3 2 2 2 2 4 4" xfId="5000"/>
    <cellStyle name="Comma 3 2 2 2 2 5" xfId="5001"/>
    <cellStyle name="Comma 3 2 2 2 2 5 2" xfId="5002"/>
    <cellStyle name="Comma 3 2 2 2 2 5 2 2" xfId="5003"/>
    <cellStyle name="Comma 3 2 2 2 2 5 3" xfId="5004"/>
    <cellStyle name="Comma 3 2 2 2 2 6" xfId="5005"/>
    <cellStyle name="Comma 3 2 2 2 2 6 2" xfId="5006"/>
    <cellStyle name="Comma 3 2 2 2 2 6 2 2" xfId="5007"/>
    <cellStyle name="Comma 3 2 2 2 2 6 3" xfId="5008"/>
    <cellStyle name="Comma 3 2 2 2 2 7" xfId="5009"/>
    <cellStyle name="Comma 3 2 2 2 2 7 2" xfId="5010"/>
    <cellStyle name="Comma 3 2 2 2 2 8" xfId="5011"/>
    <cellStyle name="Comma 3 2 2 2 2 8 2" xfId="36040"/>
    <cellStyle name="Comma 3 2 2 2 2 9" xfId="5012"/>
    <cellStyle name="Comma 3 2 2 2 3" xfId="5013"/>
    <cellStyle name="Comma 3 2 2 2 3 2" xfId="5014"/>
    <cellStyle name="Comma 3 2 2 2 3 2 2" xfId="5015"/>
    <cellStyle name="Comma 3 2 2 2 3 2 2 2" xfId="5016"/>
    <cellStyle name="Comma 3 2 2 2 3 2 2 2 2" xfId="5017"/>
    <cellStyle name="Comma 3 2 2 2 3 2 2 2 3" xfId="5018"/>
    <cellStyle name="Comma 3 2 2 2 3 2 2 3" xfId="5019"/>
    <cellStyle name="Comma 3 2 2 2 3 2 2 3 2" xfId="5020"/>
    <cellStyle name="Comma 3 2 2 2 3 2 2 4" xfId="5021"/>
    <cellStyle name="Comma 3 2 2 2 3 2 3" xfId="5022"/>
    <cellStyle name="Comma 3 2 2 2 3 2 3 2" xfId="5023"/>
    <cellStyle name="Comma 3 2 2 2 3 2 3 2 2" xfId="5024"/>
    <cellStyle name="Comma 3 2 2 2 3 2 3 3" xfId="5025"/>
    <cellStyle name="Comma 3 2 2 2 3 2 4" xfId="5026"/>
    <cellStyle name="Comma 3 2 2 2 3 2 4 2" xfId="5027"/>
    <cellStyle name="Comma 3 2 2 2 3 2 4 3" xfId="5028"/>
    <cellStyle name="Comma 3 2 2 2 3 2 5" xfId="5029"/>
    <cellStyle name="Comma 3 2 2 2 3 2 5 2" xfId="5030"/>
    <cellStyle name="Comma 3 2 2 2 3 2 6" xfId="5031"/>
    <cellStyle name="Comma 3 2 2 2 3 2 6 2" xfId="36041"/>
    <cellStyle name="Comma 3 2 2 2 3 2 7" xfId="5032"/>
    <cellStyle name="Comma 3 2 2 2 3 3" xfId="5033"/>
    <cellStyle name="Comma 3 2 2 2 3 3 2" xfId="5034"/>
    <cellStyle name="Comma 3 2 2 2 3 3 2 2" xfId="5035"/>
    <cellStyle name="Comma 3 2 2 2 3 3 2 2 2" xfId="5036"/>
    <cellStyle name="Comma 3 2 2 2 3 3 2 3" xfId="5037"/>
    <cellStyle name="Comma 3 2 2 2 3 3 3" xfId="5038"/>
    <cellStyle name="Comma 3 2 2 2 3 3 3 2" xfId="5039"/>
    <cellStyle name="Comma 3 2 2 2 3 3 4" xfId="5040"/>
    <cellStyle name="Comma 3 2 2 2 3 4" xfId="5041"/>
    <cellStyle name="Comma 3 2 2 2 3 4 2" xfId="5042"/>
    <cellStyle name="Comma 3 2 2 2 3 4 2 2" xfId="5043"/>
    <cellStyle name="Comma 3 2 2 2 3 4 3" xfId="5044"/>
    <cellStyle name="Comma 3 2 2 2 3 5" xfId="5045"/>
    <cellStyle name="Comma 3 2 2 2 3 5 2" xfId="5046"/>
    <cellStyle name="Comma 3 2 2 2 3 5 2 2" xfId="5047"/>
    <cellStyle name="Comma 3 2 2 2 3 5 3" xfId="5048"/>
    <cellStyle name="Comma 3 2 2 2 3 6" xfId="5049"/>
    <cellStyle name="Comma 3 2 2 2 3 6 2" xfId="5050"/>
    <cellStyle name="Comma 3 2 2 2 3 7" xfId="5051"/>
    <cellStyle name="Comma 3 2 2 2 3 7 2" xfId="36042"/>
    <cellStyle name="Comma 3 2 2 2 3 8" xfId="5052"/>
    <cellStyle name="Comma 3 2 2 2 4" xfId="5053"/>
    <cellStyle name="Comma 3 2 2 2 4 2" xfId="5054"/>
    <cellStyle name="Comma 3 2 2 2 4 2 2" xfId="5055"/>
    <cellStyle name="Comma 3 2 2 2 4 2 2 2" xfId="5056"/>
    <cellStyle name="Comma 3 2 2 2 4 2 2 3" xfId="5057"/>
    <cellStyle name="Comma 3 2 2 2 4 2 3" xfId="5058"/>
    <cellStyle name="Comma 3 2 2 2 4 2 3 2" xfId="5059"/>
    <cellStyle name="Comma 3 2 2 2 4 2 4" xfId="5060"/>
    <cellStyle name="Comma 3 2 2 2 4 3" xfId="5061"/>
    <cellStyle name="Comma 3 2 2 2 4 3 2" xfId="5062"/>
    <cellStyle name="Comma 3 2 2 2 4 3 2 2" xfId="5063"/>
    <cellStyle name="Comma 3 2 2 2 4 3 3" xfId="5064"/>
    <cellStyle name="Comma 3 2 2 2 4 4" xfId="5065"/>
    <cellStyle name="Comma 3 2 2 2 4 4 2" xfId="5066"/>
    <cellStyle name="Comma 3 2 2 2 4 4 3" xfId="5067"/>
    <cellStyle name="Comma 3 2 2 2 4 5" xfId="5068"/>
    <cellStyle name="Comma 3 2 2 2 4 5 2" xfId="5069"/>
    <cellStyle name="Comma 3 2 2 2 4 6" xfId="5070"/>
    <cellStyle name="Comma 3 2 2 2 4 6 2" xfId="36043"/>
    <cellStyle name="Comma 3 2 2 2 4 7" xfId="5071"/>
    <cellStyle name="Comma 3 2 2 2 5" xfId="5072"/>
    <cellStyle name="Comma 3 2 2 2 5 2" xfId="5073"/>
    <cellStyle name="Comma 3 2 2 2 5 2 2" xfId="5074"/>
    <cellStyle name="Comma 3 2 2 2 5 2 2 2" xfId="5075"/>
    <cellStyle name="Comma 3 2 2 2 5 2 3" xfId="5076"/>
    <cellStyle name="Comma 3 2 2 2 5 3" xfId="5077"/>
    <cellStyle name="Comma 3 2 2 2 5 3 2" xfId="5078"/>
    <cellStyle name="Comma 3 2 2 2 5 4" xfId="5079"/>
    <cellStyle name="Comma 3 2 2 2 6" xfId="5080"/>
    <cellStyle name="Comma 3 2 2 2 6 2" xfId="5081"/>
    <cellStyle name="Comma 3 2 2 2 6 2 2" xfId="5082"/>
    <cellStyle name="Comma 3 2 2 2 6 3" xfId="5083"/>
    <cellStyle name="Comma 3 2 2 2 7" xfId="5084"/>
    <cellStyle name="Comma 3 2 2 2 7 2" xfId="5085"/>
    <cellStyle name="Comma 3 2 2 2 7 2 2" xfId="5086"/>
    <cellStyle name="Comma 3 2 2 2 7 3" xfId="5087"/>
    <cellStyle name="Comma 3 2 2 2 8" xfId="5088"/>
    <cellStyle name="Comma 3 2 2 2 8 2" xfId="5089"/>
    <cellStyle name="Comma 3 2 2 2 9" xfId="5090"/>
    <cellStyle name="Comma 3 2 2 2 9 2" xfId="36044"/>
    <cellStyle name="Comma 3 2 2 3" xfId="5091"/>
    <cellStyle name="Comma 3 2 2 3 2" xfId="5092"/>
    <cellStyle name="Comma 3 2 2 3 2 2" xfId="5093"/>
    <cellStyle name="Comma 3 2 2 3 2 2 2" xfId="5094"/>
    <cellStyle name="Comma 3 2 2 3 2 2 2 2" xfId="5095"/>
    <cellStyle name="Comma 3 2 2 3 2 2 2 2 2" xfId="5096"/>
    <cellStyle name="Comma 3 2 2 3 2 2 2 2 3" xfId="5097"/>
    <cellStyle name="Comma 3 2 2 3 2 2 2 3" xfId="5098"/>
    <cellStyle name="Comma 3 2 2 3 2 2 2 3 2" xfId="5099"/>
    <cellStyle name="Comma 3 2 2 3 2 2 2 4" xfId="5100"/>
    <cellStyle name="Comma 3 2 2 3 2 2 3" xfId="5101"/>
    <cellStyle name="Comma 3 2 2 3 2 2 3 2" xfId="5102"/>
    <cellStyle name="Comma 3 2 2 3 2 2 3 2 2" xfId="5103"/>
    <cellStyle name="Comma 3 2 2 3 2 2 3 3" xfId="5104"/>
    <cellStyle name="Comma 3 2 2 3 2 2 4" xfId="5105"/>
    <cellStyle name="Comma 3 2 2 3 2 2 4 2" xfId="5106"/>
    <cellStyle name="Comma 3 2 2 3 2 2 4 3" xfId="5107"/>
    <cellStyle name="Comma 3 2 2 3 2 2 5" xfId="5108"/>
    <cellStyle name="Comma 3 2 2 3 2 2 5 2" xfId="5109"/>
    <cellStyle name="Comma 3 2 2 3 2 2 6" xfId="5110"/>
    <cellStyle name="Comma 3 2 2 3 2 2 6 2" xfId="36045"/>
    <cellStyle name="Comma 3 2 2 3 2 2 7" xfId="5111"/>
    <cellStyle name="Comma 3 2 2 3 2 3" xfId="5112"/>
    <cellStyle name="Comma 3 2 2 3 2 3 2" xfId="5113"/>
    <cellStyle name="Comma 3 2 2 3 2 3 2 2" xfId="5114"/>
    <cellStyle name="Comma 3 2 2 3 2 3 2 2 2" xfId="5115"/>
    <cellStyle name="Comma 3 2 2 3 2 3 2 3" xfId="5116"/>
    <cellStyle name="Comma 3 2 2 3 2 3 3" xfId="5117"/>
    <cellStyle name="Comma 3 2 2 3 2 3 3 2" xfId="5118"/>
    <cellStyle name="Comma 3 2 2 3 2 3 4" xfId="5119"/>
    <cellStyle name="Comma 3 2 2 3 2 4" xfId="5120"/>
    <cellStyle name="Comma 3 2 2 3 2 4 2" xfId="5121"/>
    <cellStyle name="Comma 3 2 2 3 2 4 2 2" xfId="5122"/>
    <cellStyle name="Comma 3 2 2 3 2 4 3" xfId="5123"/>
    <cellStyle name="Comma 3 2 2 3 2 5" xfId="5124"/>
    <cellStyle name="Comma 3 2 2 3 2 5 2" xfId="5125"/>
    <cellStyle name="Comma 3 2 2 3 2 5 2 2" xfId="5126"/>
    <cellStyle name="Comma 3 2 2 3 2 5 3" xfId="5127"/>
    <cellStyle name="Comma 3 2 2 3 2 6" xfId="5128"/>
    <cellStyle name="Comma 3 2 2 3 2 6 2" xfId="5129"/>
    <cellStyle name="Comma 3 2 2 3 2 7" xfId="5130"/>
    <cellStyle name="Comma 3 2 2 3 2 7 2" xfId="36046"/>
    <cellStyle name="Comma 3 2 2 3 2 8" xfId="5131"/>
    <cellStyle name="Comma 3 2 2 3 3" xfId="5132"/>
    <cellStyle name="Comma 3 2 2 3 3 2" xfId="5133"/>
    <cellStyle name="Comma 3 2 2 3 3 2 2" xfId="5134"/>
    <cellStyle name="Comma 3 2 2 3 3 2 2 2" xfId="5135"/>
    <cellStyle name="Comma 3 2 2 3 3 2 2 3" xfId="5136"/>
    <cellStyle name="Comma 3 2 2 3 3 2 3" xfId="5137"/>
    <cellStyle name="Comma 3 2 2 3 3 2 3 2" xfId="5138"/>
    <cellStyle name="Comma 3 2 2 3 3 2 4" xfId="5139"/>
    <cellStyle name="Comma 3 2 2 3 3 3" xfId="5140"/>
    <cellStyle name="Comma 3 2 2 3 3 3 2" xfId="5141"/>
    <cellStyle name="Comma 3 2 2 3 3 3 2 2" xfId="5142"/>
    <cellStyle name="Comma 3 2 2 3 3 3 3" xfId="5143"/>
    <cellStyle name="Comma 3 2 2 3 3 4" xfId="5144"/>
    <cellStyle name="Comma 3 2 2 3 3 4 2" xfId="5145"/>
    <cellStyle name="Comma 3 2 2 3 3 4 3" xfId="5146"/>
    <cellStyle name="Comma 3 2 2 3 3 5" xfId="5147"/>
    <cellStyle name="Comma 3 2 2 3 3 5 2" xfId="5148"/>
    <cellStyle name="Comma 3 2 2 3 3 6" xfId="5149"/>
    <cellStyle name="Comma 3 2 2 3 3 6 2" xfId="36047"/>
    <cellStyle name="Comma 3 2 2 3 3 7" xfId="5150"/>
    <cellStyle name="Comma 3 2 2 3 4" xfId="5151"/>
    <cellStyle name="Comma 3 2 2 3 4 2" xfId="5152"/>
    <cellStyle name="Comma 3 2 2 3 4 2 2" xfId="5153"/>
    <cellStyle name="Comma 3 2 2 3 4 2 2 2" xfId="5154"/>
    <cellStyle name="Comma 3 2 2 3 4 2 3" xfId="5155"/>
    <cellStyle name="Comma 3 2 2 3 4 3" xfId="5156"/>
    <cellStyle name="Comma 3 2 2 3 4 3 2" xfId="5157"/>
    <cellStyle name="Comma 3 2 2 3 4 4" xfId="5158"/>
    <cellStyle name="Comma 3 2 2 3 5" xfId="5159"/>
    <cellStyle name="Comma 3 2 2 3 5 2" xfId="5160"/>
    <cellStyle name="Comma 3 2 2 3 5 2 2" xfId="5161"/>
    <cellStyle name="Comma 3 2 2 3 5 3" xfId="5162"/>
    <cellStyle name="Comma 3 2 2 3 6" xfId="5163"/>
    <cellStyle name="Comma 3 2 2 3 6 2" xfId="5164"/>
    <cellStyle name="Comma 3 2 2 3 6 2 2" xfId="5165"/>
    <cellStyle name="Comma 3 2 2 3 6 3" xfId="5166"/>
    <cellStyle name="Comma 3 2 2 3 7" xfId="5167"/>
    <cellStyle name="Comma 3 2 2 3 7 2" xfId="5168"/>
    <cellStyle name="Comma 3 2 2 3 8" xfId="5169"/>
    <cellStyle name="Comma 3 2 2 3 8 2" xfId="36048"/>
    <cellStyle name="Comma 3 2 2 3 9" xfId="5170"/>
    <cellStyle name="Comma 3 2 2 4" xfId="5171"/>
    <cellStyle name="Comma 3 2 2 4 2" xfId="5172"/>
    <cellStyle name="Comma 3 2 2 4 2 2" xfId="5173"/>
    <cellStyle name="Comma 3 2 2 4 2 2 2" xfId="5174"/>
    <cellStyle name="Comma 3 2 2 4 2 2 2 2" xfId="5175"/>
    <cellStyle name="Comma 3 2 2 4 2 2 2 2 2" xfId="5176"/>
    <cellStyle name="Comma 3 2 2 4 2 2 2 2 3" xfId="5177"/>
    <cellStyle name="Comma 3 2 2 4 2 2 2 3" xfId="5178"/>
    <cellStyle name="Comma 3 2 2 4 2 2 2 3 2" xfId="5179"/>
    <cellStyle name="Comma 3 2 2 4 2 2 2 4" xfId="5180"/>
    <cellStyle name="Comma 3 2 2 4 2 2 3" xfId="5181"/>
    <cellStyle name="Comma 3 2 2 4 2 2 3 2" xfId="5182"/>
    <cellStyle name="Comma 3 2 2 4 2 2 3 2 2" xfId="5183"/>
    <cellStyle name="Comma 3 2 2 4 2 2 3 3" xfId="5184"/>
    <cellStyle name="Comma 3 2 2 4 2 2 4" xfId="5185"/>
    <cellStyle name="Comma 3 2 2 4 2 2 4 2" xfId="5186"/>
    <cellStyle name="Comma 3 2 2 4 2 2 4 3" xfId="5187"/>
    <cellStyle name="Comma 3 2 2 4 2 2 5" xfId="5188"/>
    <cellStyle name="Comma 3 2 2 4 2 2 5 2" xfId="5189"/>
    <cellStyle name="Comma 3 2 2 4 2 2 6" xfId="5190"/>
    <cellStyle name="Comma 3 2 2 4 2 2 6 2" xfId="36049"/>
    <cellStyle name="Comma 3 2 2 4 2 2 7" xfId="5191"/>
    <cellStyle name="Comma 3 2 2 4 2 3" xfId="5192"/>
    <cellStyle name="Comma 3 2 2 4 2 3 2" xfId="5193"/>
    <cellStyle name="Comma 3 2 2 4 2 3 2 2" xfId="5194"/>
    <cellStyle name="Comma 3 2 2 4 2 3 2 2 2" xfId="5195"/>
    <cellStyle name="Comma 3 2 2 4 2 3 2 3" xfId="5196"/>
    <cellStyle name="Comma 3 2 2 4 2 3 3" xfId="5197"/>
    <cellStyle name="Comma 3 2 2 4 2 3 3 2" xfId="5198"/>
    <cellStyle name="Comma 3 2 2 4 2 3 4" xfId="5199"/>
    <cellStyle name="Comma 3 2 2 4 2 4" xfId="5200"/>
    <cellStyle name="Comma 3 2 2 4 2 4 2" xfId="5201"/>
    <cellStyle name="Comma 3 2 2 4 2 4 2 2" xfId="5202"/>
    <cellStyle name="Comma 3 2 2 4 2 4 3" xfId="5203"/>
    <cellStyle name="Comma 3 2 2 4 2 5" xfId="5204"/>
    <cellStyle name="Comma 3 2 2 4 2 5 2" xfId="5205"/>
    <cellStyle name="Comma 3 2 2 4 2 5 2 2" xfId="5206"/>
    <cellStyle name="Comma 3 2 2 4 2 5 3" xfId="5207"/>
    <cellStyle name="Comma 3 2 2 4 2 6" xfId="5208"/>
    <cellStyle name="Comma 3 2 2 4 2 6 2" xfId="5209"/>
    <cellStyle name="Comma 3 2 2 4 2 7" xfId="5210"/>
    <cellStyle name="Comma 3 2 2 4 2 7 2" xfId="36050"/>
    <cellStyle name="Comma 3 2 2 4 2 8" xfId="5211"/>
    <cellStyle name="Comma 3 2 2 4 3" xfId="5212"/>
    <cellStyle name="Comma 3 2 2 4 3 2" xfId="5213"/>
    <cellStyle name="Comma 3 2 2 4 3 2 2" xfId="5214"/>
    <cellStyle name="Comma 3 2 2 4 3 2 2 2" xfId="5215"/>
    <cellStyle name="Comma 3 2 2 4 3 2 2 3" xfId="5216"/>
    <cellStyle name="Comma 3 2 2 4 3 2 3" xfId="5217"/>
    <cellStyle name="Comma 3 2 2 4 3 2 3 2" xfId="5218"/>
    <cellStyle name="Comma 3 2 2 4 3 2 4" xfId="5219"/>
    <cellStyle name="Comma 3 2 2 4 3 3" xfId="5220"/>
    <cellStyle name="Comma 3 2 2 4 3 3 2" xfId="5221"/>
    <cellStyle name="Comma 3 2 2 4 3 3 2 2" xfId="5222"/>
    <cellStyle name="Comma 3 2 2 4 3 3 3" xfId="5223"/>
    <cellStyle name="Comma 3 2 2 4 3 4" xfId="5224"/>
    <cellStyle name="Comma 3 2 2 4 3 4 2" xfId="5225"/>
    <cellStyle name="Comma 3 2 2 4 3 4 3" xfId="5226"/>
    <cellStyle name="Comma 3 2 2 4 3 5" xfId="5227"/>
    <cellStyle name="Comma 3 2 2 4 3 5 2" xfId="5228"/>
    <cellStyle name="Comma 3 2 2 4 3 6" xfId="5229"/>
    <cellStyle name="Comma 3 2 2 4 3 6 2" xfId="36051"/>
    <cellStyle name="Comma 3 2 2 4 3 7" xfId="5230"/>
    <cellStyle name="Comma 3 2 2 4 4" xfId="5231"/>
    <cellStyle name="Comma 3 2 2 4 4 2" xfId="5232"/>
    <cellStyle name="Comma 3 2 2 4 4 2 2" xfId="5233"/>
    <cellStyle name="Comma 3 2 2 4 4 2 2 2" xfId="5234"/>
    <cellStyle name="Comma 3 2 2 4 4 2 3" xfId="5235"/>
    <cellStyle name="Comma 3 2 2 4 4 3" xfId="5236"/>
    <cellStyle name="Comma 3 2 2 4 4 3 2" xfId="5237"/>
    <cellStyle name="Comma 3 2 2 4 4 4" xfId="5238"/>
    <cellStyle name="Comma 3 2 2 4 5" xfId="5239"/>
    <cellStyle name="Comma 3 2 2 4 5 2" xfId="5240"/>
    <cellStyle name="Comma 3 2 2 4 5 2 2" xfId="5241"/>
    <cellStyle name="Comma 3 2 2 4 5 3" xfId="5242"/>
    <cellStyle name="Comma 3 2 2 4 6" xfId="5243"/>
    <cellStyle name="Comma 3 2 2 4 6 2" xfId="5244"/>
    <cellStyle name="Comma 3 2 2 4 6 2 2" xfId="5245"/>
    <cellStyle name="Comma 3 2 2 4 6 3" xfId="5246"/>
    <cellStyle name="Comma 3 2 2 4 7" xfId="5247"/>
    <cellStyle name="Comma 3 2 2 4 7 2" xfId="5248"/>
    <cellStyle name="Comma 3 2 2 4 8" xfId="5249"/>
    <cellStyle name="Comma 3 2 2 4 8 2" xfId="36052"/>
    <cellStyle name="Comma 3 2 2 4 9" xfId="5250"/>
    <cellStyle name="Comma 3 2 2 5" xfId="5251"/>
    <cellStyle name="Comma 3 2 2 5 2" xfId="5252"/>
    <cellStyle name="Comma 3 2 2 5 2 2" xfId="5253"/>
    <cellStyle name="Comma 3 2 2 5 2 2 2" xfId="5254"/>
    <cellStyle name="Comma 3 2 2 5 2 2 2 2" xfId="5255"/>
    <cellStyle name="Comma 3 2 2 5 2 2 2 3" xfId="5256"/>
    <cellStyle name="Comma 3 2 2 5 2 2 3" xfId="5257"/>
    <cellStyle name="Comma 3 2 2 5 2 2 3 2" xfId="5258"/>
    <cellStyle name="Comma 3 2 2 5 2 2 4" xfId="5259"/>
    <cellStyle name="Comma 3 2 2 5 2 3" xfId="5260"/>
    <cellStyle name="Comma 3 2 2 5 2 3 2" xfId="5261"/>
    <cellStyle name="Comma 3 2 2 5 2 3 2 2" xfId="5262"/>
    <cellStyle name="Comma 3 2 2 5 2 3 3" xfId="5263"/>
    <cellStyle name="Comma 3 2 2 5 2 4" xfId="5264"/>
    <cellStyle name="Comma 3 2 2 5 2 4 2" xfId="5265"/>
    <cellStyle name="Comma 3 2 2 5 2 4 3" xfId="5266"/>
    <cellStyle name="Comma 3 2 2 5 2 5" xfId="5267"/>
    <cellStyle name="Comma 3 2 2 5 2 5 2" xfId="5268"/>
    <cellStyle name="Comma 3 2 2 5 2 6" xfId="5269"/>
    <cellStyle name="Comma 3 2 2 5 2 6 2" xfId="36053"/>
    <cellStyle name="Comma 3 2 2 5 2 7" xfId="5270"/>
    <cellStyle name="Comma 3 2 2 5 3" xfId="5271"/>
    <cellStyle name="Comma 3 2 2 5 3 2" xfId="5272"/>
    <cellStyle name="Comma 3 2 2 5 3 2 2" xfId="5273"/>
    <cellStyle name="Comma 3 2 2 5 3 2 2 2" xfId="5274"/>
    <cellStyle name="Comma 3 2 2 5 3 2 3" xfId="5275"/>
    <cellStyle name="Comma 3 2 2 5 3 3" xfId="5276"/>
    <cellStyle name="Comma 3 2 2 5 3 3 2" xfId="5277"/>
    <cellStyle name="Comma 3 2 2 5 3 4" xfId="5278"/>
    <cellStyle name="Comma 3 2 2 5 4" xfId="5279"/>
    <cellStyle name="Comma 3 2 2 5 4 2" xfId="5280"/>
    <cellStyle name="Comma 3 2 2 5 4 2 2" xfId="5281"/>
    <cellStyle name="Comma 3 2 2 5 4 3" xfId="5282"/>
    <cellStyle name="Comma 3 2 2 5 5" xfId="5283"/>
    <cellStyle name="Comma 3 2 2 5 5 2" xfId="5284"/>
    <cellStyle name="Comma 3 2 2 5 5 2 2" xfId="5285"/>
    <cellStyle name="Comma 3 2 2 5 5 3" xfId="5286"/>
    <cellStyle name="Comma 3 2 2 5 6" xfId="5287"/>
    <cellStyle name="Comma 3 2 2 5 6 2" xfId="5288"/>
    <cellStyle name="Comma 3 2 2 5 7" xfId="5289"/>
    <cellStyle name="Comma 3 2 2 5 7 2" xfId="36054"/>
    <cellStyle name="Comma 3 2 2 5 8" xfId="5290"/>
    <cellStyle name="Comma 3 2 2 6" xfId="5291"/>
    <cellStyle name="Comma 3 2 2 6 2" xfId="5292"/>
    <cellStyle name="Comma 3 2 2 6 2 2" xfId="5293"/>
    <cellStyle name="Comma 3 2 2 6 2 2 2" xfId="5294"/>
    <cellStyle name="Comma 3 2 2 6 2 2 2 2" xfId="5295"/>
    <cellStyle name="Comma 3 2 2 6 2 2 2 3" xfId="5296"/>
    <cellStyle name="Comma 3 2 2 6 2 2 3" xfId="5297"/>
    <cellStyle name="Comma 3 2 2 6 2 2 3 2" xfId="5298"/>
    <cellStyle name="Comma 3 2 2 6 2 2 4" xfId="5299"/>
    <cellStyle name="Comma 3 2 2 6 2 3" xfId="5300"/>
    <cellStyle name="Comma 3 2 2 6 2 3 2" xfId="5301"/>
    <cellStyle name="Comma 3 2 2 6 2 3 2 2" xfId="5302"/>
    <cellStyle name="Comma 3 2 2 6 2 3 3" xfId="5303"/>
    <cellStyle name="Comma 3 2 2 6 2 4" xfId="5304"/>
    <cellStyle name="Comma 3 2 2 6 2 4 2" xfId="5305"/>
    <cellStyle name="Comma 3 2 2 6 2 4 3" xfId="5306"/>
    <cellStyle name="Comma 3 2 2 6 2 5" xfId="5307"/>
    <cellStyle name="Comma 3 2 2 6 2 5 2" xfId="5308"/>
    <cellStyle name="Comma 3 2 2 6 2 6" xfId="5309"/>
    <cellStyle name="Comma 3 2 2 6 2 6 2" xfId="36055"/>
    <cellStyle name="Comma 3 2 2 6 2 7" xfId="5310"/>
    <cellStyle name="Comma 3 2 2 6 3" xfId="5311"/>
    <cellStyle name="Comma 3 2 2 6 3 2" xfId="5312"/>
    <cellStyle name="Comma 3 2 2 6 3 2 2" xfId="5313"/>
    <cellStyle name="Comma 3 2 2 6 3 2 2 2" xfId="5314"/>
    <cellStyle name="Comma 3 2 2 6 3 2 3" xfId="5315"/>
    <cellStyle name="Comma 3 2 2 6 3 3" xfId="5316"/>
    <cellStyle name="Comma 3 2 2 6 3 3 2" xfId="5317"/>
    <cellStyle name="Comma 3 2 2 6 3 4" xfId="5318"/>
    <cellStyle name="Comma 3 2 2 6 4" xfId="5319"/>
    <cellStyle name="Comma 3 2 2 6 4 2" xfId="5320"/>
    <cellStyle name="Comma 3 2 2 6 4 2 2" xfId="5321"/>
    <cellStyle name="Comma 3 2 2 6 4 3" xfId="5322"/>
    <cellStyle name="Comma 3 2 2 6 5" xfId="5323"/>
    <cellStyle name="Comma 3 2 2 6 5 2" xfId="5324"/>
    <cellStyle name="Comma 3 2 2 6 5 2 2" xfId="5325"/>
    <cellStyle name="Comma 3 2 2 6 5 3" xfId="5326"/>
    <cellStyle name="Comma 3 2 2 6 6" xfId="5327"/>
    <cellStyle name="Comma 3 2 2 6 6 2" xfId="5328"/>
    <cellStyle name="Comma 3 2 2 6 7" xfId="5329"/>
    <cellStyle name="Comma 3 2 2 6 7 2" xfId="36056"/>
    <cellStyle name="Comma 3 2 2 6 8" xfId="5330"/>
    <cellStyle name="Comma 3 2 2 7" xfId="5331"/>
    <cellStyle name="Comma 3 2 2 7 2" xfId="5332"/>
    <cellStyle name="Comma 3 2 2 7 2 2" xfId="5333"/>
    <cellStyle name="Comma 3 2 2 7 2 2 2" xfId="5334"/>
    <cellStyle name="Comma 3 2 2 7 2 2 2 2" xfId="5335"/>
    <cellStyle name="Comma 3 2 2 7 2 2 2 3" xfId="5336"/>
    <cellStyle name="Comma 3 2 2 7 2 2 3" xfId="5337"/>
    <cellStyle name="Comma 3 2 2 7 2 2 3 2" xfId="5338"/>
    <cellStyle name="Comma 3 2 2 7 2 2 4" xfId="5339"/>
    <cellStyle name="Comma 3 2 2 7 2 3" xfId="5340"/>
    <cellStyle name="Comma 3 2 2 7 2 3 2" xfId="5341"/>
    <cellStyle name="Comma 3 2 2 7 2 3 2 2" xfId="5342"/>
    <cellStyle name="Comma 3 2 2 7 2 3 3" xfId="5343"/>
    <cellStyle name="Comma 3 2 2 7 2 4" xfId="5344"/>
    <cellStyle name="Comma 3 2 2 7 2 4 2" xfId="5345"/>
    <cellStyle name="Comma 3 2 2 7 2 4 3" xfId="5346"/>
    <cellStyle name="Comma 3 2 2 7 2 5" xfId="5347"/>
    <cellStyle name="Comma 3 2 2 7 2 5 2" xfId="5348"/>
    <cellStyle name="Comma 3 2 2 7 2 6" xfId="5349"/>
    <cellStyle name="Comma 3 2 2 7 2 6 2" xfId="36057"/>
    <cellStyle name="Comma 3 2 2 7 2 7" xfId="5350"/>
    <cellStyle name="Comma 3 2 2 7 3" xfId="5351"/>
    <cellStyle name="Comma 3 2 2 7 3 2" xfId="5352"/>
    <cellStyle name="Comma 3 2 2 7 3 2 2" xfId="5353"/>
    <cellStyle name="Comma 3 2 2 7 3 2 2 2" xfId="5354"/>
    <cellStyle name="Comma 3 2 2 7 3 2 3" xfId="5355"/>
    <cellStyle name="Comma 3 2 2 7 3 3" xfId="5356"/>
    <cellStyle name="Comma 3 2 2 7 3 3 2" xfId="5357"/>
    <cellStyle name="Comma 3 2 2 7 3 4" xfId="5358"/>
    <cellStyle name="Comma 3 2 2 7 4" xfId="5359"/>
    <cellStyle name="Comma 3 2 2 7 4 2" xfId="5360"/>
    <cellStyle name="Comma 3 2 2 7 4 2 2" xfId="5361"/>
    <cellStyle name="Comma 3 2 2 7 4 3" xfId="5362"/>
    <cellStyle name="Comma 3 2 2 7 5" xfId="5363"/>
    <cellStyle name="Comma 3 2 2 7 5 2" xfId="5364"/>
    <cellStyle name="Comma 3 2 2 7 5 2 2" xfId="5365"/>
    <cellStyle name="Comma 3 2 2 7 5 3" xfId="5366"/>
    <cellStyle name="Comma 3 2 2 7 6" xfId="5367"/>
    <cellStyle name="Comma 3 2 2 7 6 2" xfId="5368"/>
    <cellStyle name="Comma 3 2 2 7 7" xfId="5369"/>
    <cellStyle name="Comma 3 2 2 7 7 2" xfId="36058"/>
    <cellStyle name="Comma 3 2 2 7 8" xfId="5370"/>
    <cellStyle name="Comma 3 2 2 8" xfId="5371"/>
    <cellStyle name="Comma 3 2 2 8 2" xfId="5372"/>
    <cellStyle name="Comma 3 2 2 8 2 2" xfId="5373"/>
    <cellStyle name="Comma 3 2 2 8 2 2 2" xfId="5374"/>
    <cellStyle name="Comma 3 2 2 8 2 2 3" xfId="5375"/>
    <cellStyle name="Comma 3 2 2 8 2 3" xfId="5376"/>
    <cellStyle name="Comma 3 2 2 8 2 3 2" xfId="5377"/>
    <cellStyle name="Comma 3 2 2 8 2 4" xfId="5378"/>
    <cellStyle name="Comma 3 2 2 8 3" xfId="5379"/>
    <cellStyle name="Comma 3 2 2 8 3 2" xfId="5380"/>
    <cellStyle name="Comma 3 2 2 8 3 2 2" xfId="5381"/>
    <cellStyle name="Comma 3 2 2 8 3 3" xfId="5382"/>
    <cellStyle name="Comma 3 2 2 8 4" xfId="5383"/>
    <cellStyle name="Comma 3 2 2 8 4 2" xfId="5384"/>
    <cellStyle name="Comma 3 2 2 8 4 3" xfId="5385"/>
    <cellStyle name="Comma 3 2 2 8 5" xfId="5386"/>
    <cellStyle name="Comma 3 2 2 8 5 2" xfId="5387"/>
    <cellStyle name="Comma 3 2 2 8 6" xfId="5388"/>
    <cellStyle name="Comma 3 2 2 8 6 2" xfId="36059"/>
    <cellStyle name="Comma 3 2 2 8 7" xfId="5389"/>
    <cellStyle name="Comma 3 2 2 9" xfId="5390"/>
    <cellStyle name="Comma 3 2 2 9 2" xfId="5391"/>
    <cellStyle name="Comma 3 2 2 9 2 2" xfId="5392"/>
    <cellStyle name="Comma 3 2 2 9 2 2 2" xfId="5393"/>
    <cellStyle name="Comma 3 2 2 9 2 3" xfId="5394"/>
    <cellStyle name="Comma 3 2 2 9 3" xfId="5395"/>
    <cellStyle name="Comma 3 2 2 9 3 2" xfId="5396"/>
    <cellStyle name="Comma 3 2 2 9 4" xfId="5397"/>
    <cellStyle name="Comma 3 2 3" xfId="5398"/>
    <cellStyle name="Comma 3 2 3 10" xfId="5399"/>
    <cellStyle name="Comma 3 2 3 10 2" xfId="5400"/>
    <cellStyle name="Comma 3 2 3 10 2 2" xfId="5401"/>
    <cellStyle name="Comma 3 2 3 10 3" xfId="5402"/>
    <cellStyle name="Comma 3 2 3 11" xfId="5403"/>
    <cellStyle name="Comma 3 2 3 11 2" xfId="5404"/>
    <cellStyle name="Comma 3 2 3 11 2 2" xfId="5405"/>
    <cellStyle name="Comma 3 2 3 11 3" xfId="5406"/>
    <cellStyle name="Comma 3 2 3 12" xfId="5407"/>
    <cellStyle name="Comma 3 2 3 12 2" xfId="5408"/>
    <cellStyle name="Comma 3 2 3 13" xfId="5409"/>
    <cellStyle name="Comma 3 2 3 13 2" xfId="36060"/>
    <cellStyle name="Comma 3 2 3 14" xfId="5410"/>
    <cellStyle name="Comma 3 2 3 2" xfId="5411"/>
    <cellStyle name="Comma 3 2 3 2 10" xfId="5412"/>
    <cellStyle name="Comma 3 2 3 2 2" xfId="5413"/>
    <cellStyle name="Comma 3 2 3 2 2 2" xfId="5414"/>
    <cellStyle name="Comma 3 2 3 2 2 2 2" xfId="5415"/>
    <cellStyle name="Comma 3 2 3 2 2 2 2 2" xfId="5416"/>
    <cellStyle name="Comma 3 2 3 2 2 2 2 2 2" xfId="5417"/>
    <cellStyle name="Comma 3 2 3 2 2 2 2 2 2 2" xfId="5418"/>
    <cellStyle name="Comma 3 2 3 2 2 2 2 2 2 3" xfId="5419"/>
    <cellStyle name="Comma 3 2 3 2 2 2 2 2 3" xfId="5420"/>
    <cellStyle name="Comma 3 2 3 2 2 2 2 2 3 2" xfId="5421"/>
    <cellStyle name="Comma 3 2 3 2 2 2 2 2 4" xfId="5422"/>
    <cellStyle name="Comma 3 2 3 2 2 2 2 3" xfId="5423"/>
    <cellStyle name="Comma 3 2 3 2 2 2 2 3 2" xfId="5424"/>
    <cellStyle name="Comma 3 2 3 2 2 2 2 3 2 2" xfId="5425"/>
    <cellStyle name="Comma 3 2 3 2 2 2 2 3 3" xfId="5426"/>
    <cellStyle name="Comma 3 2 3 2 2 2 2 4" xfId="5427"/>
    <cellStyle name="Comma 3 2 3 2 2 2 2 4 2" xfId="5428"/>
    <cellStyle name="Comma 3 2 3 2 2 2 2 4 3" xfId="5429"/>
    <cellStyle name="Comma 3 2 3 2 2 2 2 5" xfId="5430"/>
    <cellStyle name="Comma 3 2 3 2 2 2 2 5 2" xfId="5431"/>
    <cellStyle name="Comma 3 2 3 2 2 2 2 6" xfId="5432"/>
    <cellStyle name="Comma 3 2 3 2 2 2 2 6 2" xfId="36061"/>
    <cellStyle name="Comma 3 2 3 2 2 2 2 7" xfId="5433"/>
    <cellStyle name="Comma 3 2 3 2 2 2 3" xfId="5434"/>
    <cellStyle name="Comma 3 2 3 2 2 2 3 2" xfId="5435"/>
    <cellStyle name="Comma 3 2 3 2 2 2 3 2 2" xfId="5436"/>
    <cellStyle name="Comma 3 2 3 2 2 2 3 2 2 2" xfId="5437"/>
    <cellStyle name="Comma 3 2 3 2 2 2 3 2 3" xfId="5438"/>
    <cellStyle name="Comma 3 2 3 2 2 2 3 3" xfId="5439"/>
    <cellStyle name="Comma 3 2 3 2 2 2 3 3 2" xfId="5440"/>
    <cellStyle name="Comma 3 2 3 2 2 2 3 4" xfId="5441"/>
    <cellStyle name="Comma 3 2 3 2 2 2 4" xfId="5442"/>
    <cellStyle name="Comma 3 2 3 2 2 2 4 2" xfId="5443"/>
    <cellStyle name="Comma 3 2 3 2 2 2 4 2 2" xfId="5444"/>
    <cellStyle name="Comma 3 2 3 2 2 2 4 3" xfId="5445"/>
    <cellStyle name="Comma 3 2 3 2 2 2 5" xfId="5446"/>
    <cellStyle name="Comma 3 2 3 2 2 2 5 2" xfId="5447"/>
    <cellStyle name="Comma 3 2 3 2 2 2 5 2 2" xfId="5448"/>
    <cellStyle name="Comma 3 2 3 2 2 2 5 3" xfId="5449"/>
    <cellStyle name="Comma 3 2 3 2 2 2 6" xfId="5450"/>
    <cellStyle name="Comma 3 2 3 2 2 2 6 2" xfId="5451"/>
    <cellStyle name="Comma 3 2 3 2 2 2 7" xfId="5452"/>
    <cellStyle name="Comma 3 2 3 2 2 2 7 2" xfId="36062"/>
    <cellStyle name="Comma 3 2 3 2 2 2 8" xfId="5453"/>
    <cellStyle name="Comma 3 2 3 2 2 3" xfId="5454"/>
    <cellStyle name="Comma 3 2 3 2 2 3 2" xfId="5455"/>
    <cellStyle name="Comma 3 2 3 2 2 3 2 2" xfId="5456"/>
    <cellStyle name="Comma 3 2 3 2 2 3 2 2 2" xfId="5457"/>
    <cellStyle name="Comma 3 2 3 2 2 3 2 2 3" xfId="5458"/>
    <cellStyle name="Comma 3 2 3 2 2 3 2 3" xfId="5459"/>
    <cellStyle name="Comma 3 2 3 2 2 3 2 3 2" xfId="5460"/>
    <cellStyle name="Comma 3 2 3 2 2 3 2 4" xfId="5461"/>
    <cellStyle name="Comma 3 2 3 2 2 3 3" xfId="5462"/>
    <cellStyle name="Comma 3 2 3 2 2 3 3 2" xfId="5463"/>
    <cellStyle name="Comma 3 2 3 2 2 3 3 2 2" xfId="5464"/>
    <cellStyle name="Comma 3 2 3 2 2 3 3 3" xfId="5465"/>
    <cellStyle name="Comma 3 2 3 2 2 3 4" xfId="5466"/>
    <cellStyle name="Comma 3 2 3 2 2 3 4 2" xfId="5467"/>
    <cellStyle name="Comma 3 2 3 2 2 3 4 3" xfId="5468"/>
    <cellStyle name="Comma 3 2 3 2 2 3 5" xfId="5469"/>
    <cellStyle name="Comma 3 2 3 2 2 3 5 2" xfId="5470"/>
    <cellStyle name="Comma 3 2 3 2 2 3 6" xfId="5471"/>
    <cellStyle name="Comma 3 2 3 2 2 3 6 2" xfId="36063"/>
    <cellStyle name="Comma 3 2 3 2 2 3 7" xfId="5472"/>
    <cellStyle name="Comma 3 2 3 2 2 4" xfId="5473"/>
    <cellStyle name="Comma 3 2 3 2 2 4 2" xfId="5474"/>
    <cellStyle name="Comma 3 2 3 2 2 4 2 2" xfId="5475"/>
    <cellStyle name="Comma 3 2 3 2 2 4 2 2 2" xfId="5476"/>
    <cellStyle name="Comma 3 2 3 2 2 4 2 3" xfId="5477"/>
    <cellStyle name="Comma 3 2 3 2 2 4 3" xfId="5478"/>
    <cellStyle name="Comma 3 2 3 2 2 4 3 2" xfId="5479"/>
    <cellStyle name="Comma 3 2 3 2 2 4 4" xfId="5480"/>
    <cellStyle name="Comma 3 2 3 2 2 5" xfId="5481"/>
    <cellStyle name="Comma 3 2 3 2 2 5 2" xfId="5482"/>
    <cellStyle name="Comma 3 2 3 2 2 5 2 2" xfId="5483"/>
    <cellStyle name="Comma 3 2 3 2 2 5 3" xfId="5484"/>
    <cellStyle name="Comma 3 2 3 2 2 6" xfId="5485"/>
    <cellStyle name="Comma 3 2 3 2 2 6 2" xfId="5486"/>
    <cellStyle name="Comma 3 2 3 2 2 6 2 2" xfId="5487"/>
    <cellStyle name="Comma 3 2 3 2 2 6 3" xfId="5488"/>
    <cellStyle name="Comma 3 2 3 2 2 7" xfId="5489"/>
    <cellStyle name="Comma 3 2 3 2 2 7 2" xfId="5490"/>
    <cellStyle name="Comma 3 2 3 2 2 8" xfId="5491"/>
    <cellStyle name="Comma 3 2 3 2 2 8 2" xfId="36064"/>
    <cellStyle name="Comma 3 2 3 2 2 9" xfId="5492"/>
    <cellStyle name="Comma 3 2 3 2 3" xfId="5493"/>
    <cellStyle name="Comma 3 2 3 2 3 2" xfId="5494"/>
    <cellStyle name="Comma 3 2 3 2 3 2 2" xfId="5495"/>
    <cellStyle name="Comma 3 2 3 2 3 2 2 2" xfId="5496"/>
    <cellStyle name="Comma 3 2 3 2 3 2 2 2 2" xfId="5497"/>
    <cellStyle name="Comma 3 2 3 2 3 2 2 2 3" xfId="5498"/>
    <cellStyle name="Comma 3 2 3 2 3 2 2 3" xfId="5499"/>
    <cellStyle name="Comma 3 2 3 2 3 2 2 3 2" xfId="5500"/>
    <cellStyle name="Comma 3 2 3 2 3 2 2 4" xfId="5501"/>
    <cellStyle name="Comma 3 2 3 2 3 2 3" xfId="5502"/>
    <cellStyle name="Comma 3 2 3 2 3 2 3 2" xfId="5503"/>
    <cellStyle name="Comma 3 2 3 2 3 2 3 2 2" xfId="5504"/>
    <cellStyle name="Comma 3 2 3 2 3 2 3 3" xfId="5505"/>
    <cellStyle name="Comma 3 2 3 2 3 2 4" xfId="5506"/>
    <cellStyle name="Comma 3 2 3 2 3 2 4 2" xfId="5507"/>
    <cellStyle name="Comma 3 2 3 2 3 2 4 3" xfId="5508"/>
    <cellStyle name="Comma 3 2 3 2 3 2 5" xfId="5509"/>
    <cellStyle name="Comma 3 2 3 2 3 2 5 2" xfId="5510"/>
    <cellStyle name="Comma 3 2 3 2 3 2 6" xfId="5511"/>
    <cellStyle name="Comma 3 2 3 2 3 2 6 2" xfId="36065"/>
    <cellStyle name="Comma 3 2 3 2 3 2 7" xfId="5512"/>
    <cellStyle name="Comma 3 2 3 2 3 3" xfId="5513"/>
    <cellStyle name="Comma 3 2 3 2 3 3 2" xfId="5514"/>
    <cellStyle name="Comma 3 2 3 2 3 3 2 2" xfId="5515"/>
    <cellStyle name="Comma 3 2 3 2 3 3 2 2 2" xfId="5516"/>
    <cellStyle name="Comma 3 2 3 2 3 3 2 3" xfId="5517"/>
    <cellStyle name="Comma 3 2 3 2 3 3 3" xfId="5518"/>
    <cellStyle name="Comma 3 2 3 2 3 3 3 2" xfId="5519"/>
    <cellStyle name="Comma 3 2 3 2 3 3 4" xfId="5520"/>
    <cellStyle name="Comma 3 2 3 2 3 4" xfId="5521"/>
    <cellStyle name="Comma 3 2 3 2 3 4 2" xfId="5522"/>
    <cellStyle name="Comma 3 2 3 2 3 4 2 2" xfId="5523"/>
    <cellStyle name="Comma 3 2 3 2 3 4 3" xfId="5524"/>
    <cellStyle name="Comma 3 2 3 2 3 5" xfId="5525"/>
    <cellStyle name="Comma 3 2 3 2 3 5 2" xfId="5526"/>
    <cellStyle name="Comma 3 2 3 2 3 5 2 2" xfId="5527"/>
    <cellStyle name="Comma 3 2 3 2 3 5 3" xfId="5528"/>
    <cellStyle name="Comma 3 2 3 2 3 6" xfId="5529"/>
    <cellStyle name="Comma 3 2 3 2 3 6 2" xfId="5530"/>
    <cellStyle name="Comma 3 2 3 2 3 7" xfId="5531"/>
    <cellStyle name="Comma 3 2 3 2 3 7 2" xfId="36066"/>
    <cellStyle name="Comma 3 2 3 2 3 8" xfId="5532"/>
    <cellStyle name="Comma 3 2 3 2 4" xfId="5533"/>
    <cellStyle name="Comma 3 2 3 2 4 2" xfId="5534"/>
    <cellStyle name="Comma 3 2 3 2 4 2 2" xfId="5535"/>
    <cellStyle name="Comma 3 2 3 2 4 2 2 2" xfId="5536"/>
    <cellStyle name="Comma 3 2 3 2 4 2 2 3" xfId="5537"/>
    <cellStyle name="Comma 3 2 3 2 4 2 3" xfId="5538"/>
    <cellStyle name="Comma 3 2 3 2 4 2 3 2" xfId="5539"/>
    <cellStyle name="Comma 3 2 3 2 4 2 4" xfId="5540"/>
    <cellStyle name="Comma 3 2 3 2 4 3" xfId="5541"/>
    <cellStyle name="Comma 3 2 3 2 4 3 2" xfId="5542"/>
    <cellStyle name="Comma 3 2 3 2 4 3 2 2" xfId="5543"/>
    <cellStyle name="Comma 3 2 3 2 4 3 3" xfId="5544"/>
    <cellStyle name="Comma 3 2 3 2 4 4" xfId="5545"/>
    <cellStyle name="Comma 3 2 3 2 4 4 2" xfId="5546"/>
    <cellStyle name="Comma 3 2 3 2 4 4 3" xfId="5547"/>
    <cellStyle name="Comma 3 2 3 2 4 5" xfId="5548"/>
    <cellStyle name="Comma 3 2 3 2 4 5 2" xfId="5549"/>
    <cellStyle name="Comma 3 2 3 2 4 6" xfId="5550"/>
    <cellStyle name="Comma 3 2 3 2 4 6 2" xfId="36067"/>
    <cellStyle name="Comma 3 2 3 2 4 7" xfId="5551"/>
    <cellStyle name="Comma 3 2 3 2 5" xfId="5552"/>
    <cellStyle name="Comma 3 2 3 2 5 2" xfId="5553"/>
    <cellStyle name="Comma 3 2 3 2 5 2 2" xfId="5554"/>
    <cellStyle name="Comma 3 2 3 2 5 2 2 2" xfId="5555"/>
    <cellStyle name="Comma 3 2 3 2 5 2 3" xfId="5556"/>
    <cellStyle name="Comma 3 2 3 2 5 3" xfId="5557"/>
    <cellStyle name="Comma 3 2 3 2 5 3 2" xfId="5558"/>
    <cellStyle name="Comma 3 2 3 2 5 4" xfId="5559"/>
    <cellStyle name="Comma 3 2 3 2 6" xfId="5560"/>
    <cellStyle name="Comma 3 2 3 2 6 2" xfId="5561"/>
    <cellStyle name="Comma 3 2 3 2 6 2 2" xfId="5562"/>
    <cellStyle name="Comma 3 2 3 2 6 3" xfId="5563"/>
    <cellStyle name="Comma 3 2 3 2 7" xfId="5564"/>
    <cellStyle name="Comma 3 2 3 2 7 2" xfId="5565"/>
    <cellStyle name="Comma 3 2 3 2 7 2 2" xfId="5566"/>
    <cellStyle name="Comma 3 2 3 2 7 3" xfId="5567"/>
    <cellStyle name="Comma 3 2 3 2 8" xfId="5568"/>
    <cellStyle name="Comma 3 2 3 2 8 2" xfId="5569"/>
    <cellStyle name="Comma 3 2 3 2 9" xfId="5570"/>
    <cellStyle name="Comma 3 2 3 2 9 2" xfId="36068"/>
    <cellStyle name="Comma 3 2 3 3" xfId="5571"/>
    <cellStyle name="Comma 3 2 3 3 2" xfId="5572"/>
    <cellStyle name="Comma 3 2 3 3 2 2" xfId="5573"/>
    <cellStyle name="Comma 3 2 3 3 2 2 2" xfId="5574"/>
    <cellStyle name="Comma 3 2 3 3 2 2 2 2" xfId="5575"/>
    <cellStyle name="Comma 3 2 3 3 2 2 2 2 2" xfId="5576"/>
    <cellStyle name="Comma 3 2 3 3 2 2 2 2 3" xfId="5577"/>
    <cellStyle name="Comma 3 2 3 3 2 2 2 3" xfId="5578"/>
    <cellStyle name="Comma 3 2 3 3 2 2 2 3 2" xfId="5579"/>
    <cellStyle name="Comma 3 2 3 3 2 2 2 4" xfId="5580"/>
    <cellStyle name="Comma 3 2 3 3 2 2 3" xfId="5581"/>
    <cellStyle name="Comma 3 2 3 3 2 2 3 2" xfId="5582"/>
    <cellStyle name="Comma 3 2 3 3 2 2 3 2 2" xfId="5583"/>
    <cellStyle name="Comma 3 2 3 3 2 2 3 3" xfId="5584"/>
    <cellStyle name="Comma 3 2 3 3 2 2 4" xfId="5585"/>
    <cellStyle name="Comma 3 2 3 3 2 2 4 2" xfId="5586"/>
    <cellStyle name="Comma 3 2 3 3 2 2 4 3" xfId="5587"/>
    <cellStyle name="Comma 3 2 3 3 2 2 5" xfId="5588"/>
    <cellStyle name="Comma 3 2 3 3 2 2 5 2" xfId="5589"/>
    <cellStyle name="Comma 3 2 3 3 2 2 6" xfId="5590"/>
    <cellStyle name="Comma 3 2 3 3 2 2 6 2" xfId="36069"/>
    <cellStyle name="Comma 3 2 3 3 2 2 7" xfId="5591"/>
    <cellStyle name="Comma 3 2 3 3 2 3" xfId="5592"/>
    <cellStyle name="Comma 3 2 3 3 2 3 2" xfId="5593"/>
    <cellStyle name="Comma 3 2 3 3 2 3 2 2" xfId="5594"/>
    <cellStyle name="Comma 3 2 3 3 2 3 2 2 2" xfId="5595"/>
    <cellStyle name="Comma 3 2 3 3 2 3 2 3" xfId="5596"/>
    <cellStyle name="Comma 3 2 3 3 2 3 3" xfId="5597"/>
    <cellStyle name="Comma 3 2 3 3 2 3 3 2" xfId="5598"/>
    <cellStyle name="Comma 3 2 3 3 2 3 4" xfId="5599"/>
    <cellStyle name="Comma 3 2 3 3 2 4" xfId="5600"/>
    <cellStyle name="Comma 3 2 3 3 2 4 2" xfId="5601"/>
    <cellStyle name="Comma 3 2 3 3 2 4 2 2" xfId="5602"/>
    <cellStyle name="Comma 3 2 3 3 2 4 3" xfId="5603"/>
    <cellStyle name="Comma 3 2 3 3 2 5" xfId="5604"/>
    <cellStyle name="Comma 3 2 3 3 2 5 2" xfId="5605"/>
    <cellStyle name="Comma 3 2 3 3 2 5 2 2" xfId="5606"/>
    <cellStyle name="Comma 3 2 3 3 2 5 3" xfId="5607"/>
    <cellStyle name="Comma 3 2 3 3 2 6" xfId="5608"/>
    <cellStyle name="Comma 3 2 3 3 2 6 2" xfId="5609"/>
    <cellStyle name="Comma 3 2 3 3 2 7" xfId="5610"/>
    <cellStyle name="Comma 3 2 3 3 2 7 2" xfId="36070"/>
    <cellStyle name="Comma 3 2 3 3 2 8" xfId="5611"/>
    <cellStyle name="Comma 3 2 3 3 3" xfId="5612"/>
    <cellStyle name="Comma 3 2 3 3 3 2" xfId="5613"/>
    <cellStyle name="Comma 3 2 3 3 3 2 2" xfId="5614"/>
    <cellStyle name="Comma 3 2 3 3 3 2 2 2" xfId="5615"/>
    <cellStyle name="Comma 3 2 3 3 3 2 2 3" xfId="5616"/>
    <cellStyle name="Comma 3 2 3 3 3 2 3" xfId="5617"/>
    <cellStyle name="Comma 3 2 3 3 3 2 3 2" xfId="5618"/>
    <cellStyle name="Comma 3 2 3 3 3 2 4" xfId="5619"/>
    <cellStyle name="Comma 3 2 3 3 3 3" xfId="5620"/>
    <cellStyle name="Comma 3 2 3 3 3 3 2" xfId="5621"/>
    <cellStyle name="Comma 3 2 3 3 3 3 2 2" xfId="5622"/>
    <cellStyle name="Comma 3 2 3 3 3 3 3" xfId="5623"/>
    <cellStyle name="Comma 3 2 3 3 3 4" xfId="5624"/>
    <cellStyle name="Comma 3 2 3 3 3 4 2" xfId="5625"/>
    <cellStyle name="Comma 3 2 3 3 3 4 3" xfId="5626"/>
    <cellStyle name="Comma 3 2 3 3 3 5" xfId="5627"/>
    <cellStyle name="Comma 3 2 3 3 3 5 2" xfId="5628"/>
    <cellStyle name="Comma 3 2 3 3 3 6" xfId="5629"/>
    <cellStyle name="Comma 3 2 3 3 3 6 2" xfId="36071"/>
    <cellStyle name="Comma 3 2 3 3 3 7" xfId="5630"/>
    <cellStyle name="Comma 3 2 3 3 4" xfId="5631"/>
    <cellStyle name="Comma 3 2 3 3 4 2" xfId="5632"/>
    <cellStyle name="Comma 3 2 3 3 4 2 2" xfId="5633"/>
    <cellStyle name="Comma 3 2 3 3 4 2 2 2" xfId="5634"/>
    <cellStyle name="Comma 3 2 3 3 4 2 3" xfId="5635"/>
    <cellStyle name="Comma 3 2 3 3 4 3" xfId="5636"/>
    <cellStyle name="Comma 3 2 3 3 4 3 2" xfId="5637"/>
    <cellStyle name="Comma 3 2 3 3 4 4" xfId="5638"/>
    <cellStyle name="Comma 3 2 3 3 5" xfId="5639"/>
    <cellStyle name="Comma 3 2 3 3 5 2" xfId="5640"/>
    <cellStyle name="Comma 3 2 3 3 5 2 2" xfId="5641"/>
    <cellStyle name="Comma 3 2 3 3 5 3" xfId="5642"/>
    <cellStyle name="Comma 3 2 3 3 6" xfId="5643"/>
    <cellStyle name="Comma 3 2 3 3 6 2" xfId="5644"/>
    <cellStyle name="Comma 3 2 3 3 6 2 2" xfId="5645"/>
    <cellStyle name="Comma 3 2 3 3 6 3" xfId="5646"/>
    <cellStyle name="Comma 3 2 3 3 7" xfId="5647"/>
    <cellStyle name="Comma 3 2 3 3 7 2" xfId="5648"/>
    <cellStyle name="Comma 3 2 3 3 8" xfId="5649"/>
    <cellStyle name="Comma 3 2 3 3 8 2" xfId="36072"/>
    <cellStyle name="Comma 3 2 3 3 9" xfId="5650"/>
    <cellStyle name="Comma 3 2 3 4" xfId="5651"/>
    <cellStyle name="Comma 3 2 3 4 2" xfId="5652"/>
    <cellStyle name="Comma 3 2 3 4 2 2" xfId="5653"/>
    <cellStyle name="Comma 3 2 3 4 2 2 2" xfId="5654"/>
    <cellStyle name="Comma 3 2 3 4 2 2 2 2" xfId="5655"/>
    <cellStyle name="Comma 3 2 3 4 2 2 2 2 2" xfId="5656"/>
    <cellStyle name="Comma 3 2 3 4 2 2 2 2 3" xfId="5657"/>
    <cellStyle name="Comma 3 2 3 4 2 2 2 3" xfId="5658"/>
    <cellStyle name="Comma 3 2 3 4 2 2 2 3 2" xfId="5659"/>
    <cellStyle name="Comma 3 2 3 4 2 2 2 4" xfId="5660"/>
    <cellStyle name="Comma 3 2 3 4 2 2 3" xfId="5661"/>
    <cellStyle name="Comma 3 2 3 4 2 2 3 2" xfId="5662"/>
    <cellStyle name="Comma 3 2 3 4 2 2 3 2 2" xfId="5663"/>
    <cellStyle name="Comma 3 2 3 4 2 2 3 3" xfId="5664"/>
    <cellStyle name="Comma 3 2 3 4 2 2 4" xfId="5665"/>
    <cellStyle name="Comma 3 2 3 4 2 2 4 2" xfId="5666"/>
    <cellStyle name="Comma 3 2 3 4 2 2 4 3" xfId="5667"/>
    <cellStyle name="Comma 3 2 3 4 2 2 5" xfId="5668"/>
    <cellStyle name="Comma 3 2 3 4 2 2 5 2" xfId="5669"/>
    <cellStyle name="Comma 3 2 3 4 2 2 6" xfId="5670"/>
    <cellStyle name="Comma 3 2 3 4 2 2 6 2" xfId="36073"/>
    <cellStyle name="Comma 3 2 3 4 2 2 7" xfId="5671"/>
    <cellStyle name="Comma 3 2 3 4 2 3" xfId="5672"/>
    <cellStyle name="Comma 3 2 3 4 2 3 2" xfId="5673"/>
    <cellStyle name="Comma 3 2 3 4 2 3 2 2" xfId="5674"/>
    <cellStyle name="Comma 3 2 3 4 2 3 2 2 2" xfId="5675"/>
    <cellStyle name="Comma 3 2 3 4 2 3 2 3" xfId="5676"/>
    <cellStyle name="Comma 3 2 3 4 2 3 3" xfId="5677"/>
    <cellStyle name="Comma 3 2 3 4 2 3 3 2" xfId="5678"/>
    <cellStyle name="Comma 3 2 3 4 2 3 4" xfId="5679"/>
    <cellStyle name="Comma 3 2 3 4 2 4" xfId="5680"/>
    <cellStyle name="Comma 3 2 3 4 2 4 2" xfId="5681"/>
    <cellStyle name="Comma 3 2 3 4 2 4 2 2" xfId="5682"/>
    <cellStyle name="Comma 3 2 3 4 2 4 3" xfId="5683"/>
    <cellStyle name="Comma 3 2 3 4 2 5" xfId="5684"/>
    <cellStyle name="Comma 3 2 3 4 2 5 2" xfId="5685"/>
    <cellStyle name="Comma 3 2 3 4 2 5 2 2" xfId="5686"/>
    <cellStyle name="Comma 3 2 3 4 2 5 3" xfId="5687"/>
    <cellStyle name="Comma 3 2 3 4 2 6" xfId="5688"/>
    <cellStyle name="Comma 3 2 3 4 2 6 2" xfId="5689"/>
    <cellStyle name="Comma 3 2 3 4 2 7" xfId="5690"/>
    <cellStyle name="Comma 3 2 3 4 2 7 2" xfId="36074"/>
    <cellStyle name="Comma 3 2 3 4 2 8" xfId="5691"/>
    <cellStyle name="Comma 3 2 3 4 3" xfId="5692"/>
    <cellStyle name="Comma 3 2 3 4 3 2" xfId="5693"/>
    <cellStyle name="Comma 3 2 3 4 3 2 2" xfId="5694"/>
    <cellStyle name="Comma 3 2 3 4 3 2 2 2" xfId="5695"/>
    <cellStyle name="Comma 3 2 3 4 3 2 2 3" xfId="5696"/>
    <cellStyle name="Comma 3 2 3 4 3 2 3" xfId="5697"/>
    <cellStyle name="Comma 3 2 3 4 3 2 3 2" xfId="5698"/>
    <cellStyle name="Comma 3 2 3 4 3 2 4" xfId="5699"/>
    <cellStyle name="Comma 3 2 3 4 3 3" xfId="5700"/>
    <cellStyle name="Comma 3 2 3 4 3 3 2" xfId="5701"/>
    <cellStyle name="Comma 3 2 3 4 3 3 2 2" xfId="5702"/>
    <cellStyle name="Comma 3 2 3 4 3 3 3" xfId="5703"/>
    <cellStyle name="Comma 3 2 3 4 3 4" xfId="5704"/>
    <cellStyle name="Comma 3 2 3 4 3 4 2" xfId="5705"/>
    <cellStyle name="Comma 3 2 3 4 3 4 3" xfId="5706"/>
    <cellStyle name="Comma 3 2 3 4 3 5" xfId="5707"/>
    <cellStyle name="Comma 3 2 3 4 3 5 2" xfId="5708"/>
    <cellStyle name="Comma 3 2 3 4 3 6" xfId="5709"/>
    <cellStyle name="Comma 3 2 3 4 3 6 2" xfId="36075"/>
    <cellStyle name="Comma 3 2 3 4 3 7" xfId="5710"/>
    <cellStyle name="Comma 3 2 3 4 4" xfId="5711"/>
    <cellStyle name="Comma 3 2 3 4 4 2" xfId="5712"/>
    <cellStyle name="Comma 3 2 3 4 4 2 2" xfId="5713"/>
    <cellStyle name="Comma 3 2 3 4 4 2 2 2" xfId="5714"/>
    <cellStyle name="Comma 3 2 3 4 4 2 3" xfId="5715"/>
    <cellStyle name="Comma 3 2 3 4 4 3" xfId="5716"/>
    <cellStyle name="Comma 3 2 3 4 4 3 2" xfId="5717"/>
    <cellStyle name="Comma 3 2 3 4 4 4" xfId="5718"/>
    <cellStyle name="Comma 3 2 3 4 5" xfId="5719"/>
    <cellStyle name="Comma 3 2 3 4 5 2" xfId="5720"/>
    <cellStyle name="Comma 3 2 3 4 5 2 2" xfId="5721"/>
    <cellStyle name="Comma 3 2 3 4 5 3" xfId="5722"/>
    <cellStyle name="Comma 3 2 3 4 6" xfId="5723"/>
    <cellStyle name="Comma 3 2 3 4 6 2" xfId="5724"/>
    <cellStyle name="Comma 3 2 3 4 6 2 2" xfId="5725"/>
    <cellStyle name="Comma 3 2 3 4 6 3" xfId="5726"/>
    <cellStyle name="Comma 3 2 3 4 7" xfId="5727"/>
    <cellStyle name="Comma 3 2 3 4 7 2" xfId="5728"/>
    <cellStyle name="Comma 3 2 3 4 8" xfId="5729"/>
    <cellStyle name="Comma 3 2 3 4 8 2" xfId="36076"/>
    <cellStyle name="Comma 3 2 3 4 9" xfId="5730"/>
    <cellStyle name="Comma 3 2 3 5" xfId="5731"/>
    <cellStyle name="Comma 3 2 3 5 2" xfId="5732"/>
    <cellStyle name="Comma 3 2 3 5 2 2" xfId="5733"/>
    <cellStyle name="Comma 3 2 3 5 2 2 2" xfId="5734"/>
    <cellStyle name="Comma 3 2 3 5 2 2 2 2" xfId="5735"/>
    <cellStyle name="Comma 3 2 3 5 2 2 2 3" xfId="5736"/>
    <cellStyle name="Comma 3 2 3 5 2 2 3" xfId="5737"/>
    <cellStyle name="Comma 3 2 3 5 2 2 3 2" xfId="5738"/>
    <cellStyle name="Comma 3 2 3 5 2 2 4" xfId="5739"/>
    <cellStyle name="Comma 3 2 3 5 2 3" xfId="5740"/>
    <cellStyle name="Comma 3 2 3 5 2 3 2" xfId="5741"/>
    <cellStyle name="Comma 3 2 3 5 2 3 2 2" xfId="5742"/>
    <cellStyle name="Comma 3 2 3 5 2 3 3" xfId="5743"/>
    <cellStyle name="Comma 3 2 3 5 2 4" xfId="5744"/>
    <cellStyle name="Comma 3 2 3 5 2 4 2" xfId="5745"/>
    <cellStyle name="Comma 3 2 3 5 2 4 3" xfId="5746"/>
    <cellStyle name="Comma 3 2 3 5 2 5" xfId="5747"/>
    <cellStyle name="Comma 3 2 3 5 2 5 2" xfId="5748"/>
    <cellStyle name="Comma 3 2 3 5 2 6" xfId="5749"/>
    <cellStyle name="Comma 3 2 3 5 2 6 2" xfId="36077"/>
    <cellStyle name="Comma 3 2 3 5 2 7" xfId="5750"/>
    <cellStyle name="Comma 3 2 3 5 3" xfId="5751"/>
    <cellStyle name="Comma 3 2 3 5 3 2" xfId="5752"/>
    <cellStyle name="Comma 3 2 3 5 3 2 2" xfId="5753"/>
    <cellStyle name="Comma 3 2 3 5 3 2 2 2" xfId="5754"/>
    <cellStyle name="Comma 3 2 3 5 3 2 3" xfId="5755"/>
    <cellStyle name="Comma 3 2 3 5 3 3" xfId="5756"/>
    <cellStyle name="Comma 3 2 3 5 3 3 2" xfId="5757"/>
    <cellStyle name="Comma 3 2 3 5 3 4" xfId="5758"/>
    <cellStyle name="Comma 3 2 3 5 4" xfId="5759"/>
    <cellStyle name="Comma 3 2 3 5 4 2" xfId="5760"/>
    <cellStyle name="Comma 3 2 3 5 4 2 2" xfId="5761"/>
    <cellStyle name="Comma 3 2 3 5 4 3" xfId="5762"/>
    <cellStyle name="Comma 3 2 3 5 5" xfId="5763"/>
    <cellStyle name="Comma 3 2 3 5 5 2" xfId="5764"/>
    <cellStyle name="Comma 3 2 3 5 5 2 2" xfId="5765"/>
    <cellStyle name="Comma 3 2 3 5 5 3" xfId="5766"/>
    <cellStyle name="Comma 3 2 3 5 6" xfId="5767"/>
    <cellStyle name="Comma 3 2 3 5 6 2" xfId="5768"/>
    <cellStyle name="Comma 3 2 3 5 7" xfId="5769"/>
    <cellStyle name="Comma 3 2 3 5 7 2" xfId="36078"/>
    <cellStyle name="Comma 3 2 3 5 8" xfId="5770"/>
    <cellStyle name="Comma 3 2 3 6" xfId="5771"/>
    <cellStyle name="Comma 3 2 3 6 2" xfId="5772"/>
    <cellStyle name="Comma 3 2 3 6 2 2" xfId="5773"/>
    <cellStyle name="Comma 3 2 3 6 2 2 2" xfId="5774"/>
    <cellStyle name="Comma 3 2 3 6 2 2 2 2" xfId="5775"/>
    <cellStyle name="Comma 3 2 3 6 2 2 2 3" xfId="5776"/>
    <cellStyle name="Comma 3 2 3 6 2 2 3" xfId="5777"/>
    <cellStyle name="Comma 3 2 3 6 2 2 3 2" xfId="5778"/>
    <cellStyle name="Comma 3 2 3 6 2 2 4" xfId="5779"/>
    <cellStyle name="Comma 3 2 3 6 2 3" xfId="5780"/>
    <cellStyle name="Comma 3 2 3 6 2 3 2" xfId="5781"/>
    <cellStyle name="Comma 3 2 3 6 2 3 2 2" xfId="5782"/>
    <cellStyle name="Comma 3 2 3 6 2 3 3" xfId="5783"/>
    <cellStyle name="Comma 3 2 3 6 2 4" xfId="5784"/>
    <cellStyle name="Comma 3 2 3 6 2 4 2" xfId="5785"/>
    <cellStyle name="Comma 3 2 3 6 2 4 3" xfId="5786"/>
    <cellStyle name="Comma 3 2 3 6 2 5" xfId="5787"/>
    <cellStyle name="Comma 3 2 3 6 2 5 2" xfId="5788"/>
    <cellStyle name="Comma 3 2 3 6 2 6" xfId="5789"/>
    <cellStyle name="Comma 3 2 3 6 2 6 2" xfId="36079"/>
    <cellStyle name="Comma 3 2 3 6 2 7" xfId="5790"/>
    <cellStyle name="Comma 3 2 3 6 3" xfId="5791"/>
    <cellStyle name="Comma 3 2 3 6 3 2" xfId="5792"/>
    <cellStyle name="Comma 3 2 3 6 3 2 2" xfId="5793"/>
    <cellStyle name="Comma 3 2 3 6 3 2 2 2" xfId="5794"/>
    <cellStyle name="Comma 3 2 3 6 3 2 3" xfId="5795"/>
    <cellStyle name="Comma 3 2 3 6 3 3" xfId="5796"/>
    <cellStyle name="Comma 3 2 3 6 3 3 2" xfId="5797"/>
    <cellStyle name="Comma 3 2 3 6 3 4" xfId="5798"/>
    <cellStyle name="Comma 3 2 3 6 4" xfId="5799"/>
    <cellStyle name="Comma 3 2 3 6 4 2" xfId="5800"/>
    <cellStyle name="Comma 3 2 3 6 4 2 2" xfId="5801"/>
    <cellStyle name="Comma 3 2 3 6 4 3" xfId="5802"/>
    <cellStyle name="Comma 3 2 3 6 5" xfId="5803"/>
    <cellStyle name="Comma 3 2 3 6 5 2" xfId="5804"/>
    <cellStyle name="Comma 3 2 3 6 5 2 2" xfId="5805"/>
    <cellStyle name="Comma 3 2 3 6 5 3" xfId="5806"/>
    <cellStyle name="Comma 3 2 3 6 6" xfId="5807"/>
    <cellStyle name="Comma 3 2 3 6 6 2" xfId="5808"/>
    <cellStyle name="Comma 3 2 3 6 7" xfId="5809"/>
    <cellStyle name="Comma 3 2 3 6 7 2" xfId="36080"/>
    <cellStyle name="Comma 3 2 3 6 8" xfId="5810"/>
    <cellStyle name="Comma 3 2 3 7" xfId="5811"/>
    <cellStyle name="Comma 3 2 3 7 2" xfId="5812"/>
    <cellStyle name="Comma 3 2 3 7 2 2" xfId="5813"/>
    <cellStyle name="Comma 3 2 3 7 2 2 2" xfId="5814"/>
    <cellStyle name="Comma 3 2 3 7 2 2 2 2" xfId="5815"/>
    <cellStyle name="Comma 3 2 3 7 2 2 2 3" xfId="5816"/>
    <cellStyle name="Comma 3 2 3 7 2 2 3" xfId="5817"/>
    <cellStyle name="Comma 3 2 3 7 2 2 3 2" xfId="5818"/>
    <cellStyle name="Comma 3 2 3 7 2 2 4" xfId="5819"/>
    <cellStyle name="Comma 3 2 3 7 2 3" xfId="5820"/>
    <cellStyle name="Comma 3 2 3 7 2 3 2" xfId="5821"/>
    <cellStyle name="Comma 3 2 3 7 2 3 2 2" xfId="5822"/>
    <cellStyle name="Comma 3 2 3 7 2 3 3" xfId="5823"/>
    <cellStyle name="Comma 3 2 3 7 2 4" xfId="5824"/>
    <cellStyle name="Comma 3 2 3 7 2 4 2" xfId="5825"/>
    <cellStyle name="Comma 3 2 3 7 2 4 3" xfId="5826"/>
    <cellStyle name="Comma 3 2 3 7 2 5" xfId="5827"/>
    <cellStyle name="Comma 3 2 3 7 2 5 2" xfId="5828"/>
    <cellStyle name="Comma 3 2 3 7 2 6" xfId="5829"/>
    <cellStyle name="Comma 3 2 3 7 2 6 2" xfId="36081"/>
    <cellStyle name="Comma 3 2 3 7 2 7" xfId="5830"/>
    <cellStyle name="Comma 3 2 3 7 3" xfId="5831"/>
    <cellStyle name="Comma 3 2 3 7 3 2" xfId="5832"/>
    <cellStyle name="Comma 3 2 3 7 3 2 2" xfId="5833"/>
    <cellStyle name="Comma 3 2 3 7 3 2 2 2" xfId="5834"/>
    <cellStyle name="Comma 3 2 3 7 3 2 3" xfId="5835"/>
    <cellStyle name="Comma 3 2 3 7 3 3" xfId="5836"/>
    <cellStyle name="Comma 3 2 3 7 3 3 2" xfId="5837"/>
    <cellStyle name="Comma 3 2 3 7 3 4" xfId="5838"/>
    <cellStyle name="Comma 3 2 3 7 4" xfId="5839"/>
    <cellStyle name="Comma 3 2 3 7 4 2" xfId="5840"/>
    <cellStyle name="Comma 3 2 3 7 4 2 2" xfId="5841"/>
    <cellStyle name="Comma 3 2 3 7 4 3" xfId="5842"/>
    <cellStyle name="Comma 3 2 3 7 5" xfId="5843"/>
    <cellStyle name="Comma 3 2 3 7 5 2" xfId="5844"/>
    <cellStyle name="Comma 3 2 3 7 5 2 2" xfId="5845"/>
    <cellStyle name="Comma 3 2 3 7 5 3" xfId="5846"/>
    <cellStyle name="Comma 3 2 3 7 6" xfId="5847"/>
    <cellStyle name="Comma 3 2 3 7 6 2" xfId="5848"/>
    <cellStyle name="Comma 3 2 3 7 7" xfId="5849"/>
    <cellStyle name="Comma 3 2 3 7 7 2" xfId="36082"/>
    <cellStyle name="Comma 3 2 3 7 8" xfId="5850"/>
    <cellStyle name="Comma 3 2 3 8" xfId="5851"/>
    <cellStyle name="Comma 3 2 3 8 2" xfId="5852"/>
    <cellStyle name="Comma 3 2 3 8 2 2" xfId="5853"/>
    <cellStyle name="Comma 3 2 3 8 2 2 2" xfId="5854"/>
    <cellStyle name="Comma 3 2 3 8 2 2 3" xfId="5855"/>
    <cellStyle name="Comma 3 2 3 8 2 3" xfId="5856"/>
    <cellStyle name="Comma 3 2 3 8 2 3 2" xfId="5857"/>
    <cellStyle name="Comma 3 2 3 8 2 4" xfId="5858"/>
    <cellStyle name="Comma 3 2 3 8 3" xfId="5859"/>
    <cellStyle name="Comma 3 2 3 8 3 2" xfId="5860"/>
    <cellStyle name="Comma 3 2 3 8 3 2 2" xfId="5861"/>
    <cellStyle name="Comma 3 2 3 8 3 3" xfId="5862"/>
    <cellStyle name="Comma 3 2 3 8 4" xfId="5863"/>
    <cellStyle name="Comma 3 2 3 8 4 2" xfId="5864"/>
    <cellStyle name="Comma 3 2 3 8 4 3" xfId="5865"/>
    <cellStyle name="Comma 3 2 3 8 5" xfId="5866"/>
    <cellStyle name="Comma 3 2 3 8 5 2" xfId="5867"/>
    <cellStyle name="Comma 3 2 3 8 6" xfId="5868"/>
    <cellStyle name="Comma 3 2 3 8 6 2" xfId="36083"/>
    <cellStyle name="Comma 3 2 3 8 7" xfId="5869"/>
    <cellStyle name="Comma 3 2 3 9" xfId="5870"/>
    <cellStyle name="Comma 3 2 3 9 2" xfId="5871"/>
    <cellStyle name="Comma 3 2 3 9 2 2" xfId="5872"/>
    <cellStyle name="Comma 3 2 3 9 2 2 2" xfId="5873"/>
    <cellStyle name="Comma 3 2 3 9 2 3" xfId="5874"/>
    <cellStyle name="Comma 3 2 3 9 3" xfId="5875"/>
    <cellStyle name="Comma 3 2 3 9 3 2" xfId="5876"/>
    <cellStyle name="Comma 3 2 3 9 4" xfId="5877"/>
    <cellStyle name="Comma 3 2 4" xfId="5878"/>
    <cellStyle name="Comma 3 2 4 10" xfId="5879"/>
    <cellStyle name="Comma 3 2 4 10 2" xfId="5880"/>
    <cellStyle name="Comma 3 2 4 11" xfId="5881"/>
    <cellStyle name="Comma 3 2 4 11 2" xfId="36084"/>
    <cellStyle name="Comma 3 2 4 12" xfId="5882"/>
    <cellStyle name="Comma 3 2 4 2" xfId="5883"/>
    <cellStyle name="Comma 3 2 4 2 10" xfId="5884"/>
    <cellStyle name="Comma 3 2 4 2 2" xfId="5885"/>
    <cellStyle name="Comma 3 2 4 2 2 2" xfId="5886"/>
    <cellStyle name="Comma 3 2 4 2 2 2 2" xfId="5887"/>
    <cellStyle name="Comma 3 2 4 2 2 2 2 2" xfId="5888"/>
    <cellStyle name="Comma 3 2 4 2 2 2 2 2 2" xfId="5889"/>
    <cellStyle name="Comma 3 2 4 2 2 2 2 2 2 2" xfId="5890"/>
    <cellStyle name="Comma 3 2 4 2 2 2 2 2 2 3" xfId="5891"/>
    <cellStyle name="Comma 3 2 4 2 2 2 2 2 3" xfId="5892"/>
    <cellStyle name="Comma 3 2 4 2 2 2 2 2 3 2" xfId="5893"/>
    <cellStyle name="Comma 3 2 4 2 2 2 2 2 4" xfId="5894"/>
    <cellStyle name="Comma 3 2 4 2 2 2 2 3" xfId="5895"/>
    <cellStyle name="Comma 3 2 4 2 2 2 2 3 2" xfId="5896"/>
    <cellStyle name="Comma 3 2 4 2 2 2 2 3 2 2" xfId="5897"/>
    <cellStyle name="Comma 3 2 4 2 2 2 2 3 3" xfId="5898"/>
    <cellStyle name="Comma 3 2 4 2 2 2 2 4" xfId="5899"/>
    <cellStyle name="Comma 3 2 4 2 2 2 2 4 2" xfId="5900"/>
    <cellStyle name="Comma 3 2 4 2 2 2 2 4 3" xfId="5901"/>
    <cellStyle name="Comma 3 2 4 2 2 2 2 5" xfId="5902"/>
    <cellStyle name="Comma 3 2 4 2 2 2 2 5 2" xfId="5903"/>
    <cellStyle name="Comma 3 2 4 2 2 2 2 6" xfId="5904"/>
    <cellStyle name="Comma 3 2 4 2 2 2 2 6 2" xfId="36085"/>
    <cellStyle name="Comma 3 2 4 2 2 2 2 7" xfId="5905"/>
    <cellStyle name="Comma 3 2 4 2 2 2 3" xfId="5906"/>
    <cellStyle name="Comma 3 2 4 2 2 2 3 2" xfId="5907"/>
    <cellStyle name="Comma 3 2 4 2 2 2 3 2 2" xfId="5908"/>
    <cellStyle name="Comma 3 2 4 2 2 2 3 2 2 2" xfId="5909"/>
    <cellStyle name="Comma 3 2 4 2 2 2 3 2 3" xfId="5910"/>
    <cellStyle name="Comma 3 2 4 2 2 2 3 3" xfId="5911"/>
    <cellStyle name="Comma 3 2 4 2 2 2 3 3 2" xfId="5912"/>
    <cellStyle name="Comma 3 2 4 2 2 2 3 4" xfId="5913"/>
    <cellStyle name="Comma 3 2 4 2 2 2 4" xfId="5914"/>
    <cellStyle name="Comma 3 2 4 2 2 2 4 2" xfId="5915"/>
    <cellStyle name="Comma 3 2 4 2 2 2 4 2 2" xfId="5916"/>
    <cellStyle name="Comma 3 2 4 2 2 2 4 3" xfId="5917"/>
    <cellStyle name="Comma 3 2 4 2 2 2 5" xfId="5918"/>
    <cellStyle name="Comma 3 2 4 2 2 2 5 2" xfId="5919"/>
    <cellStyle name="Comma 3 2 4 2 2 2 5 2 2" xfId="5920"/>
    <cellStyle name="Comma 3 2 4 2 2 2 5 3" xfId="5921"/>
    <cellStyle name="Comma 3 2 4 2 2 2 6" xfId="5922"/>
    <cellStyle name="Comma 3 2 4 2 2 2 6 2" xfId="5923"/>
    <cellStyle name="Comma 3 2 4 2 2 2 7" xfId="5924"/>
    <cellStyle name="Comma 3 2 4 2 2 2 7 2" xfId="36086"/>
    <cellStyle name="Comma 3 2 4 2 2 2 8" xfId="5925"/>
    <cellStyle name="Comma 3 2 4 2 2 3" xfId="5926"/>
    <cellStyle name="Comma 3 2 4 2 2 3 2" xfId="5927"/>
    <cellStyle name="Comma 3 2 4 2 2 3 2 2" xfId="5928"/>
    <cellStyle name="Comma 3 2 4 2 2 3 2 2 2" xfId="5929"/>
    <cellStyle name="Comma 3 2 4 2 2 3 2 2 3" xfId="5930"/>
    <cellStyle name="Comma 3 2 4 2 2 3 2 3" xfId="5931"/>
    <cellStyle name="Comma 3 2 4 2 2 3 2 3 2" xfId="5932"/>
    <cellStyle name="Comma 3 2 4 2 2 3 2 4" xfId="5933"/>
    <cellStyle name="Comma 3 2 4 2 2 3 3" xfId="5934"/>
    <cellStyle name="Comma 3 2 4 2 2 3 3 2" xfId="5935"/>
    <cellStyle name="Comma 3 2 4 2 2 3 3 2 2" xfId="5936"/>
    <cellStyle name="Comma 3 2 4 2 2 3 3 3" xfId="5937"/>
    <cellStyle name="Comma 3 2 4 2 2 3 4" xfId="5938"/>
    <cellStyle name="Comma 3 2 4 2 2 3 4 2" xfId="5939"/>
    <cellStyle name="Comma 3 2 4 2 2 3 4 3" xfId="5940"/>
    <cellStyle name="Comma 3 2 4 2 2 3 5" xfId="5941"/>
    <cellStyle name="Comma 3 2 4 2 2 3 5 2" xfId="5942"/>
    <cellStyle name="Comma 3 2 4 2 2 3 6" xfId="5943"/>
    <cellStyle name="Comma 3 2 4 2 2 3 6 2" xfId="36087"/>
    <cellStyle name="Comma 3 2 4 2 2 3 7" xfId="5944"/>
    <cellStyle name="Comma 3 2 4 2 2 4" xfId="5945"/>
    <cellStyle name="Comma 3 2 4 2 2 4 2" xfId="5946"/>
    <cellStyle name="Comma 3 2 4 2 2 4 2 2" xfId="5947"/>
    <cellStyle name="Comma 3 2 4 2 2 4 2 2 2" xfId="5948"/>
    <cellStyle name="Comma 3 2 4 2 2 4 2 3" xfId="5949"/>
    <cellStyle name="Comma 3 2 4 2 2 4 3" xfId="5950"/>
    <cellStyle name="Comma 3 2 4 2 2 4 3 2" xfId="5951"/>
    <cellStyle name="Comma 3 2 4 2 2 4 4" xfId="5952"/>
    <cellStyle name="Comma 3 2 4 2 2 5" xfId="5953"/>
    <cellStyle name="Comma 3 2 4 2 2 5 2" xfId="5954"/>
    <cellStyle name="Comma 3 2 4 2 2 5 2 2" xfId="5955"/>
    <cellStyle name="Comma 3 2 4 2 2 5 3" xfId="5956"/>
    <cellStyle name="Comma 3 2 4 2 2 6" xfId="5957"/>
    <cellStyle name="Comma 3 2 4 2 2 6 2" xfId="5958"/>
    <cellStyle name="Comma 3 2 4 2 2 6 2 2" xfId="5959"/>
    <cellStyle name="Comma 3 2 4 2 2 6 3" xfId="5960"/>
    <cellStyle name="Comma 3 2 4 2 2 7" xfId="5961"/>
    <cellStyle name="Comma 3 2 4 2 2 7 2" xfId="5962"/>
    <cellStyle name="Comma 3 2 4 2 2 8" xfId="5963"/>
    <cellStyle name="Comma 3 2 4 2 2 8 2" xfId="36088"/>
    <cellStyle name="Comma 3 2 4 2 2 9" xfId="5964"/>
    <cellStyle name="Comma 3 2 4 2 3" xfId="5965"/>
    <cellStyle name="Comma 3 2 4 2 3 2" xfId="5966"/>
    <cellStyle name="Comma 3 2 4 2 3 2 2" xfId="5967"/>
    <cellStyle name="Comma 3 2 4 2 3 2 2 2" xfId="5968"/>
    <cellStyle name="Comma 3 2 4 2 3 2 2 2 2" xfId="5969"/>
    <cellStyle name="Comma 3 2 4 2 3 2 2 2 3" xfId="5970"/>
    <cellStyle name="Comma 3 2 4 2 3 2 2 3" xfId="5971"/>
    <cellStyle name="Comma 3 2 4 2 3 2 2 3 2" xfId="5972"/>
    <cellStyle name="Comma 3 2 4 2 3 2 2 4" xfId="5973"/>
    <cellStyle name="Comma 3 2 4 2 3 2 3" xfId="5974"/>
    <cellStyle name="Comma 3 2 4 2 3 2 3 2" xfId="5975"/>
    <cellStyle name="Comma 3 2 4 2 3 2 3 2 2" xfId="5976"/>
    <cellStyle name="Comma 3 2 4 2 3 2 3 3" xfId="5977"/>
    <cellStyle name="Comma 3 2 4 2 3 2 4" xfId="5978"/>
    <cellStyle name="Comma 3 2 4 2 3 2 4 2" xfId="5979"/>
    <cellStyle name="Comma 3 2 4 2 3 2 4 3" xfId="5980"/>
    <cellStyle name="Comma 3 2 4 2 3 2 5" xfId="5981"/>
    <cellStyle name="Comma 3 2 4 2 3 2 5 2" xfId="5982"/>
    <cellStyle name="Comma 3 2 4 2 3 2 6" xfId="5983"/>
    <cellStyle name="Comma 3 2 4 2 3 2 6 2" xfId="36089"/>
    <cellStyle name="Comma 3 2 4 2 3 2 7" xfId="5984"/>
    <cellStyle name="Comma 3 2 4 2 3 3" xfId="5985"/>
    <cellStyle name="Comma 3 2 4 2 3 3 2" xfId="5986"/>
    <cellStyle name="Comma 3 2 4 2 3 3 2 2" xfId="5987"/>
    <cellStyle name="Comma 3 2 4 2 3 3 2 2 2" xfId="5988"/>
    <cellStyle name="Comma 3 2 4 2 3 3 2 3" xfId="5989"/>
    <cellStyle name="Comma 3 2 4 2 3 3 3" xfId="5990"/>
    <cellStyle name="Comma 3 2 4 2 3 3 3 2" xfId="5991"/>
    <cellStyle name="Comma 3 2 4 2 3 3 4" xfId="5992"/>
    <cellStyle name="Comma 3 2 4 2 3 4" xfId="5993"/>
    <cellStyle name="Comma 3 2 4 2 3 4 2" xfId="5994"/>
    <cellStyle name="Comma 3 2 4 2 3 4 2 2" xfId="5995"/>
    <cellStyle name="Comma 3 2 4 2 3 4 3" xfId="5996"/>
    <cellStyle name="Comma 3 2 4 2 3 5" xfId="5997"/>
    <cellStyle name="Comma 3 2 4 2 3 5 2" xfId="5998"/>
    <cellStyle name="Comma 3 2 4 2 3 5 2 2" xfId="5999"/>
    <cellStyle name="Comma 3 2 4 2 3 5 3" xfId="6000"/>
    <cellStyle name="Comma 3 2 4 2 3 6" xfId="6001"/>
    <cellStyle name="Comma 3 2 4 2 3 6 2" xfId="6002"/>
    <cellStyle name="Comma 3 2 4 2 3 7" xfId="6003"/>
    <cellStyle name="Comma 3 2 4 2 3 7 2" xfId="36090"/>
    <cellStyle name="Comma 3 2 4 2 3 8" xfId="6004"/>
    <cellStyle name="Comma 3 2 4 2 4" xfId="6005"/>
    <cellStyle name="Comma 3 2 4 2 4 2" xfId="6006"/>
    <cellStyle name="Comma 3 2 4 2 4 2 2" xfId="6007"/>
    <cellStyle name="Comma 3 2 4 2 4 2 2 2" xfId="6008"/>
    <cellStyle name="Comma 3 2 4 2 4 2 2 3" xfId="6009"/>
    <cellStyle name="Comma 3 2 4 2 4 2 3" xfId="6010"/>
    <cellStyle name="Comma 3 2 4 2 4 2 3 2" xfId="6011"/>
    <cellStyle name="Comma 3 2 4 2 4 2 4" xfId="6012"/>
    <cellStyle name="Comma 3 2 4 2 4 3" xfId="6013"/>
    <cellStyle name="Comma 3 2 4 2 4 3 2" xfId="6014"/>
    <cellStyle name="Comma 3 2 4 2 4 3 2 2" xfId="6015"/>
    <cellStyle name="Comma 3 2 4 2 4 3 3" xfId="6016"/>
    <cellStyle name="Comma 3 2 4 2 4 4" xfId="6017"/>
    <cellStyle name="Comma 3 2 4 2 4 4 2" xfId="6018"/>
    <cellStyle name="Comma 3 2 4 2 4 4 3" xfId="6019"/>
    <cellStyle name="Comma 3 2 4 2 4 5" xfId="6020"/>
    <cellStyle name="Comma 3 2 4 2 4 5 2" xfId="6021"/>
    <cellStyle name="Comma 3 2 4 2 4 6" xfId="6022"/>
    <cellStyle name="Comma 3 2 4 2 4 6 2" xfId="36091"/>
    <cellStyle name="Comma 3 2 4 2 4 7" xfId="6023"/>
    <cellStyle name="Comma 3 2 4 2 5" xfId="6024"/>
    <cellStyle name="Comma 3 2 4 2 5 2" xfId="6025"/>
    <cellStyle name="Comma 3 2 4 2 5 2 2" xfId="6026"/>
    <cellStyle name="Comma 3 2 4 2 5 2 2 2" xfId="6027"/>
    <cellStyle name="Comma 3 2 4 2 5 2 3" xfId="6028"/>
    <cellStyle name="Comma 3 2 4 2 5 3" xfId="6029"/>
    <cellStyle name="Comma 3 2 4 2 5 3 2" xfId="6030"/>
    <cellStyle name="Comma 3 2 4 2 5 4" xfId="6031"/>
    <cellStyle name="Comma 3 2 4 2 6" xfId="6032"/>
    <cellStyle name="Comma 3 2 4 2 6 2" xfId="6033"/>
    <cellStyle name="Comma 3 2 4 2 6 2 2" xfId="6034"/>
    <cellStyle name="Comma 3 2 4 2 6 3" xfId="6035"/>
    <cellStyle name="Comma 3 2 4 2 7" xfId="6036"/>
    <cellStyle name="Comma 3 2 4 2 7 2" xfId="6037"/>
    <cellStyle name="Comma 3 2 4 2 7 2 2" xfId="6038"/>
    <cellStyle name="Comma 3 2 4 2 7 3" xfId="6039"/>
    <cellStyle name="Comma 3 2 4 2 8" xfId="6040"/>
    <cellStyle name="Comma 3 2 4 2 8 2" xfId="6041"/>
    <cellStyle name="Comma 3 2 4 2 9" xfId="6042"/>
    <cellStyle name="Comma 3 2 4 2 9 2" xfId="36092"/>
    <cellStyle name="Comma 3 2 4 3" xfId="6043"/>
    <cellStyle name="Comma 3 2 4 3 2" xfId="6044"/>
    <cellStyle name="Comma 3 2 4 3 2 2" xfId="6045"/>
    <cellStyle name="Comma 3 2 4 3 2 2 2" xfId="6046"/>
    <cellStyle name="Comma 3 2 4 3 2 2 2 2" xfId="6047"/>
    <cellStyle name="Comma 3 2 4 3 2 2 2 2 2" xfId="6048"/>
    <cellStyle name="Comma 3 2 4 3 2 2 2 2 3" xfId="6049"/>
    <cellStyle name="Comma 3 2 4 3 2 2 2 3" xfId="6050"/>
    <cellStyle name="Comma 3 2 4 3 2 2 2 3 2" xfId="6051"/>
    <cellStyle name="Comma 3 2 4 3 2 2 2 4" xfId="6052"/>
    <cellStyle name="Comma 3 2 4 3 2 2 3" xfId="6053"/>
    <cellStyle name="Comma 3 2 4 3 2 2 3 2" xfId="6054"/>
    <cellStyle name="Comma 3 2 4 3 2 2 3 2 2" xfId="6055"/>
    <cellStyle name="Comma 3 2 4 3 2 2 3 3" xfId="6056"/>
    <cellStyle name="Comma 3 2 4 3 2 2 4" xfId="6057"/>
    <cellStyle name="Comma 3 2 4 3 2 2 4 2" xfId="6058"/>
    <cellStyle name="Comma 3 2 4 3 2 2 4 3" xfId="6059"/>
    <cellStyle name="Comma 3 2 4 3 2 2 5" xfId="6060"/>
    <cellStyle name="Comma 3 2 4 3 2 2 5 2" xfId="6061"/>
    <cellStyle name="Comma 3 2 4 3 2 2 6" xfId="6062"/>
    <cellStyle name="Comma 3 2 4 3 2 2 6 2" xfId="36093"/>
    <cellStyle name="Comma 3 2 4 3 2 2 7" xfId="6063"/>
    <cellStyle name="Comma 3 2 4 3 2 3" xfId="6064"/>
    <cellStyle name="Comma 3 2 4 3 2 3 2" xfId="6065"/>
    <cellStyle name="Comma 3 2 4 3 2 3 2 2" xfId="6066"/>
    <cellStyle name="Comma 3 2 4 3 2 3 2 2 2" xfId="6067"/>
    <cellStyle name="Comma 3 2 4 3 2 3 2 3" xfId="6068"/>
    <cellStyle name="Comma 3 2 4 3 2 3 3" xfId="6069"/>
    <cellStyle name="Comma 3 2 4 3 2 3 3 2" xfId="6070"/>
    <cellStyle name="Comma 3 2 4 3 2 3 4" xfId="6071"/>
    <cellStyle name="Comma 3 2 4 3 2 4" xfId="6072"/>
    <cellStyle name="Comma 3 2 4 3 2 4 2" xfId="6073"/>
    <cellStyle name="Comma 3 2 4 3 2 4 2 2" xfId="6074"/>
    <cellStyle name="Comma 3 2 4 3 2 4 3" xfId="6075"/>
    <cellStyle name="Comma 3 2 4 3 2 5" xfId="6076"/>
    <cellStyle name="Comma 3 2 4 3 2 5 2" xfId="6077"/>
    <cellStyle name="Comma 3 2 4 3 2 5 2 2" xfId="6078"/>
    <cellStyle name="Comma 3 2 4 3 2 5 3" xfId="6079"/>
    <cellStyle name="Comma 3 2 4 3 2 6" xfId="6080"/>
    <cellStyle name="Comma 3 2 4 3 2 6 2" xfId="6081"/>
    <cellStyle name="Comma 3 2 4 3 2 7" xfId="6082"/>
    <cellStyle name="Comma 3 2 4 3 2 7 2" xfId="36094"/>
    <cellStyle name="Comma 3 2 4 3 2 8" xfId="6083"/>
    <cellStyle name="Comma 3 2 4 3 3" xfId="6084"/>
    <cellStyle name="Comma 3 2 4 3 3 2" xfId="6085"/>
    <cellStyle name="Comma 3 2 4 3 3 2 2" xfId="6086"/>
    <cellStyle name="Comma 3 2 4 3 3 2 2 2" xfId="6087"/>
    <cellStyle name="Comma 3 2 4 3 3 2 2 3" xfId="6088"/>
    <cellStyle name="Comma 3 2 4 3 3 2 3" xfId="6089"/>
    <cellStyle name="Comma 3 2 4 3 3 2 3 2" xfId="6090"/>
    <cellStyle name="Comma 3 2 4 3 3 2 4" xfId="6091"/>
    <cellStyle name="Comma 3 2 4 3 3 3" xfId="6092"/>
    <cellStyle name="Comma 3 2 4 3 3 3 2" xfId="6093"/>
    <cellStyle name="Comma 3 2 4 3 3 3 2 2" xfId="6094"/>
    <cellStyle name="Comma 3 2 4 3 3 3 3" xfId="6095"/>
    <cellStyle name="Comma 3 2 4 3 3 4" xfId="6096"/>
    <cellStyle name="Comma 3 2 4 3 3 4 2" xfId="6097"/>
    <cellStyle name="Comma 3 2 4 3 3 4 3" xfId="6098"/>
    <cellStyle name="Comma 3 2 4 3 3 5" xfId="6099"/>
    <cellStyle name="Comma 3 2 4 3 3 5 2" xfId="6100"/>
    <cellStyle name="Comma 3 2 4 3 3 6" xfId="6101"/>
    <cellStyle name="Comma 3 2 4 3 3 6 2" xfId="36095"/>
    <cellStyle name="Comma 3 2 4 3 3 7" xfId="6102"/>
    <cellStyle name="Comma 3 2 4 3 4" xfId="6103"/>
    <cellStyle name="Comma 3 2 4 3 4 2" xfId="6104"/>
    <cellStyle name="Comma 3 2 4 3 4 2 2" xfId="6105"/>
    <cellStyle name="Comma 3 2 4 3 4 2 2 2" xfId="6106"/>
    <cellStyle name="Comma 3 2 4 3 4 2 3" xfId="6107"/>
    <cellStyle name="Comma 3 2 4 3 4 3" xfId="6108"/>
    <cellStyle name="Comma 3 2 4 3 4 3 2" xfId="6109"/>
    <cellStyle name="Comma 3 2 4 3 4 4" xfId="6110"/>
    <cellStyle name="Comma 3 2 4 3 5" xfId="6111"/>
    <cellStyle name="Comma 3 2 4 3 5 2" xfId="6112"/>
    <cellStyle name="Comma 3 2 4 3 5 2 2" xfId="6113"/>
    <cellStyle name="Comma 3 2 4 3 5 3" xfId="6114"/>
    <cellStyle name="Comma 3 2 4 3 6" xfId="6115"/>
    <cellStyle name="Comma 3 2 4 3 6 2" xfId="6116"/>
    <cellStyle name="Comma 3 2 4 3 6 2 2" xfId="6117"/>
    <cellStyle name="Comma 3 2 4 3 6 3" xfId="6118"/>
    <cellStyle name="Comma 3 2 4 3 7" xfId="6119"/>
    <cellStyle name="Comma 3 2 4 3 7 2" xfId="6120"/>
    <cellStyle name="Comma 3 2 4 3 8" xfId="6121"/>
    <cellStyle name="Comma 3 2 4 3 8 2" xfId="36096"/>
    <cellStyle name="Comma 3 2 4 3 9" xfId="6122"/>
    <cellStyle name="Comma 3 2 4 4" xfId="6123"/>
    <cellStyle name="Comma 3 2 4 4 2" xfId="6124"/>
    <cellStyle name="Comma 3 2 4 4 2 2" xfId="6125"/>
    <cellStyle name="Comma 3 2 4 4 2 2 2" xfId="6126"/>
    <cellStyle name="Comma 3 2 4 4 2 2 2 2" xfId="6127"/>
    <cellStyle name="Comma 3 2 4 4 2 2 2 3" xfId="6128"/>
    <cellStyle name="Comma 3 2 4 4 2 2 3" xfId="6129"/>
    <cellStyle name="Comma 3 2 4 4 2 2 3 2" xfId="6130"/>
    <cellStyle name="Comma 3 2 4 4 2 2 4" xfId="6131"/>
    <cellStyle name="Comma 3 2 4 4 2 3" xfId="6132"/>
    <cellStyle name="Comma 3 2 4 4 2 3 2" xfId="6133"/>
    <cellStyle name="Comma 3 2 4 4 2 3 2 2" xfId="6134"/>
    <cellStyle name="Comma 3 2 4 4 2 3 3" xfId="6135"/>
    <cellStyle name="Comma 3 2 4 4 2 4" xfId="6136"/>
    <cellStyle name="Comma 3 2 4 4 2 4 2" xfId="6137"/>
    <cellStyle name="Comma 3 2 4 4 2 4 3" xfId="6138"/>
    <cellStyle name="Comma 3 2 4 4 2 5" xfId="6139"/>
    <cellStyle name="Comma 3 2 4 4 2 5 2" xfId="6140"/>
    <cellStyle name="Comma 3 2 4 4 2 6" xfId="6141"/>
    <cellStyle name="Comma 3 2 4 4 2 6 2" xfId="36097"/>
    <cellStyle name="Comma 3 2 4 4 2 7" xfId="6142"/>
    <cellStyle name="Comma 3 2 4 4 3" xfId="6143"/>
    <cellStyle name="Comma 3 2 4 4 3 2" xfId="6144"/>
    <cellStyle name="Comma 3 2 4 4 3 2 2" xfId="6145"/>
    <cellStyle name="Comma 3 2 4 4 3 2 2 2" xfId="6146"/>
    <cellStyle name="Comma 3 2 4 4 3 2 3" xfId="6147"/>
    <cellStyle name="Comma 3 2 4 4 3 3" xfId="6148"/>
    <cellStyle name="Comma 3 2 4 4 3 3 2" xfId="6149"/>
    <cellStyle name="Comma 3 2 4 4 3 4" xfId="6150"/>
    <cellStyle name="Comma 3 2 4 4 4" xfId="6151"/>
    <cellStyle name="Comma 3 2 4 4 4 2" xfId="6152"/>
    <cellStyle name="Comma 3 2 4 4 4 2 2" xfId="6153"/>
    <cellStyle name="Comma 3 2 4 4 4 3" xfId="6154"/>
    <cellStyle name="Comma 3 2 4 4 5" xfId="6155"/>
    <cellStyle name="Comma 3 2 4 4 5 2" xfId="6156"/>
    <cellStyle name="Comma 3 2 4 4 5 2 2" xfId="6157"/>
    <cellStyle name="Comma 3 2 4 4 5 3" xfId="6158"/>
    <cellStyle name="Comma 3 2 4 4 6" xfId="6159"/>
    <cellStyle name="Comma 3 2 4 4 6 2" xfId="6160"/>
    <cellStyle name="Comma 3 2 4 4 7" xfId="6161"/>
    <cellStyle name="Comma 3 2 4 4 7 2" xfId="36098"/>
    <cellStyle name="Comma 3 2 4 4 8" xfId="6162"/>
    <cellStyle name="Comma 3 2 4 5" xfId="6163"/>
    <cellStyle name="Comma 3 2 4 5 2" xfId="6164"/>
    <cellStyle name="Comma 3 2 4 5 2 2" xfId="6165"/>
    <cellStyle name="Comma 3 2 4 5 2 2 2" xfId="6166"/>
    <cellStyle name="Comma 3 2 4 5 2 2 2 2" xfId="6167"/>
    <cellStyle name="Comma 3 2 4 5 2 2 2 3" xfId="6168"/>
    <cellStyle name="Comma 3 2 4 5 2 2 3" xfId="6169"/>
    <cellStyle name="Comma 3 2 4 5 2 2 3 2" xfId="6170"/>
    <cellStyle name="Comma 3 2 4 5 2 2 4" xfId="6171"/>
    <cellStyle name="Comma 3 2 4 5 2 3" xfId="6172"/>
    <cellStyle name="Comma 3 2 4 5 2 3 2" xfId="6173"/>
    <cellStyle name="Comma 3 2 4 5 2 3 2 2" xfId="6174"/>
    <cellStyle name="Comma 3 2 4 5 2 3 3" xfId="6175"/>
    <cellStyle name="Comma 3 2 4 5 2 4" xfId="6176"/>
    <cellStyle name="Comma 3 2 4 5 2 4 2" xfId="6177"/>
    <cellStyle name="Comma 3 2 4 5 2 4 3" xfId="6178"/>
    <cellStyle name="Comma 3 2 4 5 2 5" xfId="6179"/>
    <cellStyle name="Comma 3 2 4 5 2 5 2" xfId="6180"/>
    <cellStyle name="Comma 3 2 4 5 2 6" xfId="6181"/>
    <cellStyle name="Comma 3 2 4 5 2 6 2" xfId="36099"/>
    <cellStyle name="Comma 3 2 4 5 2 7" xfId="6182"/>
    <cellStyle name="Comma 3 2 4 5 3" xfId="6183"/>
    <cellStyle name="Comma 3 2 4 5 3 2" xfId="6184"/>
    <cellStyle name="Comma 3 2 4 5 3 2 2" xfId="6185"/>
    <cellStyle name="Comma 3 2 4 5 3 2 2 2" xfId="6186"/>
    <cellStyle name="Comma 3 2 4 5 3 2 3" xfId="6187"/>
    <cellStyle name="Comma 3 2 4 5 3 3" xfId="6188"/>
    <cellStyle name="Comma 3 2 4 5 3 3 2" xfId="6189"/>
    <cellStyle name="Comma 3 2 4 5 3 4" xfId="6190"/>
    <cellStyle name="Comma 3 2 4 5 4" xfId="6191"/>
    <cellStyle name="Comma 3 2 4 5 4 2" xfId="6192"/>
    <cellStyle name="Comma 3 2 4 5 4 2 2" xfId="6193"/>
    <cellStyle name="Comma 3 2 4 5 4 3" xfId="6194"/>
    <cellStyle name="Comma 3 2 4 5 5" xfId="6195"/>
    <cellStyle name="Comma 3 2 4 5 5 2" xfId="6196"/>
    <cellStyle name="Comma 3 2 4 5 5 2 2" xfId="6197"/>
    <cellStyle name="Comma 3 2 4 5 5 3" xfId="6198"/>
    <cellStyle name="Comma 3 2 4 5 6" xfId="6199"/>
    <cellStyle name="Comma 3 2 4 5 6 2" xfId="6200"/>
    <cellStyle name="Comma 3 2 4 5 7" xfId="6201"/>
    <cellStyle name="Comma 3 2 4 5 7 2" xfId="36100"/>
    <cellStyle name="Comma 3 2 4 5 8" xfId="6202"/>
    <cellStyle name="Comma 3 2 4 6" xfId="6203"/>
    <cellStyle name="Comma 3 2 4 6 2" xfId="6204"/>
    <cellStyle name="Comma 3 2 4 6 2 2" xfId="6205"/>
    <cellStyle name="Comma 3 2 4 6 2 2 2" xfId="6206"/>
    <cellStyle name="Comma 3 2 4 6 2 2 3" xfId="6207"/>
    <cellStyle name="Comma 3 2 4 6 2 3" xfId="6208"/>
    <cellStyle name="Comma 3 2 4 6 2 3 2" xfId="6209"/>
    <cellStyle name="Comma 3 2 4 6 2 4" xfId="6210"/>
    <cellStyle name="Comma 3 2 4 6 3" xfId="6211"/>
    <cellStyle name="Comma 3 2 4 6 3 2" xfId="6212"/>
    <cellStyle name="Comma 3 2 4 6 3 2 2" xfId="6213"/>
    <cellStyle name="Comma 3 2 4 6 3 3" xfId="6214"/>
    <cellStyle name="Comma 3 2 4 6 4" xfId="6215"/>
    <cellStyle name="Comma 3 2 4 6 4 2" xfId="6216"/>
    <cellStyle name="Comma 3 2 4 6 4 3" xfId="6217"/>
    <cellStyle name="Comma 3 2 4 6 5" xfId="6218"/>
    <cellStyle name="Comma 3 2 4 6 5 2" xfId="6219"/>
    <cellStyle name="Comma 3 2 4 6 6" xfId="6220"/>
    <cellStyle name="Comma 3 2 4 6 6 2" xfId="36101"/>
    <cellStyle name="Comma 3 2 4 6 7" xfId="6221"/>
    <cellStyle name="Comma 3 2 4 7" xfId="6222"/>
    <cellStyle name="Comma 3 2 4 7 2" xfId="6223"/>
    <cellStyle name="Comma 3 2 4 7 2 2" xfId="6224"/>
    <cellStyle name="Comma 3 2 4 7 2 2 2" xfId="6225"/>
    <cellStyle name="Comma 3 2 4 7 2 3" xfId="6226"/>
    <cellStyle name="Comma 3 2 4 7 3" xfId="6227"/>
    <cellStyle name="Comma 3 2 4 7 3 2" xfId="6228"/>
    <cellStyle name="Comma 3 2 4 7 4" xfId="6229"/>
    <cellStyle name="Comma 3 2 4 8" xfId="6230"/>
    <cellStyle name="Comma 3 2 4 8 2" xfId="6231"/>
    <cellStyle name="Comma 3 2 4 8 2 2" xfId="6232"/>
    <cellStyle name="Comma 3 2 4 8 3" xfId="6233"/>
    <cellStyle name="Comma 3 2 4 9" xfId="6234"/>
    <cellStyle name="Comma 3 2 4 9 2" xfId="6235"/>
    <cellStyle name="Comma 3 2 4 9 2 2" xfId="6236"/>
    <cellStyle name="Comma 3 2 4 9 3" xfId="6237"/>
    <cellStyle name="Comma 3 2 5" xfId="6238"/>
    <cellStyle name="Comma 3 2 5 10" xfId="6239"/>
    <cellStyle name="Comma 3 2 5 10 2" xfId="6240"/>
    <cellStyle name="Comma 3 2 5 11" xfId="6241"/>
    <cellStyle name="Comma 3 2 5 11 2" xfId="36102"/>
    <cellStyle name="Comma 3 2 5 12" xfId="6242"/>
    <cellStyle name="Comma 3 2 5 2" xfId="6243"/>
    <cellStyle name="Comma 3 2 5 2 10" xfId="6244"/>
    <cellStyle name="Comma 3 2 5 2 2" xfId="6245"/>
    <cellStyle name="Comma 3 2 5 2 2 2" xfId="6246"/>
    <cellStyle name="Comma 3 2 5 2 2 2 2" xfId="6247"/>
    <cellStyle name="Comma 3 2 5 2 2 2 2 2" xfId="6248"/>
    <cellStyle name="Comma 3 2 5 2 2 2 2 2 2" xfId="6249"/>
    <cellStyle name="Comma 3 2 5 2 2 2 2 2 2 2" xfId="6250"/>
    <cellStyle name="Comma 3 2 5 2 2 2 2 2 2 3" xfId="6251"/>
    <cellStyle name="Comma 3 2 5 2 2 2 2 2 3" xfId="6252"/>
    <cellStyle name="Comma 3 2 5 2 2 2 2 2 3 2" xfId="6253"/>
    <cellStyle name="Comma 3 2 5 2 2 2 2 2 4" xfId="6254"/>
    <cellStyle name="Comma 3 2 5 2 2 2 2 3" xfId="6255"/>
    <cellStyle name="Comma 3 2 5 2 2 2 2 3 2" xfId="6256"/>
    <cellStyle name="Comma 3 2 5 2 2 2 2 3 2 2" xfId="6257"/>
    <cellStyle name="Comma 3 2 5 2 2 2 2 3 3" xfId="6258"/>
    <cellStyle name="Comma 3 2 5 2 2 2 2 4" xfId="6259"/>
    <cellStyle name="Comma 3 2 5 2 2 2 2 4 2" xfId="6260"/>
    <cellStyle name="Comma 3 2 5 2 2 2 2 4 3" xfId="6261"/>
    <cellStyle name="Comma 3 2 5 2 2 2 2 5" xfId="6262"/>
    <cellStyle name="Comma 3 2 5 2 2 2 2 5 2" xfId="6263"/>
    <cellStyle name="Comma 3 2 5 2 2 2 2 6" xfId="6264"/>
    <cellStyle name="Comma 3 2 5 2 2 2 2 6 2" xfId="36103"/>
    <cellStyle name="Comma 3 2 5 2 2 2 2 7" xfId="6265"/>
    <cellStyle name="Comma 3 2 5 2 2 2 3" xfId="6266"/>
    <cellStyle name="Comma 3 2 5 2 2 2 3 2" xfId="6267"/>
    <cellStyle name="Comma 3 2 5 2 2 2 3 2 2" xfId="6268"/>
    <cellStyle name="Comma 3 2 5 2 2 2 3 2 2 2" xfId="6269"/>
    <cellStyle name="Comma 3 2 5 2 2 2 3 2 3" xfId="6270"/>
    <cellStyle name="Comma 3 2 5 2 2 2 3 3" xfId="6271"/>
    <cellStyle name="Comma 3 2 5 2 2 2 3 3 2" xfId="6272"/>
    <cellStyle name="Comma 3 2 5 2 2 2 3 4" xfId="6273"/>
    <cellStyle name="Comma 3 2 5 2 2 2 4" xfId="6274"/>
    <cellStyle name="Comma 3 2 5 2 2 2 4 2" xfId="6275"/>
    <cellStyle name="Comma 3 2 5 2 2 2 4 2 2" xfId="6276"/>
    <cellStyle name="Comma 3 2 5 2 2 2 4 3" xfId="6277"/>
    <cellStyle name="Comma 3 2 5 2 2 2 5" xfId="6278"/>
    <cellStyle name="Comma 3 2 5 2 2 2 5 2" xfId="6279"/>
    <cellStyle name="Comma 3 2 5 2 2 2 5 2 2" xfId="6280"/>
    <cellStyle name="Comma 3 2 5 2 2 2 5 3" xfId="6281"/>
    <cellStyle name="Comma 3 2 5 2 2 2 6" xfId="6282"/>
    <cellStyle name="Comma 3 2 5 2 2 2 6 2" xfId="6283"/>
    <cellStyle name="Comma 3 2 5 2 2 2 7" xfId="6284"/>
    <cellStyle name="Comma 3 2 5 2 2 2 7 2" xfId="36104"/>
    <cellStyle name="Comma 3 2 5 2 2 2 8" xfId="6285"/>
    <cellStyle name="Comma 3 2 5 2 2 3" xfId="6286"/>
    <cellStyle name="Comma 3 2 5 2 2 3 2" xfId="6287"/>
    <cellStyle name="Comma 3 2 5 2 2 3 2 2" xfId="6288"/>
    <cellStyle name="Comma 3 2 5 2 2 3 2 2 2" xfId="6289"/>
    <cellStyle name="Comma 3 2 5 2 2 3 2 2 3" xfId="6290"/>
    <cellStyle name="Comma 3 2 5 2 2 3 2 3" xfId="6291"/>
    <cellStyle name="Comma 3 2 5 2 2 3 2 3 2" xfId="6292"/>
    <cellStyle name="Comma 3 2 5 2 2 3 2 4" xfId="6293"/>
    <cellStyle name="Comma 3 2 5 2 2 3 3" xfId="6294"/>
    <cellStyle name="Comma 3 2 5 2 2 3 3 2" xfId="6295"/>
    <cellStyle name="Comma 3 2 5 2 2 3 3 2 2" xfId="6296"/>
    <cellStyle name="Comma 3 2 5 2 2 3 3 3" xfId="6297"/>
    <cellStyle name="Comma 3 2 5 2 2 3 4" xfId="6298"/>
    <cellStyle name="Comma 3 2 5 2 2 3 4 2" xfId="6299"/>
    <cellStyle name="Comma 3 2 5 2 2 3 4 3" xfId="6300"/>
    <cellStyle name="Comma 3 2 5 2 2 3 5" xfId="6301"/>
    <cellStyle name="Comma 3 2 5 2 2 3 5 2" xfId="6302"/>
    <cellStyle name="Comma 3 2 5 2 2 3 6" xfId="6303"/>
    <cellStyle name="Comma 3 2 5 2 2 3 6 2" xfId="36105"/>
    <cellStyle name="Comma 3 2 5 2 2 3 7" xfId="6304"/>
    <cellStyle name="Comma 3 2 5 2 2 4" xfId="6305"/>
    <cellStyle name="Comma 3 2 5 2 2 4 2" xfId="6306"/>
    <cellStyle name="Comma 3 2 5 2 2 4 2 2" xfId="6307"/>
    <cellStyle name="Comma 3 2 5 2 2 4 2 2 2" xfId="6308"/>
    <cellStyle name="Comma 3 2 5 2 2 4 2 3" xfId="6309"/>
    <cellStyle name="Comma 3 2 5 2 2 4 3" xfId="6310"/>
    <cellStyle name="Comma 3 2 5 2 2 4 3 2" xfId="6311"/>
    <cellStyle name="Comma 3 2 5 2 2 4 4" xfId="6312"/>
    <cellStyle name="Comma 3 2 5 2 2 5" xfId="6313"/>
    <cellStyle name="Comma 3 2 5 2 2 5 2" xfId="6314"/>
    <cellStyle name="Comma 3 2 5 2 2 5 2 2" xfId="6315"/>
    <cellStyle name="Comma 3 2 5 2 2 5 3" xfId="6316"/>
    <cellStyle name="Comma 3 2 5 2 2 6" xfId="6317"/>
    <cellStyle name="Comma 3 2 5 2 2 6 2" xfId="6318"/>
    <cellStyle name="Comma 3 2 5 2 2 6 2 2" xfId="6319"/>
    <cellStyle name="Comma 3 2 5 2 2 6 3" xfId="6320"/>
    <cellStyle name="Comma 3 2 5 2 2 7" xfId="6321"/>
    <cellStyle name="Comma 3 2 5 2 2 7 2" xfId="6322"/>
    <cellStyle name="Comma 3 2 5 2 2 8" xfId="6323"/>
    <cellStyle name="Comma 3 2 5 2 2 8 2" xfId="36106"/>
    <cellStyle name="Comma 3 2 5 2 2 9" xfId="6324"/>
    <cellStyle name="Comma 3 2 5 2 3" xfId="6325"/>
    <cellStyle name="Comma 3 2 5 2 3 2" xfId="6326"/>
    <cellStyle name="Comma 3 2 5 2 3 2 2" xfId="6327"/>
    <cellStyle name="Comma 3 2 5 2 3 2 2 2" xfId="6328"/>
    <cellStyle name="Comma 3 2 5 2 3 2 2 2 2" xfId="6329"/>
    <cellStyle name="Comma 3 2 5 2 3 2 2 2 3" xfId="6330"/>
    <cellStyle name="Comma 3 2 5 2 3 2 2 3" xfId="6331"/>
    <cellStyle name="Comma 3 2 5 2 3 2 2 3 2" xfId="6332"/>
    <cellStyle name="Comma 3 2 5 2 3 2 2 4" xfId="6333"/>
    <cellStyle name="Comma 3 2 5 2 3 2 3" xfId="6334"/>
    <cellStyle name="Comma 3 2 5 2 3 2 3 2" xfId="6335"/>
    <cellStyle name="Comma 3 2 5 2 3 2 3 2 2" xfId="6336"/>
    <cellStyle name="Comma 3 2 5 2 3 2 3 3" xfId="6337"/>
    <cellStyle name="Comma 3 2 5 2 3 2 4" xfId="6338"/>
    <cellStyle name="Comma 3 2 5 2 3 2 4 2" xfId="6339"/>
    <cellStyle name="Comma 3 2 5 2 3 2 4 3" xfId="6340"/>
    <cellStyle name="Comma 3 2 5 2 3 2 5" xfId="6341"/>
    <cellStyle name="Comma 3 2 5 2 3 2 5 2" xfId="6342"/>
    <cellStyle name="Comma 3 2 5 2 3 2 6" xfId="6343"/>
    <cellStyle name="Comma 3 2 5 2 3 2 6 2" xfId="36107"/>
    <cellStyle name="Comma 3 2 5 2 3 2 7" xfId="6344"/>
    <cellStyle name="Comma 3 2 5 2 3 3" xfId="6345"/>
    <cellStyle name="Comma 3 2 5 2 3 3 2" xfId="6346"/>
    <cellStyle name="Comma 3 2 5 2 3 3 2 2" xfId="6347"/>
    <cellStyle name="Comma 3 2 5 2 3 3 2 2 2" xfId="6348"/>
    <cellStyle name="Comma 3 2 5 2 3 3 2 3" xfId="6349"/>
    <cellStyle name="Comma 3 2 5 2 3 3 3" xfId="6350"/>
    <cellStyle name="Comma 3 2 5 2 3 3 3 2" xfId="6351"/>
    <cellStyle name="Comma 3 2 5 2 3 3 4" xfId="6352"/>
    <cellStyle name="Comma 3 2 5 2 3 4" xfId="6353"/>
    <cellStyle name="Comma 3 2 5 2 3 4 2" xfId="6354"/>
    <cellStyle name="Comma 3 2 5 2 3 4 2 2" xfId="6355"/>
    <cellStyle name="Comma 3 2 5 2 3 4 3" xfId="6356"/>
    <cellStyle name="Comma 3 2 5 2 3 5" xfId="6357"/>
    <cellStyle name="Comma 3 2 5 2 3 5 2" xfId="6358"/>
    <cellStyle name="Comma 3 2 5 2 3 5 2 2" xfId="6359"/>
    <cellStyle name="Comma 3 2 5 2 3 5 3" xfId="6360"/>
    <cellStyle name="Comma 3 2 5 2 3 6" xfId="6361"/>
    <cellStyle name="Comma 3 2 5 2 3 6 2" xfId="6362"/>
    <cellStyle name="Comma 3 2 5 2 3 7" xfId="6363"/>
    <cellStyle name="Comma 3 2 5 2 3 7 2" xfId="36108"/>
    <cellStyle name="Comma 3 2 5 2 3 8" xfId="6364"/>
    <cellStyle name="Comma 3 2 5 2 4" xfId="6365"/>
    <cellStyle name="Comma 3 2 5 2 4 2" xfId="6366"/>
    <cellStyle name="Comma 3 2 5 2 4 2 2" xfId="6367"/>
    <cellStyle name="Comma 3 2 5 2 4 2 2 2" xfId="6368"/>
    <cellStyle name="Comma 3 2 5 2 4 2 2 3" xfId="6369"/>
    <cellStyle name="Comma 3 2 5 2 4 2 3" xfId="6370"/>
    <cellStyle name="Comma 3 2 5 2 4 2 3 2" xfId="6371"/>
    <cellStyle name="Comma 3 2 5 2 4 2 4" xfId="6372"/>
    <cellStyle name="Comma 3 2 5 2 4 3" xfId="6373"/>
    <cellStyle name="Comma 3 2 5 2 4 3 2" xfId="6374"/>
    <cellStyle name="Comma 3 2 5 2 4 3 2 2" xfId="6375"/>
    <cellStyle name="Comma 3 2 5 2 4 3 3" xfId="6376"/>
    <cellStyle name="Comma 3 2 5 2 4 4" xfId="6377"/>
    <cellStyle name="Comma 3 2 5 2 4 4 2" xfId="6378"/>
    <cellStyle name="Comma 3 2 5 2 4 4 3" xfId="6379"/>
    <cellStyle name="Comma 3 2 5 2 4 5" xfId="6380"/>
    <cellStyle name="Comma 3 2 5 2 4 5 2" xfId="6381"/>
    <cellStyle name="Comma 3 2 5 2 4 6" xfId="6382"/>
    <cellStyle name="Comma 3 2 5 2 4 6 2" xfId="36109"/>
    <cellStyle name="Comma 3 2 5 2 4 7" xfId="6383"/>
    <cellStyle name="Comma 3 2 5 2 5" xfId="6384"/>
    <cellStyle name="Comma 3 2 5 2 5 2" xfId="6385"/>
    <cellStyle name="Comma 3 2 5 2 5 2 2" xfId="6386"/>
    <cellStyle name="Comma 3 2 5 2 5 2 2 2" xfId="6387"/>
    <cellStyle name="Comma 3 2 5 2 5 2 3" xfId="6388"/>
    <cellStyle name="Comma 3 2 5 2 5 3" xfId="6389"/>
    <cellStyle name="Comma 3 2 5 2 5 3 2" xfId="6390"/>
    <cellStyle name="Comma 3 2 5 2 5 4" xfId="6391"/>
    <cellStyle name="Comma 3 2 5 2 6" xfId="6392"/>
    <cellStyle name="Comma 3 2 5 2 6 2" xfId="6393"/>
    <cellStyle name="Comma 3 2 5 2 6 2 2" xfId="6394"/>
    <cellStyle name="Comma 3 2 5 2 6 3" xfId="6395"/>
    <cellStyle name="Comma 3 2 5 2 7" xfId="6396"/>
    <cellStyle name="Comma 3 2 5 2 7 2" xfId="6397"/>
    <cellStyle name="Comma 3 2 5 2 7 2 2" xfId="6398"/>
    <cellStyle name="Comma 3 2 5 2 7 3" xfId="6399"/>
    <cellStyle name="Comma 3 2 5 2 8" xfId="6400"/>
    <cellStyle name="Comma 3 2 5 2 8 2" xfId="6401"/>
    <cellStyle name="Comma 3 2 5 2 9" xfId="6402"/>
    <cellStyle name="Comma 3 2 5 2 9 2" xfId="36110"/>
    <cellStyle name="Comma 3 2 5 3" xfId="6403"/>
    <cellStyle name="Comma 3 2 5 3 2" xfId="6404"/>
    <cellStyle name="Comma 3 2 5 3 2 2" xfId="6405"/>
    <cellStyle name="Comma 3 2 5 3 2 2 2" xfId="6406"/>
    <cellStyle name="Comma 3 2 5 3 2 2 2 2" xfId="6407"/>
    <cellStyle name="Comma 3 2 5 3 2 2 2 2 2" xfId="6408"/>
    <cellStyle name="Comma 3 2 5 3 2 2 2 2 3" xfId="6409"/>
    <cellStyle name="Comma 3 2 5 3 2 2 2 3" xfId="6410"/>
    <cellStyle name="Comma 3 2 5 3 2 2 2 3 2" xfId="6411"/>
    <cellStyle name="Comma 3 2 5 3 2 2 2 4" xfId="6412"/>
    <cellStyle name="Comma 3 2 5 3 2 2 3" xfId="6413"/>
    <cellStyle name="Comma 3 2 5 3 2 2 3 2" xfId="6414"/>
    <cellStyle name="Comma 3 2 5 3 2 2 3 2 2" xfId="6415"/>
    <cellStyle name="Comma 3 2 5 3 2 2 3 3" xfId="6416"/>
    <cellStyle name="Comma 3 2 5 3 2 2 4" xfId="6417"/>
    <cellStyle name="Comma 3 2 5 3 2 2 4 2" xfId="6418"/>
    <cellStyle name="Comma 3 2 5 3 2 2 4 3" xfId="6419"/>
    <cellStyle name="Comma 3 2 5 3 2 2 5" xfId="6420"/>
    <cellStyle name="Comma 3 2 5 3 2 2 5 2" xfId="6421"/>
    <cellStyle name="Comma 3 2 5 3 2 2 6" xfId="6422"/>
    <cellStyle name="Comma 3 2 5 3 2 2 6 2" xfId="36111"/>
    <cellStyle name="Comma 3 2 5 3 2 2 7" xfId="6423"/>
    <cellStyle name="Comma 3 2 5 3 2 3" xfId="6424"/>
    <cellStyle name="Comma 3 2 5 3 2 3 2" xfId="6425"/>
    <cellStyle name="Comma 3 2 5 3 2 3 2 2" xfId="6426"/>
    <cellStyle name="Comma 3 2 5 3 2 3 2 2 2" xfId="6427"/>
    <cellStyle name="Comma 3 2 5 3 2 3 2 3" xfId="6428"/>
    <cellStyle name="Comma 3 2 5 3 2 3 3" xfId="6429"/>
    <cellStyle name="Comma 3 2 5 3 2 3 3 2" xfId="6430"/>
    <cellStyle name="Comma 3 2 5 3 2 3 4" xfId="6431"/>
    <cellStyle name="Comma 3 2 5 3 2 4" xfId="6432"/>
    <cellStyle name="Comma 3 2 5 3 2 4 2" xfId="6433"/>
    <cellStyle name="Comma 3 2 5 3 2 4 2 2" xfId="6434"/>
    <cellStyle name="Comma 3 2 5 3 2 4 3" xfId="6435"/>
    <cellStyle name="Comma 3 2 5 3 2 5" xfId="6436"/>
    <cellStyle name="Comma 3 2 5 3 2 5 2" xfId="6437"/>
    <cellStyle name="Comma 3 2 5 3 2 5 2 2" xfId="6438"/>
    <cellStyle name="Comma 3 2 5 3 2 5 3" xfId="6439"/>
    <cellStyle name="Comma 3 2 5 3 2 6" xfId="6440"/>
    <cellStyle name="Comma 3 2 5 3 2 6 2" xfId="6441"/>
    <cellStyle name="Comma 3 2 5 3 2 7" xfId="6442"/>
    <cellStyle name="Comma 3 2 5 3 2 7 2" xfId="36112"/>
    <cellStyle name="Comma 3 2 5 3 2 8" xfId="6443"/>
    <cellStyle name="Comma 3 2 5 3 3" xfId="6444"/>
    <cellStyle name="Comma 3 2 5 3 3 2" xfId="6445"/>
    <cellStyle name="Comma 3 2 5 3 3 2 2" xfId="6446"/>
    <cellStyle name="Comma 3 2 5 3 3 2 2 2" xfId="6447"/>
    <cellStyle name="Comma 3 2 5 3 3 2 2 3" xfId="6448"/>
    <cellStyle name="Comma 3 2 5 3 3 2 3" xfId="6449"/>
    <cellStyle name="Comma 3 2 5 3 3 2 3 2" xfId="6450"/>
    <cellStyle name="Comma 3 2 5 3 3 2 4" xfId="6451"/>
    <cellStyle name="Comma 3 2 5 3 3 3" xfId="6452"/>
    <cellStyle name="Comma 3 2 5 3 3 3 2" xfId="6453"/>
    <cellStyle name="Comma 3 2 5 3 3 3 2 2" xfId="6454"/>
    <cellStyle name="Comma 3 2 5 3 3 3 3" xfId="6455"/>
    <cellStyle name="Comma 3 2 5 3 3 4" xfId="6456"/>
    <cellStyle name="Comma 3 2 5 3 3 4 2" xfId="6457"/>
    <cellStyle name="Comma 3 2 5 3 3 4 3" xfId="6458"/>
    <cellStyle name="Comma 3 2 5 3 3 5" xfId="6459"/>
    <cellStyle name="Comma 3 2 5 3 3 5 2" xfId="6460"/>
    <cellStyle name="Comma 3 2 5 3 3 6" xfId="6461"/>
    <cellStyle name="Comma 3 2 5 3 3 6 2" xfId="36113"/>
    <cellStyle name="Comma 3 2 5 3 3 7" xfId="6462"/>
    <cellStyle name="Comma 3 2 5 3 4" xfId="6463"/>
    <cellStyle name="Comma 3 2 5 3 4 2" xfId="6464"/>
    <cellStyle name="Comma 3 2 5 3 4 2 2" xfId="6465"/>
    <cellStyle name="Comma 3 2 5 3 4 2 2 2" xfId="6466"/>
    <cellStyle name="Comma 3 2 5 3 4 2 3" xfId="6467"/>
    <cellStyle name="Comma 3 2 5 3 4 3" xfId="6468"/>
    <cellStyle name="Comma 3 2 5 3 4 3 2" xfId="6469"/>
    <cellStyle name="Comma 3 2 5 3 4 4" xfId="6470"/>
    <cellStyle name="Comma 3 2 5 3 5" xfId="6471"/>
    <cellStyle name="Comma 3 2 5 3 5 2" xfId="6472"/>
    <cellStyle name="Comma 3 2 5 3 5 2 2" xfId="6473"/>
    <cellStyle name="Comma 3 2 5 3 5 3" xfId="6474"/>
    <cellStyle name="Comma 3 2 5 3 6" xfId="6475"/>
    <cellStyle name="Comma 3 2 5 3 6 2" xfId="6476"/>
    <cellStyle name="Comma 3 2 5 3 6 2 2" xfId="6477"/>
    <cellStyle name="Comma 3 2 5 3 6 3" xfId="6478"/>
    <cellStyle name="Comma 3 2 5 3 7" xfId="6479"/>
    <cellStyle name="Comma 3 2 5 3 7 2" xfId="6480"/>
    <cellStyle name="Comma 3 2 5 3 8" xfId="6481"/>
    <cellStyle name="Comma 3 2 5 3 8 2" xfId="36114"/>
    <cellStyle name="Comma 3 2 5 3 9" xfId="6482"/>
    <cellStyle name="Comma 3 2 5 4" xfId="6483"/>
    <cellStyle name="Comma 3 2 5 4 2" xfId="6484"/>
    <cellStyle name="Comma 3 2 5 4 2 2" xfId="6485"/>
    <cellStyle name="Comma 3 2 5 4 2 2 2" xfId="6486"/>
    <cellStyle name="Comma 3 2 5 4 2 2 2 2" xfId="6487"/>
    <cellStyle name="Comma 3 2 5 4 2 2 2 3" xfId="6488"/>
    <cellStyle name="Comma 3 2 5 4 2 2 3" xfId="6489"/>
    <cellStyle name="Comma 3 2 5 4 2 2 3 2" xfId="6490"/>
    <cellStyle name="Comma 3 2 5 4 2 2 4" xfId="6491"/>
    <cellStyle name="Comma 3 2 5 4 2 3" xfId="6492"/>
    <cellStyle name="Comma 3 2 5 4 2 3 2" xfId="6493"/>
    <cellStyle name="Comma 3 2 5 4 2 3 2 2" xfId="6494"/>
    <cellStyle name="Comma 3 2 5 4 2 3 3" xfId="6495"/>
    <cellStyle name="Comma 3 2 5 4 2 4" xfId="6496"/>
    <cellStyle name="Comma 3 2 5 4 2 4 2" xfId="6497"/>
    <cellStyle name="Comma 3 2 5 4 2 4 3" xfId="6498"/>
    <cellStyle name="Comma 3 2 5 4 2 5" xfId="6499"/>
    <cellStyle name="Comma 3 2 5 4 2 5 2" xfId="6500"/>
    <cellStyle name="Comma 3 2 5 4 2 6" xfId="6501"/>
    <cellStyle name="Comma 3 2 5 4 2 6 2" xfId="36115"/>
    <cellStyle name="Comma 3 2 5 4 2 7" xfId="6502"/>
    <cellStyle name="Comma 3 2 5 4 3" xfId="6503"/>
    <cellStyle name="Comma 3 2 5 4 3 2" xfId="6504"/>
    <cellStyle name="Comma 3 2 5 4 3 2 2" xfId="6505"/>
    <cellStyle name="Comma 3 2 5 4 3 2 2 2" xfId="6506"/>
    <cellStyle name="Comma 3 2 5 4 3 2 3" xfId="6507"/>
    <cellStyle name="Comma 3 2 5 4 3 3" xfId="6508"/>
    <cellStyle name="Comma 3 2 5 4 3 3 2" xfId="6509"/>
    <cellStyle name="Comma 3 2 5 4 3 4" xfId="6510"/>
    <cellStyle name="Comma 3 2 5 4 4" xfId="6511"/>
    <cellStyle name="Comma 3 2 5 4 4 2" xfId="6512"/>
    <cellStyle name="Comma 3 2 5 4 4 2 2" xfId="6513"/>
    <cellStyle name="Comma 3 2 5 4 4 3" xfId="6514"/>
    <cellStyle name="Comma 3 2 5 4 5" xfId="6515"/>
    <cellStyle name="Comma 3 2 5 4 5 2" xfId="6516"/>
    <cellStyle name="Comma 3 2 5 4 5 2 2" xfId="6517"/>
    <cellStyle name="Comma 3 2 5 4 5 3" xfId="6518"/>
    <cellStyle name="Comma 3 2 5 4 6" xfId="6519"/>
    <cellStyle name="Comma 3 2 5 4 6 2" xfId="6520"/>
    <cellStyle name="Comma 3 2 5 4 7" xfId="6521"/>
    <cellStyle name="Comma 3 2 5 4 7 2" xfId="36116"/>
    <cellStyle name="Comma 3 2 5 4 8" xfId="6522"/>
    <cellStyle name="Comma 3 2 5 5" xfId="6523"/>
    <cellStyle name="Comma 3 2 5 5 2" xfId="6524"/>
    <cellStyle name="Comma 3 2 5 5 2 2" xfId="6525"/>
    <cellStyle name="Comma 3 2 5 5 2 2 2" xfId="6526"/>
    <cellStyle name="Comma 3 2 5 5 2 2 2 2" xfId="6527"/>
    <cellStyle name="Comma 3 2 5 5 2 2 2 3" xfId="6528"/>
    <cellStyle name="Comma 3 2 5 5 2 2 3" xfId="6529"/>
    <cellStyle name="Comma 3 2 5 5 2 2 3 2" xfId="6530"/>
    <cellStyle name="Comma 3 2 5 5 2 2 4" xfId="6531"/>
    <cellStyle name="Comma 3 2 5 5 2 3" xfId="6532"/>
    <cellStyle name="Comma 3 2 5 5 2 3 2" xfId="6533"/>
    <cellStyle name="Comma 3 2 5 5 2 3 2 2" xfId="6534"/>
    <cellStyle name="Comma 3 2 5 5 2 3 3" xfId="6535"/>
    <cellStyle name="Comma 3 2 5 5 2 4" xfId="6536"/>
    <cellStyle name="Comma 3 2 5 5 2 4 2" xfId="6537"/>
    <cellStyle name="Comma 3 2 5 5 2 4 3" xfId="6538"/>
    <cellStyle name="Comma 3 2 5 5 2 5" xfId="6539"/>
    <cellStyle name="Comma 3 2 5 5 2 5 2" xfId="6540"/>
    <cellStyle name="Comma 3 2 5 5 2 6" xfId="6541"/>
    <cellStyle name="Comma 3 2 5 5 2 6 2" xfId="36117"/>
    <cellStyle name="Comma 3 2 5 5 2 7" xfId="6542"/>
    <cellStyle name="Comma 3 2 5 5 3" xfId="6543"/>
    <cellStyle name="Comma 3 2 5 5 3 2" xfId="6544"/>
    <cellStyle name="Comma 3 2 5 5 3 2 2" xfId="6545"/>
    <cellStyle name="Comma 3 2 5 5 3 2 2 2" xfId="6546"/>
    <cellStyle name="Comma 3 2 5 5 3 2 3" xfId="6547"/>
    <cellStyle name="Comma 3 2 5 5 3 3" xfId="6548"/>
    <cellStyle name="Comma 3 2 5 5 3 3 2" xfId="6549"/>
    <cellStyle name="Comma 3 2 5 5 3 4" xfId="6550"/>
    <cellStyle name="Comma 3 2 5 5 4" xfId="6551"/>
    <cellStyle name="Comma 3 2 5 5 4 2" xfId="6552"/>
    <cellStyle name="Comma 3 2 5 5 4 2 2" xfId="6553"/>
    <cellStyle name="Comma 3 2 5 5 4 3" xfId="6554"/>
    <cellStyle name="Comma 3 2 5 5 5" xfId="6555"/>
    <cellStyle name="Comma 3 2 5 5 5 2" xfId="6556"/>
    <cellStyle name="Comma 3 2 5 5 5 2 2" xfId="6557"/>
    <cellStyle name="Comma 3 2 5 5 5 3" xfId="6558"/>
    <cellStyle name="Comma 3 2 5 5 6" xfId="6559"/>
    <cellStyle name="Comma 3 2 5 5 6 2" xfId="6560"/>
    <cellStyle name="Comma 3 2 5 5 7" xfId="6561"/>
    <cellStyle name="Comma 3 2 5 5 7 2" xfId="36118"/>
    <cellStyle name="Comma 3 2 5 5 8" xfId="6562"/>
    <cellStyle name="Comma 3 2 5 6" xfId="6563"/>
    <cellStyle name="Comma 3 2 5 6 2" xfId="6564"/>
    <cellStyle name="Comma 3 2 5 6 2 2" xfId="6565"/>
    <cellStyle name="Comma 3 2 5 6 2 2 2" xfId="6566"/>
    <cellStyle name="Comma 3 2 5 6 2 2 3" xfId="6567"/>
    <cellStyle name="Comma 3 2 5 6 2 3" xfId="6568"/>
    <cellStyle name="Comma 3 2 5 6 2 3 2" xfId="6569"/>
    <cellStyle name="Comma 3 2 5 6 2 4" xfId="6570"/>
    <cellStyle name="Comma 3 2 5 6 3" xfId="6571"/>
    <cellStyle name="Comma 3 2 5 6 3 2" xfId="6572"/>
    <cellStyle name="Comma 3 2 5 6 3 2 2" xfId="6573"/>
    <cellStyle name="Comma 3 2 5 6 3 3" xfId="6574"/>
    <cellStyle name="Comma 3 2 5 6 4" xfId="6575"/>
    <cellStyle name="Comma 3 2 5 6 4 2" xfId="6576"/>
    <cellStyle name="Comma 3 2 5 6 4 3" xfId="6577"/>
    <cellStyle name="Comma 3 2 5 6 5" xfId="6578"/>
    <cellStyle name="Comma 3 2 5 6 5 2" xfId="6579"/>
    <cellStyle name="Comma 3 2 5 6 6" xfId="6580"/>
    <cellStyle name="Comma 3 2 5 6 6 2" xfId="36119"/>
    <cellStyle name="Comma 3 2 5 6 7" xfId="6581"/>
    <cellStyle name="Comma 3 2 5 7" xfId="6582"/>
    <cellStyle name="Comma 3 2 5 7 2" xfId="6583"/>
    <cellStyle name="Comma 3 2 5 7 2 2" xfId="6584"/>
    <cellStyle name="Comma 3 2 5 7 2 2 2" xfId="6585"/>
    <cellStyle name="Comma 3 2 5 7 2 3" xfId="6586"/>
    <cellStyle name="Comma 3 2 5 7 3" xfId="6587"/>
    <cellStyle name="Comma 3 2 5 7 3 2" xfId="6588"/>
    <cellStyle name="Comma 3 2 5 7 4" xfId="6589"/>
    <cellStyle name="Comma 3 2 5 8" xfId="6590"/>
    <cellStyle name="Comma 3 2 5 8 2" xfId="6591"/>
    <cellStyle name="Comma 3 2 5 8 2 2" xfId="6592"/>
    <cellStyle name="Comma 3 2 5 8 3" xfId="6593"/>
    <cellStyle name="Comma 3 2 5 9" xfId="6594"/>
    <cellStyle name="Comma 3 2 5 9 2" xfId="6595"/>
    <cellStyle name="Comma 3 2 5 9 2 2" xfId="6596"/>
    <cellStyle name="Comma 3 2 5 9 3" xfId="6597"/>
    <cellStyle name="Comma 3 2 6" xfId="6598"/>
    <cellStyle name="Comma 3 2 6 10" xfId="6599"/>
    <cellStyle name="Comma 3 2 6 2" xfId="6600"/>
    <cellStyle name="Comma 3 2 6 2 2" xfId="6601"/>
    <cellStyle name="Comma 3 2 6 2 2 2" xfId="6602"/>
    <cellStyle name="Comma 3 2 6 2 2 2 2" xfId="6603"/>
    <cellStyle name="Comma 3 2 6 2 2 2 2 2" xfId="6604"/>
    <cellStyle name="Comma 3 2 6 2 2 2 2 2 2" xfId="6605"/>
    <cellStyle name="Comma 3 2 6 2 2 2 2 2 3" xfId="6606"/>
    <cellStyle name="Comma 3 2 6 2 2 2 2 3" xfId="6607"/>
    <cellStyle name="Comma 3 2 6 2 2 2 2 3 2" xfId="6608"/>
    <cellStyle name="Comma 3 2 6 2 2 2 2 4" xfId="6609"/>
    <cellStyle name="Comma 3 2 6 2 2 2 3" xfId="6610"/>
    <cellStyle name="Comma 3 2 6 2 2 2 3 2" xfId="6611"/>
    <cellStyle name="Comma 3 2 6 2 2 2 3 2 2" xfId="6612"/>
    <cellStyle name="Comma 3 2 6 2 2 2 3 3" xfId="6613"/>
    <cellStyle name="Comma 3 2 6 2 2 2 4" xfId="6614"/>
    <cellStyle name="Comma 3 2 6 2 2 2 4 2" xfId="6615"/>
    <cellStyle name="Comma 3 2 6 2 2 2 4 3" xfId="6616"/>
    <cellStyle name="Comma 3 2 6 2 2 2 5" xfId="6617"/>
    <cellStyle name="Comma 3 2 6 2 2 2 5 2" xfId="6618"/>
    <cellStyle name="Comma 3 2 6 2 2 2 6" xfId="6619"/>
    <cellStyle name="Comma 3 2 6 2 2 2 6 2" xfId="36120"/>
    <cellStyle name="Comma 3 2 6 2 2 2 7" xfId="6620"/>
    <cellStyle name="Comma 3 2 6 2 2 3" xfId="6621"/>
    <cellStyle name="Comma 3 2 6 2 2 3 2" xfId="6622"/>
    <cellStyle name="Comma 3 2 6 2 2 3 2 2" xfId="6623"/>
    <cellStyle name="Comma 3 2 6 2 2 3 2 2 2" xfId="6624"/>
    <cellStyle name="Comma 3 2 6 2 2 3 2 3" xfId="6625"/>
    <cellStyle name="Comma 3 2 6 2 2 3 3" xfId="6626"/>
    <cellStyle name="Comma 3 2 6 2 2 3 3 2" xfId="6627"/>
    <cellStyle name="Comma 3 2 6 2 2 3 4" xfId="6628"/>
    <cellStyle name="Comma 3 2 6 2 2 4" xfId="6629"/>
    <cellStyle name="Comma 3 2 6 2 2 4 2" xfId="6630"/>
    <cellStyle name="Comma 3 2 6 2 2 4 2 2" xfId="6631"/>
    <cellStyle name="Comma 3 2 6 2 2 4 3" xfId="6632"/>
    <cellStyle name="Comma 3 2 6 2 2 5" xfId="6633"/>
    <cellStyle name="Comma 3 2 6 2 2 5 2" xfId="6634"/>
    <cellStyle name="Comma 3 2 6 2 2 5 2 2" xfId="6635"/>
    <cellStyle name="Comma 3 2 6 2 2 5 3" xfId="6636"/>
    <cellStyle name="Comma 3 2 6 2 2 6" xfId="6637"/>
    <cellStyle name="Comma 3 2 6 2 2 6 2" xfId="6638"/>
    <cellStyle name="Comma 3 2 6 2 2 7" xfId="6639"/>
    <cellStyle name="Comma 3 2 6 2 2 7 2" xfId="36121"/>
    <cellStyle name="Comma 3 2 6 2 2 8" xfId="6640"/>
    <cellStyle name="Comma 3 2 6 2 3" xfId="6641"/>
    <cellStyle name="Comma 3 2 6 2 3 2" xfId="6642"/>
    <cellStyle name="Comma 3 2 6 2 3 2 2" xfId="6643"/>
    <cellStyle name="Comma 3 2 6 2 3 2 2 2" xfId="6644"/>
    <cellStyle name="Comma 3 2 6 2 3 2 2 3" xfId="6645"/>
    <cellStyle name="Comma 3 2 6 2 3 2 3" xfId="6646"/>
    <cellStyle name="Comma 3 2 6 2 3 2 3 2" xfId="6647"/>
    <cellStyle name="Comma 3 2 6 2 3 2 4" xfId="6648"/>
    <cellStyle name="Comma 3 2 6 2 3 3" xfId="6649"/>
    <cellStyle name="Comma 3 2 6 2 3 3 2" xfId="6650"/>
    <cellStyle name="Comma 3 2 6 2 3 3 2 2" xfId="6651"/>
    <cellStyle name="Comma 3 2 6 2 3 3 3" xfId="6652"/>
    <cellStyle name="Comma 3 2 6 2 3 4" xfId="6653"/>
    <cellStyle name="Comma 3 2 6 2 3 4 2" xfId="6654"/>
    <cellStyle name="Comma 3 2 6 2 3 4 3" xfId="6655"/>
    <cellStyle name="Comma 3 2 6 2 3 5" xfId="6656"/>
    <cellStyle name="Comma 3 2 6 2 3 5 2" xfId="6657"/>
    <cellStyle name="Comma 3 2 6 2 3 6" xfId="6658"/>
    <cellStyle name="Comma 3 2 6 2 3 6 2" xfId="36122"/>
    <cellStyle name="Comma 3 2 6 2 3 7" xfId="6659"/>
    <cellStyle name="Comma 3 2 6 2 4" xfId="6660"/>
    <cellStyle name="Comma 3 2 6 2 4 2" xfId="6661"/>
    <cellStyle name="Comma 3 2 6 2 4 2 2" xfId="6662"/>
    <cellStyle name="Comma 3 2 6 2 4 2 2 2" xfId="6663"/>
    <cellStyle name="Comma 3 2 6 2 4 2 3" xfId="6664"/>
    <cellStyle name="Comma 3 2 6 2 4 3" xfId="6665"/>
    <cellStyle name="Comma 3 2 6 2 4 3 2" xfId="6666"/>
    <cellStyle name="Comma 3 2 6 2 4 4" xfId="6667"/>
    <cellStyle name="Comma 3 2 6 2 5" xfId="6668"/>
    <cellStyle name="Comma 3 2 6 2 5 2" xfId="6669"/>
    <cellStyle name="Comma 3 2 6 2 5 2 2" xfId="6670"/>
    <cellStyle name="Comma 3 2 6 2 5 3" xfId="6671"/>
    <cellStyle name="Comma 3 2 6 2 6" xfId="6672"/>
    <cellStyle name="Comma 3 2 6 2 6 2" xfId="6673"/>
    <cellStyle name="Comma 3 2 6 2 6 2 2" xfId="6674"/>
    <cellStyle name="Comma 3 2 6 2 6 3" xfId="6675"/>
    <cellStyle name="Comma 3 2 6 2 7" xfId="6676"/>
    <cellStyle name="Comma 3 2 6 2 7 2" xfId="6677"/>
    <cellStyle name="Comma 3 2 6 2 8" xfId="6678"/>
    <cellStyle name="Comma 3 2 6 2 8 2" xfId="36123"/>
    <cellStyle name="Comma 3 2 6 2 9" xfId="6679"/>
    <cellStyle name="Comma 3 2 6 3" xfId="6680"/>
    <cellStyle name="Comma 3 2 6 3 2" xfId="6681"/>
    <cellStyle name="Comma 3 2 6 3 2 2" xfId="6682"/>
    <cellStyle name="Comma 3 2 6 3 2 2 2" xfId="6683"/>
    <cellStyle name="Comma 3 2 6 3 2 2 2 2" xfId="6684"/>
    <cellStyle name="Comma 3 2 6 3 2 2 2 3" xfId="6685"/>
    <cellStyle name="Comma 3 2 6 3 2 2 3" xfId="6686"/>
    <cellStyle name="Comma 3 2 6 3 2 2 3 2" xfId="6687"/>
    <cellStyle name="Comma 3 2 6 3 2 2 4" xfId="6688"/>
    <cellStyle name="Comma 3 2 6 3 2 3" xfId="6689"/>
    <cellStyle name="Comma 3 2 6 3 2 3 2" xfId="6690"/>
    <cellStyle name="Comma 3 2 6 3 2 3 2 2" xfId="6691"/>
    <cellStyle name="Comma 3 2 6 3 2 3 3" xfId="6692"/>
    <cellStyle name="Comma 3 2 6 3 2 4" xfId="6693"/>
    <cellStyle name="Comma 3 2 6 3 2 4 2" xfId="6694"/>
    <cellStyle name="Comma 3 2 6 3 2 4 3" xfId="6695"/>
    <cellStyle name="Comma 3 2 6 3 2 5" xfId="6696"/>
    <cellStyle name="Comma 3 2 6 3 2 5 2" xfId="6697"/>
    <cellStyle name="Comma 3 2 6 3 2 6" xfId="6698"/>
    <cellStyle name="Comma 3 2 6 3 2 6 2" xfId="36124"/>
    <cellStyle name="Comma 3 2 6 3 2 7" xfId="6699"/>
    <cellStyle name="Comma 3 2 6 3 3" xfId="6700"/>
    <cellStyle name="Comma 3 2 6 3 3 2" xfId="6701"/>
    <cellStyle name="Comma 3 2 6 3 3 2 2" xfId="6702"/>
    <cellStyle name="Comma 3 2 6 3 3 2 2 2" xfId="6703"/>
    <cellStyle name="Comma 3 2 6 3 3 2 3" xfId="6704"/>
    <cellStyle name="Comma 3 2 6 3 3 3" xfId="6705"/>
    <cellStyle name="Comma 3 2 6 3 3 3 2" xfId="6706"/>
    <cellStyle name="Comma 3 2 6 3 3 4" xfId="6707"/>
    <cellStyle name="Comma 3 2 6 3 4" xfId="6708"/>
    <cellStyle name="Comma 3 2 6 3 4 2" xfId="6709"/>
    <cellStyle name="Comma 3 2 6 3 4 2 2" xfId="6710"/>
    <cellStyle name="Comma 3 2 6 3 4 3" xfId="6711"/>
    <cellStyle name="Comma 3 2 6 3 5" xfId="6712"/>
    <cellStyle name="Comma 3 2 6 3 5 2" xfId="6713"/>
    <cellStyle name="Comma 3 2 6 3 5 2 2" xfId="6714"/>
    <cellStyle name="Comma 3 2 6 3 5 3" xfId="6715"/>
    <cellStyle name="Comma 3 2 6 3 6" xfId="6716"/>
    <cellStyle name="Comma 3 2 6 3 6 2" xfId="6717"/>
    <cellStyle name="Comma 3 2 6 3 7" xfId="6718"/>
    <cellStyle name="Comma 3 2 6 3 7 2" xfId="36125"/>
    <cellStyle name="Comma 3 2 6 3 8" xfId="6719"/>
    <cellStyle name="Comma 3 2 6 4" xfId="6720"/>
    <cellStyle name="Comma 3 2 6 4 2" xfId="6721"/>
    <cellStyle name="Comma 3 2 6 4 2 2" xfId="6722"/>
    <cellStyle name="Comma 3 2 6 4 2 2 2" xfId="6723"/>
    <cellStyle name="Comma 3 2 6 4 2 2 3" xfId="6724"/>
    <cellStyle name="Comma 3 2 6 4 2 3" xfId="6725"/>
    <cellStyle name="Comma 3 2 6 4 2 3 2" xfId="6726"/>
    <cellStyle name="Comma 3 2 6 4 2 4" xfId="6727"/>
    <cellStyle name="Comma 3 2 6 4 3" xfId="6728"/>
    <cellStyle name="Comma 3 2 6 4 3 2" xfId="6729"/>
    <cellStyle name="Comma 3 2 6 4 3 2 2" xfId="6730"/>
    <cellStyle name="Comma 3 2 6 4 3 3" xfId="6731"/>
    <cellStyle name="Comma 3 2 6 4 4" xfId="6732"/>
    <cellStyle name="Comma 3 2 6 4 4 2" xfId="6733"/>
    <cellStyle name="Comma 3 2 6 4 4 3" xfId="6734"/>
    <cellStyle name="Comma 3 2 6 4 5" xfId="6735"/>
    <cellStyle name="Comma 3 2 6 4 5 2" xfId="6736"/>
    <cellStyle name="Comma 3 2 6 4 6" xfId="6737"/>
    <cellStyle name="Comma 3 2 6 4 6 2" xfId="36126"/>
    <cellStyle name="Comma 3 2 6 4 7" xfId="6738"/>
    <cellStyle name="Comma 3 2 6 5" xfId="6739"/>
    <cellStyle name="Comma 3 2 6 5 2" xfId="6740"/>
    <cellStyle name="Comma 3 2 6 5 2 2" xfId="6741"/>
    <cellStyle name="Comma 3 2 6 5 2 2 2" xfId="6742"/>
    <cellStyle name="Comma 3 2 6 5 2 3" xfId="6743"/>
    <cellStyle name="Comma 3 2 6 5 3" xfId="6744"/>
    <cellStyle name="Comma 3 2 6 5 3 2" xfId="6745"/>
    <cellStyle name="Comma 3 2 6 5 4" xfId="6746"/>
    <cellStyle name="Comma 3 2 6 6" xfId="6747"/>
    <cellStyle name="Comma 3 2 6 6 2" xfId="6748"/>
    <cellStyle name="Comma 3 2 6 6 2 2" xfId="6749"/>
    <cellStyle name="Comma 3 2 6 6 3" xfId="6750"/>
    <cellStyle name="Comma 3 2 6 7" xfId="6751"/>
    <cellStyle name="Comma 3 2 6 7 2" xfId="6752"/>
    <cellStyle name="Comma 3 2 6 7 2 2" xfId="6753"/>
    <cellStyle name="Comma 3 2 6 7 3" xfId="6754"/>
    <cellStyle name="Comma 3 2 6 8" xfId="6755"/>
    <cellStyle name="Comma 3 2 6 8 2" xfId="6756"/>
    <cellStyle name="Comma 3 2 6 9" xfId="6757"/>
    <cellStyle name="Comma 3 2 6 9 2" xfId="36127"/>
    <cellStyle name="Comma 3 2 7" xfId="6758"/>
    <cellStyle name="Comma 3 2 7 2" xfId="6759"/>
    <cellStyle name="Comma 3 2 7 2 2" xfId="6760"/>
    <cellStyle name="Comma 3 2 7 2 2 2" xfId="6761"/>
    <cellStyle name="Comma 3 2 7 2 2 2 2" xfId="6762"/>
    <cellStyle name="Comma 3 2 7 2 2 2 2 2" xfId="6763"/>
    <cellStyle name="Comma 3 2 7 2 2 2 2 3" xfId="6764"/>
    <cellStyle name="Comma 3 2 7 2 2 2 3" xfId="6765"/>
    <cellStyle name="Comma 3 2 7 2 2 2 3 2" xfId="6766"/>
    <cellStyle name="Comma 3 2 7 2 2 2 4" xfId="6767"/>
    <cellStyle name="Comma 3 2 7 2 2 3" xfId="6768"/>
    <cellStyle name="Comma 3 2 7 2 2 3 2" xfId="6769"/>
    <cellStyle name="Comma 3 2 7 2 2 3 2 2" xfId="6770"/>
    <cellStyle name="Comma 3 2 7 2 2 3 3" xfId="6771"/>
    <cellStyle name="Comma 3 2 7 2 2 4" xfId="6772"/>
    <cellStyle name="Comma 3 2 7 2 2 4 2" xfId="6773"/>
    <cellStyle name="Comma 3 2 7 2 2 4 3" xfId="6774"/>
    <cellStyle name="Comma 3 2 7 2 2 5" xfId="6775"/>
    <cellStyle name="Comma 3 2 7 2 2 5 2" xfId="6776"/>
    <cellStyle name="Comma 3 2 7 2 2 6" xfId="6777"/>
    <cellStyle name="Comma 3 2 7 2 2 6 2" xfId="36128"/>
    <cellStyle name="Comma 3 2 7 2 2 7" xfId="6778"/>
    <cellStyle name="Comma 3 2 7 2 3" xfId="6779"/>
    <cellStyle name="Comma 3 2 7 2 3 2" xfId="6780"/>
    <cellStyle name="Comma 3 2 7 2 3 2 2" xfId="6781"/>
    <cellStyle name="Comma 3 2 7 2 3 2 2 2" xfId="6782"/>
    <cellStyle name="Comma 3 2 7 2 3 2 3" xfId="6783"/>
    <cellStyle name="Comma 3 2 7 2 3 3" xfId="6784"/>
    <cellStyle name="Comma 3 2 7 2 3 3 2" xfId="6785"/>
    <cellStyle name="Comma 3 2 7 2 3 4" xfId="6786"/>
    <cellStyle name="Comma 3 2 7 2 4" xfId="6787"/>
    <cellStyle name="Comma 3 2 7 2 4 2" xfId="6788"/>
    <cellStyle name="Comma 3 2 7 2 4 2 2" xfId="6789"/>
    <cellStyle name="Comma 3 2 7 2 4 3" xfId="6790"/>
    <cellStyle name="Comma 3 2 7 2 5" xfId="6791"/>
    <cellStyle name="Comma 3 2 7 2 5 2" xfId="6792"/>
    <cellStyle name="Comma 3 2 7 2 5 2 2" xfId="6793"/>
    <cellStyle name="Comma 3 2 7 2 5 3" xfId="6794"/>
    <cellStyle name="Comma 3 2 7 2 6" xfId="6795"/>
    <cellStyle name="Comma 3 2 7 2 6 2" xfId="6796"/>
    <cellStyle name="Comma 3 2 7 2 7" xfId="6797"/>
    <cellStyle name="Comma 3 2 7 2 7 2" xfId="36129"/>
    <cellStyle name="Comma 3 2 7 2 8" xfId="6798"/>
    <cellStyle name="Comma 3 2 7 3" xfId="6799"/>
    <cellStyle name="Comma 3 2 7 3 2" xfId="6800"/>
    <cellStyle name="Comma 3 2 7 3 2 2" xfId="6801"/>
    <cellStyle name="Comma 3 2 7 3 2 2 2" xfId="6802"/>
    <cellStyle name="Comma 3 2 7 3 2 2 3" xfId="6803"/>
    <cellStyle name="Comma 3 2 7 3 2 3" xfId="6804"/>
    <cellStyle name="Comma 3 2 7 3 2 3 2" xfId="6805"/>
    <cellStyle name="Comma 3 2 7 3 2 4" xfId="6806"/>
    <cellStyle name="Comma 3 2 7 3 3" xfId="6807"/>
    <cellStyle name="Comma 3 2 7 3 3 2" xfId="6808"/>
    <cellStyle name="Comma 3 2 7 3 3 2 2" xfId="6809"/>
    <cellStyle name="Comma 3 2 7 3 3 3" xfId="6810"/>
    <cellStyle name="Comma 3 2 7 3 4" xfId="6811"/>
    <cellStyle name="Comma 3 2 7 3 4 2" xfId="6812"/>
    <cellStyle name="Comma 3 2 7 3 4 3" xfId="6813"/>
    <cellStyle name="Comma 3 2 7 3 5" xfId="6814"/>
    <cellStyle name="Comma 3 2 7 3 5 2" xfId="6815"/>
    <cellStyle name="Comma 3 2 7 3 6" xfId="6816"/>
    <cellStyle name="Comma 3 2 7 3 6 2" xfId="36130"/>
    <cellStyle name="Comma 3 2 7 3 7" xfId="6817"/>
    <cellStyle name="Comma 3 2 7 4" xfId="6818"/>
    <cellStyle name="Comma 3 2 7 4 2" xfId="6819"/>
    <cellStyle name="Comma 3 2 7 4 2 2" xfId="6820"/>
    <cellStyle name="Comma 3 2 7 4 2 2 2" xfId="6821"/>
    <cellStyle name="Comma 3 2 7 4 2 3" xfId="6822"/>
    <cellStyle name="Comma 3 2 7 4 3" xfId="6823"/>
    <cellStyle name="Comma 3 2 7 4 3 2" xfId="6824"/>
    <cellStyle name="Comma 3 2 7 4 4" xfId="6825"/>
    <cellStyle name="Comma 3 2 7 5" xfId="6826"/>
    <cellStyle name="Comma 3 2 7 5 2" xfId="6827"/>
    <cellStyle name="Comma 3 2 7 5 2 2" xfId="6828"/>
    <cellStyle name="Comma 3 2 7 5 3" xfId="6829"/>
    <cellStyle name="Comma 3 2 7 6" xfId="6830"/>
    <cellStyle name="Comma 3 2 7 6 2" xfId="6831"/>
    <cellStyle name="Comma 3 2 7 6 2 2" xfId="6832"/>
    <cellStyle name="Comma 3 2 7 6 3" xfId="6833"/>
    <cellStyle name="Comma 3 2 7 7" xfId="6834"/>
    <cellStyle name="Comma 3 2 7 7 2" xfId="6835"/>
    <cellStyle name="Comma 3 2 7 8" xfId="6836"/>
    <cellStyle name="Comma 3 2 7 8 2" xfId="36131"/>
    <cellStyle name="Comma 3 2 7 9" xfId="6837"/>
    <cellStyle name="Comma 3 2 8" xfId="6838"/>
    <cellStyle name="Comma 3 2 8 2" xfId="6839"/>
    <cellStyle name="Comma 3 2 8 2 2" xfId="6840"/>
    <cellStyle name="Comma 3 2 8 2 2 2" xfId="6841"/>
    <cellStyle name="Comma 3 2 8 2 2 2 2" xfId="6842"/>
    <cellStyle name="Comma 3 2 8 2 2 2 2 2" xfId="6843"/>
    <cellStyle name="Comma 3 2 8 2 2 2 2 3" xfId="6844"/>
    <cellStyle name="Comma 3 2 8 2 2 2 3" xfId="6845"/>
    <cellStyle name="Comma 3 2 8 2 2 2 3 2" xfId="6846"/>
    <cellStyle name="Comma 3 2 8 2 2 2 4" xfId="6847"/>
    <cellStyle name="Comma 3 2 8 2 2 3" xfId="6848"/>
    <cellStyle name="Comma 3 2 8 2 2 3 2" xfId="6849"/>
    <cellStyle name="Comma 3 2 8 2 2 3 2 2" xfId="6850"/>
    <cellStyle name="Comma 3 2 8 2 2 3 3" xfId="6851"/>
    <cellStyle name="Comma 3 2 8 2 2 4" xfId="6852"/>
    <cellStyle name="Comma 3 2 8 2 2 4 2" xfId="6853"/>
    <cellStyle name="Comma 3 2 8 2 2 4 3" xfId="6854"/>
    <cellStyle name="Comma 3 2 8 2 2 5" xfId="6855"/>
    <cellStyle name="Comma 3 2 8 2 2 5 2" xfId="6856"/>
    <cellStyle name="Comma 3 2 8 2 2 6" xfId="6857"/>
    <cellStyle name="Comma 3 2 8 2 2 6 2" xfId="36132"/>
    <cellStyle name="Comma 3 2 8 2 2 7" xfId="6858"/>
    <cellStyle name="Comma 3 2 8 2 3" xfId="6859"/>
    <cellStyle name="Comma 3 2 8 2 3 2" xfId="6860"/>
    <cellStyle name="Comma 3 2 8 2 3 2 2" xfId="6861"/>
    <cellStyle name="Comma 3 2 8 2 3 2 2 2" xfId="6862"/>
    <cellStyle name="Comma 3 2 8 2 3 2 3" xfId="6863"/>
    <cellStyle name="Comma 3 2 8 2 3 3" xfId="6864"/>
    <cellStyle name="Comma 3 2 8 2 3 3 2" xfId="6865"/>
    <cellStyle name="Comma 3 2 8 2 3 4" xfId="6866"/>
    <cellStyle name="Comma 3 2 8 2 4" xfId="6867"/>
    <cellStyle name="Comma 3 2 8 2 4 2" xfId="6868"/>
    <cellStyle name="Comma 3 2 8 2 4 2 2" xfId="6869"/>
    <cellStyle name="Comma 3 2 8 2 4 3" xfId="6870"/>
    <cellStyle name="Comma 3 2 8 2 5" xfId="6871"/>
    <cellStyle name="Comma 3 2 8 2 5 2" xfId="6872"/>
    <cellStyle name="Comma 3 2 8 2 5 2 2" xfId="6873"/>
    <cellStyle name="Comma 3 2 8 2 5 3" xfId="6874"/>
    <cellStyle name="Comma 3 2 8 2 6" xfId="6875"/>
    <cellStyle name="Comma 3 2 8 2 6 2" xfId="6876"/>
    <cellStyle name="Comma 3 2 8 2 7" xfId="6877"/>
    <cellStyle name="Comma 3 2 8 2 7 2" xfId="36133"/>
    <cellStyle name="Comma 3 2 8 2 8" xfId="6878"/>
    <cellStyle name="Comma 3 2 8 3" xfId="6879"/>
    <cellStyle name="Comma 3 2 8 3 2" xfId="6880"/>
    <cellStyle name="Comma 3 2 8 3 2 2" xfId="6881"/>
    <cellStyle name="Comma 3 2 8 3 2 2 2" xfId="6882"/>
    <cellStyle name="Comma 3 2 8 3 2 2 3" xfId="6883"/>
    <cellStyle name="Comma 3 2 8 3 2 3" xfId="6884"/>
    <cellStyle name="Comma 3 2 8 3 2 3 2" xfId="6885"/>
    <cellStyle name="Comma 3 2 8 3 2 4" xfId="6886"/>
    <cellStyle name="Comma 3 2 8 3 3" xfId="6887"/>
    <cellStyle name="Comma 3 2 8 3 3 2" xfId="6888"/>
    <cellStyle name="Comma 3 2 8 3 3 2 2" xfId="6889"/>
    <cellStyle name="Comma 3 2 8 3 3 3" xfId="6890"/>
    <cellStyle name="Comma 3 2 8 3 4" xfId="6891"/>
    <cellStyle name="Comma 3 2 8 3 4 2" xfId="6892"/>
    <cellStyle name="Comma 3 2 8 3 4 3" xfId="6893"/>
    <cellStyle name="Comma 3 2 8 3 5" xfId="6894"/>
    <cellStyle name="Comma 3 2 8 3 5 2" xfId="6895"/>
    <cellStyle name="Comma 3 2 8 3 6" xfId="6896"/>
    <cellStyle name="Comma 3 2 8 3 6 2" xfId="36134"/>
    <cellStyle name="Comma 3 2 8 3 7" xfId="6897"/>
    <cellStyle name="Comma 3 2 8 4" xfId="6898"/>
    <cellStyle name="Comma 3 2 8 4 2" xfId="6899"/>
    <cellStyle name="Comma 3 2 8 4 2 2" xfId="6900"/>
    <cellStyle name="Comma 3 2 8 4 2 2 2" xfId="6901"/>
    <cellStyle name="Comma 3 2 8 4 2 3" xfId="6902"/>
    <cellStyle name="Comma 3 2 8 4 3" xfId="6903"/>
    <cellStyle name="Comma 3 2 8 4 3 2" xfId="6904"/>
    <cellStyle name="Comma 3 2 8 4 4" xfId="6905"/>
    <cellStyle name="Comma 3 2 8 5" xfId="6906"/>
    <cellStyle name="Comma 3 2 8 5 2" xfId="6907"/>
    <cellStyle name="Comma 3 2 8 5 2 2" xfId="6908"/>
    <cellStyle name="Comma 3 2 8 5 3" xfId="6909"/>
    <cellStyle name="Comma 3 2 8 6" xfId="6910"/>
    <cellStyle name="Comma 3 2 8 6 2" xfId="6911"/>
    <cellStyle name="Comma 3 2 8 6 2 2" xfId="6912"/>
    <cellStyle name="Comma 3 2 8 6 3" xfId="6913"/>
    <cellStyle name="Comma 3 2 8 7" xfId="6914"/>
    <cellStyle name="Comma 3 2 8 7 2" xfId="6915"/>
    <cellStyle name="Comma 3 2 8 8" xfId="6916"/>
    <cellStyle name="Comma 3 2 8 8 2" xfId="36135"/>
    <cellStyle name="Comma 3 2 8 9" xfId="6917"/>
    <cellStyle name="Comma 3 2 9" xfId="6918"/>
    <cellStyle name="Comma 3 2 9 2" xfId="6919"/>
    <cellStyle name="Comma 3 2 9 2 2" xfId="6920"/>
    <cellStyle name="Comma 3 2 9 2 2 2" xfId="6921"/>
    <cellStyle name="Comma 3 2 9 2 2 2 2" xfId="6922"/>
    <cellStyle name="Comma 3 2 9 2 2 2 3" xfId="6923"/>
    <cellStyle name="Comma 3 2 9 2 2 3" xfId="6924"/>
    <cellStyle name="Comma 3 2 9 2 2 3 2" xfId="6925"/>
    <cellStyle name="Comma 3 2 9 2 2 4" xfId="6926"/>
    <cellStyle name="Comma 3 2 9 2 3" xfId="6927"/>
    <cellStyle name="Comma 3 2 9 2 3 2" xfId="6928"/>
    <cellStyle name="Comma 3 2 9 2 3 2 2" xfId="6929"/>
    <cellStyle name="Comma 3 2 9 2 3 3" xfId="6930"/>
    <cellStyle name="Comma 3 2 9 2 4" xfId="6931"/>
    <cellStyle name="Comma 3 2 9 2 4 2" xfId="6932"/>
    <cellStyle name="Comma 3 2 9 2 4 3" xfId="6933"/>
    <cellStyle name="Comma 3 2 9 2 5" xfId="6934"/>
    <cellStyle name="Comma 3 2 9 2 5 2" xfId="6935"/>
    <cellStyle name="Comma 3 2 9 2 6" xfId="6936"/>
    <cellStyle name="Comma 3 2 9 2 6 2" xfId="36136"/>
    <cellStyle name="Comma 3 2 9 2 7" xfId="6937"/>
    <cellStyle name="Comma 3 2 9 3" xfId="6938"/>
    <cellStyle name="Comma 3 2 9 3 2" xfId="6939"/>
    <cellStyle name="Comma 3 2 9 3 2 2" xfId="6940"/>
    <cellStyle name="Comma 3 2 9 3 2 2 2" xfId="6941"/>
    <cellStyle name="Comma 3 2 9 3 2 3" xfId="6942"/>
    <cellStyle name="Comma 3 2 9 3 3" xfId="6943"/>
    <cellStyle name="Comma 3 2 9 3 3 2" xfId="6944"/>
    <cellStyle name="Comma 3 2 9 3 4" xfId="6945"/>
    <cellStyle name="Comma 3 2 9 4" xfId="6946"/>
    <cellStyle name="Comma 3 2 9 4 2" xfId="6947"/>
    <cellStyle name="Comma 3 2 9 4 2 2" xfId="6948"/>
    <cellStyle name="Comma 3 2 9 4 3" xfId="6949"/>
    <cellStyle name="Comma 3 2 9 5" xfId="6950"/>
    <cellStyle name="Comma 3 2 9 5 2" xfId="6951"/>
    <cellStyle name="Comma 3 2 9 5 2 2" xfId="6952"/>
    <cellStyle name="Comma 3 2 9 5 3" xfId="6953"/>
    <cellStyle name="Comma 3 2 9 6" xfId="6954"/>
    <cellStyle name="Comma 3 2 9 6 2" xfId="6955"/>
    <cellStyle name="Comma 3 2 9 7" xfId="6956"/>
    <cellStyle name="Comma 3 2 9 7 2" xfId="36137"/>
    <cellStyle name="Comma 3 2 9 8" xfId="6957"/>
    <cellStyle name="Comma 3 20" xfId="35797"/>
    <cellStyle name="Comma 3 21" xfId="37948"/>
    <cellStyle name="Comma 3 3" xfId="6958"/>
    <cellStyle name="Comma 3 3 10" xfId="6959"/>
    <cellStyle name="Comma 3 3 10 2" xfId="6960"/>
    <cellStyle name="Comma 3 3 10 2 2" xfId="6961"/>
    <cellStyle name="Comma 3 3 10 3" xfId="6962"/>
    <cellStyle name="Comma 3 3 11" xfId="6963"/>
    <cellStyle name="Comma 3 3 11 2" xfId="6964"/>
    <cellStyle name="Comma 3 3 11 2 2" xfId="6965"/>
    <cellStyle name="Comma 3 3 11 3" xfId="6966"/>
    <cellStyle name="Comma 3 3 12" xfId="6967"/>
    <cellStyle name="Comma 3 3 12 2" xfId="6968"/>
    <cellStyle name="Comma 3 3 13" xfId="6969"/>
    <cellStyle name="Comma 3 3 13 2" xfId="36138"/>
    <cellStyle name="Comma 3 3 14" xfId="6970"/>
    <cellStyle name="Comma 3 3 2" xfId="6971"/>
    <cellStyle name="Comma 3 3 2 10" xfId="6972"/>
    <cellStyle name="Comma 3 3 2 2" xfId="6973"/>
    <cellStyle name="Comma 3 3 2 2 2" xfId="6974"/>
    <cellStyle name="Comma 3 3 2 2 2 2" xfId="6975"/>
    <cellStyle name="Comma 3 3 2 2 2 2 2" xfId="6976"/>
    <cellStyle name="Comma 3 3 2 2 2 2 2 2" xfId="6977"/>
    <cellStyle name="Comma 3 3 2 2 2 2 2 2 2" xfId="6978"/>
    <cellStyle name="Comma 3 3 2 2 2 2 2 2 3" xfId="6979"/>
    <cellStyle name="Comma 3 3 2 2 2 2 2 3" xfId="6980"/>
    <cellStyle name="Comma 3 3 2 2 2 2 2 3 2" xfId="6981"/>
    <cellStyle name="Comma 3 3 2 2 2 2 2 4" xfId="6982"/>
    <cellStyle name="Comma 3 3 2 2 2 2 3" xfId="6983"/>
    <cellStyle name="Comma 3 3 2 2 2 2 3 2" xfId="6984"/>
    <cellStyle name="Comma 3 3 2 2 2 2 3 2 2" xfId="6985"/>
    <cellStyle name="Comma 3 3 2 2 2 2 3 3" xfId="6986"/>
    <cellStyle name="Comma 3 3 2 2 2 2 4" xfId="6987"/>
    <cellStyle name="Comma 3 3 2 2 2 2 4 2" xfId="6988"/>
    <cellStyle name="Comma 3 3 2 2 2 2 4 3" xfId="6989"/>
    <cellStyle name="Comma 3 3 2 2 2 2 5" xfId="6990"/>
    <cellStyle name="Comma 3 3 2 2 2 2 5 2" xfId="6991"/>
    <cellStyle name="Comma 3 3 2 2 2 2 6" xfId="6992"/>
    <cellStyle name="Comma 3 3 2 2 2 2 6 2" xfId="36139"/>
    <cellStyle name="Comma 3 3 2 2 2 2 7" xfId="6993"/>
    <cellStyle name="Comma 3 3 2 2 2 3" xfId="6994"/>
    <cellStyle name="Comma 3 3 2 2 2 3 2" xfId="6995"/>
    <cellStyle name="Comma 3 3 2 2 2 3 2 2" xfId="6996"/>
    <cellStyle name="Comma 3 3 2 2 2 3 2 2 2" xfId="6997"/>
    <cellStyle name="Comma 3 3 2 2 2 3 2 3" xfId="6998"/>
    <cellStyle name="Comma 3 3 2 2 2 3 3" xfId="6999"/>
    <cellStyle name="Comma 3 3 2 2 2 3 3 2" xfId="7000"/>
    <cellStyle name="Comma 3 3 2 2 2 3 4" xfId="7001"/>
    <cellStyle name="Comma 3 3 2 2 2 4" xfId="7002"/>
    <cellStyle name="Comma 3 3 2 2 2 4 2" xfId="7003"/>
    <cellStyle name="Comma 3 3 2 2 2 4 2 2" xfId="7004"/>
    <cellStyle name="Comma 3 3 2 2 2 4 3" xfId="7005"/>
    <cellStyle name="Comma 3 3 2 2 2 5" xfId="7006"/>
    <cellStyle name="Comma 3 3 2 2 2 5 2" xfId="7007"/>
    <cellStyle name="Comma 3 3 2 2 2 5 2 2" xfId="7008"/>
    <cellStyle name="Comma 3 3 2 2 2 5 3" xfId="7009"/>
    <cellStyle name="Comma 3 3 2 2 2 6" xfId="7010"/>
    <cellStyle name="Comma 3 3 2 2 2 6 2" xfId="7011"/>
    <cellStyle name="Comma 3 3 2 2 2 7" xfId="7012"/>
    <cellStyle name="Comma 3 3 2 2 2 7 2" xfId="36140"/>
    <cellStyle name="Comma 3 3 2 2 2 8" xfId="7013"/>
    <cellStyle name="Comma 3 3 2 2 3" xfId="7014"/>
    <cellStyle name="Comma 3 3 2 2 3 2" xfId="7015"/>
    <cellStyle name="Comma 3 3 2 2 3 2 2" xfId="7016"/>
    <cellStyle name="Comma 3 3 2 2 3 2 2 2" xfId="7017"/>
    <cellStyle name="Comma 3 3 2 2 3 2 2 3" xfId="7018"/>
    <cellStyle name="Comma 3 3 2 2 3 2 3" xfId="7019"/>
    <cellStyle name="Comma 3 3 2 2 3 2 3 2" xfId="7020"/>
    <cellStyle name="Comma 3 3 2 2 3 2 4" xfId="7021"/>
    <cellStyle name="Comma 3 3 2 2 3 3" xfId="7022"/>
    <cellStyle name="Comma 3 3 2 2 3 3 2" xfId="7023"/>
    <cellStyle name="Comma 3 3 2 2 3 3 2 2" xfId="7024"/>
    <cellStyle name="Comma 3 3 2 2 3 3 3" xfId="7025"/>
    <cellStyle name="Comma 3 3 2 2 3 4" xfId="7026"/>
    <cellStyle name="Comma 3 3 2 2 3 4 2" xfId="7027"/>
    <cellStyle name="Comma 3 3 2 2 3 4 3" xfId="7028"/>
    <cellStyle name="Comma 3 3 2 2 3 5" xfId="7029"/>
    <cellStyle name="Comma 3 3 2 2 3 5 2" xfId="7030"/>
    <cellStyle name="Comma 3 3 2 2 3 6" xfId="7031"/>
    <cellStyle name="Comma 3 3 2 2 3 6 2" xfId="36141"/>
    <cellStyle name="Comma 3 3 2 2 3 7" xfId="7032"/>
    <cellStyle name="Comma 3 3 2 2 4" xfId="7033"/>
    <cellStyle name="Comma 3 3 2 2 4 2" xfId="7034"/>
    <cellStyle name="Comma 3 3 2 2 4 2 2" xfId="7035"/>
    <cellStyle name="Comma 3 3 2 2 4 2 2 2" xfId="7036"/>
    <cellStyle name="Comma 3 3 2 2 4 2 3" xfId="7037"/>
    <cellStyle name="Comma 3 3 2 2 4 3" xfId="7038"/>
    <cellStyle name="Comma 3 3 2 2 4 3 2" xfId="7039"/>
    <cellStyle name="Comma 3 3 2 2 4 4" xfId="7040"/>
    <cellStyle name="Comma 3 3 2 2 5" xfId="7041"/>
    <cellStyle name="Comma 3 3 2 2 5 2" xfId="7042"/>
    <cellStyle name="Comma 3 3 2 2 5 2 2" xfId="7043"/>
    <cellStyle name="Comma 3 3 2 2 5 3" xfId="7044"/>
    <cellStyle name="Comma 3 3 2 2 6" xfId="7045"/>
    <cellStyle name="Comma 3 3 2 2 6 2" xfId="7046"/>
    <cellStyle name="Comma 3 3 2 2 6 2 2" xfId="7047"/>
    <cellStyle name="Comma 3 3 2 2 6 3" xfId="7048"/>
    <cellStyle name="Comma 3 3 2 2 7" xfId="7049"/>
    <cellStyle name="Comma 3 3 2 2 7 2" xfId="7050"/>
    <cellStyle name="Comma 3 3 2 2 8" xfId="7051"/>
    <cellStyle name="Comma 3 3 2 2 8 2" xfId="36142"/>
    <cellStyle name="Comma 3 3 2 2 9" xfId="7052"/>
    <cellStyle name="Comma 3 3 2 3" xfId="7053"/>
    <cellStyle name="Comma 3 3 2 3 2" xfId="7054"/>
    <cellStyle name="Comma 3 3 2 3 2 2" xfId="7055"/>
    <cellStyle name="Comma 3 3 2 3 2 2 2" xfId="7056"/>
    <cellStyle name="Comma 3 3 2 3 2 2 2 2" xfId="7057"/>
    <cellStyle name="Comma 3 3 2 3 2 2 2 3" xfId="7058"/>
    <cellStyle name="Comma 3 3 2 3 2 2 3" xfId="7059"/>
    <cellStyle name="Comma 3 3 2 3 2 2 3 2" xfId="7060"/>
    <cellStyle name="Comma 3 3 2 3 2 2 4" xfId="7061"/>
    <cellStyle name="Comma 3 3 2 3 2 3" xfId="7062"/>
    <cellStyle name="Comma 3 3 2 3 2 3 2" xfId="7063"/>
    <cellStyle name="Comma 3 3 2 3 2 3 2 2" xfId="7064"/>
    <cellStyle name="Comma 3 3 2 3 2 3 3" xfId="7065"/>
    <cellStyle name="Comma 3 3 2 3 2 4" xfId="7066"/>
    <cellStyle name="Comma 3 3 2 3 2 4 2" xfId="7067"/>
    <cellStyle name="Comma 3 3 2 3 2 4 3" xfId="7068"/>
    <cellStyle name="Comma 3 3 2 3 2 5" xfId="7069"/>
    <cellStyle name="Comma 3 3 2 3 2 5 2" xfId="7070"/>
    <cellStyle name="Comma 3 3 2 3 2 6" xfId="7071"/>
    <cellStyle name="Comma 3 3 2 3 2 6 2" xfId="36143"/>
    <cellStyle name="Comma 3 3 2 3 2 7" xfId="7072"/>
    <cellStyle name="Comma 3 3 2 3 3" xfId="7073"/>
    <cellStyle name="Comma 3 3 2 3 3 2" xfId="7074"/>
    <cellStyle name="Comma 3 3 2 3 3 2 2" xfId="7075"/>
    <cellStyle name="Comma 3 3 2 3 3 2 2 2" xfId="7076"/>
    <cellStyle name="Comma 3 3 2 3 3 2 3" xfId="7077"/>
    <cellStyle name="Comma 3 3 2 3 3 3" xfId="7078"/>
    <cellStyle name="Comma 3 3 2 3 3 3 2" xfId="7079"/>
    <cellStyle name="Comma 3 3 2 3 3 4" xfId="7080"/>
    <cellStyle name="Comma 3 3 2 3 4" xfId="7081"/>
    <cellStyle name="Comma 3 3 2 3 4 2" xfId="7082"/>
    <cellStyle name="Comma 3 3 2 3 4 2 2" xfId="7083"/>
    <cellStyle name="Comma 3 3 2 3 4 3" xfId="7084"/>
    <cellStyle name="Comma 3 3 2 3 5" xfId="7085"/>
    <cellStyle name="Comma 3 3 2 3 5 2" xfId="7086"/>
    <cellStyle name="Comma 3 3 2 3 5 2 2" xfId="7087"/>
    <cellStyle name="Comma 3 3 2 3 5 3" xfId="7088"/>
    <cellStyle name="Comma 3 3 2 3 6" xfId="7089"/>
    <cellStyle name="Comma 3 3 2 3 6 2" xfId="7090"/>
    <cellStyle name="Comma 3 3 2 3 7" xfId="7091"/>
    <cellStyle name="Comma 3 3 2 3 7 2" xfId="36144"/>
    <cellStyle name="Comma 3 3 2 3 8" xfId="7092"/>
    <cellStyle name="Comma 3 3 2 4" xfId="7093"/>
    <cellStyle name="Comma 3 3 2 4 2" xfId="7094"/>
    <cellStyle name="Comma 3 3 2 4 2 2" xfId="7095"/>
    <cellStyle name="Comma 3 3 2 4 2 2 2" xfId="7096"/>
    <cellStyle name="Comma 3 3 2 4 2 2 3" xfId="7097"/>
    <cellStyle name="Comma 3 3 2 4 2 3" xfId="7098"/>
    <cellStyle name="Comma 3 3 2 4 2 3 2" xfId="7099"/>
    <cellStyle name="Comma 3 3 2 4 2 4" xfId="7100"/>
    <cellStyle name="Comma 3 3 2 4 3" xfId="7101"/>
    <cellStyle name="Comma 3 3 2 4 3 2" xfId="7102"/>
    <cellStyle name="Comma 3 3 2 4 3 2 2" xfId="7103"/>
    <cellStyle name="Comma 3 3 2 4 3 3" xfId="7104"/>
    <cellStyle name="Comma 3 3 2 4 4" xfId="7105"/>
    <cellStyle name="Comma 3 3 2 4 4 2" xfId="7106"/>
    <cellStyle name="Comma 3 3 2 4 4 3" xfId="7107"/>
    <cellStyle name="Comma 3 3 2 4 5" xfId="7108"/>
    <cellStyle name="Comma 3 3 2 4 5 2" xfId="7109"/>
    <cellStyle name="Comma 3 3 2 4 6" xfId="7110"/>
    <cellStyle name="Comma 3 3 2 4 6 2" xfId="36145"/>
    <cellStyle name="Comma 3 3 2 4 7" xfId="7111"/>
    <cellStyle name="Comma 3 3 2 5" xfId="7112"/>
    <cellStyle name="Comma 3 3 2 5 2" xfId="7113"/>
    <cellStyle name="Comma 3 3 2 5 2 2" xfId="7114"/>
    <cellStyle name="Comma 3 3 2 5 2 2 2" xfId="7115"/>
    <cellStyle name="Comma 3 3 2 5 2 3" xfId="7116"/>
    <cellStyle name="Comma 3 3 2 5 3" xfId="7117"/>
    <cellStyle name="Comma 3 3 2 5 3 2" xfId="7118"/>
    <cellStyle name="Comma 3 3 2 5 4" xfId="7119"/>
    <cellStyle name="Comma 3 3 2 6" xfId="7120"/>
    <cellStyle name="Comma 3 3 2 6 2" xfId="7121"/>
    <cellStyle name="Comma 3 3 2 6 2 2" xfId="7122"/>
    <cellStyle name="Comma 3 3 2 6 3" xfId="7123"/>
    <cellStyle name="Comma 3 3 2 7" xfId="7124"/>
    <cellStyle name="Comma 3 3 2 7 2" xfId="7125"/>
    <cellStyle name="Comma 3 3 2 7 2 2" xfId="7126"/>
    <cellStyle name="Comma 3 3 2 7 3" xfId="7127"/>
    <cellStyle name="Comma 3 3 2 8" xfId="7128"/>
    <cellStyle name="Comma 3 3 2 8 2" xfId="7129"/>
    <cellStyle name="Comma 3 3 2 9" xfId="7130"/>
    <cellStyle name="Comma 3 3 2 9 2" xfId="36146"/>
    <cellStyle name="Comma 3 3 3" xfId="7131"/>
    <cellStyle name="Comma 3 3 3 2" xfId="7132"/>
    <cellStyle name="Comma 3 3 3 2 2" xfId="7133"/>
    <cellStyle name="Comma 3 3 3 2 2 2" xfId="7134"/>
    <cellStyle name="Comma 3 3 3 2 2 2 2" xfId="7135"/>
    <cellStyle name="Comma 3 3 3 2 2 2 2 2" xfId="7136"/>
    <cellStyle name="Comma 3 3 3 2 2 2 2 3" xfId="7137"/>
    <cellStyle name="Comma 3 3 3 2 2 2 3" xfId="7138"/>
    <cellStyle name="Comma 3 3 3 2 2 2 3 2" xfId="7139"/>
    <cellStyle name="Comma 3 3 3 2 2 2 4" xfId="7140"/>
    <cellStyle name="Comma 3 3 3 2 2 3" xfId="7141"/>
    <cellStyle name="Comma 3 3 3 2 2 3 2" xfId="7142"/>
    <cellStyle name="Comma 3 3 3 2 2 3 2 2" xfId="7143"/>
    <cellStyle name="Comma 3 3 3 2 2 3 3" xfId="7144"/>
    <cellStyle name="Comma 3 3 3 2 2 4" xfId="7145"/>
    <cellStyle name="Comma 3 3 3 2 2 4 2" xfId="7146"/>
    <cellStyle name="Comma 3 3 3 2 2 4 3" xfId="7147"/>
    <cellStyle name="Comma 3 3 3 2 2 5" xfId="7148"/>
    <cellStyle name="Comma 3 3 3 2 2 5 2" xfId="7149"/>
    <cellStyle name="Comma 3 3 3 2 2 6" xfId="7150"/>
    <cellStyle name="Comma 3 3 3 2 2 6 2" xfId="36147"/>
    <cellStyle name="Comma 3 3 3 2 2 7" xfId="7151"/>
    <cellStyle name="Comma 3 3 3 2 3" xfId="7152"/>
    <cellStyle name="Comma 3 3 3 2 3 2" xfId="7153"/>
    <cellStyle name="Comma 3 3 3 2 3 2 2" xfId="7154"/>
    <cellStyle name="Comma 3 3 3 2 3 2 2 2" xfId="7155"/>
    <cellStyle name="Comma 3 3 3 2 3 2 3" xfId="7156"/>
    <cellStyle name="Comma 3 3 3 2 3 3" xfId="7157"/>
    <cellStyle name="Comma 3 3 3 2 3 3 2" xfId="7158"/>
    <cellStyle name="Comma 3 3 3 2 3 4" xfId="7159"/>
    <cellStyle name="Comma 3 3 3 2 4" xfId="7160"/>
    <cellStyle name="Comma 3 3 3 2 4 2" xfId="7161"/>
    <cellStyle name="Comma 3 3 3 2 4 2 2" xfId="7162"/>
    <cellStyle name="Comma 3 3 3 2 4 3" xfId="7163"/>
    <cellStyle name="Comma 3 3 3 2 5" xfId="7164"/>
    <cellStyle name="Comma 3 3 3 2 5 2" xfId="7165"/>
    <cellStyle name="Comma 3 3 3 2 5 2 2" xfId="7166"/>
    <cellStyle name="Comma 3 3 3 2 5 3" xfId="7167"/>
    <cellStyle name="Comma 3 3 3 2 6" xfId="7168"/>
    <cellStyle name="Comma 3 3 3 2 6 2" xfId="7169"/>
    <cellStyle name="Comma 3 3 3 2 7" xfId="7170"/>
    <cellStyle name="Comma 3 3 3 2 7 2" xfId="36148"/>
    <cellStyle name="Comma 3 3 3 2 8" xfId="7171"/>
    <cellStyle name="Comma 3 3 3 3" xfId="7172"/>
    <cellStyle name="Comma 3 3 3 3 2" xfId="7173"/>
    <cellStyle name="Comma 3 3 3 3 2 2" xfId="7174"/>
    <cellStyle name="Comma 3 3 3 3 2 2 2" xfId="7175"/>
    <cellStyle name="Comma 3 3 3 3 2 2 3" xfId="7176"/>
    <cellStyle name="Comma 3 3 3 3 2 3" xfId="7177"/>
    <cellStyle name="Comma 3 3 3 3 2 3 2" xfId="7178"/>
    <cellStyle name="Comma 3 3 3 3 2 4" xfId="7179"/>
    <cellStyle name="Comma 3 3 3 3 3" xfId="7180"/>
    <cellStyle name="Comma 3 3 3 3 3 2" xfId="7181"/>
    <cellStyle name="Comma 3 3 3 3 3 2 2" xfId="7182"/>
    <cellStyle name="Comma 3 3 3 3 3 3" xfId="7183"/>
    <cellStyle name="Comma 3 3 3 3 4" xfId="7184"/>
    <cellStyle name="Comma 3 3 3 3 4 2" xfId="7185"/>
    <cellStyle name="Comma 3 3 3 3 4 3" xfId="7186"/>
    <cellStyle name="Comma 3 3 3 3 5" xfId="7187"/>
    <cellStyle name="Comma 3 3 3 3 5 2" xfId="7188"/>
    <cellStyle name="Comma 3 3 3 3 6" xfId="7189"/>
    <cellStyle name="Comma 3 3 3 3 6 2" xfId="36149"/>
    <cellStyle name="Comma 3 3 3 3 7" xfId="7190"/>
    <cellStyle name="Comma 3 3 3 4" xfId="7191"/>
    <cellStyle name="Comma 3 3 3 4 2" xfId="7192"/>
    <cellStyle name="Comma 3 3 3 4 2 2" xfId="7193"/>
    <cellStyle name="Comma 3 3 3 4 2 2 2" xfId="7194"/>
    <cellStyle name="Comma 3 3 3 4 2 3" xfId="7195"/>
    <cellStyle name="Comma 3 3 3 4 3" xfId="7196"/>
    <cellStyle name="Comma 3 3 3 4 3 2" xfId="7197"/>
    <cellStyle name="Comma 3 3 3 4 4" xfId="7198"/>
    <cellStyle name="Comma 3 3 3 5" xfId="7199"/>
    <cellStyle name="Comma 3 3 3 5 2" xfId="7200"/>
    <cellStyle name="Comma 3 3 3 5 2 2" xfId="7201"/>
    <cellStyle name="Comma 3 3 3 5 3" xfId="7202"/>
    <cellStyle name="Comma 3 3 3 6" xfId="7203"/>
    <cellStyle name="Comma 3 3 3 6 2" xfId="7204"/>
    <cellStyle name="Comma 3 3 3 6 2 2" xfId="7205"/>
    <cellStyle name="Comma 3 3 3 6 3" xfId="7206"/>
    <cellStyle name="Comma 3 3 3 7" xfId="7207"/>
    <cellStyle name="Comma 3 3 3 7 2" xfId="7208"/>
    <cellStyle name="Comma 3 3 3 8" xfId="7209"/>
    <cellStyle name="Comma 3 3 3 8 2" xfId="36150"/>
    <cellStyle name="Comma 3 3 3 9" xfId="7210"/>
    <cellStyle name="Comma 3 3 4" xfId="7211"/>
    <cellStyle name="Comma 3 3 4 2" xfId="7212"/>
    <cellStyle name="Comma 3 3 4 2 2" xfId="7213"/>
    <cellStyle name="Comma 3 3 4 2 2 2" xfId="7214"/>
    <cellStyle name="Comma 3 3 4 2 2 2 2" xfId="7215"/>
    <cellStyle name="Comma 3 3 4 2 2 2 2 2" xfId="7216"/>
    <cellStyle name="Comma 3 3 4 2 2 2 2 3" xfId="7217"/>
    <cellStyle name="Comma 3 3 4 2 2 2 3" xfId="7218"/>
    <cellStyle name="Comma 3 3 4 2 2 2 3 2" xfId="7219"/>
    <cellStyle name="Comma 3 3 4 2 2 2 4" xfId="7220"/>
    <cellStyle name="Comma 3 3 4 2 2 3" xfId="7221"/>
    <cellStyle name="Comma 3 3 4 2 2 3 2" xfId="7222"/>
    <cellStyle name="Comma 3 3 4 2 2 3 2 2" xfId="7223"/>
    <cellStyle name="Comma 3 3 4 2 2 3 3" xfId="7224"/>
    <cellStyle name="Comma 3 3 4 2 2 4" xfId="7225"/>
    <cellStyle name="Comma 3 3 4 2 2 4 2" xfId="7226"/>
    <cellStyle name="Comma 3 3 4 2 2 4 3" xfId="7227"/>
    <cellStyle name="Comma 3 3 4 2 2 5" xfId="7228"/>
    <cellStyle name="Comma 3 3 4 2 2 5 2" xfId="7229"/>
    <cellStyle name="Comma 3 3 4 2 2 6" xfId="7230"/>
    <cellStyle name="Comma 3 3 4 2 2 6 2" xfId="36151"/>
    <cellStyle name="Comma 3 3 4 2 2 7" xfId="7231"/>
    <cellStyle name="Comma 3 3 4 2 3" xfId="7232"/>
    <cellStyle name="Comma 3 3 4 2 3 2" xfId="7233"/>
    <cellStyle name="Comma 3 3 4 2 3 2 2" xfId="7234"/>
    <cellStyle name="Comma 3 3 4 2 3 2 2 2" xfId="7235"/>
    <cellStyle name="Comma 3 3 4 2 3 2 3" xfId="7236"/>
    <cellStyle name="Comma 3 3 4 2 3 3" xfId="7237"/>
    <cellStyle name="Comma 3 3 4 2 3 3 2" xfId="7238"/>
    <cellStyle name="Comma 3 3 4 2 3 4" xfId="7239"/>
    <cellStyle name="Comma 3 3 4 2 4" xfId="7240"/>
    <cellStyle name="Comma 3 3 4 2 4 2" xfId="7241"/>
    <cellStyle name="Comma 3 3 4 2 4 2 2" xfId="7242"/>
    <cellStyle name="Comma 3 3 4 2 4 3" xfId="7243"/>
    <cellStyle name="Comma 3 3 4 2 5" xfId="7244"/>
    <cellStyle name="Comma 3 3 4 2 5 2" xfId="7245"/>
    <cellStyle name="Comma 3 3 4 2 5 2 2" xfId="7246"/>
    <cellStyle name="Comma 3 3 4 2 5 3" xfId="7247"/>
    <cellStyle name="Comma 3 3 4 2 6" xfId="7248"/>
    <cellStyle name="Comma 3 3 4 2 6 2" xfId="7249"/>
    <cellStyle name="Comma 3 3 4 2 7" xfId="7250"/>
    <cellStyle name="Comma 3 3 4 2 7 2" xfId="36152"/>
    <cellStyle name="Comma 3 3 4 2 8" xfId="7251"/>
    <cellStyle name="Comma 3 3 4 3" xfId="7252"/>
    <cellStyle name="Comma 3 3 4 3 2" xfId="7253"/>
    <cellStyle name="Comma 3 3 4 3 2 2" xfId="7254"/>
    <cellStyle name="Comma 3 3 4 3 2 2 2" xfId="7255"/>
    <cellStyle name="Comma 3 3 4 3 2 2 3" xfId="7256"/>
    <cellStyle name="Comma 3 3 4 3 2 3" xfId="7257"/>
    <cellStyle name="Comma 3 3 4 3 2 3 2" xfId="7258"/>
    <cellStyle name="Comma 3 3 4 3 2 4" xfId="7259"/>
    <cellStyle name="Comma 3 3 4 3 3" xfId="7260"/>
    <cellStyle name="Comma 3 3 4 3 3 2" xfId="7261"/>
    <cellStyle name="Comma 3 3 4 3 3 2 2" xfId="7262"/>
    <cellStyle name="Comma 3 3 4 3 3 3" xfId="7263"/>
    <cellStyle name="Comma 3 3 4 3 4" xfId="7264"/>
    <cellStyle name="Comma 3 3 4 3 4 2" xfId="7265"/>
    <cellStyle name="Comma 3 3 4 3 4 3" xfId="7266"/>
    <cellStyle name="Comma 3 3 4 3 5" xfId="7267"/>
    <cellStyle name="Comma 3 3 4 3 5 2" xfId="7268"/>
    <cellStyle name="Comma 3 3 4 3 6" xfId="7269"/>
    <cellStyle name="Comma 3 3 4 3 6 2" xfId="36153"/>
    <cellStyle name="Comma 3 3 4 3 7" xfId="7270"/>
    <cellStyle name="Comma 3 3 4 4" xfId="7271"/>
    <cellStyle name="Comma 3 3 4 4 2" xfId="7272"/>
    <cellStyle name="Comma 3 3 4 4 2 2" xfId="7273"/>
    <cellStyle name="Comma 3 3 4 4 2 2 2" xfId="7274"/>
    <cellStyle name="Comma 3 3 4 4 2 3" xfId="7275"/>
    <cellStyle name="Comma 3 3 4 4 3" xfId="7276"/>
    <cellStyle name="Comma 3 3 4 4 3 2" xfId="7277"/>
    <cellStyle name="Comma 3 3 4 4 4" xfId="7278"/>
    <cellStyle name="Comma 3 3 4 5" xfId="7279"/>
    <cellStyle name="Comma 3 3 4 5 2" xfId="7280"/>
    <cellStyle name="Comma 3 3 4 5 2 2" xfId="7281"/>
    <cellStyle name="Comma 3 3 4 5 3" xfId="7282"/>
    <cellStyle name="Comma 3 3 4 6" xfId="7283"/>
    <cellStyle name="Comma 3 3 4 6 2" xfId="7284"/>
    <cellStyle name="Comma 3 3 4 6 2 2" xfId="7285"/>
    <cellStyle name="Comma 3 3 4 6 3" xfId="7286"/>
    <cellStyle name="Comma 3 3 4 7" xfId="7287"/>
    <cellStyle name="Comma 3 3 4 7 2" xfId="7288"/>
    <cellStyle name="Comma 3 3 4 8" xfId="7289"/>
    <cellStyle name="Comma 3 3 4 8 2" xfId="36154"/>
    <cellStyle name="Comma 3 3 4 9" xfId="7290"/>
    <cellStyle name="Comma 3 3 5" xfId="7291"/>
    <cellStyle name="Comma 3 3 5 2" xfId="7292"/>
    <cellStyle name="Comma 3 3 5 2 2" xfId="7293"/>
    <cellStyle name="Comma 3 3 5 2 2 2" xfId="7294"/>
    <cellStyle name="Comma 3 3 5 2 2 2 2" xfId="7295"/>
    <cellStyle name="Comma 3 3 5 2 2 2 3" xfId="7296"/>
    <cellStyle name="Comma 3 3 5 2 2 3" xfId="7297"/>
    <cellStyle name="Comma 3 3 5 2 2 3 2" xfId="7298"/>
    <cellStyle name="Comma 3 3 5 2 2 4" xfId="7299"/>
    <cellStyle name="Comma 3 3 5 2 3" xfId="7300"/>
    <cellStyle name="Comma 3 3 5 2 3 2" xfId="7301"/>
    <cellStyle name="Comma 3 3 5 2 3 2 2" xfId="7302"/>
    <cellStyle name="Comma 3 3 5 2 3 3" xfId="7303"/>
    <cellStyle name="Comma 3 3 5 2 4" xfId="7304"/>
    <cellStyle name="Comma 3 3 5 2 4 2" xfId="7305"/>
    <cellStyle name="Comma 3 3 5 2 4 3" xfId="7306"/>
    <cellStyle name="Comma 3 3 5 2 5" xfId="7307"/>
    <cellStyle name="Comma 3 3 5 2 5 2" xfId="7308"/>
    <cellStyle name="Comma 3 3 5 2 6" xfId="7309"/>
    <cellStyle name="Comma 3 3 5 2 6 2" xfId="36155"/>
    <cellStyle name="Comma 3 3 5 2 7" xfId="7310"/>
    <cellStyle name="Comma 3 3 5 3" xfId="7311"/>
    <cellStyle name="Comma 3 3 5 3 2" xfId="7312"/>
    <cellStyle name="Comma 3 3 5 3 2 2" xfId="7313"/>
    <cellStyle name="Comma 3 3 5 3 2 2 2" xfId="7314"/>
    <cellStyle name="Comma 3 3 5 3 2 3" xfId="7315"/>
    <cellStyle name="Comma 3 3 5 3 3" xfId="7316"/>
    <cellStyle name="Comma 3 3 5 3 3 2" xfId="7317"/>
    <cellStyle name="Comma 3 3 5 3 4" xfId="7318"/>
    <cellStyle name="Comma 3 3 5 4" xfId="7319"/>
    <cellStyle name="Comma 3 3 5 4 2" xfId="7320"/>
    <cellStyle name="Comma 3 3 5 4 2 2" xfId="7321"/>
    <cellStyle name="Comma 3 3 5 4 3" xfId="7322"/>
    <cellStyle name="Comma 3 3 5 5" xfId="7323"/>
    <cellStyle name="Comma 3 3 5 5 2" xfId="7324"/>
    <cellStyle name="Comma 3 3 5 5 2 2" xfId="7325"/>
    <cellStyle name="Comma 3 3 5 5 3" xfId="7326"/>
    <cellStyle name="Comma 3 3 5 6" xfId="7327"/>
    <cellStyle name="Comma 3 3 5 6 2" xfId="7328"/>
    <cellStyle name="Comma 3 3 5 7" xfId="7329"/>
    <cellStyle name="Comma 3 3 5 7 2" xfId="36156"/>
    <cellStyle name="Comma 3 3 5 8" xfId="7330"/>
    <cellStyle name="Comma 3 3 6" xfId="7331"/>
    <cellStyle name="Comma 3 3 6 2" xfId="7332"/>
    <cellStyle name="Comma 3 3 6 2 2" xfId="7333"/>
    <cellStyle name="Comma 3 3 6 2 2 2" xfId="7334"/>
    <cellStyle name="Comma 3 3 6 2 2 2 2" xfId="7335"/>
    <cellStyle name="Comma 3 3 6 2 2 2 3" xfId="7336"/>
    <cellStyle name="Comma 3 3 6 2 2 3" xfId="7337"/>
    <cellStyle name="Comma 3 3 6 2 2 3 2" xfId="7338"/>
    <cellStyle name="Comma 3 3 6 2 2 4" xfId="7339"/>
    <cellStyle name="Comma 3 3 6 2 3" xfId="7340"/>
    <cellStyle name="Comma 3 3 6 2 3 2" xfId="7341"/>
    <cellStyle name="Comma 3 3 6 2 3 2 2" xfId="7342"/>
    <cellStyle name="Comma 3 3 6 2 3 3" xfId="7343"/>
    <cellStyle name="Comma 3 3 6 2 4" xfId="7344"/>
    <cellStyle name="Comma 3 3 6 2 4 2" xfId="7345"/>
    <cellStyle name="Comma 3 3 6 2 4 3" xfId="7346"/>
    <cellStyle name="Comma 3 3 6 2 5" xfId="7347"/>
    <cellStyle name="Comma 3 3 6 2 5 2" xfId="7348"/>
    <cellStyle name="Comma 3 3 6 2 6" xfId="7349"/>
    <cellStyle name="Comma 3 3 6 2 6 2" xfId="36157"/>
    <cellStyle name="Comma 3 3 6 2 7" xfId="7350"/>
    <cellStyle name="Comma 3 3 6 3" xfId="7351"/>
    <cellStyle name="Comma 3 3 6 3 2" xfId="7352"/>
    <cellStyle name="Comma 3 3 6 3 2 2" xfId="7353"/>
    <cellStyle name="Comma 3 3 6 3 2 2 2" xfId="7354"/>
    <cellStyle name="Comma 3 3 6 3 2 3" xfId="7355"/>
    <cellStyle name="Comma 3 3 6 3 3" xfId="7356"/>
    <cellStyle name="Comma 3 3 6 3 3 2" xfId="7357"/>
    <cellStyle name="Comma 3 3 6 3 4" xfId="7358"/>
    <cellStyle name="Comma 3 3 6 4" xfId="7359"/>
    <cellStyle name="Comma 3 3 6 4 2" xfId="7360"/>
    <cellStyle name="Comma 3 3 6 4 2 2" xfId="7361"/>
    <cellStyle name="Comma 3 3 6 4 3" xfId="7362"/>
    <cellStyle name="Comma 3 3 6 5" xfId="7363"/>
    <cellStyle name="Comma 3 3 6 5 2" xfId="7364"/>
    <cellStyle name="Comma 3 3 6 5 2 2" xfId="7365"/>
    <cellStyle name="Comma 3 3 6 5 3" xfId="7366"/>
    <cellStyle name="Comma 3 3 6 6" xfId="7367"/>
    <cellStyle name="Comma 3 3 6 6 2" xfId="7368"/>
    <cellStyle name="Comma 3 3 6 7" xfId="7369"/>
    <cellStyle name="Comma 3 3 6 7 2" xfId="36158"/>
    <cellStyle name="Comma 3 3 6 8" xfId="7370"/>
    <cellStyle name="Comma 3 3 7" xfId="7371"/>
    <cellStyle name="Comma 3 3 7 2" xfId="7372"/>
    <cellStyle name="Comma 3 3 7 2 2" xfId="7373"/>
    <cellStyle name="Comma 3 3 7 2 2 2" xfId="7374"/>
    <cellStyle name="Comma 3 3 7 2 2 2 2" xfId="7375"/>
    <cellStyle name="Comma 3 3 7 2 2 2 3" xfId="7376"/>
    <cellStyle name="Comma 3 3 7 2 2 3" xfId="7377"/>
    <cellStyle name="Comma 3 3 7 2 2 3 2" xfId="7378"/>
    <cellStyle name="Comma 3 3 7 2 2 4" xfId="7379"/>
    <cellStyle name="Comma 3 3 7 2 3" xfId="7380"/>
    <cellStyle name="Comma 3 3 7 2 3 2" xfId="7381"/>
    <cellStyle name="Comma 3 3 7 2 3 2 2" xfId="7382"/>
    <cellStyle name="Comma 3 3 7 2 3 3" xfId="7383"/>
    <cellStyle name="Comma 3 3 7 2 4" xfId="7384"/>
    <cellStyle name="Comma 3 3 7 2 4 2" xfId="7385"/>
    <cellStyle name="Comma 3 3 7 2 4 3" xfId="7386"/>
    <cellStyle name="Comma 3 3 7 2 5" xfId="7387"/>
    <cellStyle name="Comma 3 3 7 2 5 2" xfId="7388"/>
    <cellStyle name="Comma 3 3 7 2 6" xfId="7389"/>
    <cellStyle name="Comma 3 3 7 2 6 2" xfId="36159"/>
    <cellStyle name="Comma 3 3 7 2 7" xfId="7390"/>
    <cellStyle name="Comma 3 3 7 3" xfId="7391"/>
    <cellStyle name="Comma 3 3 7 3 2" xfId="7392"/>
    <cellStyle name="Comma 3 3 7 3 2 2" xfId="7393"/>
    <cellStyle name="Comma 3 3 7 3 2 2 2" xfId="7394"/>
    <cellStyle name="Comma 3 3 7 3 2 3" xfId="7395"/>
    <cellStyle name="Comma 3 3 7 3 3" xfId="7396"/>
    <cellStyle name="Comma 3 3 7 3 3 2" xfId="7397"/>
    <cellStyle name="Comma 3 3 7 3 4" xfId="7398"/>
    <cellStyle name="Comma 3 3 7 4" xfId="7399"/>
    <cellStyle name="Comma 3 3 7 4 2" xfId="7400"/>
    <cellStyle name="Comma 3 3 7 4 2 2" xfId="7401"/>
    <cellStyle name="Comma 3 3 7 4 3" xfId="7402"/>
    <cellStyle name="Comma 3 3 7 5" xfId="7403"/>
    <cellStyle name="Comma 3 3 7 5 2" xfId="7404"/>
    <cellStyle name="Comma 3 3 7 5 2 2" xfId="7405"/>
    <cellStyle name="Comma 3 3 7 5 3" xfId="7406"/>
    <cellStyle name="Comma 3 3 7 6" xfId="7407"/>
    <cellStyle name="Comma 3 3 7 6 2" xfId="7408"/>
    <cellStyle name="Comma 3 3 7 7" xfId="7409"/>
    <cellStyle name="Comma 3 3 7 7 2" xfId="36160"/>
    <cellStyle name="Comma 3 3 7 8" xfId="7410"/>
    <cellStyle name="Comma 3 3 8" xfId="7411"/>
    <cellStyle name="Comma 3 3 8 2" xfId="7412"/>
    <cellStyle name="Comma 3 3 8 2 2" xfId="7413"/>
    <cellStyle name="Comma 3 3 8 2 2 2" xfId="7414"/>
    <cellStyle name="Comma 3 3 8 2 2 3" xfId="7415"/>
    <cellStyle name="Comma 3 3 8 2 3" xfId="7416"/>
    <cellStyle name="Comma 3 3 8 2 3 2" xfId="7417"/>
    <cellStyle name="Comma 3 3 8 2 4" xfId="7418"/>
    <cellStyle name="Comma 3 3 8 3" xfId="7419"/>
    <cellStyle name="Comma 3 3 8 3 2" xfId="7420"/>
    <cellStyle name="Comma 3 3 8 3 2 2" xfId="7421"/>
    <cellStyle name="Comma 3 3 8 3 3" xfId="7422"/>
    <cellStyle name="Comma 3 3 8 4" xfId="7423"/>
    <cellStyle name="Comma 3 3 8 4 2" xfId="7424"/>
    <cellStyle name="Comma 3 3 8 4 3" xfId="7425"/>
    <cellStyle name="Comma 3 3 8 5" xfId="7426"/>
    <cellStyle name="Comma 3 3 8 5 2" xfId="7427"/>
    <cellStyle name="Comma 3 3 8 6" xfId="7428"/>
    <cellStyle name="Comma 3 3 8 6 2" xfId="36161"/>
    <cellStyle name="Comma 3 3 8 7" xfId="7429"/>
    <cellStyle name="Comma 3 3 9" xfId="7430"/>
    <cellStyle name="Comma 3 3 9 2" xfId="7431"/>
    <cellStyle name="Comma 3 3 9 2 2" xfId="7432"/>
    <cellStyle name="Comma 3 3 9 2 2 2" xfId="7433"/>
    <cellStyle name="Comma 3 3 9 2 3" xfId="7434"/>
    <cellStyle name="Comma 3 3 9 3" xfId="7435"/>
    <cellStyle name="Comma 3 3 9 3 2" xfId="7436"/>
    <cellStyle name="Comma 3 3 9 4" xfId="7437"/>
    <cellStyle name="Comma 3 4" xfId="7438"/>
    <cellStyle name="Comma 3 4 10" xfId="7439"/>
    <cellStyle name="Comma 3 4 10 2" xfId="7440"/>
    <cellStyle name="Comma 3 4 10 2 2" xfId="7441"/>
    <cellStyle name="Comma 3 4 10 3" xfId="7442"/>
    <cellStyle name="Comma 3 4 11" xfId="7443"/>
    <cellStyle name="Comma 3 4 11 2" xfId="7444"/>
    <cellStyle name="Comma 3 4 11 2 2" xfId="7445"/>
    <cellStyle name="Comma 3 4 11 3" xfId="7446"/>
    <cellStyle name="Comma 3 4 12" xfId="7447"/>
    <cellStyle name="Comma 3 4 12 2" xfId="7448"/>
    <cellStyle name="Comma 3 4 13" xfId="7449"/>
    <cellStyle name="Comma 3 4 13 2" xfId="36162"/>
    <cellStyle name="Comma 3 4 14" xfId="7450"/>
    <cellStyle name="Comma 3 4 2" xfId="7451"/>
    <cellStyle name="Comma 3 4 2 10" xfId="7452"/>
    <cellStyle name="Comma 3 4 2 2" xfId="7453"/>
    <cellStyle name="Comma 3 4 2 2 2" xfId="7454"/>
    <cellStyle name="Comma 3 4 2 2 2 2" xfId="7455"/>
    <cellStyle name="Comma 3 4 2 2 2 2 2" xfId="7456"/>
    <cellStyle name="Comma 3 4 2 2 2 2 2 2" xfId="7457"/>
    <cellStyle name="Comma 3 4 2 2 2 2 2 2 2" xfId="7458"/>
    <cellStyle name="Comma 3 4 2 2 2 2 2 2 3" xfId="7459"/>
    <cellStyle name="Comma 3 4 2 2 2 2 2 3" xfId="7460"/>
    <cellStyle name="Comma 3 4 2 2 2 2 2 3 2" xfId="7461"/>
    <cellStyle name="Comma 3 4 2 2 2 2 2 4" xfId="7462"/>
    <cellStyle name="Comma 3 4 2 2 2 2 3" xfId="7463"/>
    <cellStyle name="Comma 3 4 2 2 2 2 3 2" xfId="7464"/>
    <cellStyle name="Comma 3 4 2 2 2 2 3 2 2" xfId="7465"/>
    <cellStyle name="Comma 3 4 2 2 2 2 3 3" xfId="7466"/>
    <cellStyle name="Comma 3 4 2 2 2 2 4" xfId="7467"/>
    <cellStyle name="Comma 3 4 2 2 2 2 4 2" xfId="7468"/>
    <cellStyle name="Comma 3 4 2 2 2 2 4 3" xfId="7469"/>
    <cellStyle name="Comma 3 4 2 2 2 2 5" xfId="7470"/>
    <cellStyle name="Comma 3 4 2 2 2 2 5 2" xfId="7471"/>
    <cellStyle name="Comma 3 4 2 2 2 2 6" xfId="7472"/>
    <cellStyle name="Comma 3 4 2 2 2 2 6 2" xfId="36163"/>
    <cellStyle name="Comma 3 4 2 2 2 2 7" xfId="7473"/>
    <cellStyle name="Comma 3 4 2 2 2 3" xfId="7474"/>
    <cellStyle name="Comma 3 4 2 2 2 3 2" xfId="7475"/>
    <cellStyle name="Comma 3 4 2 2 2 3 2 2" xfId="7476"/>
    <cellStyle name="Comma 3 4 2 2 2 3 2 2 2" xfId="7477"/>
    <cellStyle name="Comma 3 4 2 2 2 3 2 3" xfId="7478"/>
    <cellStyle name="Comma 3 4 2 2 2 3 3" xfId="7479"/>
    <cellStyle name="Comma 3 4 2 2 2 3 3 2" xfId="7480"/>
    <cellStyle name="Comma 3 4 2 2 2 3 4" xfId="7481"/>
    <cellStyle name="Comma 3 4 2 2 2 4" xfId="7482"/>
    <cellStyle name="Comma 3 4 2 2 2 4 2" xfId="7483"/>
    <cellStyle name="Comma 3 4 2 2 2 4 2 2" xfId="7484"/>
    <cellStyle name="Comma 3 4 2 2 2 4 3" xfId="7485"/>
    <cellStyle name="Comma 3 4 2 2 2 5" xfId="7486"/>
    <cellStyle name="Comma 3 4 2 2 2 5 2" xfId="7487"/>
    <cellStyle name="Comma 3 4 2 2 2 5 2 2" xfId="7488"/>
    <cellStyle name="Comma 3 4 2 2 2 5 3" xfId="7489"/>
    <cellStyle name="Comma 3 4 2 2 2 6" xfId="7490"/>
    <cellStyle name="Comma 3 4 2 2 2 6 2" xfId="7491"/>
    <cellStyle name="Comma 3 4 2 2 2 7" xfId="7492"/>
    <cellStyle name="Comma 3 4 2 2 2 7 2" xfId="36164"/>
    <cellStyle name="Comma 3 4 2 2 2 8" xfId="7493"/>
    <cellStyle name="Comma 3 4 2 2 3" xfId="7494"/>
    <cellStyle name="Comma 3 4 2 2 3 2" xfId="7495"/>
    <cellStyle name="Comma 3 4 2 2 3 2 2" xfId="7496"/>
    <cellStyle name="Comma 3 4 2 2 3 2 2 2" xfId="7497"/>
    <cellStyle name="Comma 3 4 2 2 3 2 2 3" xfId="7498"/>
    <cellStyle name="Comma 3 4 2 2 3 2 3" xfId="7499"/>
    <cellStyle name="Comma 3 4 2 2 3 2 3 2" xfId="7500"/>
    <cellStyle name="Comma 3 4 2 2 3 2 4" xfId="7501"/>
    <cellStyle name="Comma 3 4 2 2 3 3" xfId="7502"/>
    <cellStyle name="Comma 3 4 2 2 3 3 2" xfId="7503"/>
    <cellStyle name="Comma 3 4 2 2 3 3 2 2" xfId="7504"/>
    <cellStyle name="Comma 3 4 2 2 3 3 3" xfId="7505"/>
    <cellStyle name="Comma 3 4 2 2 3 4" xfId="7506"/>
    <cellStyle name="Comma 3 4 2 2 3 4 2" xfId="7507"/>
    <cellStyle name="Comma 3 4 2 2 3 4 3" xfId="7508"/>
    <cellStyle name="Comma 3 4 2 2 3 5" xfId="7509"/>
    <cellStyle name="Comma 3 4 2 2 3 5 2" xfId="7510"/>
    <cellStyle name="Comma 3 4 2 2 3 6" xfId="7511"/>
    <cellStyle name="Comma 3 4 2 2 3 6 2" xfId="36165"/>
    <cellStyle name="Comma 3 4 2 2 3 7" xfId="7512"/>
    <cellStyle name="Comma 3 4 2 2 4" xfId="7513"/>
    <cellStyle name="Comma 3 4 2 2 4 2" xfId="7514"/>
    <cellStyle name="Comma 3 4 2 2 4 2 2" xfId="7515"/>
    <cellStyle name="Comma 3 4 2 2 4 2 2 2" xfId="7516"/>
    <cellStyle name="Comma 3 4 2 2 4 2 3" xfId="7517"/>
    <cellStyle name="Comma 3 4 2 2 4 3" xfId="7518"/>
    <cellStyle name="Comma 3 4 2 2 4 3 2" xfId="7519"/>
    <cellStyle name="Comma 3 4 2 2 4 4" xfId="7520"/>
    <cellStyle name="Comma 3 4 2 2 5" xfId="7521"/>
    <cellStyle name="Comma 3 4 2 2 5 2" xfId="7522"/>
    <cellStyle name="Comma 3 4 2 2 5 2 2" xfId="7523"/>
    <cellStyle name="Comma 3 4 2 2 5 3" xfId="7524"/>
    <cellStyle name="Comma 3 4 2 2 6" xfId="7525"/>
    <cellStyle name="Comma 3 4 2 2 6 2" xfId="7526"/>
    <cellStyle name="Comma 3 4 2 2 6 2 2" xfId="7527"/>
    <cellStyle name="Comma 3 4 2 2 6 3" xfId="7528"/>
    <cellStyle name="Comma 3 4 2 2 7" xfId="7529"/>
    <cellStyle name="Comma 3 4 2 2 7 2" xfId="7530"/>
    <cellStyle name="Comma 3 4 2 2 8" xfId="7531"/>
    <cellStyle name="Comma 3 4 2 2 8 2" xfId="36166"/>
    <cellStyle name="Comma 3 4 2 2 9" xfId="7532"/>
    <cellStyle name="Comma 3 4 2 3" xfId="7533"/>
    <cellStyle name="Comma 3 4 2 3 2" xfId="7534"/>
    <cellStyle name="Comma 3 4 2 3 2 2" xfId="7535"/>
    <cellStyle name="Comma 3 4 2 3 2 2 2" xfId="7536"/>
    <cellStyle name="Comma 3 4 2 3 2 2 2 2" xfId="7537"/>
    <cellStyle name="Comma 3 4 2 3 2 2 2 3" xfId="7538"/>
    <cellStyle name="Comma 3 4 2 3 2 2 3" xfId="7539"/>
    <cellStyle name="Comma 3 4 2 3 2 2 3 2" xfId="7540"/>
    <cellStyle name="Comma 3 4 2 3 2 2 4" xfId="7541"/>
    <cellStyle name="Comma 3 4 2 3 2 3" xfId="7542"/>
    <cellStyle name="Comma 3 4 2 3 2 3 2" xfId="7543"/>
    <cellStyle name="Comma 3 4 2 3 2 3 2 2" xfId="7544"/>
    <cellStyle name="Comma 3 4 2 3 2 3 3" xfId="7545"/>
    <cellStyle name="Comma 3 4 2 3 2 4" xfId="7546"/>
    <cellStyle name="Comma 3 4 2 3 2 4 2" xfId="7547"/>
    <cellStyle name="Comma 3 4 2 3 2 4 3" xfId="7548"/>
    <cellStyle name="Comma 3 4 2 3 2 5" xfId="7549"/>
    <cellStyle name="Comma 3 4 2 3 2 5 2" xfId="7550"/>
    <cellStyle name="Comma 3 4 2 3 2 6" xfId="7551"/>
    <cellStyle name="Comma 3 4 2 3 2 6 2" xfId="36167"/>
    <cellStyle name="Comma 3 4 2 3 2 7" xfId="7552"/>
    <cellStyle name="Comma 3 4 2 3 3" xfId="7553"/>
    <cellStyle name="Comma 3 4 2 3 3 2" xfId="7554"/>
    <cellStyle name="Comma 3 4 2 3 3 2 2" xfId="7555"/>
    <cellStyle name="Comma 3 4 2 3 3 2 2 2" xfId="7556"/>
    <cellStyle name="Comma 3 4 2 3 3 2 3" xfId="7557"/>
    <cellStyle name="Comma 3 4 2 3 3 3" xfId="7558"/>
    <cellStyle name="Comma 3 4 2 3 3 3 2" xfId="7559"/>
    <cellStyle name="Comma 3 4 2 3 3 4" xfId="7560"/>
    <cellStyle name="Comma 3 4 2 3 4" xfId="7561"/>
    <cellStyle name="Comma 3 4 2 3 4 2" xfId="7562"/>
    <cellStyle name="Comma 3 4 2 3 4 2 2" xfId="7563"/>
    <cellStyle name="Comma 3 4 2 3 4 3" xfId="7564"/>
    <cellStyle name="Comma 3 4 2 3 5" xfId="7565"/>
    <cellStyle name="Comma 3 4 2 3 5 2" xfId="7566"/>
    <cellStyle name="Comma 3 4 2 3 5 2 2" xfId="7567"/>
    <cellStyle name="Comma 3 4 2 3 5 3" xfId="7568"/>
    <cellStyle name="Comma 3 4 2 3 6" xfId="7569"/>
    <cellStyle name="Comma 3 4 2 3 6 2" xfId="7570"/>
    <cellStyle name="Comma 3 4 2 3 7" xfId="7571"/>
    <cellStyle name="Comma 3 4 2 3 7 2" xfId="36168"/>
    <cellStyle name="Comma 3 4 2 3 8" xfId="7572"/>
    <cellStyle name="Comma 3 4 2 4" xfId="7573"/>
    <cellStyle name="Comma 3 4 2 4 2" xfId="7574"/>
    <cellStyle name="Comma 3 4 2 4 2 2" xfId="7575"/>
    <cellStyle name="Comma 3 4 2 4 2 2 2" xfId="7576"/>
    <cellStyle name="Comma 3 4 2 4 2 2 3" xfId="7577"/>
    <cellStyle name="Comma 3 4 2 4 2 3" xfId="7578"/>
    <cellStyle name="Comma 3 4 2 4 2 3 2" xfId="7579"/>
    <cellStyle name="Comma 3 4 2 4 2 4" xfId="7580"/>
    <cellStyle name="Comma 3 4 2 4 3" xfId="7581"/>
    <cellStyle name="Comma 3 4 2 4 3 2" xfId="7582"/>
    <cellStyle name="Comma 3 4 2 4 3 2 2" xfId="7583"/>
    <cellStyle name="Comma 3 4 2 4 3 3" xfId="7584"/>
    <cellStyle name="Comma 3 4 2 4 4" xfId="7585"/>
    <cellStyle name="Comma 3 4 2 4 4 2" xfId="7586"/>
    <cellStyle name="Comma 3 4 2 4 4 3" xfId="7587"/>
    <cellStyle name="Comma 3 4 2 4 5" xfId="7588"/>
    <cellStyle name="Comma 3 4 2 4 5 2" xfId="7589"/>
    <cellStyle name="Comma 3 4 2 4 6" xfId="7590"/>
    <cellStyle name="Comma 3 4 2 4 6 2" xfId="36169"/>
    <cellStyle name="Comma 3 4 2 4 7" xfId="7591"/>
    <cellStyle name="Comma 3 4 2 5" xfId="7592"/>
    <cellStyle name="Comma 3 4 2 5 2" xfId="7593"/>
    <cellStyle name="Comma 3 4 2 5 2 2" xfId="7594"/>
    <cellStyle name="Comma 3 4 2 5 2 2 2" xfId="7595"/>
    <cellStyle name="Comma 3 4 2 5 2 3" xfId="7596"/>
    <cellStyle name="Comma 3 4 2 5 3" xfId="7597"/>
    <cellStyle name="Comma 3 4 2 5 3 2" xfId="7598"/>
    <cellStyle name="Comma 3 4 2 5 4" xfId="7599"/>
    <cellStyle name="Comma 3 4 2 6" xfId="7600"/>
    <cellStyle name="Comma 3 4 2 6 2" xfId="7601"/>
    <cellStyle name="Comma 3 4 2 6 2 2" xfId="7602"/>
    <cellStyle name="Comma 3 4 2 6 3" xfId="7603"/>
    <cellStyle name="Comma 3 4 2 7" xfId="7604"/>
    <cellStyle name="Comma 3 4 2 7 2" xfId="7605"/>
    <cellStyle name="Comma 3 4 2 7 2 2" xfId="7606"/>
    <cellStyle name="Comma 3 4 2 7 3" xfId="7607"/>
    <cellStyle name="Comma 3 4 2 8" xfId="7608"/>
    <cellStyle name="Comma 3 4 2 8 2" xfId="7609"/>
    <cellStyle name="Comma 3 4 2 9" xfId="7610"/>
    <cellStyle name="Comma 3 4 2 9 2" xfId="36170"/>
    <cellStyle name="Comma 3 4 3" xfId="7611"/>
    <cellStyle name="Comma 3 4 3 2" xfId="7612"/>
    <cellStyle name="Comma 3 4 3 2 2" xfId="7613"/>
    <cellStyle name="Comma 3 4 3 2 2 2" xfId="7614"/>
    <cellStyle name="Comma 3 4 3 2 2 2 2" xfId="7615"/>
    <cellStyle name="Comma 3 4 3 2 2 2 2 2" xfId="7616"/>
    <cellStyle name="Comma 3 4 3 2 2 2 2 3" xfId="7617"/>
    <cellStyle name="Comma 3 4 3 2 2 2 3" xfId="7618"/>
    <cellStyle name="Comma 3 4 3 2 2 2 3 2" xfId="7619"/>
    <cellStyle name="Comma 3 4 3 2 2 2 4" xfId="7620"/>
    <cellStyle name="Comma 3 4 3 2 2 3" xfId="7621"/>
    <cellStyle name="Comma 3 4 3 2 2 3 2" xfId="7622"/>
    <cellStyle name="Comma 3 4 3 2 2 3 2 2" xfId="7623"/>
    <cellStyle name="Comma 3 4 3 2 2 3 3" xfId="7624"/>
    <cellStyle name="Comma 3 4 3 2 2 4" xfId="7625"/>
    <cellStyle name="Comma 3 4 3 2 2 4 2" xfId="7626"/>
    <cellStyle name="Comma 3 4 3 2 2 4 3" xfId="7627"/>
    <cellStyle name="Comma 3 4 3 2 2 5" xfId="7628"/>
    <cellStyle name="Comma 3 4 3 2 2 5 2" xfId="7629"/>
    <cellStyle name="Comma 3 4 3 2 2 6" xfId="7630"/>
    <cellStyle name="Comma 3 4 3 2 2 6 2" xfId="36171"/>
    <cellStyle name="Comma 3 4 3 2 2 7" xfId="7631"/>
    <cellStyle name="Comma 3 4 3 2 3" xfId="7632"/>
    <cellStyle name="Comma 3 4 3 2 3 2" xfId="7633"/>
    <cellStyle name="Comma 3 4 3 2 3 2 2" xfId="7634"/>
    <cellStyle name="Comma 3 4 3 2 3 2 2 2" xfId="7635"/>
    <cellStyle name="Comma 3 4 3 2 3 2 3" xfId="7636"/>
    <cellStyle name="Comma 3 4 3 2 3 3" xfId="7637"/>
    <cellStyle name="Comma 3 4 3 2 3 3 2" xfId="7638"/>
    <cellStyle name="Comma 3 4 3 2 3 4" xfId="7639"/>
    <cellStyle name="Comma 3 4 3 2 4" xfId="7640"/>
    <cellStyle name="Comma 3 4 3 2 4 2" xfId="7641"/>
    <cellStyle name="Comma 3 4 3 2 4 2 2" xfId="7642"/>
    <cellStyle name="Comma 3 4 3 2 4 3" xfId="7643"/>
    <cellStyle name="Comma 3 4 3 2 5" xfId="7644"/>
    <cellStyle name="Comma 3 4 3 2 5 2" xfId="7645"/>
    <cellStyle name="Comma 3 4 3 2 5 2 2" xfId="7646"/>
    <cellStyle name="Comma 3 4 3 2 5 3" xfId="7647"/>
    <cellStyle name="Comma 3 4 3 2 6" xfId="7648"/>
    <cellStyle name="Comma 3 4 3 2 6 2" xfId="7649"/>
    <cellStyle name="Comma 3 4 3 2 7" xfId="7650"/>
    <cellStyle name="Comma 3 4 3 2 7 2" xfId="36172"/>
    <cellStyle name="Comma 3 4 3 2 8" xfId="7651"/>
    <cellStyle name="Comma 3 4 3 3" xfId="7652"/>
    <cellStyle name="Comma 3 4 3 3 2" xfId="7653"/>
    <cellStyle name="Comma 3 4 3 3 2 2" xfId="7654"/>
    <cellStyle name="Comma 3 4 3 3 2 2 2" xfId="7655"/>
    <cellStyle name="Comma 3 4 3 3 2 2 3" xfId="7656"/>
    <cellStyle name="Comma 3 4 3 3 2 3" xfId="7657"/>
    <cellStyle name="Comma 3 4 3 3 2 3 2" xfId="7658"/>
    <cellStyle name="Comma 3 4 3 3 2 4" xfId="7659"/>
    <cellStyle name="Comma 3 4 3 3 3" xfId="7660"/>
    <cellStyle name="Comma 3 4 3 3 3 2" xfId="7661"/>
    <cellStyle name="Comma 3 4 3 3 3 2 2" xfId="7662"/>
    <cellStyle name="Comma 3 4 3 3 3 3" xfId="7663"/>
    <cellStyle name="Comma 3 4 3 3 4" xfId="7664"/>
    <cellStyle name="Comma 3 4 3 3 4 2" xfId="7665"/>
    <cellStyle name="Comma 3 4 3 3 4 3" xfId="7666"/>
    <cellStyle name="Comma 3 4 3 3 5" xfId="7667"/>
    <cellStyle name="Comma 3 4 3 3 5 2" xfId="7668"/>
    <cellStyle name="Comma 3 4 3 3 6" xfId="7669"/>
    <cellStyle name="Comma 3 4 3 3 6 2" xfId="36173"/>
    <cellStyle name="Comma 3 4 3 3 7" xfId="7670"/>
    <cellStyle name="Comma 3 4 3 4" xfId="7671"/>
    <cellStyle name="Comma 3 4 3 4 2" xfId="7672"/>
    <cellStyle name="Comma 3 4 3 4 2 2" xfId="7673"/>
    <cellStyle name="Comma 3 4 3 4 2 2 2" xfId="7674"/>
    <cellStyle name="Comma 3 4 3 4 2 3" xfId="7675"/>
    <cellStyle name="Comma 3 4 3 4 3" xfId="7676"/>
    <cellStyle name="Comma 3 4 3 4 3 2" xfId="7677"/>
    <cellStyle name="Comma 3 4 3 4 4" xfId="7678"/>
    <cellStyle name="Comma 3 4 3 5" xfId="7679"/>
    <cellStyle name="Comma 3 4 3 5 2" xfId="7680"/>
    <cellStyle name="Comma 3 4 3 5 2 2" xfId="7681"/>
    <cellStyle name="Comma 3 4 3 5 3" xfId="7682"/>
    <cellStyle name="Comma 3 4 3 6" xfId="7683"/>
    <cellStyle name="Comma 3 4 3 6 2" xfId="7684"/>
    <cellStyle name="Comma 3 4 3 6 2 2" xfId="7685"/>
    <cellStyle name="Comma 3 4 3 6 3" xfId="7686"/>
    <cellStyle name="Comma 3 4 3 7" xfId="7687"/>
    <cellStyle name="Comma 3 4 3 7 2" xfId="7688"/>
    <cellStyle name="Comma 3 4 3 8" xfId="7689"/>
    <cellStyle name="Comma 3 4 3 8 2" xfId="36174"/>
    <cellStyle name="Comma 3 4 3 9" xfId="7690"/>
    <cellStyle name="Comma 3 4 4" xfId="7691"/>
    <cellStyle name="Comma 3 4 4 2" xfId="7692"/>
    <cellStyle name="Comma 3 4 4 2 2" xfId="7693"/>
    <cellStyle name="Comma 3 4 4 2 2 2" xfId="7694"/>
    <cellStyle name="Comma 3 4 4 2 2 2 2" xfId="7695"/>
    <cellStyle name="Comma 3 4 4 2 2 2 2 2" xfId="7696"/>
    <cellStyle name="Comma 3 4 4 2 2 2 2 3" xfId="7697"/>
    <cellStyle name="Comma 3 4 4 2 2 2 3" xfId="7698"/>
    <cellStyle name="Comma 3 4 4 2 2 2 3 2" xfId="7699"/>
    <cellStyle name="Comma 3 4 4 2 2 2 4" xfId="7700"/>
    <cellStyle name="Comma 3 4 4 2 2 3" xfId="7701"/>
    <cellStyle name="Comma 3 4 4 2 2 3 2" xfId="7702"/>
    <cellStyle name="Comma 3 4 4 2 2 3 2 2" xfId="7703"/>
    <cellStyle name="Comma 3 4 4 2 2 3 3" xfId="7704"/>
    <cellStyle name="Comma 3 4 4 2 2 4" xfId="7705"/>
    <cellStyle name="Comma 3 4 4 2 2 4 2" xfId="7706"/>
    <cellStyle name="Comma 3 4 4 2 2 4 3" xfId="7707"/>
    <cellStyle name="Comma 3 4 4 2 2 5" xfId="7708"/>
    <cellStyle name="Comma 3 4 4 2 2 5 2" xfId="7709"/>
    <cellStyle name="Comma 3 4 4 2 2 6" xfId="7710"/>
    <cellStyle name="Comma 3 4 4 2 2 6 2" xfId="36175"/>
    <cellStyle name="Comma 3 4 4 2 2 7" xfId="7711"/>
    <cellStyle name="Comma 3 4 4 2 3" xfId="7712"/>
    <cellStyle name="Comma 3 4 4 2 3 2" xfId="7713"/>
    <cellStyle name="Comma 3 4 4 2 3 2 2" xfId="7714"/>
    <cellStyle name="Comma 3 4 4 2 3 2 2 2" xfId="7715"/>
    <cellStyle name="Comma 3 4 4 2 3 2 3" xfId="7716"/>
    <cellStyle name="Comma 3 4 4 2 3 3" xfId="7717"/>
    <cellStyle name="Comma 3 4 4 2 3 3 2" xfId="7718"/>
    <cellStyle name="Comma 3 4 4 2 3 4" xfId="7719"/>
    <cellStyle name="Comma 3 4 4 2 4" xfId="7720"/>
    <cellStyle name="Comma 3 4 4 2 4 2" xfId="7721"/>
    <cellStyle name="Comma 3 4 4 2 4 2 2" xfId="7722"/>
    <cellStyle name="Comma 3 4 4 2 4 3" xfId="7723"/>
    <cellStyle name="Comma 3 4 4 2 5" xfId="7724"/>
    <cellStyle name="Comma 3 4 4 2 5 2" xfId="7725"/>
    <cellStyle name="Comma 3 4 4 2 5 2 2" xfId="7726"/>
    <cellStyle name="Comma 3 4 4 2 5 3" xfId="7727"/>
    <cellStyle name="Comma 3 4 4 2 6" xfId="7728"/>
    <cellStyle name="Comma 3 4 4 2 6 2" xfId="7729"/>
    <cellStyle name="Comma 3 4 4 2 7" xfId="7730"/>
    <cellStyle name="Comma 3 4 4 2 7 2" xfId="36176"/>
    <cellStyle name="Comma 3 4 4 2 8" xfId="7731"/>
    <cellStyle name="Comma 3 4 4 3" xfId="7732"/>
    <cellStyle name="Comma 3 4 4 3 2" xfId="7733"/>
    <cellStyle name="Comma 3 4 4 3 2 2" xfId="7734"/>
    <cellStyle name="Comma 3 4 4 3 2 2 2" xfId="7735"/>
    <cellStyle name="Comma 3 4 4 3 2 2 3" xfId="7736"/>
    <cellStyle name="Comma 3 4 4 3 2 3" xfId="7737"/>
    <cellStyle name="Comma 3 4 4 3 2 3 2" xfId="7738"/>
    <cellStyle name="Comma 3 4 4 3 2 4" xfId="7739"/>
    <cellStyle name="Comma 3 4 4 3 3" xfId="7740"/>
    <cellStyle name="Comma 3 4 4 3 3 2" xfId="7741"/>
    <cellStyle name="Comma 3 4 4 3 3 2 2" xfId="7742"/>
    <cellStyle name="Comma 3 4 4 3 3 3" xfId="7743"/>
    <cellStyle name="Comma 3 4 4 3 4" xfId="7744"/>
    <cellStyle name="Comma 3 4 4 3 4 2" xfId="7745"/>
    <cellStyle name="Comma 3 4 4 3 4 3" xfId="7746"/>
    <cellStyle name="Comma 3 4 4 3 5" xfId="7747"/>
    <cellStyle name="Comma 3 4 4 3 5 2" xfId="7748"/>
    <cellStyle name="Comma 3 4 4 3 6" xfId="7749"/>
    <cellStyle name="Comma 3 4 4 3 6 2" xfId="36177"/>
    <cellStyle name="Comma 3 4 4 3 7" xfId="7750"/>
    <cellStyle name="Comma 3 4 4 4" xfId="7751"/>
    <cellStyle name="Comma 3 4 4 4 2" xfId="7752"/>
    <cellStyle name="Comma 3 4 4 4 2 2" xfId="7753"/>
    <cellStyle name="Comma 3 4 4 4 2 2 2" xfId="7754"/>
    <cellStyle name="Comma 3 4 4 4 2 3" xfId="7755"/>
    <cellStyle name="Comma 3 4 4 4 3" xfId="7756"/>
    <cellStyle name="Comma 3 4 4 4 3 2" xfId="7757"/>
    <cellStyle name="Comma 3 4 4 4 4" xfId="7758"/>
    <cellStyle name="Comma 3 4 4 5" xfId="7759"/>
    <cellStyle name="Comma 3 4 4 5 2" xfId="7760"/>
    <cellStyle name="Comma 3 4 4 5 2 2" xfId="7761"/>
    <cellStyle name="Comma 3 4 4 5 3" xfId="7762"/>
    <cellStyle name="Comma 3 4 4 6" xfId="7763"/>
    <cellStyle name="Comma 3 4 4 6 2" xfId="7764"/>
    <cellStyle name="Comma 3 4 4 6 2 2" xfId="7765"/>
    <cellStyle name="Comma 3 4 4 6 3" xfId="7766"/>
    <cellStyle name="Comma 3 4 4 7" xfId="7767"/>
    <cellStyle name="Comma 3 4 4 7 2" xfId="7768"/>
    <cellStyle name="Comma 3 4 4 8" xfId="7769"/>
    <cellStyle name="Comma 3 4 4 8 2" xfId="36178"/>
    <cellStyle name="Comma 3 4 4 9" xfId="7770"/>
    <cellStyle name="Comma 3 4 5" xfId="7771"/>
    <cellStyle name="Comma 3 4 5 2" xfId="7772"/>
    <cellStyle name="Comma 3 4 5 2 2" xfId="7773"/>
    <cellStyle name="Comma 3 4 5 2 2 2" xfId="7774"/>
    <cellStyle name="Comma 3 4 5 2 2 2 2" xfId="7775"/>
    <cellStyle name="Comma 3 4 5 2 2 2 3" xfId="7776"/>
    <cellStyle name="Comma 3 4 5 2 2 3" xfId="7777"/>
    <cellStyle name="Comma 3 4 5 2 2 3 2" xfId="7778"/>
    <cellStyle name="Comma 3 4 5 2 2 4" xfId="7779"/>
    <cellStyle name="Comma 3 4 5 2 3" xfId="7780"/>
    <cellStyle name="Comma 3 4 5 2 3 2" xfId="7781"/>
    <cellStyle name="Comma 3 4 5 2 3 2 2" xfId="7782"/>
    <cellStyle name="Comma 3 4 5 2 3 3" xfId="7783"/>
    <cellStyle name="Comma 3 4 5 2 4" xfId="7784"/>
    <cellStyle name="Comma 3 4 5 2 4 2" xfId="7785"/>
    <cellStyle name="Comma 3 4 5 2 4 3" xfId="7786"/>
    <cellStyle name="Comma 3 4 5 2 5" xfId="7787"/>
    <cellStyle name="Comma 3 4 5 2 5 2" xfId="7788"/>
    <cellStyle name="Comma 3 4 5 2 6" xfId="7789"/>
    <cellStyle name="Comma 3 4 5 2 6 2" xfId="36179"/>
    <cellStyle name="Comma 3 4 5 2 7" xfId="7790"/>
    <cellStyle name="Comma 3 4 5 3" xfId="7791"/>
    <cellStyle name="Comma 3 4 5 3 2" xfId="7792"/>
    <cellStyle name="Comma 3 4 5 3 2 2" xfId="7793"/>
    <cellStyle name="Comma 3 4 5 3 2 2 2" xfId="7794"/>
    <cellStyle name="Comma 3 4 5 3 2 3" xfId="7795"/>
    <cellStyle name="Comma 3 4 5 3 3" xfId="7796"/>
    <cellStyle name="Comma 3 4 5 3 3 2" xfId="7797"/>
    <cellStyle name="Comma 3 4 5 3 4" xfId="7798"/>
    <cellStyle name="Comma 3 4 5 4" xfId="7799"/>
    <cellStyle name="Comma 3 4 5 4 2" xfId="7800"/>
    <cellStyle name="Comma 3 4 5 4 2 2" xfId="7801"/>
    <cellStyle name="Comma 3 4 5 4 3" xfId="7802"/>
    <cellStyle name="Comma 3 4 5 5" xfId="7803"/>
    <cellStyle name="Comma 3 4 5 5 2" xfId="7804"/>
    <cellStyle name="Comma 3 4 5 5 2 2" xfId="7805"/>
    <cellStyle name="Comma 3 4 5 5 3" xfId="7806"/>
    <cellStyle name="Comma 3 4 5 6" xfId="7807"/>
    <cellStyle name="Comma 3 4 5 6 2" xfId="7808"/>
    <cellStyle name="Comma 3 4 5 7" xfId="7809"/>
    <cellStyle name="Comma 3 4 5 7 2" xfId="36180"/>
    <cellStyle name="Comma 3 4 5 8" xfId="7810"/>
    <cellStyle name="Comma 3 4 6" xfId="7811"/>
    <cellStyle name="Comma 3 4 6 2" xfId="7812"/>
    <cellStyle name="Comma 3 4 6 2 2" xfId="7813"/>
    <cellStyle name="Comma 3 4 6 2 2 2" xfId="7814"/>
    <cellStyle name="Comma 3 4 6 2 2 2 2" xfId="7815"/>
    <cellStyle name="Comma 3 4 6 2 2 2 3" xfId="7816"/>
    <cellStyle name="Comma 3 4 6 2 2 3" xfId="7817"/>
    <cellStyle name="Comma 3 4 6 2 2 3 2" xfId="7818"/>
    <cellStyle name="Comma 3 4 6 2 2 4" xfId="7819"/>
    <cellStyle name="Comma 3 4 6 2 3" xfId="7820"/>
    <cellStyle name="Comma 3 4 6 2 3 2" xfId="7821"/>
    <cellStyle name="Comma 3 4 6 2 3 2 2" xfId="7822"/>
    <cellStyle name="Comma 3 4 6 2 3 3" xfId="7823"/>
    <cellStyle name="Comma 3 4 6 2 4" xfId="7824"/>
    <cellStyle name="Comma 3 4 6 2 4 2" xfId="7825"/>
    <cellStyle name="Comma 3 4 6 2 4 3" xfId="7826"/>
    <cellStyle name="Comma 3 4 6 2 5" xfId="7827"/>
    <cellStyle name="Comma 3 4 6 2 5 2" xfId="7828"/>
    <cellStyle name="Comma 3 4 6 2 6" xfId="7829"/>
    <cellStyle name="Comma 3 4 6 2 6 2" xfId="36181"/>
    <cellStyle name="Comma 3 4 6 2 7" xfId="7830"/>
    <cellStyle name="Comma 3 4 6 3" xfId="7831"/>
    <cellStyle name="Comma 3 4 6 3 2" xfId="7832"/>
    <cellStyle name="Comma 3 4 6 3 2 2" xfId="7833"/>
    <cellStyle name="Comma 3 4 6 3 2 2 2" xfId="7834"/>
    <cellStyle name="Comma 3 4 6 3 2 3" xfId="7835"/>
    <cellStyle name="Comma 3 4 6 3 3" xfId="7836"/>
    <cellStyle name="Comma 3 4 6 3 3 2" xfId="7837"/>
    <cellStyle name="Comma 3 4 6 3 4" xfId="7838"/>
    <cellStyle name="Comma 3 4 6 4" xfId="7839"/>
    <cellStyle name="Comma 3 4 6 4 2" xfId="7840"/>
    <cellStyle name="Comma 3 4 6 4 2 2" xfId="7841"/>
    <cellStyle name="Comma 3 4 6 4 3" xfId="7842"/>
    <cellStyle name="Comma 3 4 6 5" xfId="7843"/>
    <cellStyle name="Comma 3 4 6 5 2" xfId="7844"/>
    <cellStyle name="Comma 3 4 6 5 2 2" xfId="7845"/>
    <cellStyle name="Comma 3 4 6 5 3" xfId="7846"/>
    <cellStyle name="Comma 3 4 6 6" xfId="7847"/>
    <cellStyle name="Comma 3 4 6 6 2" xfId="7848"/>
    <cellStyle name="Comma 3 4 6 7" xfId="7849"/>
    <cellStyle name="Comma 3 4 6 7 2" xfId="36182"/>
    <cellStyle name="Comma 3 4 6 8" xfId="7850"/>
    <cellStyle name="Comma 3 4 7" xfId="7851"/>
    <cellStyle name="Comma 3 4 7 2" xfId="7852"/>
    <cellStyle name="Comma 3 4 7 2 2" xfId="7853"/>
    <cellStyle name="Comma 3 4 7 2 2 2" xfId="7854"/>
    <cellStyle name="Comma 3 4 7 2 2 2 2" xfId="7855"/>
    <cellStyle name="Comma 3 4 7 2 2 2 3" xfId="7856"/>
    <cellStyle name="Comma 3 4 7 2 2 3" xfId="7857"/>
    <cellStyle name="Comma 3 4 7 2 2 3 2" xfId="7858"/>
    <cellStyle name="Comma 3 4 7 2 2 4" xfId="7859"/>
    <cellStyle name="Comma 3 4 7 2 3" xfId="7860"/>
    <cellStyle name="Comma 3 4 7 2 3 2" xfId="7861"/>
    <cellStyle name="Comma 3 4 7 2 3 2 2" xfId="7862"/>
    <cellStyle name="Comma 3 4 7 2 3 3" xfId="7863"/>
    <cellStyle name="Comma 3 4 7 2 4" xfId="7864"/>
    <cellStyle name="Comma 3 4 7 2 4 2" xfId="7865"/>
    <cellStyle name="Comma 3 4 7 2 4 3" xfId="7866"/>
    <cellStyle name="Comma 3 4 7 2 5" xfId="7867"/>
    <cellStyle name="Comma 3 4 7 2 5 2" xfId="7868"/>
    <cellStyle name="Comma 3 4 7 2 6" xfId="7869"/>
    <cellStyle name="Comma 3 4 7 2 6 2" xfId="36183"/>
    <cellStyle name="Comma 3 4 7 2 7" xfId="7870"/>
    <cellStyle name="Comma 3 4 7 3" xfId="7871"/>
    <cellStyle name="Comma 3 4 7 3 2" xfId="7872"/>
    <cellStyle name="Comma 3 4 7 3 2 2" xfId="7873"/>
    <cellStyle name="Comma 3 4 7 3 2 2 2" xfId="7874"/>
    <cellStyle name="Comma 3 4 7 3 2 3" xfId="7875"/>
    <cellStyle name="Comma 3 4 7 3 3" xfId="7876"/>
    <cellStyle name="Comma 3 4 7 3 3 2" xfId="7877"/>
    <cellStyle name="Comma 3 4 7 3 4" xfId="7878"/>
    <cellStyle name="Comma 3 4 7 4" xfId="7879"/>
    <cellStyle name="Comma 3 4 7 4 2" xfId="7880"/>
    <cellStyle name="Comma 3 4 7 4 2 2" xfId="7881"/>
    <cellStyle name="Comma 3 4 7 4 3" xfId="7882"/>
    <cellStyle name="Comma 3 4 7 5" xfId="7883"/>
    <cellStyle name="Comma 3 4 7 5 2" xfId="7884"/>
    <cellStyle name="Comma 3 4 7 5 2 2" xfId="7885"/>
    <cellStyle name="Comma 3 4 7 5 3" xfId="7886"/>
    <cellStyle name="Comma 3 4 7 6" xfId="7887"/>
    <cellStyle name="Comma 3 4 7 6 2" xfId="7888"/>
    <cellStyle name="Comma 3 4 7 7" xfId="7889"/>
    <cellStyle name="Comma 3 4 7 7 2" xfId="36184"/>
    <cellStyle name="Comma 3 4 7 8" xfId="7890"/>
    <cellStyle name="Comma 3 4 8" xfId="7891"/>
    <cellStyle name="Comma 3 4 8 2" xfId="7892"/>
    <cellStyle name="Comma 3 4 8 2 2" xfId="7893"/>
    <cellStyle name="Comma 3 4 8 2 2 2" xfId="7894"/>
    <cellStyle name="Comma 3 4 8 2 2 3" xfId="7895"/>
    <cellStyle name="Comma 3 4 8 2 3" xfId="7896"/>
    <cellStyle name="Comma 3 4 8 2 3 2" xfId="7897"/>
    <cellStyle name="Comma 3 4 8 2 4" xfId="7898"/>
    <cellStyle name="Comma 3 4 8 3" xfId="7899"/>
    <cellStyle name="Comma 3 4 8 3 2" xfId="7900"/>
    <cellStyle name="Comma 3 4 8 3 2 2" xfId="7901"/>
    <cellStyle name="Comma 3 4 8 3 3" xfId="7902"/>
    <cellStyle name="Comma 3 4 8 4" xfId="7903"/>
    <cellStyle name="Comma 3 4 8 4 2" xfId="7904"/>
    <cellStyle name="Comma 3 4 8 4 3" xfId="7905"/>
    <cellStyle name="Comma 3 4 8 5" xfId="7906"/>
    <cellStyle name="Comma 3 4 8 5 2" xfId="7907"/>
    <cellStyle name="Comma 3 4 8 6" xfId="7908"/>
    <cellStyle name="Comma 3 4 8 6 2" xfId="36185"/>
    <cellStyle name="Comma 3 4 8 7" xfId="7909"/>
    <cellStyle name="Comma 3 4 9" xfId="7910"/>
    <cellStyle name="Comma 3 4 9 2" xfId="7911"/>
    <cellStyle name="Comma 3 4 9 2 2" xfId="7912"/>
    <cellStyle name="Comma 3 4 9 2 2 2" xfId="7913"/>
    <cellStyle name="Comma 3 4 9 2 3" xfId="7914"/>
    <cellStyle name="Comma 3 4 9 3" xfId="7915"/>
    <cellStyle name="Comma 3 4 9 3 2" xfId="7916"/>
    <cellStyle name="Comma 3 4 9 4" xfId="7917"/>
    <cellStyle name="Comma 3 5" xfId="7918"/>
    <cellStyle name="Comma 3 5 10" xfId="7919"/>
    <cellStyle name="Comma 3 5 10 2" xfId="7920"/>
    <cellStyle name="Comma 3 5 10 2 2" xfId="7921"/>
    <cellStyle name="Comma 3 5 10 3" xfId="7922"/>
    <cellStyle name="Comma 3 5 11" xfId="7923"/>
    <cellStyle name="Comma 3 5 11 2" xfId="7924"/>
    <cellStyle name="Comma 3 5 11 2 2" xfId="7925"/>
    <cellStyle name="Comma 3 5 11 3" xfId="7926"/>
    <cellStyle name="Comma 3 5 12" xfId="7927"/>
    <cellStyle name="Comma 3 5 12 2" xfId="7928"/>
    <cellStyle name="Comma 3 5 13" xfId="7929"/>
    <cellStyle name="Comma 3 5 13 2" xfId="36186"/>
    <cellStyle name="Comma 3 5 14" xfId="7930"/>
    <cellStyle name="Comma 3 5 2" xfId="7931"/>
    <cellStyle name="Comma 3 5 2 10" xfId="7932"/>
    <cellStyle name="Comma 3 5 2 2" xfId="7933"/>
    <cellStyle name="Comma 3 5 2 2 2" xfId="7934"/>
    <cellStyle name="Comma 3 5 2 2 2 2" xfId="7935"/>
    <cellStyle name="Comma 3 5 2 2 2 2 2" xfId="7936"/>
    <cellStyle name="Comma 3 5 2 2 2 2 2 2" xfId="7937"/>
    <cellStyle name="Comma 3 5 2 2 2 2 2 2 2" xfId="7938"/>
    <cellStyle name="Comma 3 5 2 2 2 2 2 2 3" xfId="7939"/>
    <cellStyle name="Comma 3 5 2 2 2 2 2 3" xfId="7940"/>
    <cellStyle name="Comma 3 5 2 2 2 2 2 3 2" xfId="7941"/>
    <cellStyle name="Comma 3 5 2 2 2 2 2 4" xfId="7942"/>
    <cellStyle name="Comma 3 5 2 2 2 2 3" xfId="7943"/>
    <cellStyle name="Comma 3 5 2 2 2 2 3 2" xfId="7944"/>
    <cellStyle name="Comma 3 5 2 2 2 2 3 2 2" xfId="7945"/>
    <cellStyle name="Comma 3 5 2 2 2 2 3 3" xfId="7946"/>
    <cellStyle name="Comma 3 5 2 2 2 2 4" xfId="7947"/>
    <cellStyle name="Comma 3 5 2 2 2 2 4 2" xfId="7948"/>
    <cellStyle name="Comma 3 5 2 2 2 2 4 3" xfId="7949"/>
    <cellStyle name="Comma 3 5 2 2 2 2 5" xfId="7950"/>
    <cellStyle name="Comma 3 5 2 2 2 2 5 2" xfId="7951"/>
    <cellStyle name="Comma 3 5 2 2 2 2 6" xfId="7952"/>
    <cellStyle name="Comma 3 5 2 2 2 2 6 2" xfId="36187"/>
    <cellStyle name="Comma 3 5 2 2 2 2 7" xfId="7953"/>
    <cellStyle name="Comma 3 5 2 2 2 3" xfId="7954"/>
    <cellStyle name="Comma 3 5 2 2 2 3 2" xfId="7955"/>
    <cellStyle name="Comma 3 5 2 2 2 3 2 2" xfId="7956"/>
    <cellStyle name="Comma 3 5 2 2 2 3 2 2 2" xfId="7957"/>
    <cellStyle name="Comma 3 5 2 2 2 3 2 3" xfId="7958"/>
    <cellStyle name="Comma 3 5 2 2 2 3 3" xfId="7959"/>
    <cellStyle name="Comma 3 5 2 2 2 3 3 2" xfId="7960"/>
    <cellStyle name="Comma 3 5 2 2 2 3 4" xfId="7961"/>
    <cellStyle name="Comma 3 5 2 2 2 4" xfId="7962"/>
    <cellStyle name="Comma 3 5 2 2 2 4 2" xfId="7963"/>
    <cellStyle name="Comma 3 5 2 2 2 4 2 2" xfId="7964"/>
    <cellStyle name="Comma 3 5 2 2 2 4 3" xfId="7965"/>
    <cellStyle name="Comma 3 5 2 2 2 5" xfId="7966"/>
    <cellStyle name="Comma 3 5 2 2 2 5 2" xfId="7967"/>
    <cellStyle name="Comma 3 5 2 2 2 5 2 2" xfId="7968"/>
    <cellStyle name="Comma 3 5 2 2 2 5 3" xfId="7969"/>
    <cellStyle name="Comma 3 5 2 2 2 6" xfId="7970"/>
    <cellStyle name="Comma 3 5 2 2 2 6 2" xfId="7971"/>
    <cellStyle name="Comma 3 5 2 2 2 7" xfId="7972"/>
    <cellStyle name="Comma 3 5 2 2 2 7 2" xfId="36188"/>
    <cellStyle name="Comma 3 5 2 2 2 8" xfId="7973"/>
    <cellStyle name="Comma 3 5 2 2 3" xfId="7974"/>
    <cellStyle name="Comma 3 5 2 2 3 2" xfId="7975"/>
    <cellStyle name="Comma 3 5 2 2 3 2 2" xfId="7976"/>
    <cellStyle name="Comma 3 5 2 2 3 2 2 2" xfId="7977"/>
    <cellStyle name="Comma 3 5 2 2 3 2 2 3" xfId="7978"/>
    <cellStyle name="Comma 3 5 2 2 3 2 3" xfId="7979"/>
    <cellStyle name="Comma 3 5 2 2 3 2 3 2" xfId="7980"/>
    <cellStyle name="Comma 3 5 2 2 3 2 4" xfId="7981"/>
    <cellStyle name="Comma 3 5 2 2 3 3" xfId="7982"/>
    <cellStyle name="Comma 3 5 2 2 3 3 2" xfId="7983"/>
    <cellStyle name="Comma 3 5 2 2 3 3 2 2" xfId="7984"/>
    <cellStyle name="Comma 3 5 2 2 3 3 3" xfId="7985"/>
    <cellStyle name="Comma 3 5 2 2 3 4" xfId="7986"/>
    <cellStyle name="Comma 3 5 2 2 3 4 2" xfId="7987"/>
    <cellStyle name="Comma 3 5 2 2 3 4 3" xfId="7988"/>
    <cellStyle name="Comma 3 5 2 2 3 5" xfId="7989"/>
    <cellStyle name="Comma 3 5 2 2 3 5 2" xfId="7990"/>
    <cellStyle name="Comma 3 5 2 2 3 6" xfId="7991"/>
    <cellStyle name="Comma 3 5 2 2 3 6 2" xfId="36189"/>
    <cellStyle name="Comma 3 5 2 2 3 7" xfId="7992"/>
    <cellStyle name="Comma 3 5 2 2 4" xfId="7993"/>
    <cellStyle name="Comma 3 5 2 2 4 2" xfId="7994"/>
    <cellStyle name="Comma 3 5 2 2 4 2 2" xfId="7995"/>
    <cellStyle name="Comma 3 5 2 2 4 2 2 2" xfId="7996"/>
    <cellStyle name="Comma 3 5 2 2 4 2 3" xfId="7997"/>
    <cellStyle name="Comma 3 5 2 2 4 3" xfId="7998"/>
    <cellStyle name="Comma 3 5 2 2 4 3 2" xfId="7999"/>
    <cellStyle name="Comma 3 5 2 2 4 4" xfId="8000"/>
    <cellStyle name="Comma 3 5 2 2 5" xfId="8001"/>
    <cellStyle name="Comma 3 5 2 2 5 2" xfId="8002"/>
    <cellStyle name="Comma 3 5 2 2 5 2 2" xfId="8003"/>
    <cellStyle name="Comma 3 5 2 2 5 3" xfId="8004"/>
    <cellStyle name="Comma 3 5 2 2 6" xfId="8005"/>
    <cellStyle name="Comma 3 5 2 2 6 2" xfId="8006"/>
    <cellStyle name="Comma 3 5 2 2 6 2 2" xfId="8007"/>
    <cellStyle name="Comma 3 5 2 2 6 3" xfId="8008"/>
    <cellStyle name="Comma 3 5 2 2 7" xfId="8009"/>
    <cellStyle name="Comma 3 5 2 2 7 2" xfId="8010"/>
    <cellStyle name="Comma 3 5 2 2 8" xfId="8011"/>
    <cellStyle name="Comma 3 5 2 2 8 2" xfId="36190"/>
    <cellStyle name="Comma 3 5 2 2 9" xfId="8012"/>
    <cellStyle name="Comma 3 5 2 3" xfId="8013"/>
    <cellStyle name="Comma 3 5 2 3 2" xfId="8014"/>
    <cellStyle name="Comma 3 5 2 3 2 2" xfId="8015"/>
    <cellStyle name="Comma 3 5 2 3 2 2 2" xfId="8016"/>
    <cellStyle name="Comma 3 5 2 3 2 2 2 2" xfId="8017"/>
    <cellStyle name="Comma 3 5 2 3 2 2 2 3" xfId="8018"/>
    <cellStyle name="Comma 3 5 2 3 2 2 3" xfId="8019"/>
    <cellStyle name="Comma 3 5 2 3 2 2 3 2" xfId="8020"/>
    <cellStyle name="Comma 3 5 2 3 2 2 4" xfId="8021"/>
    <cellStyle name="Comma 3 5 2 3 2 3" xfId="8022"/>
    <cellStyle name="Comma 3 5 2 3 2 3 2" xfId="8023"/>
    <cellStyle name="Comma 3 5 2 3 2 3 2 2" xfId="8024"/>
    <cellStyle name="Comma 3 5 2 3 2 3 3" xfId="8025"/>
    <cellStyle name="Comma 3 5 2 3 2 4" xfId="8026"/>
    <cellStyle name="Comma 3 5 2 3 2 4 2" xfId="8027"/>
    <cellStyle name="Comma 3 5 2 3 2 4 3" xfId="8028"/>
    <cellStyle name="Comma 3 5 2 3 2 5" xfId="8029"/>
    <cellStyle name="Comma 3 5 2 3 2 5 2" xfId="8030"/>
    <cellStyle name="Comma 3 5 2 3 2 6" xfId="8031"/>
    <cellStyle name="Comma 3 5 2 3 2 6 2" xfId="36191"/>
    <cellStyle name="Comma 3 5 2 3 2 7" xfId="8032"/>
    <cellStyle name="Comma 3 5 2 3 3" xfId="8033"/>
    <cellStyle name="Comma 3 5 2 3 3 2" xfId="8034"/>
    <cellStyle name="Comma 3 5 2 3 3 2 2" xfId="8035"/>
    <cellStyle name="Comma 3 5 2 3 3 2 2 2" xfId="8036"/>
    <cellStyle name="Comma 3 5 2 3 3 2 3" xfId="8037"/>
    <cellStyle name="Comma 3 5 2 3 3 3" xfId="8038"/>
    <cellStyle name="Comma 3 5 2 3 3 3 2" xfId="8039"/>
    <cellStyle name="Comma 3 5 2 3 3 4" xfId="8040"/>
    <cellStyle name="Comma 3 5 2 3 4" xfId="8041"/>
    <cellStyle name="Comma 3 5 2 3 4 2" xfId="8042"/>
    <cellStyle name="Comma 3 5 2 3 4 2 2" xfId="8043"/>
    <cellStyle name="Comma 3 5 2 3 4 3" xfId="8044"/>
    <cellStyle name="Comma 3 5 2 3 5" xfId="8045"/>
    <cellStyle name="Comma 3 5 2 3 5 2" xfId="8046"/>
    <cellStyle name="Comma 3 5 2 3 5 2 2" xfId="8047"/>
    <cellStyle name="Comma 3 5 2 3 5 3" xfId="8048"/>
    <cellStyle name="Comma 3 5 2 3 6" xfId="8049"/>
    <cellStyle name="Comma 3 5 2 3 6 2" xfId="8050"/>
    <cellStyle name="Comma 3 5 2 3 7" xfId="8051"/>
    <cellStyle name="Comma 3 5 2 3 7 2" xfId="36192"/>
    <cellStyle name="Comma 3 5 2 3 8" xfId="8052"/>
    <cellStyle name="Comma 3 5 2 4" xfId="8053"/>
    <cellStyle name="Comma 3 5 2 4 2" xfId="8054"/>
    <cellStyle name="Comma 3 5 2 4 2 2" xfId="8055"/>
    <cellStyle name="Comma 3 5 2 4 2 2 2" xfId="8056"/>
    <cellStyle name="Comma 3 5 2 4 2 2 3" xfId="8057"/>
    <cellStyle name="Comma 3 5 2 4 2 3" xfId="8058"/>
    <cellStyle name="Comma 3 5 2 4 2 3 2" xfId="8059"/>
    <cellStyle name="Comma 3 5 2 4 2 4" xfId="8060"/>
    <cellStyle name="Comma 3 5 2 4 3" xfId="8061"/>
    <cellStyle name="Comma 3 5 2 4 3 2" xfId="8062"/>
    <cellStyle name="Comma 3 5 2 4 3 2 2" xfId="8063"/>
    <cellStyle name="Comma 3 5 2 4 3 3" xfId="8064"/>
    <cellStyle name="Comma 3 5 2 4 4" xfId="8065"/>
    <cellStyle name="Comma 3 5 2 4 4 2" xfId="8066"/>
    <cellStyle name="Comma 3 5 2 4 4 3" xfId="8067"/>
    <cellStyle name="Comma 3 5 2 4 5" xfId="8068"/>
    <cellStyle name="Comma 3 5 2 4 5 2" xfId="8069"/>
    <cellStyle name="Comma 3 5 2 4 6" xfId="8070"/>
    <cellStyle name="Comma 3 5 2 4 6 2" xfId="36193"/>
    <cellStyle name="Comma 3 5 2 4 7" xfId="8071"/>
    <cellStyle name="Comma 3 5 2 5" xfId="8072"/>
    <cellStyle name="Comma 3 5 2 5 2" xfId="8073"/>
    <cellStyle name="Comma 3 5 2 5 2 2" xfId="8074"/>
    <cellStyle name="Comma 3 5 2 5 2 2 2" xfId="8075"/>
    <cellStyle name="Comma 3 5 2 5 2 3" xfId="8076"/>
    <cellStyle name="Comma 3 5 2 5 3" xfId="8077"/>
    <cellStyle name="Comma 3 5 2 5 3 2" xfId="8078"/>
    <cellStyle name="Comma 3 5 2 5 4" xfId="8079"/>
    <cellStyle name="Comma 3 5 2 6" xfId="8080"/>
    <cellStyle name="Comma 3 5 2 6 2" xfId="8081"/>
    <cellStyle name="Comma 3 5 2 6 2 2" xfId="8082"/>
    <cellStyle name="Comma 3 5 2 6 3" xfId="8083"/>
    <cellStyle name="Comma 3 5 2 7" xfId="8084"/>
    <cellStyle name="Comma 3 5 2 7 2" xfId="8085"/>
    <cellStyle name="Comma 3 5 2 7 2 2" xfId="8086"/>
    <cellStyle name="Comma 3 5 2 7 3" xfId="8087"/>
    <cellStyle name="Comma 3 5 2 8" xfId="8088"/>
    <cellStyle name="Comma 3 5 2 8 2" xfId="8089"/>
    <cellStyle name="Comma 3 5 2 9" xfId="8090"/>
    <cellStyle name="Comma 3 5 2 9 2" xfId="36194"/>
    <cellStyle name="Comma 3 5 3" xfId="8091"/>
    <cellStyle name="Comma 3 5 3 2" xfId="8092"/>
    <cellStyle name="Comma 3 5 3 2 2" xfId="8093"/>
    <cellStyle name="Comma 3 5 3 2 2 2" xfId="8094"/>
    <cellStyle name="Comma 3 5 3 2 2 2 2" xfId="8095"/>
    <cellStyle name="Comma 3 5 3 2 2 2 2 2" xfId="8096"/>
    <cellStyle name="Comma 3 5 3 2 2 2 2 3" xfId="8097"/>
    <cellStyle name="Comma 3 5 3 2 2 2 3" xfId="8098"/>
    <cellStyle name="Comma 3 5 3 2 2 2 3 2" xfId="8099"/>
    <cellStyle name="Comma 3 5 3 2 2 2 4" xfId="8100"/>
    <cellStyle name="Comma 3 5 3 2 2 3" xfId="8101"/>
    <cellStyle name="Comma 3 5 3 2 2 3 2" xfId="8102"/>
    <cellStyle name="Comma 3 5 3 2 2 3 2 2" xfId="8103"/>
    <cellStyle name="Comma 3 5 3 2 2 3 3" xfId="8104"/>
    <cellStyle name="Comma 3 5 3 2 2 4" xfId="8105"/>
    <cellStyle name="Comma 3 5 3 2 2 4 2" xfId="8106"/>
    <cellStyle name="Comma 3 5 3 2 2 4 3" xfId="8107"/>
    <cellStyle name="Comma 3 5 3 2 2 5" xfId="8108"/>
    <cellStyle name="Comma 3 5 3 2 2 5 2" xfId="8109"/>
    <cellStyle name="Comma 3 5 3 2 2 6" xfId="8110"/>
    <cellStyle name="Comma 3 5 3 2 2 6 2" xfId="36195"/>
    <cellStyle name="Comma 3 5 3 2 2 7" xfId="8111"/>
    <cellStyle name="Comma 3 5 3 2 3" xfId="8112"/>
    <cellStyle name="Comma 3 5 3 2 3 2" xfId="8113"/>
    <cellStyle name="Comma 3 5 3 2 3 2 2" xfId="8114"/>
    <cellStyle name="Comma 3 5 3 2 3 2 2 2" xfId="8115"/>
    <cellStyle name="Comma 3 5 3 2 3 2 3" xfId="8116"/>
    <cellStyle name="Comma 3 5 3 2 3 3" xfId="8117"/>
    <cellStyle name="Comma 3 5 3 2 3 3 2" xfId="8118"/>
    <cellStyle name="Comma 3 5 3 2 3 4" xfId="8119"/>
    <cellStyle name="Comma 3 5 3 2 4" xfId="8120"/>
    <cellStyle name="Comma 3 5 3 2 4 2" xfId="8121"/>
    <cellStyle name="Comma 3 5 3 2 4 2 2" xfId="8122"/>
    <cellStyle name="Comma 3 5 3 2 4 3" xfId="8123"/>
    <cellStyle name="Comma 3 5 3 2 5" xfId="8124"/>
    <cellStyle name="Comma 3 5 3 2 5 2" xfId="8125"/>
    <cellStyle name="Comma 3 5 3 2 5 2 2" xfId="8126"/>
    <cellStyle name="Comma 3 5 3 2 5 3" xfId="8127"/>
    <cellStyle name="Comma 3 5 3 2 6" xfId="8128"/>
    <cellStyle name="Comma 3 5 3 2 6 2" xfId="8129"/>
    <cellStyle name="Comma 3 5 3 2 7" xfId="8130"/>
    <cellStyle name="Comma 3 5 3 2 7 2" xfId="36196"/>
    <cellStyle name="Comma 3 5 3 2 8" xfId="8131"/>
    <cellStyle name="Comma 3 5 3 3" xfId="8132"/>
    <cellStyle name="Comma 3 5 3 3 2" xfId="8133"/>
    <cellStyle name="Comma 3 5 3 3 2 2" xfId="8134"/>
    <cellStyle name="Comma 3 5 3 3 2 2 2" xfId="8135"/>
    <cellStyle name="Comma 3 5 3 3 2 2 3" xfId="8136"/>
    <cellStyle name="Comma 3 5 3 3 2 3" xfId="8137"/>
    <cellStyle name="Comma 3 5 3 3 2 3 2" xfId="8138"/>
    <cellStyle name="Comma 3 5 3 3 2 4" xfId="8139"/>
    <cellStyle name="Comma 3 5 3 3 3" xfId="8140"/>
    <cellStyle name="Comma 3 5 3 3 3 2" xfId="8141"/>
    <cellStyle name="Comma 3 5 3 3 3 2 2" xfId="8142"/>
    <cellStyle name="Comma 3 5 3 3 3 3" xfId="8143"/>
    <cellStyle name="Comma 3 5 3 3 4" xfId="8144"/>
    <cellStyle name="Comma 3 5 3 3 4 2" xfId="8145"/>
    <cellStyle name="Comma 3 5 3 3 4 3" xfId="8146"/>
    <cellStyle name="Comma 3 5 3 3 5" xfId="8147"/>
    <cellStyle name="Comma 3 5 3 3 5 2" xfId="8148"/>
    <cellStyle name="Comma 3 5 3 3 6" xfId="8149"/>
    <cellStyle name="Comma 3 5 3 3 6 2" xfId="36197"/>
    <cellStyle name="Comma 3 5 3 3 7" xfId="8150"/>
    <cellStyle name="Comma 3 5 3 4" xfId="8151"/>
    <cellStyle name="Comma 3 5 3 4 2" xfId="8152"/>
    <cellStyle name="Comma 3 5 3 4 2 2" xfId="8153"/>
    <cellStyle name="Comma 3 5 3 4 2 2 2" xfId="8154"/>
    <cellStyle name="Comma 3 5 3 4 2 3" xfId="8155"/>
    <cellStyle name="Comma 3 5 3 4 3" xfId="8156"/>
    <cellStyle name="Comma 3 5 3 4 3 2" xfId="8157"/>
    <cellStyle name="Comma 3 5 3 4 4" xfId="8158"/>
    <cellStyle name="Comma 3 5 3 5" xfId="8159"/>
    <cellStyle name="Comma 3 5 3 5 2" xfId="8160"/>
    <cellStyle name="Comma 3 5 3 5 2 2" xfId="8161"/>
    <cellStyle name="Comma 3 5 3 5 3" xfId="8162"/>
    <cellStyle name="Comma 3 5 3 6" xfId="8163"/>
    <cellStyle name="Comma 3 5 3 6 2" xfId="8164"/>
    <cellStyle name="Comma 3 5 3 6 2 2" xfId="8165"/>
    <cellStyle name="Comma 3 5 3 6 3" xfId="8166"/>
    <cellStyle name="Comma 3 5 3 7" xfId="8167"/>
    <cellStyle name="Comma 3 5 3 7 2" xfId="8168"/>
    <cellStyle name="Comma 3 5 3 8" xfId="8169"/>
    <cellStyle name="Comma 3 5 3 8 2" xfId="36198"/>
    <cellStyle name="Comma 3 5 3 9" xfId="8170"/>
    <cellStyle name="Comma 3 5 4" xfId="8171"/>
    <cellStyle name="Comma 3 5 4 2" xfId="8172"/>
    <cellStyle name="Comma 3 5 4 2 2" xfId="8173"/>
    <cellStyle name="Comma 3 5 4 2 2 2" xfId="8174"/>
    <cellStyle name="Comma 3 5 4 2 2 2 2" xfId="8175"/>
    <cellStyle name="Comma 3 5 4 2 2 2 2 2" xfId="8176"/>
    <cellStyle name="Comma 3 5 4 2 2 2 2 3" xfId="8177"/>
    <cellStyle name="Comma 3 5 4 2 2 2 3" xfId="8178"/>
    <cellStyle name="Comma 3 5 4 2 2 2 3 2" xfId="8179"/>
    <cellStyle name="Comma 3 5 4 2 2 2 4" xfId="8180"/>
    <cellStyle name="Comma 3 5 4 2 2 3" xfId="8181"/>
    <cellStyle name="Comma 3 5 4 2 2 3 2" xfId="8182"/>
    <cellStyle name="Comma 3 5 4 2 2 3 2 2" xfId="8183"/>
    <cellStyle name="Comma 3 5 4 2 2 3 3" xfId="8184"/>
    <cellStyle name="Comma 3 5 4 2 2 4" xfId="8185"/>
    <cellStyle name="Comma 3 5 4 2 2 4 2" xfId="8186"/>
    <cellStyle name="Comma 3 5 4 2 2 4 3" xfId="8187"/>
    <cellStyle name="Comma 3 5 4 2 2 5" xfId="8188"/>
    <cellStyle name="Comma 3 5 4 2 2 5 2" xfId="8189"/>
    <cellStyle name="Comma 3 5 4 2 2 6" xfId="8190"/>
    <cellStyle name="Comma 3 5 4 2 2 6 2" xfId="36199"/>
    <cellStyle name="Comma 3 5 4 2 2 7" xfId="8191"/>
    <cellStyle name="Comma 3 5 4 2 3" xfId="8192"/>
    <cellStyle name="Comma 3 5 4 2 3 2" xfId="8193"/>
    <cellStyle name="Comma 3 5 4 2 3 2 2" xfId="8194"/>
    <cellStyle name="Comma 3 5 4 2 3 2 2 2" xfId="8195"/>
    <cellStyle name="Comma 3 5 4 2 3 2 3" xfId="8196"/>
    <cellStyle name="Comma 3 5 4 2 3 3" xfId="8197"/>
    <cellStyle name="Comma 3 5 4 2 3 3 2" xfId="8198"/>
    <cellStyle name="Comma 3 5 4 2 3 4" xfId="8199"/>
    <cellStyle name="Comma 3 5 4 2 4" xfId="8200"/>
    <cellStyle name="Comma 3 5 4 2 4 2" xfId="8201"/>
    <cellStyle name="Comma 3 5 4 2 4 2 2" xfId="8202"/>
    <cellStyle name="Comma 3 5 4 2 4 3" xfId="8203"/>
    <cellStyle name="Comma 3 5 4 2 5" xfId="8204"/>
    <cellStyle name="Comma 3 5 4 2 5 2" xfId="8205"/>
    <cellStyle name="Comma 3 5 4 2 5 2 2" xfId="8206"/>
    <cellStyle name="Comma 3 5 4 2 5 3" xfId="8207"/>
    <cellStyle name="Comma 3 5 4 2 6" xfId="8208"/>
    <cellStyle name="Comma 3 5 4 2 6 2" xfId="8209"/>
    <cellStyle name="Comma 3 5 4 2 7" xfId="8210"/>
    <cellStyle name="Comma 3 5 4 2 7 2" xfId="36200"/>
    <cellStyle name="Comma 3 5 4 2 8" xfId="8211"/>
    <cellStyle name="Comma 3 5 4 3" xfId="8212"/>
    <cellStyle name="Comma 3 5 4 3 2" xfId="8213"/>
    <cellStyle name="Comma 3 5 4 3 2 2" xfId="8214"/>
    <cellStyle name="Comma 3 5 4 3 2 2 2" xfId="8215"/>
    <cellStyle name="Comma 3 5 4 3 2 2 3" xfId="8216"/>
    <cellStyle name="Comma 3 5 4 3 2 3" xfId="8217"/>
    <cellStyle name="Comma 3 5 4 3 2 3 2" xfId="8218"/>
    <cellStyle name="Comma 3 5 4 3 2 4" xfId="8219"/>
    <cellStyle name="Comma 3 5 4 3 3" xfId="8220"/>
    <cellStyle name="Comma 3 5 4 3 3 2" xfId="8221"/>
    <cellStyle name="Comma 3 5 4 3 3 2 2" xfId="8222"/>
    <cellStyle name="Comma 3 5 4 3 3 3" xfId="8223"/>
    <cellStyle name="Comma 3 5 4 3 4" xfId="8224"/>
    <cellStyle name="Comma 3 5 4 3 4 2" xfId="8225"/>
    <cellStyle name="Comma 3 5 4 3 4 3" xfId="8226"/>
    <cellStyle name="Comma 3 5 4 3 5" xfId="8227"/>
    <cellStyle name="Comma 3 5 4 3 5 2" xfId="8228"/>
    <cellStyle name="Comma 3 5 4 3 6" xfId="8229"/>
    <cellStyle name="Comma 3 5 4 3 6 2" xfId="36201"/>
    <cellStyle name="Comma 3 5 4 3 7" xfId="8230"/>
    <cellStyle name="Comma 3 5 4 4" xfId="8231"/>
    <cellStyle name="Comma 3 5 4 4 2" xfId="8232"/>
    <cellStyle name="Comma 3 5 4 4 2 2" xfId="8233"/>
    <cellStyle name="Comma 3 5 4 4 2 2 2" xfId="8234"/>
    <cellStyle name="Comma 3 5 4 4 2 3" xfId="8235"/>
    <cellStyle name="Comma 3 5 4 4 3" xfId="8236"/>
    <cellStyle name="Comma 3 5 4 4 3 2" xfId="8237"/>
    <cellStyle name="Comma 3 5 4 4 4" xfId="8238"/>
    <cellStyle name="Comma 3 5 4 5" xfId="8239"/>
    <cellStyle name="Comma 3 5 4 5 2" xfId="8240"/>
    <cellStyle name="Comma 3 5 4 5 2 2" xfId="8241"/>
    <cellStyle name="Comma 3 5 4 5 3" xfId="8242"/>
    <cellStyle name="Comma 3 5 4 6" xfId="8243"/>
    <cellStyle name="Comma 3 5 4 6 2" xfId="8244"/>
    <cellStyle name="Comma 3 5 4 6 2 2" xfId="8245"/>
    <cellStyle name="Comma 3 5 4 6 3" xfId="8246"/>
    <cellStyle name="Comma 3 5 4 7" xfId="8247"/>
    <cellStyle name="Comma 3 5 4 7 2" xfId="8248"/>
    <cellStyle name="Comma 3 5 4 8" xfId="8249"/>
    <cellStyle name="Comma 3 5 4 8 2" xfId="36202"/>
    <cellStyle name="Comma 3 5 4 9" xfId="8250"/>
    <cellStyle name="Comma 3 5 5" xfId="8251"/>
    <cellStyle name="Comma 3 5 5 2" xfId="8252"/>
    <cellStyle name="Comma 3 5 5 2 2" xfId="8253"/>
    <cellStyle name="Comma 3 5 5 2 2 2" xfId="8254"/>
    <cellStyle name="Comma 3 5 5 2 2 2 2" xfId="8255"/>
    <cellStyle name="Comma 3 5 5 2 2 2 3" xfId="8256"/>
    <cellStyle name="Comma 3 5 5 2 2 3" xfId="8257"/>
    <cellStyle name="Comma 3 5 5 2 2 3 2" xfId="8258"/>
    <cellStyle name="Comma 3 5 5 2 2 4" xfId="8259"/>
    <cellStyle name="Comma 3 5 5 2 3" xfId="8260"/>
    <cellStyle name="Comma 3 5 5 2 3 2" xfId="8261"/>
    <cellStyle name="Comma 3 5 5 2 3 2 2" xfId="8262"/>
    <cellStyle name="Comma 3 5 5 2 3 3" xfId="8263"/>
    <cellStyle name="Comma 3 5 5 2 4" xfId="8264"/>
    <cellStyle name="Comma 3 5 5 2 4 2" xfId="8265"/>
    <cellStyle name="Comma 3 5 5 2 4 3" xfId="8266"/>
    <cellStyle name="Comma 3 5 5 2 5" xfId="8267"/>
    <cellStyle name="Comma 3 5 5 2 5 2" xfId="8268"/>
    <cellStyle name="Comma 3 5 5 2 6" xfId="8269"/>
    <cellStyle name="Comma 3 5 5 2 6 2" xfId="36203"/>
    <cellStyle name="Comma 3 5 5 2 7" xfId="8270"/>
    <cellStyle name="Comma 3 5 5 3" xfId="8271"/>
    <cellStyle name="Comma 3 5 5 3 2" xfId="8272"/>
    <cellStyle name="Comma 3 5 5 3 2 2" xfId="8273"/>
    <cellStyle name="Comma 3 5 5 3 2 2 2" xfId="8274"/>
    <cellStyle name="Comma 3 5 5 3 2 3" xfId="8275"/>
    <cellStyle name="Comma 3 5 5 3 3" xfId="8276"/>
    <cellStyle name="Comma 3 5 5 3 3 2" xfId="8277"/>
    <cellStyle name="Comma 3 5 5 3 4" xfId="8278"/>
    <cellStyle name="Comma 3 5 5 4" xfId="8279"/>
    <cellStyle name="Comma 3 5 5 4 2" xfId="8280"/>
    <cellStyle name="Comma 3 5 5 4 2 2" xfId="8281"/>
    <cellStyle name="Comma 3 5 5 4 3" xfId="8282"/>
    <cellStyle name="Comma 3 5 5 5" xfId="8283"/>
    <cellStyle name="Comma 3 5 5 5 2" xfId="8284"/>
    <cellStyle name="Comma 3 5 5 5 2 2" xfId="8285"/>
    <cellStyle name="Comma 3 5 5 5 3" xfId="8286"/>
    <cellStyle name="Comma 3 5 5 6" xfId="8287"/>
    <cellStyle name="Comma 3 5 5 6 2" xfId="8288"/>
    <cellStyle name="Comma 3 5 5 7" xfId="8289"/>
    <cellStyle name="Comma 3 5 5 7 2" xfId="36204"/>
    <cellStyle name="Comma 3 5 5 8" xfId="8290"/>
    <cellStyle name="Comma 3 5 6" xfId="8291"/>
    <cellStyle name="Comma 3 5 6 2" xfId="8292"/>
    <cellStyle name="Comma 3 5 6 2 2" xfId="8293"/>
    <cellStyle name="Comma 3 5 6 2 2 2" xfId="8294"/>
    <cellStyle name="Comma 3 5 6 2 2 2 2" xfId="8295"/>
    <cellStyle name="Comma 3 5 6 2 2 2 3" xfId="8296"/>
    <cellStyle name="Comma 3 5 6 2 2 3" xfId="8297"/>
    <cellStyle name="Comma 3 5 6 2 2 3 2" xfId="8298"/>
    <cellStyle name="Comma 3 5 6 2 2 4" xfId="8299"/>
    <cellStyle name="Comma 3 5 6 2 3" xfId="8300"/>
    <cellStyle name="Comma 3 5 6 2 3 2" xfId="8301"/>
    <cellStyle name="Comma 3 5 6 2 3 2 2" xfId="8302"/>
    <cellStyle name="Comma 3 5 6 2 3 3" xfId="8303"/>
    <cellStyle name="Comma 3 5 6 2 4" xfId="8304"/>
    <cellStyle name="Comma 3 5 6 2 4 2" xfId="8305"/>
    <cellStyle name="Comma 3 5 6 2 4 3" xfId="8306"/>
    <cellStyle name="Comma 3 5 6 2 5" xfId="8307"/>
    <cellStyle name="Comma 3 5 6 2 5 2" xfId="8308"/>
    <cellStyle name="Comma 3 5 6 2 6" xfId="8309"/>
    <cellStyle name="Comma 3 5 6 2 6 2" xfId="36205"/>
    <cellStyle name="Comma 3 5 6 2 7" xfId="8310"/>
    <cellStyle name="Comma 3 5 6 3" xfId="8311"/>
    <cellStyle name="Comma 3 5 6 3 2" xfId="8312"/>
    <cellStyle name="Comma 3 5 6 3 2 2" xfId="8313"/>
    <cellStyle name="Comma 3 5 6 3 2 2 2" xfId="8314"/>
    <cellStyle name="Comma 3 5 6 3 2 3" xfId="8315"/>
    <cellStyle name="Comma 3 5 6 3 3" xfId="8316"/>
    <cellStyle name="Comma 3 5 6 3 3 2" xfId="8317"/>
    <cellStyle name="Comma 3 5 6 3 4" xfId="8318"/>
    <cellStyle name="Comma 3 5 6 4" xfId="8319"/>
    <cellStyle name="Comma 3 5 6 4 2" xfId="8320"/>
    <cellStyle name="Comma 3 5 6 4 2 2" xfId="8321"/>
    <cellStyle name="Comma 3 5 6 4 3" xfId="8322"/>
    <cellStyle name="Comma 3 5 6 5" xfId="8323"/>
    <cellStyle name="Comma 3 5 6 5 2" xfId="8324"/>
    <cellStyle name="Comma 3 5 6 5 2 2" xfId="8325"/>
    <cellStyle name="Comma 3 5 6 5 3" xfId="8326"/>
    <cellStyle name="Comma 3 5 6 6" xfId="8327"/>
    <cellStyle name="Comma 3 5 6 6 2" xfId="8328"/>
    <cellStyle name="Comma 3 5 6 7" xfId="8329"/>
    <cellStyle name="Comma 3 5 6 7 2" xfId="36206"/>
    <cellStyle name="Comma 3 5 6 8" xfId="8330"/>
    <cellStyle name="Comma 3 5 7" xfId="8331"/>
    <cellStyle name="Comma 3 5 7 2" xfId="8332"/>
    <cellStyle name="Comma 3 5 7 2 2" xfId="8333"/>
    <cellStyle name="Comma 3 5 7 2 2 2" xfId="8334"/>
    <cellStyle name="Comma 3 5 7 2 2 2 2" xfId="8335"/>
    <cellStyle name="Comma 3 5 7 2 2 2 3" xfId="8336"/>
    <cellStyle name="Comma 3 5 7 2 2 3" xfId="8337"/>
    <cellStyle name="Comma 3 5 7 2 2 3 2" xfId="8338"/>
    <cellStyle name="Comma 3 5 7 2 2 4" xfId="8339"/>
    <cellStyle name="Comma 3 5 7 2 3" xfId="8340"/>
    <cellStyle name="Comma 3 5 7 2 3 2" xfId="8341"/>
    <cellStyle name="Comma 3 5 7 2 3 2 2" xfId="8342"/>
    <cellStyle name="Comma 3 5 7 2 3 3" xfId="8343"/>
    <cellStyle name="Comma 3 5 7 2 4" xfId="8344"/>
    <cellStyle name="Comma 3 5 7 2 4 2" xfId="8345"/>
    <cellStyle name="Comma 3 5 7 2 4 3" xfId="8346"/>
    <cellStyle name="Comma 3 5 7 2 5" xfId="8347"/>
    <cellStyle name="Comma 3 5 7 2 5 2" xfId="8348"/>
    <cellStyle name="Comma 3 5 7 2 6" xfId="8349"/>
    <cellStyle name="Comma 3 5 7 2 6 2" xfId="36207"/>
    <cellStyle name="Comma 3 5 7 2 7" xfId="8350"/>
    <cellStyle name="Comma 3 5 7 3" xfId="8351"/>
    <cellStyle name="Comma 3 5 7 3 2" xfId="8352"/>
    <cellStyle name="Comma 3 5 7 3 2 2" xfId="8353"/>
    <cellStyle name="Comma 3 5 7 3 2 2 2" xfId="8354"/>
    <cellStyle name="Comma 3 5 7 3 2 3" xfId="8355"/>
    <cellStyle name="Comma 3 5 7 3 3" xfId="8356"/>
    <cellStyle name="Comma 3 5 7 3 3 2" xfId="8357"/>
    <cellStyle name="Comma 3 5 7 3 4" xfId="8358"/>
    <cellStyle name="Comma 3 5 7 4" xfId="8359"/>
    <cellStyle name="Comma 3 5 7 4 2" xfId="8360"/>
    <cellStyle name="Comma 3 5 7 4 2 2" xfId="8361"/>
    <cellStyle name="Comma 3 5 7 4 3" xfId="8362"/>
    <cellStyle name="Comma 3 5 7 5" xfId="8363"/>
    <cellStyle name="Comma 3 5 7 5 2" xfId="8364"/>
    <cellStyle name="Comma 3 5 7 5 2 2" xfId="8365"/>
    <cellStyle name="Comma 3 5 7 5 3" xfId="8366"/>
    <cellStyle name="Comma 3 5 7 6" xfId="8367"/>
    <cellStyle name="Comma 3 5 7 6 2" xfId="8368"/>
    <cellStyle name="Comma 3 5 7 7" xfId="8369"/>
    <cellStyle name="Comma 3 5 7 7 2" xfId="36208"/>
    <cellStyle name="Comma 3 5 7 8" xfId="8370"/>
    <cellStyle name="Comma 3 5 8" xfId="8371"/>
    <cellStyle name="Comma 3 5 8 2" xfId="8372"/>
    <cellStyle name="Comma 3 5 8 2 2" xfId="8373"/>
    <cellStyle name="Comma 3 5 8 2 2 2" xfId="8374"/>
    <cellStyle name="Comma 3 5 8 2 2 3" xfId="8375"/>
    <cellStyle name="Comma 3 5 8 2 3" xfId="8376"/>
    <cellStyle name="Comma 3 5 8 2 3 2" xfId="8377"/>
    <cellStyle name="Comma 3 5 8 2 4" xfId="8378"/>
    <cellStyle name="Comma 3 5 8 3" xfId="8379"/>
    <cellStyle name="Comma 3 5 8 3 2" xfId="8380"/>
    <cellStyle name="Comma 3 5 8 3 2 2" xfId="8381"/>
    <cellStyle name="Comma 3 5 8 3 3" xfId="8382"/>
    <cellStyle name="Comma 3 5 8 4" xfId="8383"/>
    <cellStyle name="Comma 3 5 8 4 2" xfId="8384"/>
    <cellStyle name="Comma 3 5 8 4 3" xfId="8385"/>
    <cellStyle name="Comma 3 5 8 5" xfId="8386"/>
    <cellStyle name="Comma 3 5 8 5 2" xfId="8387"/>
    <cellStyle name="Comma 3 5 8 6" xfId="8388"/>
    <cellStyle name="Comma 3 5 8 6 2" xfId="36209"/>
    <cellStyle name="Comma 3 5 8 7" xfId="8389"/>
    <cellStyle name="Comma 3 5 9" xfId="8390"/>
    <cellStyle name="Comma 3 5 9 2" xfId="8391"/>
    <cellStyle name="Comma 3 5 9 2 2" xfId="8392"/>
    <cellStyle name="Comma 3 5 9 2 2 2" xfId="8393"/>
    <cellStyle name="Comma 3 5 9 2 3" xfId="8394"/>
    <cellStyle name="Comma 3 5 9 3" xfId="8395"/>
    <cellStyle name="Comma 3 5 9 3 2" xfId="8396"/>
    <cellStyle name="Comma 3 5 9 4" xfId="8397"/>
    <cellStyle name="Comma 3 6" xfId="8398"/>
    <cellStyle name="Comma 3 6 10" xfId="8399"/>
    <cellStyle name="Comma 3 6 10 2" xfId="8400"/>
    <cellStyle name="Comma 3 6 10 2 2" xfId="8401"/>
    <cellStyle name="Comma 3 6 10 3" xfId="8402"/>
    <cellStyle name="Comma 3 6 11" xfId="8403"/>
    <cellStyle name="Comma 3 6 11 2" xfId="8404"/>
    <cellStyle name="Comma 3 6 12" xfId="8405"/>
    <cellStyle name="Comma 3 6 12 2" xfId="36210"/>
    <cellStyle name="Comma 3 6 13" xfId="8406"/>
    <cellStyle name="Comma 3 6 2" xfId="8407"/>
    <cellStyle name="Comma 3 6 2 10" xfId="8408"/>
    <cellStyle name="Comma 3 6 2 2" xfId="8409"/>
    <cellStyle name="Comma 3 6 2 2 2" xfId="8410"/>
    <cellStyle name="Comma 3 6 2 2 2 2" xfId="8411"/>
    <cellStyle name="Comma 3 6 2 2 2 2 2" xfId="8412"/>
    <cellStyle name="Comma 3 6 2 2 2 2 2 2" xfId="8413"/>
    <cellStyle name="Comma 3 6 2 2 2 2 2 2 2" xfId="8414"/>
    <cellStyle name="Comma 3 6 2 2 2 2 2 2 3" xfId="8415"/>
    <cellStyle name="Comma 3 6 2 2 2 2 2 3" xfId="8416"/>
    <cellStyle name="Comma 3 6 2 2 2 2 2 3 2" xfId="8417"/>
    <cellStyle name="Comma 3 6 2 2 2 2 2 4" xfId="8418"/>
    <cellStyle name="Comma 3 6 2 2 2 2 3" xfId="8419"/>
    <cellStyle name="Comma 3 6 2 2 2 2 3 2" xfId="8420"/>
    <cellStyle name="Comma 3 6 2 2 2 2 3 2 2" xfId="8421"/>
    <cellStyle name="Comma 3 6 2 2 2 2 3 3" xfId="8422"/>
    <cellStyle name="Comma 3 6 2 2 2 2 4" xfId="8423"/>
    <cellStyle name="Comma 3 6 2 2 2 2 4 2" xfId="8424"/>
    <cellStyle name="Comma 3 6 2 2 2 2 4 3" xfId="8425"/>
    <cellStyle name="Comma 3 6 2 2 2 2 5" xfId="8426"/>
    <cellStyle name="Comma 3 6 2 2 2 2 5 2" xfId="8427"/>
    <cellStyle name="Comma 3 6 2 2 2 2 6" xfId="8428"/>
    <cellStyle name="Comma 3 6 2 2 2 2 6 2" xfId="36211"/>
    <cellStyle name="Comma 3 6 2 2 2 2 7" xfId="8429"/>
    <cellStyle name="Comma 3 6 2 2 2 3" xfId="8430"/>
    <cellStyle name="Comma 3 6 2 2 2 3 2" xfId="8431"/>
    <cellStyle name="Comma 3 6 2 2 2 3 2 2" xfId="8432"/>
    <cellStyle name="Comma 3 6 2 2 2 3 2 2 2" xfId="8433"/>
    <cellStyle name="Comma 3 6 2 2 2 3 2 3" xfId="8434"/>
    <cellStyle name="Comma 3 6 2 2 2 3 3" xfId="8435"/>
    <cellStyle name="Comma 3 6 2 2 2 3 3 2" xfId="8436"/>
    <cellStyle name="Comma 3 6 2 2 2 3 4" xfId="8437"/>
    <cellStyle name="Comma 3 6 2 2 2 4" xfId="8438"/>
    <cellStyle name="Comma 3 6 2 2 2 4 2" xfId="8439"/>
    <cellStyle name="Comma 3 6 2 2 2 4 2 2" xfId="8440"/>
    <cellStyle name="Comma 3 6 2 2 2 4 3" xfId="8441"/>
    <cellStyle name="Comma 3 6 2 2 2 5" xfId="8442"/>
    <cellStyle name="Comma 3 6 2 2 2 5 2" xfId="8443"/>
    <cellStyle name="Comma 3 6 2 2 2 5 2 2" xfId="8444"/>
    <cellStyle name="Comma 3 6 2 2 2 5 3" xfId="8445"/>
    <cellStyle name="Comma 3 6 2 2 2 6" xfId="8446"/>
    <cellStyle name="Comma 3 6 2 2 2 6 2" xfId="8447"/>
    <cellStyle name="Comma 3 6 2 2 2 7" xfId="8448"/>
    <cellStyle name="Comma 3 6 2 2 2 7 2" xfId="36212"/>
    <cellStyle name="Comma 3 6 2 2 2 8" xfId="8449"/>
    <cellStyle name="Comma 3 6 2 2 3" xfId="8450"/>
    <cellStyle name="Comma 3 6 2 2 3 2" xfId="8451"/>
    <cellStyle name="Comma 3 6 2 2 3 2 2" xfId="8452"/>
    <cellStyle name="Comma 3 6 2 2 3 2 2 2" xfId="8453"/>
    <cellStyle name="Comma 3 6 2 2 3 2 2 3" xfId="8454"/>
    <cellStyle name="Comma 3 6 2 2 3 2 3" xfId="8455"/>
    <cellStyle name="Comma 3 6 2 2 3 2 3 2" xfId="8456"/>
    <cellStyle name="Comma 3 6 2 2 3 2 4" xfId="8457"/>
    <cellStyle name="Comma 3 6 2 2 3 3" xfId="8458"/>
    <cellStyle name="Comma 3 6 2 2 3 3 2" xfId="8459"/>
    <cellStyle name="Comma 3 6 2 2 3 3 2 2" xfId="8460"/>
    <cellStyle name="Comma 3 6 2 2 3 3 3" xfId="8461"/>
    <cellStyle name="Comma 3 6 2 2 3 4" xfId="8462"/>
    <cellStyle name="Comma 3 6 2 2 3 4 2" xfId="8463"/>
    <cellStyle name="Comma 3 6 2 2 3 4 3" xfId="8464"/>
    <cellStyle name="Comma 3 6 2 2 3 5" xfId="8465"/>
    <cellStyle name="Comma 3 6 2 2 3 5 2" xfId="8466"/>
    <cellStyle name="Comma 3 6 2 2 3 6" xfId="8467"/>
    <cellStyle name="Comma 3 6 2 2 3 6 2" xfId="36213"/>
    <cellStyle name="Comma 3 6 2 2 3 7" xfId="8468"/>
    <cellStyle name="Comma 3 6 2 2 4" xfId="8469"/>
    <cellStyle name="Comma 3 6 2 2 4 2" xfId="8470"/>
    <cellStyle name="Comma 3 6 2 2 4 2 2" xfId="8471"/>
    <cellStyle name="Comma 3 6 2 2 4 2 2 2" xfId="8472"/>
    <cellStyle name="Comma 3 6 2 2 4 2 3" xfId="8473"/>
    <cellStyle name="Comma 3 6 2 2 4 3" xfId="8474"/>
    <cellStyle name="Comma 3 6 2 2 4 3 2" xfId="8475"/>
    <cellStyle name="Comma 3 6 2 2 4 4" xfId="8476"/>
    <cellStyle name="Comma 3 6 2 2 5" xfId="8477"/>
    <cellStyle name="Comma 3 6 2 2 5 2" xfId="8478"/>
    <cellStyle name="Comma 3 6 2 2 5 2 2" xfId="8479"/>
    <cellStyle name="Comma 3 6 2 2 5 3" xfId="8480"/>
    <cellStyle name="Comma 3 6 2 2 6" xfId="8481"/>
    <cellStyle name="Comma 3 6 2 2 6 2" xfId="8482"/>
    <cellStyle name="Comma 3 6 2 2 6 2 2" xfId="8483"/>
    <cellStyle name="Comma 3 6 2 2 6 3" xfId="8484"/>
    <cellStyle name="Comma 3 6 2 2 7" xfId="8485"/>
    <cellStyle name="Comma 3 6 2 2 7 2" xfId="8486"/>
    <cellStyle name="Comma 3 6 2 2 8" xfId="8487"/>
    <cellStyle name="Comma 3 6 2 2 8 2" xfId="36214"/>
    <cellStyle name="Comma 3 6 2 2 9" xfId="8488"/>
    <cellStyle name="Comma 3 6 2 3" xfId="8489"/>
    <cellStyle name="Comma 3 6 2 3 2" xfId="8490"/>
    <cellStyle name="Comma 3 6 2 3 2 2" xfId="8491"/>
    <cellStyle name="Comma 3 6 2 3 2 2 2" xfId="8492"/>
    <cellStyle name="Comma 3 6 2 3 2 2 2 2" xfId="8493"/>
    <cellStyle name="Comma 3 6 2 3 2 2 2 3" xfId="8494"/>
    <cellStyle name="Comma 3 6 2 3 2 2 3" xfId="8495"/>
    <cellStyle name="Comma 3 6 2 3 2 2 3 2" xfId="8496"/>
    <cellStyle name="Comma 3 6 2 3 2 2 4" xfId="8497"/>
    <cellStyle name="Comma 3 6 2 3 2 3" xfId="8498"/>
    <cellStyle name="Comma 3 6 2 3 2 3 2" xfId="8499"/>
    <cellStyle name="Comma 3 6 2 3 2 3 2 2" xfId="8500"/>
    <cellStyle name="Comma 3 6 2 3 2 3 3" xfId="8501"/>
    <cellStyle name="Comma 3 6 2 3 2 4" xfId="8502"/>
    <cellStyle name="Comma 3 6 2 3 2 4 2" xfId="8503"/>
    <cellStyle name="Comma 3 6 2 3 2 4 3" xfId="8504"/>
    <cellStyle name="Comma 3 6 2 3 2 5" xfId="8505"/>
    <cellStyle name="Comma 3 6 2 3 2 5 2" xfId="8506"/>
    <cellStyle name="Comma 3 6 2 3 2 6" xfId="8507"/>
    <cellStyle name="Comma 3 6 2 3 2 6 2" xfId="36215"/>
    <cellStyle name="Comma 3 6 2 3 2 7" xfId="8508"/>
    <cellStyle name="Comma 3 6 2 3 3" xfId="8509"/>
    <cellStyle name="Comma 3 6 2 3 3 2" xfId="8510"/>
    <cellStyle name="Comma 3 6 2 3 3 2 2" xfId="8511"/>
    <cellStyle name="Comma 3 6 2 3 3 2 2 2" xfId="8512"/>
    <cellStyle name="Comma 3 6 2 3 3 2 3" xfId="8513"/>
    <cellStyle name="Comma 3 6 2 3 3 3" xfId="8514"/>
    <cellStyle name="Comma 3 6 2 3 3 3 2" xfId="8515"/>
    <cellStyle name="Comma 3 6 2 3 3 4" xfId="8516"/>
    <cellStyle name="Comma 3 6 2 3 4" xfId="8517"/>
    <cellStyle name="Comma 3 6 2 3 4 2" xfId="8518"/>
    <cellStyle name="Comma 3 6 2 3 4 2 2" xfId="8519"/>
    <cellStyle name="Comma 3 6 2 3 4 3" xfId="8520"/>
    <cellStyle name="Comma 3 6 2 3 5" xfId="8521"/>
    <cellStyle name="Comma 3 6 2 3 5 2" xfId="8522"/>
    <cellStyle name="Comma 3 6 2 3 5 2 2" xfId="8523"/>
    <cellStyle name="Comma 3 6 2 3 5 3" xfId="8524"/>
    <cellStyle name="Comma 3 6 2 3 6" xfId="8525"/>
    <cellStyle name="Comma 3 6 2 3 6 2" xfId="8526"/>
    <cellStyle name="Comma 3 6 2 3 7" xfId="8527"/>
    <cellStyle name="Comma 3 6 2 3 7 2" xfId="36216"/>
    <cellStyle name="Comma 3 6 2 3 8" xfId="8528"/>
    <cellStyle name="Comma 3 6 2 4" xfId="8529"/>
    <cellStyle name="Comma 3 6 2 4 2" xfId="8530"/>
    <cellStyle name="Comma 3 6 2 4 2 2" xfId="8531"/>
    <cellStyle name="Comma 3 6 2 4 2 2 2" xfId="8532"/>
    <cellStyle name="Comma 3 6 2 4 2 2 3" xfId="8533"/>
    <cellStyle name="Comma 3 6 2 4 2 3" xfId="8534"/>
    <cellStyle name="Comma 3 6 2 4 2 3 2" xfId="8535"/>
    <cellStyle name="Comma 3 6 2 4 2 4" xfId="8536"/>
    <cellStyle name="Comma 3 6 2 4 3" xfId="8537"/>
    <cellStyle name="Comma 3 6 2 4 3 2" xfId="8538"/>
    <cellStyle name="Comma 3 6 2 4 3 2 2" xfId="8539"/>
    <cellStyle name="Comma 3 6 2 4 3 3" xfId="8540"/>
    <cellStyle name="Comma 3 6 2 4 4" xfId="8541"/>
    <cellStyle name="Comma 3 6 2 4 4 2" xfId="8542"/>
    <cellStyle name="Comma 3 6 2 4 4 3" xfId="8543"/>
    <cellStyle name="Comma 3 6 2 4 5" xfId="8544"/>
    <cellStyle name="Comma 3 6 2 4 5 2" xfId="8545"/>
    <cellStyle name="Comma 3 6 2 4 6" xfId="8546"/>
    <cellStyle name="Comma 3 6 2 4 6 2" xfId="36217"/>
    <cellStyle name="Comma 3 6 2 4 7" xfId="8547"/>
    <cellStyle name="Comma 3 6 2 5" xfId="8548"/>
    <cellStyle name="Comma 3 6 2 5 2" xfId="8549"/>
    <cellStyle name="Comma 3 6 2 5 2 2" xfId="8550"/>
    <cellStyle name="Comma 3 6 2 5 2 2 2" xfId="8551"/>
    <cellStyle name="Comma 3 6 2 5 2 3" xfId="8552"/>
    <cellStyle name="Comma 3 6 2 5 3" xfId="8553"/>
    <cellStyle name="Comma 3 6 2 5 3 2" xfId="8554"/>
    <cellStyle name="Comma 3 6 2 5 4" xfId="8555"/>
    <cellStyle name="Comma 3 6 2 6" xfId="8556"/>
    <cellStyle name="Comma 3 6 2 6 2" xfId="8557"/>
    <cellStyle name="Comma 3 6 2 6 2 2" xfId="8558"/>
    <cellStyle name="Comma 3 6 2 6 3" xfId="8559"/>
    <cellStyle name="Comma 3 6 2 7" xfId="8560"/>
    <cellStyle name="Comma 3 6 2 7 2" xfId="8561"/>
    <cellStyle name="Comma 3 6 2 7 2 2" xfId="8562"/>
    <cellStyle name="Comma 3 6 2 7 3" xfId="8563"/>
    <cellStyle name="Comma 3 6 2 8" xfId="8564"/>
    <cellStyle name="Comma 3 6 2 8 2" xfId="8565"/>
    <cellStyle name="Comma 3 6 2 9" xfId="8566"/>
    <cellStyle name="Comma 3 6 2 9 2" xfId="36218"/>
    <cellStyle name="Comma 3 6 3" xfId="8567"/>
    <cellStyle name="Comma 3 6 3 2" xfId="8568"/>
    <cellStyle name="Comma 3 6 3 2 2" xfId="8569"/>
    <cellStyle name="Comma 3 6 3 2 2 2" xfId="8570"/>
    <cellStyle name="Comma 3 6 3 2 2 2 2" xfId="8571"/>
    <cellStyle name="Comma 3 6 3 2 2 2 2 2" xfId="8572"/>
    <cellStyle name="Comma 3 6 3 2 2 2 2 3" xfId="8573"/>
    <cellStyle name="Comma 3 6 3 2 2 2 3" xfId="8574"/>
    <cellStyle name="Comma 3 6 3 2 2 2 3 2" xfId="8575"/>
    <cellStyle name="Comma 3 6 3 2 2 2 4" xfId="8576"/>
    <cellStyle name="Comma 3 6 3 2 2 3" xfId="8577"/>
    <cellStyle name="Comma 3 6 3 2 2 3 2" xfId="8578"/>
    <cellStyle name="Comma 3 6 3 2 2 3 2 2" xfId="8579"/>
    <cellStyle name="Comma 3 6 3 2 2 3 3" xfId="8580"/>
    <cellStyle name="Comma 3 6 3 2 2 4" xfId="8581"/>
    <cellStyle name="Comma 3 6 3 2 2 4 2" xfId="8582"/>
    <cellStyle name="Comma 3 6 3 2 2 4 3" xfId="8583"/>
    <cellStyle name="Comma 3 6 3 2 2 5" xfId="8584"/>
    <cellStyle name="Comma 3 6 3 2 2 5 2" xfId="8585"/>
    <cellStyle name="Comma 3 6 3 2 2 6" xfId="8586"/>
    <cellStyle name="Comma 3 6 3 2 2 6 2" xfId="36219"/>
    <cellStyle name="Comma 3 6 3 2 2 7" xfId="8587"/>
    <cellStyle name="Comma 3 6 3 2 3" xfId="8588"/>
    <cellStyle name="Comma 3 6 3 2 3 2" xfId="8589"/>
    <cellStyle name="Comma 3 6 3 2 3 2 2" xfId="8590"/>
    <cellStyle name="Comma 3 6 3 2 3 2 2 2" xfId="8591"/>
    <cellStyle name="Comma 3 6 3 2 3 2 3" xfId="8592"/>
    <cellStyle name="Comma 3 6 3 2 3 3" xfId="8593"/>
    <cellStyle name="Comma 3 6 3 2 3 3 2" xfId="8594"/>
    <cellStyle name="Comma 3 6 3 2 3 4" xfId="8595"/>
    <cellStyle name="Comma 3 6 3 2 4" xfId="8596"/>
    <cellStyle name="Comma 3 6 3 2 4 2" xfId="8597"/>
    <cellStyle name="Comma 3 6 3 2 4 2 2" xfId="8598"/>
    <cellStyle name="Comma 3 6 3 2 4 3" xfId="8599"/>
    <cellStyle name="Comma 3 6 3 2 5" xfId="8600"/>
    <cellStyle name="Comma 3 6 3 2 5 2" xfId="8601"/>
    <cellStyle name="Comma 3 6 3 2 5 2 2" xfId="8602"/>
    <cellStyle name="Comma 3 6 3 2 5 3" xfId="8603"/>
    <cellStyle name="Comma 3 6 3 2 6" xfId="8604"/>
    <cellStyle name="Comma 3 6 3 2 6 2" xfId="8605"/>
    <cellStyle name="Comma 3 6 3 2 7" xfId="8606"/>
    <cellStyle name="Comma 3 6 3 2 7 2" xfId="36220"/>
    <cellStyle name="Comma 3 6 3 2 8" xfId="8607"/>
    <cellStyle name="Comma 3 6 3 3" xfId="8608"/>
    <cellStyle name="Comma 3 6 3 3 2" xfId="8609"/>
    <cellStyle name="Comma 3 6 3 3 2 2" xfId="8610"/>
    <cellStyle name="Comma 3 6 3 3 2 2 2" xfId="8611"/>
    <cellStyle name="Comma 3 6 3 3 2 2 3" xfId="8612"/>
    <cellStyle name="Comma 3 6 3 3 2 3" xfId="8613"/>
    <cellStyle name="Comma 3 6 3 3 2 3 2" xfId="8614"/>
    <cellStyle name="Comma 3 6 3 3 2 4" xfId="8615"/>
    <cellStyle name="Comma 3 6 3 3 3" xfId="8616"/>
    <cellStyle name="Comma 3 6 3 3 3 2" xfId="8617"/>
    <cellStyle name="Comma 3 6 3 3 3 2 2" xfId="8618"/>
    <cellStyle name="Comma 3 6 3 3 3 3" xfId="8619"/>
    <cellStyle name="Comma 3 6 3 3 4" xfId="8620"/>
    <cellStyle name="Comma 3 6 3 3 4 2" xfId="8621"/>
    <cellStyle name="Comma 3 6 3 3 4 3" xfId="8622"/>
    <cellStyle name="Comma 3 6 3 3 5" xfId="8623"/>
    <cellStyle name="Comma 3 6 3 3 5 2" xfId="8624"/>
    <cellStyle name="Comma 3 6 3 3 6" xfId="8625"/>
    <cellStyle name="Comma 3 6 3 3 6 2" xfId="36221"/>
    <cellStyle name="Comma 3 6 3 3 7" xfId="8626"/>
    <cellStyle name="Comma 3 6 3 4" xfId="8627"/>
    <cellStyle name="Comma 3 6 3 4 2" xfId="8628"/>
    <cellStyle name="Comma 3 6 3 4 2 2" xfId="8629"/>
    <cellStyle name="Comma 3 6 3 4 2 2 2" xfId="8630"/>
    <cellStyle name="Comma 3 6 3 4 2 3" xfId="8631"/>
    <cellStyle name="Comma 3 6 3 4 3" xfId="8632"/>
    <cellStyle name="Comma 3 6 3 4 3 2" xfId="8633"/>
    <cellStyle name="Comma 3 6 3 4 4" xfId="8634"/>
    <cellStyle name="Comma 3 6 3 5" xfId="8635"/>
    <cellStyle name="Comma 3 6 3 5 2" xfId="8636"/>
    <cellStyle name="Comma 3 6 3 5 2 2" xfId="8637"/>
    <cellStyle name="Comma 3 6 3 5 3" xfId="8638"/>
    <cellStyle name="Comma 3 6 3 6" xfId="8639"/>
    <cellStyle name="Comma 3 6 3 6 2" xfId="8640"/>
    <cellStyle name="Comma 3 6 3 6 2 2" xfId="8641"/>
    <cellStyle name="Comma 3 6 3 6 3" xfId="8642"/>
    <cellStyle name="Comma 3 6 3 7" xfId="8643"/>
    <cellStyle name="Comma 3 6 3 7 2" xfId="8644"/>
    <cellStyle name="Comma 3 6 3 8" xfId="8645"/>
    <cellStyle name="Comma 3 6 3 8 2" xfId="36222"/>
    <cellStyle name="Comma 3 6 3 9" xfId="8646"/>
    <cellStyle name="Comma 3 6 4" xfId="8647"/>
    <cellStyle name="Comma 3 6 4 2" xfId="8648"/>
    <cellStyle name="Comma 3 6 4 2 2" xfId="8649"/>
    <cellStyle name="Comma 3 6 4 2 2 2" xfId="8650"/>
    <cellStyle name="Comma 3 6 4 2 2 2 2" xfId="8651"/>
    <cellStyle name="Comma 3 6 4 2 2 2 3" xfId="8652"/>
    <cellStyle name="Comma 3 6 4 2 2 3" xfId="8653"/>
    <cellStyle name="Comma 3 6 4 2 2 3 2" xfId="8654"/>
    <cellStyle name="Comma 3 6 4 2 2 4" xfId="8655"/>
    <cellStyle name="Comma 3 6 4 2 3" xfId="8656"/>
    <cellStyle name="Comma 3 6 4 2 3 2" xfId="8657"/>
    <cellStyle name="Comma 3 6 4 2 3 2 2" xfId="8658"/>
    <cellStyle name="Comma 3 6 4 2 3 3" xfId="8659"/>
    <cellStyle name="Comma 3 6 4 2 4" xfId="8660"/>
    <cellStyle name="Comma 3 6 4 2 4 2" xfId="8661"/>
    <cellStyle name="Comma 3 6 4 2 4 3" xfId="8662"/>
    <cellStyle name="Comma 3 6 4 2 5" xfId="8663"/>
    <cellStyle name="Comma 3 6 4 2 5 2" xfId="8664"/>
    <cellStyle name="Comma 3 6 4 2 6" xfId="8665"/>
    <cellStyle name="Comma 3 6 4 2 6 2" xfId="36223"/>
    <cellStyle name="Comma 3 6 4 2 7" xfId="8666"/>
    <cellStyle name="Comma 3 6 4 3" xfId="8667"/>
    <cellStyle name="Comma 3 6 4 3 2" xfId="8668"/>
    <cellStyle name="Comma 3 6 4 3 2 2" xfId="8669"/>
    <cellStyle name="Comma 3 6 4 3 2 2 2" xfId="8670"/>
    <cellStyle name="Comma 3 6 4 3 2 3" xfId="8671"/>
    <cellStyle name="Comma 3 6 4 3 3" xfId="8672"/>
    <cellStyle name="Comma 3 6 4 3 3 2" xfId="8673"/>
    <cellStyle name="Comma 3 6 4 3 4" xfId="8674"/>
    <cellStyle name="Comma 3 6 4 4" xfId="8675"/>
    <cellStyle name="Comma 3 6 4 4 2" xfId="8676"/>
    <cellStyle name="Comma 3 6 4 4 2 2" xfId="8677"/>
    <cellStyle name="Comma 3 6 4 4 3" xfId="8678"/>
    <cellStyle name="Comma 3 6 4 5" xfId="8679"/>
    <cellStyle name="Comma 3 6 4 5 2" xfId="8680"/>
    <cellStyle name="Comma 3 6 4 5 2 2" xfId="8681"/>
    <cellStyle name="Comma 3 6 4 5 3" xfId="8682"/>
    <cellStyle name="Comma 3 6 4 6" xfId="8683"/>
    <cellStyle name="Comma 3 6 4 6 2" xfId="8684"/>
    <cellStyle name="Comma 3 6 4 7" xfId="8685"/>
    <cellStyle name="Comma 3 6 4 7 2" xfId="36224"/>
    <cellStyle name="Comma 3 6 4 8" xfId="8686"/>
    <cellStyle name="Comma 3 6 5" xfId="8687"/>
    <cellStyle name="Comma 3 6 5 2" xfId="8688"/>
    <cellStyle name="Comma 3 6 5 2 2" xfId="8689"/>
    <cellStyle name="Comma 3 6 5 2 2 2" xfId="8690"/>
    <cellStyle name="Comma 3 6 5 2 2 2 2" xfId="8691"/>
    <cellStyle name="Comma 3 6 5 2 2 2 3" xfId="8692"/>
    <cellStyle name="Comma 3 6 5 2 2 3" xfId="8693"/>
    <cellStyle name="Comma 3 6 5 2 2 3 2" xfId="8694"/>
    <cellStyle name="Comma 3 6 5 2 2 4" xfId="8695"/>
    <cellStyle name="Comma 3 6 5 2 3" xfId="8696"/>
    <cellStyle name="Comma 3 6 5 2 3 2" xfId="8697"/>
    <cellStyle name="Comma 3 6 5 2 3 2 2" xfId="8698"/>
    <cellStyle name="Comma 3 6 5 2 3 3" xfId="8699"/>
    <cellStyle name="Comma 3 6 5 2 4" xfId="8700"/>
    <cellStyle name="Comma 3 6 5 2 4 2" xfId="8701"/>
    <cellStyle name="Comma 3 6 5 2 4 3" xfId="8702"/>
    <cellStyle name="Comma 3 6 5 2 5" xfId="8703"/>
    <cellStyle name="Comma 3 6 5 2 5 2" xfId="8704"/>
    <cellStyle name="Comma 3 6 5 2 6" xfId="8705"/>
    <cellStyle name="Comma 3 6 5 2 6 2" xfId="36225"/>
    <cellStyle name="Comma 3 6 5 2 7" xfId="8706"/>
    <cellStyle name="Comma 3 6 5 3" xfId="8707"/>
    <cellStyle name="Comma 3 6 5 3 2" xfId="8708"/>
    <cellStyle name="Comma 3 6 5 3 2 2" xfId="8709"/>
    <cellStyle name="Comma 3 6 5 3 2 2 2" xfId="8710"/>
    <cellStyle name="Comma 3 6 5 3 2 3" xfId="8711"/>
    <cellStyle name="Comma 3 6 5 3 3" xfId="8712"/>
    <cellStyle name="Comma 3 6 5 3 3 2" xfId="8713"/>
    <cellStyle name="Comma 3 6 5 3 4" xfId="8714"/>
    <cellStyle name="Comma 3 6 5 4" xfId="8715"/>
    <cellStyle name="Comma 3 6 5 4 2" xfId="8716"/>
    <cellStyle name="Comma 3 6 5 4 2 2" xfId="8717"/>
    <cellStyle name="Comma 3 6 5 4 3" xfId="8718"/>
    <cellStyle name="Comma 3 6 5 5" xfId="8719"/>
    <cellStyle name="Comma 3 6 5 5 2" xfId="8720"/>
    <cellStyle name="Comma 3 6 5 5 2 2" xfId="8721"/>
    <cellStyle name="Comma 3 6 5 5 3" xfId="8722"/>
    <cellStyle name="Comma 3 6 5 6" xfId="8723"/>
    <cellStyle name="Comma 3 6 5 6 2" xfId="8724"/>
    <cellStyle name="Comma 3 6 5 7" xfId="8725"/>
    <cellStyle name="Comma 3 6 5 7 2" xfId="36226"/>
    <cellStyle name="Comma 3 6 5 8" xfId="8726"/>
    <cellStyle name="Comma 3 6 6" xfId="8727"/>
    <cellStyle name="Comma 3 6 7" xfId="8728"/>
    <cellStyle name="Comma 3 6 7 2" xfId="8729"/>
    <cellStyle name="Comma 3 6 7 2 2" xfId="8730"/>
    <cellStyle name="Comma 3 6 7 2 2 2" xfId="8731"/>
    <cellStyle name="Comma 3 6 7 2 2 3" xfId="8732"/>
    <cellStyle name="Comma 3 6 7 2 3" xfId="8733"/>
    <cellStyle name="Comma 3 6 7 2 3 2" xfId="8734"/>
    <cellStyle name="Comma 3 6 7 2 4" xfId="8735"/>
    <cellStyle name="Comma 3 6 7 3" xfId="8736"/>
    <cellStyle name="Comma 3 6 7 3 2" xfId="8737"/>
    <cellStyle name="Comma 3 6 7 3 2 2" xfId="8738"/>
    <cellStyle name="Comma 3 6 7 3 3" xfId="8739"/>
    <cellStyle name="Comma 3 6 7 4" xfId="8740"/>
    <cellStyle name="Comma 3 6 7 4 2" xfId="8741"/>
    <cellStyle name="Comma 3 6 7 4 3" xfId="8742"/>
    <cellStyle name="Comma 3 6 7 5" xfId="8743"/>
    <cellStyle name="Comma 3 6 7 5 2" xfId="8744"/>
    <cellStyle name="Comma 3 6 7 6" xfId="8745"/>
    <cellStyle name="Comma 3 6 7 6 2" xfId="36227"/>
    <cellStyle name="Comma 3 6 7 7" xfId="8746"/>
    <cellStyle name="Comma 3 6 8" xfId="8747"/>
    <cellStyle name="Comma 3 6 8 2" xfId="8748"/>
    <cellStyle name="Comma 3 6 8 2 2" xfId="8749"/>
    <cellStyle name="Comma 3 6 8 2 2 2" xfId="8750"/>
    <cellStyle name="Comma 3 6 8 2 3" xfId="8751"/>
    <cellStyle name="Comma 3 6 8 3" xfId="8752"/>
    <cellStyle name="Comma 3 6 8 3 2" xfId="8753"/>
    <cellStyle name="Comma 3 6 8 4" xfId="8754"/>
    <cellStyle name="Comma 3 6 9" xfId="8755"/>
    <cellStyle name="Comma 3 6 9 2" xfId="8756"/>
    <cellStyle name="Comma 3 6 9 2 2" xfId="8757"/>
    <cellStyle name="Comma 3 6 9 3" xfId="8758"/>
    <cellStyle name="Comma 3 7" xfId="8759"/>
    <cellStyle name="Comma 3 7 10" xfId="8760"/>
    <cellStyle name="Comma 3 7 2" xfId="8761"/>
    <cellStyle name="Comma 3 7 2 2" xfId="8762"/>
    <cellStyle name="Comma 3 7 2 2 2" xfId="8763"/>
    <cellStyle name="Comma 3 7 2 2 2 2" xfId="8764"/>
    <cellStyle name="Comma 3 7 2 2 2 2 2" xfId="8765"/>
    <cellStyle name="Comma 3 7 2 2 2 2 2 2" xfId="8766"/>
    <cellStyle name="Comma 3 7 2 2 2 2 2 3" xfId="8767"/>
    <cellStyle name="Comma 3 7 2 2 2 2 3" xfId="8768"/>
    <cellStyle name="Comma 3 7 2 2 2 2 3 2" xfId="8769"/>
    <cellStyle name="Comma 3 7 2 2 2 2 4" xfId="8770"/>
    <cellStyle name="Comma 3 7 2 2 2 3" xfId="8771"/>
    <cellStyle name="Comma 3 7 2 2 2 3 2" xfId="8772"/>
    <cellStyle name="Comma 3 7 2 2 2 3 2 2" xfId="8773"/>
    <cellStyle name="Comma 3 7 2 2 2 3 3" xfId="8774"/>
    <cellStyle name="Comma 3 7 2 2 2 4" xfId="8775"/>
    <cellStyle name="Comma 3 7 2 2 2 4 2" xfId="8776"/>
    <cellStyle name="Comma 3 7 2 2 2 4 3" xfId="8777"/>
    <cellStyle name="Comma 3 7 2 2 2 5" xfId="8778"/>
    <cellStyle name="Comma 3 7 2 2 2 5 2" xfId="8779"/>
    <cellStyle name="Comma 3 7 2 2 2 6" xfId="8780"/>
    <cellStyle name="Comma 3 7 2 2 2 6 2" xfId="36228"/>
    <cellStyle name="Comma 3 7 2 2 2 7" xfId="8781"/>
    <cellStyle name="Comma 3 7 2 2 3" xfId="8782"/>
    <cellStyle name="Comma 3 7 2 2 3 2" xfId="8783"/>
    <cellStyle name="Comma 3 7 2 2 3 2 2" xfId="8784"/>
    <cellStyle name="Comma 3 7 2 2 3 2 2 2" xfId="8785"/>
    <cellStyle name="Comma 3 7 2 2 3 2 3" xfId="8786"/>
    <cellStyle name="Comma 3 7 2 2 3 3" xfId="8787"/>
    <cellStyle name="Comma 3 7 2 2 3 3 2" xfId="8788"/>
    <cellStyle name="Comma 3 7 2 2 3 4" xfId="8789"/>
    <cellStyle name="Comma 3 7 2 2 4" xfId="8790"/>
    <cellStyle name="Comma 3 7 2 2 4 2" xfId="8791"/>
    <cellStyle name="Comma 3 7 2 2 4 2 2" xfId="8792"/>
    <cellStyle name="Comma 3 7 2 2 4 3" xfId="8793"/>
    <cellStyle name="Comma 3 7 2 2 5" xfId="8794"/>
    <cellStyle name="Comma 3 7 2 2 5 2" xfId="8795"/>
    <cellStyle name="Comma 3 7 2 2 5 2 2" xfId="8796"/>
    <cellStyle name="Comma 3 7 2 2 5 3" xfId="8797"/>
    <cellStyle name="Comma 3 7 2 2 6" xfId="8798"/>
    <cellStyle name="Comma 3 7 2 2 6 2" xfId="8799"/>
    <cellStyle name="Comma 3 7 2 2 7" xfId="8800"/>
    <cellStyle name="Comma 3 7 2 2 7 2" xfId="36229"/>
    <cellStyle name="Comma 3 7 2 2 8" xfId="8801"/>
    <cellStyle name="Comma 3 7 2 3" xfId="8802"/>
    <cellStyle name="Comma 3 7 2 3 2" xfId="8803"/>
    <cellStyle name="Comma 3 7 2 3 2 2" xfId="8804"/>
    <cellStyle name="Comma 3 7 2 3 2 2 2" xfId="8805"/>
    <cellStyle name="Comma 3 7 2 3 2 2 3" xfId="8806"/>
    <cellStyle name="Comma 3 7 2 3 2 3" xfId="8807"/>
    <cellStyle name="Comma 3 7 2 3 2 3 2" xfId="8808"/>
    <cellStyle name="Comma 3 7 2 3 2 4" xfId="8809"/>
    <cellStyle name="Comma 3 7 2 3 3" xfId="8810"/>
    <cellStyle name="Comma 3 7 2 3 3 2" xfId="8811"/>
    <cellStyle name="Comma 3 7 2 3 3 2 2" xfId="8812"/>
    <cellStyle name="Comma 3 7 2 3 3 3" xfId="8813"/>
    <cellStyle name="Comma 3 7 2 3 4" xfId="8814"/>
    <cellStyle name="Comma 3 7 2 3 4 2" xfId="8815"/>
    <cellStyle name="Comma 3 7 2 3 4 3" xfId="8816"/>
    <cellStyle name="Comma 3 7 2 3 5" xfId="8817"/>
    <cellStyle name="Comma 3 7 2 3 5 2" xfId="8818"/>
    <cellStyle name="Comma 3 7 2 3 6" xfId="8819"/>
    <cellStyle name="Comma 3 7 2 3 6 2" xfId="36230"/>
    <cellStyle name="Comma 3 7 2 3 7" xfId="8820"/>
    <cellStyle name="Comma 3 7 2 4" xfId="8821"/>
    <cellStyle name="Comma 3 7 2 4 2" xfId="8822"/>
    <cellStyle name="Comma 3 7 2 4 2 2" xfId="8823"/>
    <cellStyle name="Comma 3 7 2 4 2 2 2" xfId="8824"/>
    <cellStyle name="Comma 3 7 2 4 2 3" xfId="8825"/>
    <cellStyle name="Comma 3 7 2 4 3" xfId="8826"/>
    <cellStyle name="Comma 3 7 2 4 3 2" xfId="8827"/>
    <cellStyle name="Comma 3 7 2 4 4" xfId="8828"/>
    <cellStyle name="Comma 3 7 2 5" xfId="8829"/>
    <cellStyle name="Comma 3 7 2 5 2" xfId="8830"/>
    <cellStyle name="Comma 3 7 2 5 2 2" xfId="8831"/>
    <cellStyle name="Comma 3 7 2 5 3" xfId="8832"/>
    <cellStyle name="Comma 3 7 2 6" xfId="8833"/>
    <cellStyle name="Comma 3 7 2 6 2" xfId="8834"/>
    <cellStyle name="Comma 3 7 2 6 2 2" xfId="8835"/>
    <cellStyle name="Comma 3 7 2 6 3" xfId="8836"/>
    <cellStyle name="Comma 3 7 2 7" xfId="8837"/>
    <cellStyle name="Comma 3 7 2 7 2" xfId="8838"/>
    <cellStyle name="Comma 3 7 2 8" xfId="8839"/>
    <cellStyle name="Comma 3 7 2 8 2" xfId="36231"/>
    <cellStyle name="Comma 3 7 2 9" xfId="8840"/>
    <cellStyle name="Comma 3 7 3" xfId="8841"/>
    <cellStyle name="Comma 3 7 3 2" xfId="8842"/>
    <cellStyle name="Comma 3 7 3 2 2" xfId="8843"/>
    <cellStyle name="Comma 3 7 3 2 2 2" xfId="8844"/>
    <cellStyle name="Comma 3 7 3 2 2 2 2" xfId="8845"/>
    <cellStyle name="Comma 3 7 3 2 2 2 3" xfId="8846"/>
    <cellStyle name="Comma 3 7 3 2 2 3" xfId="8847"/>
    <cellStyle name="Comma 3 7 3 2 2 3 2" xfId="8848"/>
    <cellStyle name="Comma 3 7 3 2 2 4" xfId="8849"/>
    <cellStyle name="Comma 3 7 3 2 3" xfId="8850"/>
    <cellStyle name="Comma 3 7 3 2 3 2" xfId="8851"/>
    <cellStyle name="Comma 3 7 3 2 3 2 2" xfId="8852"/>
    <cellStyle name="Comma 3 7 3 2 3 3" xfId="8853"/>
    <cellStyle name="Comma 3 7 3 2 4" xfId="8854"/>
    <cellStyle name="Comma 3 7 3 2 4 2" xfId="8855"/>
    <cellStyle name="Comma 3 7 3 2 4 3" xfId="8856"/>
    <cellStyle name="Comma 3 7 3 2 5" xfId="8857"/>
    <cellStyle name="Comma 3 7 3 2 5 2" xfId="8858"/>
    <cellStyle name="Comma 3 7 3 2 6" xfId="8859"/>
    <cellStyle name="Comma 3 7 3 2 6 2" xfId="36232"/>
    <cellStyle name="Comma 3 7 3 2 7" xfId="8860"/>
    <cellStyle name="Comma 3 7 3 3" xfId="8861"/>
    <cellStyle name="Comma 3 7 3 3 2" xfId="8862"/>
    <cellStyle name="Comma 3 7 3 3 2 2" xfId="8863"/>
    <cellStyle name="Comma 3 7 3 3 2 2 2" xfId="8864"/>
    <cellStyle name="Comma 3 7 3 3 2 3" xfId="8865"/>
    <cellStyle name="Comma 3 7 3 3 3" xfId="8866"/>
    <cellStyle name="Comma 3 7 3 3 3 2" xfId="8867"/>
    <cellStyle name="Comma 3 7 3 3 4" xfId="8868"/>
    <cellStyle name="Comma 3 7 3 4" xfId="8869"/>
    <cellStyle name="Comma 3 7 3 4 2" xfId="8870"/>
    <cellStyle name="Comma 3 7 3 4 2 2" xfId="8871"/>
    <cellStyle name="Comma 3 7 3 4 3" xfId="8872"/>
    <cellStyle name="Comma 3 7 3 5" xfId="8873"/>
    <cellStyle name="Comma 3 7 3 5 2" xfId="8874"/>
    <cellStyle name="Comma 3 7 3 5 2 2" xfId="8875"/>
    <cellStyle name="Comma 3 7 3 5 3" xfId="8876"/>
    <cellStyle name="Comma 3 7 3 6" xfId="8877"/>
    <cellStyle name="Comma 3 7 3 6 2" xfId="8878"/>
    <cellStyle name="Comma 3 7 3 7" xfId="8879"/>
    <cellStyle name="Comma 3 7 3 7 2" xfId="36233"/>
    <cellStyle name="Comma 3 7 3 8" xfId="8880"/>
    <cellStyle name="Comma 3 7 4" xfId="8881"/>
    <cellStyle name="Comma 3 7 4 2" xfId="8882"/>
    <cellStyle name="Comma 3 7 4 2 2" xfId="8883"/>
    <cellStyle name="Comma 3 7 4 2 2 2" xfId="8884"/>
    <cellStyle name="Comma 3 7 4 2 2 3" xfId="8885"/>
    <cellStyle name="Comma 3 7 4 2 3" xfId="8886"/>
    <cellStyle name="Comma 3 7 4 2 3 2" xfId="8887"/>
    <cellStyle name="Comma 3 7 4 2 4" xfId="8888"/>
    <cellStyle name="Comma 3 7 4 3" xfId="8889"/>
    <cellStyle name="Comma 3 7 4 3 2" xfId="8890"/>
    <cellStyle name="Comma 3 7 4 3 2 2" xfId="8891"/>
    <cellStyle name="Comma 3 7 4 3 3" xfId="8892"/>
    <cellStyle name="Comma 3 7 4 4" xfId="8893"/>
    <cellStyle name="Comma 3 7 4 4 2" xfId="8894"/>
    <cellStyle name="Comma 3 7 4 4 3" xfId="8895"/>
    <cellStyle name="Comma 3 7 4 5" xfId="8896"/>
    <cellStyle name="Comma 3 7 4 5 2" xfId="8897"/>
    <cellStyle name="Comma 3 7 4 6" xfId="8898"/>
    <cellStyle name="Comma 3 7 4 6 2" xfId="36234"/>
    <cellStyle name="Comma 3 7 4 7" xfId="8899"/>
    <cellStyle name="Comma 3 7 5" xfId="8900"/>
    <cellStyle name="Comma 3 7 5 2" xfId="8901"/>
    <cellStyle name="Comma 3 7 5 2 2" xfId="8902"/>
    <cellStyle name="Comma 3 7 5 2 2 2" xfId="8903"/>
    <cellStyle name="Comma 3 7 5 2 3" xfId="8904"/>
    <cellStyle name="Comma 3 7 5 3" xfId="8905"/>
    <cellStyle name="Comma 3 7 5 3 2" xfId="8906"/>
    <cellStyle name="Comma 3 7 5 4" xfId="8907"/>
    <cellStyle name="Comma 3 7 6" xfId="8908"/>
    <cellStyle name="Comma 3 7 6 2" xfId="8909"/>
    <cellStyle name="Comma 3 7 6 2 2" xfId="8910"/>
    <cellStyle name="Comma 3 7 6 3" xfId="8911"/>
    <cellStyle name="Comma 3 7 7" xfId="8912"/>
    <cellStyle name="Comma 3 7 7 2" xfId="8913"/>
    <cellStyle name="Comma 3 7 7 2 2" xfId="8914"/>
    <cellStyle name="Comma 3 7 7 3" xfId="8915"/>
    <cellStyle name="Comma 3 7 8" xfId="8916"/>
    <cellStyle name="Comma 3 7 8 2" xfId="8917"/>
    <cellStyle name="Comma 3 7 9" xfId="8918"/>
    <cellStyle name="Comma 3 7 9 2" xfId="36235"/>
    <cellStyle name="Comma 3 8" xfId="8919"/>
    <cellStyle name="Comma 3 8 2" xfId="8920"/>
    <cellStyle name="Comma 3 8 2 2" xfId="8921"/>
    <cellStyle name="Comma 3 8 2 2 2" xfId="8922"/>
    <cellStyle name="Comma 3 8 2 2 2 2" xfId="8923"/>
    <cellStyle name="Comma 3 8 2 2 2 2 2" xfId="8924"/>
    <cellStyle name="Comma 3 8 2 2 2 2 3" xfId="8925"/>
    <cellStyle name="Comma 3 8 2 2 2 3" xfId="8926"/>
    <cellStyle name="Comma 3 8 2 2 2 3 2" xfId="8927"/>
    <cellStyle name="Comma 3 8 2 2 2 4" xfId="8928"/>
    <cellStyle name="Comma 3 8 2 2 3" xfId="8929"/>
    <cellStyle name="Comma 3 8 2 2 3 2" xfId="8930"/>
    <cellStyle name="Comma 3 8 2 2 3 2 2" xfId="8931"/>
    <cellStyle name="Comma 3 8 2 2 3 3" xfId="8932"/>
    <cellStyle name="Comma 3 8 2 2 4" xfId="8933"/>
    <cellStyle name="Comma 3 8 2 2 4 2" xfId="8934"/>
    <cellStyle name="Comma 3 8 2 2 4 3" xfId="8935"/>
    <cellStyle name="Comma 3 8 2 2 5" xfId="8936"/>
    <cellStyle name="Comma 3 8 2 2 5 2" xfId="8937"/>
    <cellStyle name="Comma 3 8 2 2 6" xfId="8938"/>
    <cellStyle name="Comma 3 8 2 2 6 2" xfId="36236"/>
    <cellStyle name="Comma 3 8 2 2 7" xfId="8939"/>
    <cellStyle name="Comma 3 8 2 3" xfId="8940"/>
    <cellStyle name="Comma 3 8 2 3 2" xfId="8941"/>
    <cellStyle name="Comma 3 8 2 3 2 2" xfId="8942"/>
    <cellStyle name="Comma 3 8 2 3 2 2 2" xfId="8943"/>
    <cellStyle name="Comma 3 8 2 3 2 3" xfId="8944"/>
    <cellStyle name="Comma 3 8 2 3 3" xfId="8945"/>
    <cellStyle name="Comma 3 8 2 3 3 2" xfId="8946"/>
    <cellStyle name="Comma 3 8 2 3 4" xfId="8947"/>
    <cellStyle name="Comma 3 8 2 4" xfId="8948"/>
    <cellStyle name="Comma 3 8 2 4 2" xfId="8949"/>
    <cellStyle name="Comma 3 8 2 4 2 2" xfId="8950"/>
    <cellStyle name="Comma 3 8 2 4 3" xfId="8951"/>
    <cellStyle name="Comma 3 8 2 5" xfId="8952"/>
    <cellStyle name="Comma 3 8 2 5 2" xfId="8953"/>
    <cellStyle name="Comma 3 8 2 5 2 2" xfId="8954"/>
    <cellStyle name="Comma 3 8 2 5 3" xfId="8955"/>
    <cellStyle name="Comma 3 8 2 6" xfId="8956"/>
    <cellStyle name="Comma 3 8 2 6 2" xfId="8957"/>
    <cellStyle name="Comma 3 8 2 7" xfId="8958"/>
    <cellStyle name="Comma 3 8 2 7 2" xfId="36237"/>
    <cellStyle name="Comma 3 8 2 8" xfId="8959"/>
    <cellStyle name="Comma 3 8 3" xfId="8960"/>
    <cellStyle name="Comma 3 8 3 2" xfId="8961"/>
    <cellStyle name="Comma 3 8 3 2 2" xfId="8962"/>
    <cellStyle name="Comma 3 8 3 2 2 2" xfId="8963"/>
    <cellStyle name="Comma 3 8 3 2 2 3" xfId="8964"/>
    <cellStyle name="Comma 3 8 3 2 3" xfId="8965"/>
    <cellStyle name="Comma 3 8 3 2 3 2" xfId="8966"/>
    <cellStyle name="Comma 3 8 3 2 4" xfId="8967"/>
    <cellStyle name="Comma 3 8 3 3" xfId="8968"/>
    <cellStyle name="Comma 3 8 3 3 2" xfId="8969"/>
    <cellStyle name="Comma 3 8 3 3 2 2" xfId="8970"/>
    <cellStyle name="Comma 3 8 3 3 3" xfId="8971"/>
    <cellStyle name="Comma 3 8 3 4" xfId="8972"/>
    <cellStyle name="Comma 3 8 3 4 2" xfId="8973"/>
    <cellStyle name="Comma 3 8 3 4 3" xfId="8974"/>
    <cellStyle name="Comma 3 8 3 5" xfId="8975"/>
    <cellStyle name="Comma 3 8 3 5 2" xfId="8976"/>
    <cellStyle name="Comma 3 8 3 6" xfId="8977"/>
    <cellStyle name="Comma 3 8 3 6 2" xfId="36238"/>
    <cellStyle name="Comma 3 8 3 7" xfId="8978"/>
    <cellStyle name="Comma 3 8 4" xfId="8979"/>
    <cellStyle name="Comma 3 8 4 2" xfId="8980"/>
    <cellStyle name="Comma 3 8 4 2 2" xfId="8981"/>
    <cellStyle name="Comma 3 8 4 2 2 2" xfId="8982"/>
    <cellStyle name="Comma 3 8 4 2 3" xfId="8983"/>
    <cellStyle name="Comma 3 8 4 3" xfId="8984"/>
    <cellStyle name="Comma 3 8 4 3 2" xfId="8985"/>
    <cellStyle name="Comma 3 8 4 4" xfId="8986"/>
    <cellStyle name="Comma 3 8 5" xfId="8987"/>
    <cellStyle name="Comma 3 8 5 2" xfId="8988"/>
    <cellStyle name="Comma 3 8 5 2 2" xfId="8989"/>
    <cellStyle name="Comma 3 8 5 3" xfId="8990"/>
    <cellStyle name="Comma 3 8 6" xfId="8991"/>
    <cellStyle name="Comma 3 8 6 2" xfId="8992"/>
    <cellStyle name="Comma 3 8 6 2 2" xfId="8993"/>
    <cellStyle name="Comma 3 8 6 3" xfId="8994"/>
    <cellStyle name="Comma 3 8 7" xfId="8995"/>
    <cellStyle name="Comma 3 8 7 2" xfId="8996"/>
    <cellStyle name="Comma 3 8 8" xfId="8997"/>
    <cellStyle name="Comma 3 8 8 2" xfId="36239"/>
    <cellStyle name="Comma 3 8 9" xfId="8998"/>
    <cellStyle name="Comma 3 9" xfId="8999"/>
    <cellStyle name="Comma 3 9 2" xfId="9000"/>
    <cellStyle name="Comma 3 9 2 2" xfId="9001"/>
    <cellStyle name="Comma 3 9 2 2 2" xfId="9002"/>
    <cellStyle name="Comma 3 9 2 2 2 2" xfId="9003"/>
    <cellStyle name="Comma 3 9 2 2 2 2 2" xfId="9004"/>
    <cellStyle name="Comma 3 9 2 2 2 2 3" xfId="9005"/>
    <cellStyle name="Comma 3 9 2 2 2 3" xfId="9006"/>
    <cellStyle name="Comma 3 9 2 2 2 3 2" xfId="9007"/>
    <cellStyle name="Comma 3 9 2 2 2 4" xfId="9008"/>
    <cellStyle name="Comma 3 9 2 2 3" xfId="9009"/>
    <cellStyle name="Comma 3 9 2 2 3 2" xfId="9010"/>
    <cellStyle name="Comma 3 9 2 2 3 2 2" xfId="9011"/>
    <cellStyle name="Comma 3 9 2 2 3 3" xfId="9012"/>
    <cellStyle name="Comma 3 9 2 2 4" xfId="9013"/>
    <cellStyle name="Comma 3 9 2 2 4 2" xfId="9014"/>
    <cellStyle name="Comma 3 9 2 2 4 3" xfId="9015"/>
    <cellStyle name="Comma 3 9 2 2 5" xfId="9016"/>
    <cellStyle name="Comma 3 9 2 2 5 2" xfId="9017"/>
    <cellStyle name="Comma 3 9 2 2 6" xfId="9018"/>
    <cellStyle name="Comma 3 9 2 2 6 2" xfId="36240"/>
    <cellStyle name="Comma 3 9 2 2 7" xfId="9019"/>
    <cellStyle name="Comma 3 9 2 3" xfId="9020"/>
    <cellStyle name="Comma 3 9 2 3 2" xfId="9021"/>
    <cellStyle name="Comma 3 9 2 3 2 2" xfId="9022"/>
    <cellStyle name="Comma 3 9 2 3 2 2 2" xfId="9023"/>
    <cellStyle name="Comma 3 9 2 3 2 3" xfId="9024"/>
    <cellStyle name="Comma 3 9 2 3 3" xfId="9025"/>
    <cellStyle name="Comma 3 9 2 3 3 2" xfId="9026"/>
    <cellStyle name="Comma 3 9 2 3 4" xfId="9027"/>
    <cellStyle name="Comma 3 9 2 4" xfId="9028"/>
    <cellStyle name="Comma 3 9 2 4 2" xfId="9029"/>
    <cellStyle name="Comma 3 9 2 4 2 2" xfId="9030"/>
    <cellStyle name="Comma 3 9 2 4 3" xfId="9031"/>
    <cellStyle name="Comma 3 9 2 5" xfId="9032"/>
    <cellStyle name="Comma 3 9 2 5 2" xfId="9033"/>
    <cellStyle name="Comma 3 9 2 5 2 2" xfId="9034"/>
    <cellStyle name="Comma 3 9 2 5 3" xfId="9035"/>
    <cellStyle name="Comma 3 9 2 6" xfId="9036"/>
    <cellStyle name="Comma 3 9 2 6 2" xfId="9037"/>
    <cellStyle name="Comma 3 9 2 7" xfId="9038"/>
    <cellStyle name="Comma 3 9 2 7 2" xfId="36241"/>
    <cellStyle name="Comma 3 9 2 8" xfId="9039"/>
    <cellStyle name="Comma 3 9 3" xfId="9040"/>
    <cellStyle name="Comma 3 9 3 2" xfId="9041"/>
    <cellStyle name="Comma 3 9 3 2 2" xfId="9042"/>
    <cellStyle name="Comma 3 9 3 2 2 2" xfId="9043"/>
    <cellStyle name="Comma 3 9 3 2 2 3" xfId="9044"/>
    <cellStyle name="Comma 3 9 3 2 3" xfId="9045"/>
    <cellStyle name="Comma 3 9 3 2 3 2" xfId="9046"/>
    <cellStyle name="Comma 3 9 3 2 4" xfId="9047"/>
    <cellStyle name="Comma 3 9 3 3" xfId="9048"/>
    <cellStyle name="Comma 3 9 3 3 2" xfId="9049"/>
    <cellStyle name="Comma 3 9 3 3 2 2" xfId="9050"/>
    <cellStyle name="Comma 3 9 3 3 3" xfId="9051"/>
    <cellStyle name="Comma 3 9 3 4" xfId="9052"/>
    <cellStyle name="Comma 3 9 3 4 2" xfId="9053"/>
    <cellStyle name="Comma 3 9 3 4 3" xfId="9054"/>
    <cellStyle name="Comma 3 9 3 5" xfId="9055"/>
    <cellStyle name="Comma 3 9 3 5 2" xfId="9056"/>
    <cellStyle name="Comma 3 9 3 6" xfId="9057"/>
    <cellStyle name="Comma 3 9 3 6 2" xfId="36242"/>
    <cellStyle name="Comma 3 9 3 7" xfId="9058"/>
    <cellStyle name="Comma 3 9 4" xfId="9059"/>
    <cellStyle name="Comma 3 9 4 2" xfId="9060"/>
    <cellStyle name="Comma 3 9 4 2 2" xfId="9061"/>
    <cellStyle name="Comma 3 9 4 2 2 2" xfId="9062"/>
    <cellStyle name="Comma 3 9 4 2 3" xfId="9063"/>
    <cellStyle name="Comma 3 9 4 3" xfId="9064"/>
    <cellStyle name="Comma 3 9 4 3 2" xfId="9065"/>
    <cellStyle name="Comma 3 9 4 4" xfId="9066"/>
    <cellStyle name="Comma 3 9 5" xfId="9067"/>
    <cellStyle name="Comma 3 9 5 2" xfId="9068"/>
    <cellStyle name="Comma 3 9 5 2 2" xfId="9069"/>
    <cellStyle name="Comma 3 9 5 3" xfId="9070"/>
    <cellStyle name="Comma 3 9 6" xfId="9071"/>
    <cellStyle name="Comma 3 9 6 2" xfId="9072"/>
    <cellStyle name="Comma 3 9 6 2 2" xfId="9073"/>
    <cellStyle name="Comma 3 9 6 3" xfId="9074"/>
    <cellStyle name="Comma 3 9 7" xfId="9075"/>
    <cellStyle name="Comma 3 9 7 2" xfId="9076"/>
    <cellStyle name="Comma 3 9 8" xfId="9077"/>
    <cellStyle name="Comma 3 9 8 2" xfId="36243"/>
    <cellStyle name="Comma 3 9 9" xfId="9078"/>
    <cellStyle name="Comma 4" xfId="46"/>
    <cellStyle name="Comma 5" xfId="37748"/>
    <cellStyle name="Comma 6" xfId="37749"/>
    <cellStyle name="Comma 7" xfId="37750"/>
    <cellStyle name="Comma 8" xfId="37972"/>
    <cellStyle name="Comma 9" xfId="37979"/>
    <cellStyle name="Comma0" xfId="47"/>
    <cellStyle name="County" xfId="37950"/>
    <cellStyle name="Currency" xfId="37893" builtinId="4"/>
    <cellStyle name="Currency [0] 2" xfId="9079"/>
    <cellStyle name="Currency [0] 3" xfId="9080"/>
    <cellStyle name="Currency [0] 4" xfId="9081"/>
    <cellStyle name="Currency 10" xfId="37751"/>
    <cellStyle name="Currency 11" xfId="37988"/>
    <cellStyle name="Currency 2" xfId="48"/>
    <cellStyle name="Currency 2 10" xfId="9082"/>
    <cellStyle name="Currency 2 10 2" xfId="9083"/>
    <cellStyle name="Currency 2 10 2 2" xfId="9084"/>
    <cellStyle name="Currency 2 10 2 2 2" xfId="9085"/>
    <cellStyle name="Currency 2 10 2 2 2 2" xfId="9086"/>
    <cellStyle name="Currency 2 10 2 2 2 3" xfId="9087"/>
    <cellStyle name="Currency 2 10 2 2 3" xfId="9088"/>
    <cellStyle name="Currency 2 10 2 2 3 2" xfId="9089"/>
    <cellStyle name="Currency 2 10 2 2 4" xfId="9090"/>
    <cellStyle name="Currency 2 10 2 3" xfId="9091"/>
    <cellStyle name="Currency 2 10 2 3 2" xfId="9092"/>
    <cellStyle name="Currency 2 10 2 3 2 2" xfId="9093"/>
    <cellStyle name="Currency 2 10 2 3 3" xfId="9094"/>
    <cellStyle name="Currency 2 10 2 4" xfId="9095"/>
    <cellStyle name="Currency 2 10 2 4 2" xfId="9096"/>
    <cellStyle name="Currency 2 10 2 4 3" xfId="9097"/>
    <cellStyle name="Currency 2 10 2 5" xfId="9098"/>
    <cellStyle name="Currency 2 10 2 5 2" xfId="9099"/>
    <cellStyle name="Currency 2 10 2 6" xfId="9100"/>
    <cellStyle name="Currency 2 10 2 6 2" xfId="36244"/>
    <cellStyle name="Currency 2 10 2 7" xfId="9101"/>
    <cellStyle name="Currency 2 10 3" xfId="9102"/>
    <cellStyle name="Currency 2 10 3 2" xfId="9103"/>
    <cellStyle name="Currency 2 10 3 2 2" xfId="9104"/>
    <cellStyle name="Currency 2 10 3 2 2 2" xfId="9105"/>
    <cellStyle name="Currency 2 10 3 2 3" xfId="9106"/>
    <cellStyle name="Currency 2 10 3 3" xfId="9107"/>
    <cellStyle name="Currency 2 10 3 3 2" xfId="9108"/>
    <cellStyle name="Currency 2 10 3 4" xfId="9109"/>
    <cellStyle name="Currency 2 10 4" xfId="9110"/>
    <cellStyle name="Currency 2 10 4 2" xfId="9111"/>
    <cellStyle name="Currency 2 10 4 2 2" xfId="9112"/>
    <cellStyle name="Currency 2 10 4 3" xfId="9113"/>
    <cellStyle name="Currency 2 10 5" xfId="9114"/>
    <cellStyle name="Currency 2 10 5 2" xfId="9115"/>
    <cellStyle name="Currency 2 10 5 2 2" xfId="9116"/>
    <cellStyle name="Currency 2 10 5 3" xfId="9117"/>
    <cellStyle name="Currency 2 10 6" xfId="9118"/>
    <cellStyle name="Currency 2 10 6 2" xfId="9119"/>
    <cellStyle name="Currency 2 10 7" xfId="9120"/>
    <cellStyle name="Currency 2 10 7 2" xfId="36245"/>
    <cellStyle name="Currency 2 10 8" xfId="9121"/>
    <cellStyle name="Currency 2 11" xfId="9122"/>
    <cellStyle name="Currency 2 11 2" xfId="9123"/>
    <cellStyle name="Currency 2 11 2 2" xfId="9124"/>
    <cellStyle name="Currency 2 11 2 2 2" xfId="9125"/>
    <cellStyle name="Currency 2 11 2 2 2 2" xfId="9126"/>
    <cellStyle name="Currency 2 11 2 2 2 3" xfId="9127"/>
    <cellStyle name="Currency 2 11 2 2 3" xfId="9128"/>
    <cellStyle name="Currency 2 11 2 2 3 2" xfId="9129"/>
    <cellStyle name="Currency 2 11 2 2 4" xfId="9130"/>
    <cellStyle name="Currency 2 11 2 3" xfId="9131"/>
    <cellStyle name="Currency 2 11 2 3 2" xfId="9132"/>
    <cellStyle name="Currency 2 11 2 3 2 2" xfId="9133"/>
    <cellStyle name="Currency 2 11 2 3 3" xfId="9134"/>
    <cellStyle name="Currency 2 11 2 4" xfId="9135"/>
    <cellStyle name="Currency 2 11 2 4 2" xfId="9136"/>
    <cellStyle name="Currency 2 11 2 4 3" xfId="9137"/>
    <cellStyle name="Currency 2 11 2 5" xfId="9138"/>
    <cellStyle name="Currency 2 11 2 5 2" xfId="9139"/>
    <cellStyle name="Currency 2 11 2 6" xfId="9140"/>
    <cellStyle name="Currency 2 11 2 6 2" xfId="36246"/>
    <cellStyle name="Currency 2 11 2 7" xfId="9141"/>
    <cellStyle name="Currency 2 11 3" xfId="9142"/>
    <cellStyle name="Currency 2 11 3 2" xfId="9143"/>
    <cellStyle name="Currency 2 11 3 2 2" xfId="9144"/>
    <cellStyle name="Currency 2 11 3 2 2 2" xfId="9145"/>
    <cellStyle name="Currency 2 11 3 2 3" xfId="9146"/>
    <cellStyle name="Currency 2 11 3 3" xfId="9147"/>
    <cellStyle name="Currency 2 11 3 3 2" xfId="9148"/>
    <cellStyle name="Currency 2 11 3 4" xfId="9149"/>
    <cellStyle name="Currency 2 11 4" xfId="9150"/>
    <cellStyle name="Currency 2 11 4 2" xfId="9151"/>
    <cellStyle name="Currency 2 11 4 2 2" xfId="9152"/>
    <cellStyle name="Currency 2 11 4 3" xfId="9153"/>
    <cellStyle name="Currency 2 11 5" xfId="9154"/>
    <cellStyle name="Currency 2 11 5 2" xfId="9155"/>
    <cellStyle name="Currency 2 11 5 2 2" xfId="9156"/>
    <cellStyle name="Currency 2 11 5 3" xfId="9157"/>
    <cellStyle name="Currency 2 11 6" xfId="9158"/>
    <cellStyle name="Currency 2 11 6 2" xfId="9159"/>
    <cellStyle name="Currency 2 11 7" xfId="9160"/>
    <cellStyle name="Currency 2 11 7 2" xfId="36247"/>
    <cellStyle name="Currency 2 11 8" xfId="9161"/>
    <cellStyle name="Currency 2 12" xfId="9162"/>
    <cellStyle name="Currency 2 12 2" xfId="9163"/>
    <cellStyle name="Currency 2 12 2 2" xfId="9164"/>
    <cellStyle name="Currency 2 12 2 2 2" xfId="9165"/>
    <cellStyle name="Currency 2 12 2 2 2 2" xfId="9166"/>
    <cellStyle name="Currency 2 12 2 2 2 3" xfId="9167"/>
    <cellStyle name="Currency 2 12 2 2 3" xfId="9168"/>
    <cellStyle name="Currency 2 12 2 2 3 2" xfId="9169"/>
    <cellStyle name="Currency 2 12 2 2 4" xfId="9170"/>
    <cellStyle name="Currency 2 12 2 3" xfId="9171"/>
    <cellStyle name="Currency 2 12 2 3 2" xfId="9172"/>
    <cellStyle name="Currency 2 12 2 3 2 2" xfId="9173"/>
    <cellStyle name="Currency 2 12 2 3 3" xfId="9174"/>
    <cellStyle name="Currency 2 12 2 4" xfId="9175"/>
    <cellStyle name="Currency 2 12 2 4 2" xfId="9176"/>
    <cellStyle name="Currency 2 12 2 4 3" xfId="9177"/>
    <cellStyle name="Currency 2 12 2 5" xfId="9178"/>
    <cellStyle name="Currency 2 12 2 5 2" xfId="9179"/>
    <cellStyle name="Currency 2 12 2 6" xfId="9180"/>
    <cellStyle name="Currency 2 12 2 6 2" xfId="36248"/>
    <cellStyle name="Currency 2 12 2 7" xfId="9181"/>
    <cellStyle name="Currency 2 12 3" xfId="9182"/>
    <cellStyle name="Currency 2 12 3 2" xfId="9183"/>
    <cellStyle name="Currency 2 12 3 2 2" xfId="9184"/>
    <cellStyle name="Currency 2 12 3 2 2 2" xfId="9185"/>
    <cellStyle name="Currency 2 12 3 2 3" xfId="9186"/>
    <cellStyle name="Currency 2 12 3 3" xfId="9187"/>
    <cellStyle name="Currency 2 12 3 3 2" xfId="9188"/>
    <cellStyle name="Currency 2 12 3 4" xfId="9189"/>
    <cellStyle name="Currency 2 12 4" xfId="9190"/>
    <cellStyle name="Currency 2 12 4 2" xfId="9191"/>
    <cellStyle name="Currency 2 12 4 2 2" xfId="9192"/>
    <cellStyle name="Currency 2 12 4 3" xfId="9193"/>
    <cellStyle name="Currency 2 12 5" xfId="9194"/>
    <cellStyle name="Currency 2 12 5 2" xfId="9195"/>
    <cellStyle name="Currency 2 12 5 2 2" xfId="9196"/>
    <cellStyle name="Currency 2 12 5 3" xfId="9197"/>
    <cellStyle name="Currency 2 12 6" xfId="9198"/>
    <cellStyle name="Currency 2 12 6 2" xfId="9199"/>
    <cellStyle name="Currency 2 12 7" xfId="9200"/>
    <cellStyle name="Currency 2 12 7 2" xfId="36249"/>
    <cellStyle name="Currency 2 12 8" xfId="9201"/>
    <cellStyle name="Currency 2 13" xfId="9202"/>
    <cellStyle name="Currency 2 13 2" xfId="9203"/>
    <cellStyle name="Currency 2 13 2 2" xfId="9204"/>
    <cellStyle name="Currency 2 13 2 2 2" xfId="9205"/>
    <cellStyle name="Currency 2 13 2 2 3" xfId="9206"/>
    <cellStyle name="Currency 2 13 2 3" xfId="9207"/>
    <cellStyle name="Currency 2 13 2 3 2" xfId="9208"/>
    <cellStyle name="Currency 2 13 2 4" xfId="9209"/>
    <cellStyle name="Currency 2 13 3" xfId="9210"/>
    <cellStyle name="Currency 2 13 3 2" xfId="9211"/>
    <cellStyle name="Currency 2 13 3 2 2" xfId="9212"/>
    <cellStyle name="Currency 2 13 3 3" xfId="9213"/>
    <cellStyle name="Currency 2 13 4" xfId="9214"/>
    <cellStyle name="Currency 2 13 4 2" xfId="9215"/>
    <cellStyle name="Currency 2 13 4 3" xfId="9216"/>
    <cellStyle name="Currency 2 13 5" xfId="9217"/>
    <cellStyle name="Currency 2 13 5 2" xfId="9218"/>
    <cellStyle name="Currency 2 13 6" xfId="9219"/>
    <cellStyle name="Currency 2 13 6 2" xfId="36250"/>
    <cellStyle name="Currency 2 13 7" xfId="9220"/>
    <cellStyle name="Currency 2 14" xfId="9221"/>
    <cellStyle name="Currency 2 14 2" xfId="9222"/>
    <cellStyle name="Currency 2 14 2 2" xfId="9223"/>
    <cellStyle name="Currency 2 14 2 2 2" xfId="9224"/>
    <cellStyle name="Currency 2 14 2 3" xfId="9225"/>
    <cellStyle name="Currency 2 14 3" xfId="9226"/>
    <cellStyle name="Currency 2 14 3 2" xfId="9227"/>
    <cellStyle name="Currency 2 14 4" xfId="9228"/>
    <cellStyle name="Currency 2 15" xfId="9229"/>
    <cellStyle name="Currency 2 15 2" xfId="9230"/>
    <cellStyle name="Currency 2 15 2 2" xfId="9231"/>
    <cellStyle name="Currency 2 15 3" xfId="9232"/>
    <cellStyle name="Currency 2 16" xfId="9233"/>
    <cellStyle name="Currency 2 16 2" xfId="9234"/>
    <cellStyle name="Currency 2 16 2 2" xfId="9235"/>
    <cellStyle name="Currency 2 16 3" xfId="9236"/>
    <cellStyle name="Currency 2 17" xfId="9237"/>
    <cellStyle name="Currency 2 17 2" xfId="9238"/>
    <cellStyle name="Currency 2 18" xfId="9239"/>
    <cellStyle name="Currency 2 18 2" xfId="36251"/>
    <cellStyle name="Currency 2 19" xfId="9240"/>
    <cellStyle name="Currency 2 2" xfId="9241"/>
    <cellStyle name="Currency 2 2 10" xfId="9242"/>
    <cellStyle name="Currency 2 2 10 2" xfId="9243"/>
    <cellStyle name="Currency 2 2 10 2 2" xfId="9244"/>
    <cellStyle name="Currency 2 2 10 2 2 2" xfId="9245"/>
    <cellStyle name="Currency 2 2 10 2 2 2 2" xfId="9246"/>
    <cellStyle name="Currency 2 2 10 2 2 2 3" xfId="9247"/>
    <cellStyle name="Currency 2 2 10 2 2 3" xfId="9248"/>
    <cellStyle name="Currency 2 2 10 2 2 3 2" xfId="9249"/>
    <cellStyle name="Currency 2 2 10 2 2 4" xfId="9250"/>
    <cellStyle name="Currency 2 2 10 2 3" xfId="9251"/>
    <cellStyle name="Currency 2 2 10 2 3 2" xfId="9252"/>
    <cellStyle name="Currency 2 2 10 2 3 2 2" xfId="9253"/>
    <cellStyle name="Currency 2 2 10 2 3 3" xfId="9254"/>
    <cellStyle name="Currency 2 2 10 2 4" xfId="9255"/>
    <cellStyle name="Currency 2 2 10 2 4 2" xfId="9256"/>
    <cellStyle name="Currency 2 2 10 2 4 3" xfId="9257"/>
    <cellStyle name="Currency 2 2 10 2 5" xfId="9258"/>
    <cellStyle name="Currency 2 2 10 2 5 2" xfId="9259"/>
    <cellStyle name="Currency 2 2 10 2 6" xfId="9260"/>
    <cellStyle name="Currency 2 2 10 2 6 2" xfId="36252"/>
    <cellStyle name="Currency 2 2 10 2 7" xfId="9261"/>
    <cellStyle name="Currency 2 2 10 3" xfId="9262"/>
    <cellStyle name="Currency 2 2 10 3 2" xfId="9263"/>
    <cellStyle name="Currency 2 2 10 3 2 2" xfId="9264"/>
    <cellStyle name="Currency 2 2 10 3 2 2 2" xfId="9265"/>
    <cellStyle name="Currency 2 2 10 3 2 3" xfId="9266"/>
    <cellStyle name="Currency 2 2 10 3 3" xfId="9267"/>
    <cellStyle name="Currency 2 2 10 3 3 2" xfId="9268"/>
    <cellStyle name="Currency 2 2 10 3 4" xfId="9269"/>
    <cellStyle name="Currency 2 2 10 4" xfId="9270"/>
    <cellStyle name="Currency 2 2 10 4 2" xfId="9271"/>
    <cellStyle name="Currency 2 2 10 4 2 2" xfId="9272"/>
    <cellStyle name="Currency 2 2 10 4 3" xfId="9273"/>
    <cellStyle name="Currency 2 2 10 5" xfId="9274"/>
    <cellStyle name="Currency 2 2 10 5 2" xfId="9275"/>
    <cellStyle name="Currency 2 2 10 5 2 2" xfId="9276"/>
    <cellStyle name="Currency 2 2 10 5 3" xfId="9277"/>
    <cellStyle name="Currency 2 2 10 6" xfId="9278"/>
    <cellStyle name="Currency 2 2 10 6 2" xfId="9279"/>
    <cellStyle name="Currency 2 2 10 7" xfId="9280"/>
    <cellStyle name="Currency 2 2 10 7 2" xfId="36253"/>
    <cellStyle name="Currency 2 2 10 8" xfId="9281"/>
    <cellStyle name="Currency 2 2 11" xfId="9282"/>
    <cellStyle name="Currency 2 2 11 2" xfId="9283"/>
    <cellStyle name="Currency 2 2 11 2 2" xfId="9284"/>
    <cellStyle name="Currency 2 2 11 2 2 2" xfId="9285"/>
    <cellStyle name="Currency 2 2 11 2 2 2 2" xfId="9286"/>
    <cellStyle name="Currency 2 2 11 2 2 2 3" xfId="9287"/>
    <cellStyle name="Currency 2 2 11 2 2 3" xfId="9288"/>
    <cellStyle name="Currency 2 2 11 2 2 3 2" xfId="9289"/>
    <cellStyle name="Currency 2 2 11 2 2 4" xfId="9290"/>
    <cellStyle name="Currency 2 2 11 2 3" xfId="9291"/>
    <cellStyle name="Currency 2 2 11 2 3 2" xfId="9292"/>
    <cellStyle name="Currency 2 2 11 2 3 2 2" xfId="9293"/>
    <cellStyle name="Currency 2 2 11 2 3 3" xfId="9294"/>
    <cellStyle name="Currency 2 2 11 2 4" xfId="9295"/>
    <cellStyle name="Currency 2 2 11 2 4 2" xfId="9296"/>
    <cellStyle name="Currency 2 2 11 2 4 3" xfId="9297"/>
    <cellStyle name="Currency 2 2 11 2 5" xfId="9298"/>
    <cellStyle name="Currency 2 2 11 2 5 2" xfId="9299"/>
    <cellStyle name="Currency 2 2 11 2 6" xfId="9300"/>
    <cellStyle name="Currency 2 2 11 2 6 2" xfId="36254"/>
    <cellStyle name="Currency 2 2 11 2 7" xfId="9301"/>
    <cellStyle name="Currency 2 2 11 3" xfId="9302"/>
    <cellStyle name="Currency 2 2 11 3 2" xfId="9303"/>
    <cellStyle name="Currency 2 2 11 3 2 2" xfId="9304"/>
    <cellStyle name="Currency 2 2 11 3 2 2 2" xfId="9305"/>
    <cellStyle name="Currency 2 2 11 3 2 3" xfId="9306"/>
    <cellStyle name="Currency 2 2 11 3 3" xfId="9307"/>
    <cellStyle name="Currency 2 2 11 3 3 2" xfId="9308"/>
    <cellStyle name="Currency 2 2 11 3 4" xfId="9309"/>
    <cellStyle name="Currency 2 2 11 4" xfId="9310"/>
    <cellStyle name="Currency 2 2 11 4 2" xfId="9311"/>
    <cellStyle name="Currency 2 2 11 4 2 2" xfId="9312"/>
    <cellStyle name="Currency 2 2 11 4 3" xfId="9313"/>
    <cellStyle name="Currency 2 2 11 5" xfId="9314"/>
    <cellStyle name="Currency 2 2 11 5 2" xfId="9315"/>
    <cellStyle name="Currency 2 2 11 5 2 2" xfId="9316"/>
    <cellStyle name="Currency 2 2 11 5 3" xfId="9317"/>
    <cellStyle name="Currency 2 2 11 6" xfId="9318"/>
    <cellStyle name="Currency 2 2 11 6 2" xfId="9319"/>
    <cellStyle name="Currency 2 2 11 7" xfId="9320"/>
    <cellStyle name="Currency 2 2 11 7 2" xfId="36255"/>
    <cellStyle name="Currency 2 2 11 8" xfId="9321"/>
    <cellStyle name="Currency 2 2 12" xfId="9322"/>
    <cellStyle name="Currency 2 2 12 2" xfId="9323"/>
    <cellStyle name="Currency 2 2 12 2 2" xfId="9324"/>
    <cellStyle name="Currency 2 2 12 2 2 2" xfId="9325"/>
    <cellStyle name="Currency 2 2 12 2 2 3" xfId="9326"/>
    <cellStyle name="Currency 2 2 12 2 3" xfId="9327"/>
    <cellStyle name="Currency 2 2 12 2 3 2" xfId="9328"/>
    <cellStyle name="Currency 2 2 12 2 4" xfId="9329"/>
    <cellStyle name="Currency 2 2 12 3" xfId="9330"/>
    <cellStyle name="Currency 2 2 12 3 2" xfId="9331"/>
    <cellStyle name="Currency 2 2 12 3 2 2" xfId="9332"/>
    <cellStyle name="Currency 2 2 12 3 3" xfId="9333"/>
    <cellStyle name="Currency 2 2 12 4" xfId="9334"/>
    <cellStyle name="Currency 2 2 12 4 2" xfId="9335"/>
    <cellStyle name="Currency 2 2 12 4 3" xfId="9336"/>
    <cellStyle name="Currency 2 2 12 5" xfId="9337"/>
    <cellStyle name="Currency 2 2 12 5 2" xfId="9338"/>
    <cellStyle name="Currency 2 2 12 6" xfId="9339"/>
    <cellStyle name="Currency 2 2 12 6 2" xfId="36256"/>
    <cellStyle name="Currency 2 2 12 7" xfId="9340"/>
    <cellStyle name="Currency 2 2 13" xfId="9341"/>
    <cellStyle name="Currency 2 2 13 2" xfId="9342"/>
    <cellStyle name="Currency 2 2 13 2 2" xfId="9343"/>
    <cellStyle name="Currency 2 2 13 2 2 2" xfId="9344"/>
    <cellStyle name="Currency 2 2 13 2 3" xfId="9345"/>
    <cellStyle name="Currency 2 2 13 3" xfId="9346"/>
    <cellStyle name="Currency 2 2 13 3 2" xfId="9347"/>
    <cellStyle name="Currency 2 2 13 4" xfId="9348"/>
    <cellStyle name="Currency 2 2 14" xfId="9349"/>
    <cellStyle name="Currency 2 2 14 2" xfId="9350"/>
    <cellStyle name="Currency 2 2 14 2 2" xfId="9351"/>
    <cellStyle name="Currency 2 2 14 3" xfId="9352"/>
    <cellStyle name="Currency 2 2 15" xfId="9353"/>
    <cellStyle name="Currency 2 2 15 2" xfId="9354"/>
    <cellStyle name="Currency 2 2 15 2 2" xfId="9355"/>
    <cellStyle name="Currency 2 2 15 3" xfId="9356"/>
    <cellStyle name="Currency 2 2 16" xfId="9357"/>
    <cellStyle name="Currency 2 2 16 2" xfId="9358"/>
    <cellStyle name="Currency 2 2 17" xfId="9359"/>
    <cellStyle name="Currency 2 2 17 2" xfId="36257"/>
    <cellStyle name="Currency 2 2 18" xfId="9360"/>
    <cellStyle name="Currency 2 2 2" xfId="9361"/>
    <cellStyle name="Currency 2 2 2 10" xfId="9362"/>
    <cellStyle name="Currency 2 2 2 10 2" xfId="9363"/>
    <cellStyle name="Currency 2 2 2 10 2 2" xfId="9364"/>
    <cellStyle name="Currency 2 2 2 10 3" xfId="9365"/>
    <cellStyle name="Currency 2 2 2 11" xfId="9366"/>
    <cellStyle name="Currency 2 2 2 11 2" xfId="9367"/>
    <cellStyle name="Currency 2 2 2 11 2 2" xfId="9368"/>
    <cellStyle name="Currency 2 2 2 11 3" xfId="9369"/>
    <cellStyle name="Currency 2 2 2 12" xfId="9370"/>
    <cellStyle name="Currency 2 2 2 12 2" xfId="9371"/>
    <cellStyle name="Currency 2 2 2 13" xfId="9372"/>
    <cellStyle name="Currency 2 2 2 13 2" xfId="36258"/>
    <cellStyle name="Currency 2 2 2 14" xfId="9373"/>
    <cellStyle name="Currency 2 2 2 2" xfId="9374"/>
    <cellStyle name="Currency 2 2 2 2 10" xfId="9375"/>
    <cellStyle name="Currency 2 2 2 2 2" xfId="9376"/>
    <cellStyle name="Currency 2 2 2 2 2 2" xfId="9377"/>
    <cellStyle name="Currency 2 2 2 2 2 2 2" xfId="9378"/>
    <cellStyle name="Currency 2 2 2 2 2 2 2 2" xfId="9379"/>
    <cellStyle name="Currency 2 2 2 2 2 2 2 2 2" xfId="9380"/>
    <cellStyle name="Currency 2 2 2 2 2 2 2 2 2 2" xfId="9381"/>
    <cellStyle name="Currency 2 2 2 2 2 2 2 2 2 3" xfId="9382"/>
    <cellStyle name="Currency 2 2 2 2 2 2 2 2 3" xfId="9383"/>
    <cellStyle name="Currency 2 2 2 2 2 2 2 2 3 2" xfId="9384"/>
    <cellStyle name="Currency 2 2 2 2 2 2 2 2 4" xfId="9385"/>
    <cellStyle name="Currency 2 2 2 2 2 2 2 3" xfId="9386"/>
    <cellStyle name="Currency 2 2 2 2 2 2 2 3 2" xfId="9387"/>
    <cellStyle name="Currency 2 2 2 2 2 2 2 3 2 2" xfId="9388"/>
    <cellStyle name="Currency 2 2 2 2 2 2 2 3 3" xfId="9389"/>
    <cellStyle name="Currency 2 2 2 2 2 2 2 4" xfId="9390"/>
    <cellStyle name="Currency 2 2 2 2 2 2 2 4 2" xfId="9391"/>
    <cellStyle name="Currency 2 2 2 2 2 2 2 4 3" xfId="9392"/>
    <cellStyle name="Currency 2 2 2 2 2 2 2 5" xfId="9393"/>
    <cellStyle name="Currency 2 2 2 2 2 2 2 5 2" xfId="9394"/>
    <cellStyle name="Currency 2 2 2 2 2 2 2 6" xfId="9395"/>
    <cellStyle name="Currency 2 2 2 2 2 2 2 6 2" xfId="36259"/>
    <cellStyle name="Currency 2 2 2 2 2 2 2 7" xfId="9396"/>
    <cellStyle name="Currency 2 2 2 2 2 2 3" xfId="9397"/>
    <cellStyle name="Currency 2 2 2 2 2 2 3 2" xfId="9398"/>
    <cellStyle name="Currency 2 2 2 2 2 2 3 2 2" xfId="9399"/>
    <cellStyle name="Currency 2 2 2 2 2 2 3 2 2 2" xfId="9400"/>
    <cellStyle name="Currency 2 2 2 2 2 2 3 2 3" xfId="9401"/>
    <cellStyle name="Currency 2 2 2 2 2 2 3 3" xfId="9402"/>
    <cellStyle name="Currency 2 2 2 2 2 2 3 3 2" xfId="9403"/>
    <cellStyle name="Currency 2 2 2 2 2 2 3 4" xfId="9404"/>
    <cellStyle name="Currency 2 2 2 2 2 2 4" xfId="9405"/>
    <cellStyle name="Currency 2 2 2 2 2 2 4 2" xfId="9406"/>
    <cellStyle name="Currency 2 2 2 2 2 2 4 2 2" xfId="9407"/>
    <cellStyle name="Currency 2 2 2 2 2 2 4 3" xfId="9408"/>
    <cellStyle name="Currency 2 2 2 2 2 2 5" xfId="9409"/>
    <cellStyle name="Currency 2 2 2 2 2 2 5 2" xfId="9410"/>
    <cellStyle name="Currency 2 2 2 2 2 2 5 2 2" xfId="9411"/>
    <cellStyle name="Currency 2 2 2 2 2 2 5 3" xfId="9412"/>
    <cellStyle name="Currency 2 2 2 2 2 2 6" xfId="9413"/>
    <cellStyle name="Currency 2 2 2 2 2 2 6 2" xfId="9414"/>
    <cellStyle name="Currency 2 2 2 2 2 2 7" xfId="9415"/>
    <cellStyle name="Currency 2 2 2 2 2 2 7 2" xfId="36260"/>
    <cellStyle name="Currency 2 2 2 2 2 2 8" xfId="9416"/>
    <cellStyle name="Currency 2 2 2 2 2 3" xfId="9417"/>
    <cellStyle name="Currency 2 2 2 2 2 3 2" xfId="9418"/>
    <cellStyle name="Currency 2 2 2 2 2 3 2 2" xfId="9419"/>
    <cellStyle name="Currency 2 2 2 2 2 3 2 2 2" xfId="9420"/>
    <cellStyle name="Currency 2 2 2 2 2 3 2 2 3" xfId="9421"/>
    <cellStyle name="Currency 2 2 2 2 2 3 2 3" xfId="9422"/>
    <cellStyle name="Currency 2 2 2 2 2 3 2 3 2" xfId="9423"/>
    <cellStyle name="Currency 2 2 2 2 2 3 2 4" xfId="9424"/>
    <cellStyle name="Currency 2 2 2 2 2 3 3" xfId="9425"/>
    <cellStyle name="Currency 2 2 2 2 2 3 3 2" xfId="9426"/>
    <cellStyle name="Currency 2 2 2 2 2 3 3 2 2" xfId="9427"/>
    <cellStyle name="Currency 2 2 2 2 2 3 3 3" xfId="9428"/>
    <cellStyle name="Currency 2 2 2 2 2 3 4" xfId="9429"/>
    <cellStyle name="Currency 2 2 2 2 2 3 4 2" xfId="9430"/>
    <cellStyle name="Currency 2 2 2 2 2 3 4 3" xfId="9431"/>
    <cellStyle name="Currency 2 2 2 2 2 3 5" xfId="9432"/>
    <cellStyle name="Currency 2 2 2 2 2 3 5 2" xfId="9433"/>
    <cellStyle name="Currency 2 2 2 2 2 3 6" xfId="9434"/>
    <cellStyle name="Currency 2 2 2 2 2 3 6 2" xfId="36261"/>
    <cellStyle name="Currency 2 2 2 2 2 3 7" xfId="9435"/>
    <cellStyle name="Currency 2 2 2 2 2 4" xfId="9436"/>
    <cellStyle name="Currency 2 2 2 2 2 4 2" xfId="9437"/>
    <cellStyle name="Currency 2 2 2 2 2 4 2 2" xfId="9438"/>
    <cellStyle name="Currency 2 2 2 2 2 4 2 2 2" xfId="9439"/>
    <cellStyle name="Currency 2 2 2 2 2 4 2 3" xfId="9440"/>
    <cellStyle name="Currency 2 2 2 2 2 4 3" xfId="9441"/>
    <cellStyle name="Currency 2 2 2 2 2 4 3 2" xfId="9442"/>
    <cellStyle name="Currency 2 2 2 2 2 4 4" xfId="9443"/>
    <cellStyle name="Currency 2 2 2 2 2 5" xfId="9444"/>
    <cellStyle name="Currency 2 2 2 2 2 5 2" xfId="9445"/>
    <cellStyle name="Currency 2 2 2 2 2 5 2 2" xfId="9446"/>
    <cellStyle name="Currency 2 2 2 2 2 5 3" xfId="9447"/>
    <cellStyle name="Currency 2 2 2 2 2 6" xfId="9448"/>
    <cellStyle name="Currency 2 2 2 2 2 6 2" xfId="9449"/>
    <cellStyle name="Currency 2 2 2 2 2 6 2 2" xfId="9450"/>
    <cellStyle name="Currency 2 2 2 2 2 6 3" xfId="9451"/>
    <cellStyle name="Currency 2 2 2 2 2 7" xfId="9452"/>
    <cellStyle name="Currency 2 2 2 2 2 7 2" xfId="9453"/>
    <cellStyle name="Currency 2 2 2 2 2 8" xfId="9454"/>
    <cellStyle name="Currency 2 2 2 2 2 8 2" xfId="36262"/>
    <cellStyle name="Currency 2 2 2 2 2 9" xfId="9455"/>
    <cellStyle name="Currency 2 2 2 2 3" xfId="9456"/>
    <cellStyle name="Currency 2 2 2 2 3 2" xfId="9457"/>
    <cellStyle name="Currency 2 2 2 2 3 2 2" xfId="9458"/>
    <cellStyle name="Currency 2 2 2 2 3 2 2 2" xfId="9459"/>
    <cellStyle name="Currency 2 2 2 2 3 2 2 2 2" xfId="9460"/>
    <cellStyle name="Currency 2 2 2 2 3 2 2 2 3" xfId="9461"/>
    <cellStyle name="Currency 2 2 2 2 3 2 2 3" xfId="9462"/>
    <cellStyle name="Currency 2 2 2 2 3 2 2 3 2" xfId="9463"/>
    <cellStyle name="Currency 2 2 2 2 3 2 2 4" xfId="9464"/>
    <cellStyle name="Currency 2 2 2 2 3 2 3" xfId="9465"/>
    <cellStyle name="Currency 2 2 2 2 3 2 3 2" xfId="9466"/>
    <cellStyle name="Currency 2 2 2 2 3 2 3 2 2" xfId="9467"/>
    <cellStyle name="Currency 2 2 2 2 3 2 3 3" xfId="9468"/>
    <cellStyle name="Currency 2 2 2 2 3 2 4" xfId="9469"/>
    <cellStyle name="Currency 2 2 2 2 3 2 4 2" xfId="9470"/>
    <cellStyle name="Currency 2 2 2 2 3 2 4 3" xfId="9471"/>
    <cellStyle name="Currency 2 2 2 2 3 2 5" xfId="9472"/>
    <cellStyle name="Currency 2 2 2 2 3 2 5 2" xfId="9473"/>
    <cellStyle name="Currency 2 2 2 2 3 2 6" xfId="9474"/>
    <cellStyle name="Currency 2 2 2 2 3 2 6 2" xfId="36263"/>
    <cellStyle name="Currency 2 2 2 2 3 2 7" xfId="9475"/>
    <cellStyle name="Currency 2 2 2 2 3 3" xfId="9476"/>
    <cellStyle name="Currency 2 2 2 2 3 3 2" xfId="9477"/>
    <cellStyle name="Currency 2 2 2 2 3 3 2 2" xfId="9478"/>
    <cellStyle name="Currency 2 2 2 2 3 3 2 2 2" xfId="9479"/>
    <cellStyle name="Currency 2 2 2 2 3 3 2 3" xfId="9480"/>
    <cellStyle name="Currency 2 2 2 2 3 3 3" xfId="9481"/>
    <cellStyle name="Currency 2 2 2 2 3 3 3 2" xfId="9482"/>
    <cellStyle name="Currency 2 2 2 2 3 3 4" xfId="9483"/>
    <cellStyle name="Currency 2 2 2 2 3 4" xfId="9484"/>
    <cellStyle name="Currency 2 2 2 2 3 4 2" xfId="9485"/>
    <cellStyle name="Currency 2 2 2 2 3 4 2 2" xfId="9486"/>
    <cellStyle name="Currency 2 2 2 2 3 4 3" xfId="9487"/>
    <cellStyle name="Currency 2 2 2 2 3 5" xfId="9488"/>
    <cellStyle name="Currency 2 2 2 2 3 5 2" xfId="9489"/>
    <cellStyle name="Currency 2 2 2 2 3 5 2 2" xfId="9490"/>
    <cellStyle name="Currency 2 2 2 2 3 5 3" xfId="9491"/>
    <cellStyle name="Currency 2 2 2 2 3 6" xfId="9492"/>
    <cellStyle name="Currency 2 2 2 2 3 6 2" xfId="9493"/>
    <cellStyle name="Currency 2 2 2 2 3 7" xfId="9494"/>
    <cellStyle name="Currency 2 2 2 2 3 7 2" xfId="36264"/>
    <cellStyle name="Currency 2 2 2 2 3 8" xfId="9495"/>
    <cellStyle name="Currency 2 2 2 2 4" xfId="9496"/>
    <cellStyle name="Currency 2 2 2 2 4 2" xfId="9497"/>
    <cellStyle name="Currency 2 2 2 2 4 2 2" xfId="9498"/>
    <cellStyle name="Currency 2 2 2 2 4 2 2 2" xfId="9499"/>
    <cellStyle name="Currency 2 2 2 2 4 2 2 3" xfId="9500"/>
    <cellStyle name="Currency 2 2 2 2 4 2 3" xfId="9501"/>
    <cellStyle name="Currency 2 2 2 2 4 2 3 2" xfId="9502"/>
    <cellStyle name="Currency 2 2 2 2 4 2 4" xfId="9503"/>
    <cellStyle name="Currency 2 2 2 2 4 3" xfId="9504"/>
    <cellStyle name="Currency 2 2 2 2 4 3 2" xfId="9505"/>
    <cellStyle name="Currency 2 2 2 2 4 3 2 2" xfId="9506"/>
    <cellStyle name="Currency 2 2 2 2 4 3 3" xfId="9507"/>
    <cellStyle name="Currency 2 2 2 2 4 4" xfId="9508"/>
    <cellStyle name="Currency 2 2 2 2 4 4 2" xfId="9509"/>
    <cellStyle name="Currency 2 2 2 2 4 4 3" xfId="9510"/>
    <cellStyle name="Currency 2 2 2 2 4 5" xfId="9511"/>
    <cellStyle name="Currency 2 2 2 2 4 5 2" xfId="9512"/>
    <cellStyle name="Currency 2 2 2 2 4 6" xfId="9513"/>
    <cellStyle name="Currency 2 2 2 2 4 6 2" xfId="36265"/>
    <cellStyle name="Currency 2 2 2 2 4 7" xfId="9514"/>
    <cellStyle name="Currency 2 2 2 2 5" xfId="9515"/>
    <cellStyle name="Currency 2 2 2 2 5 2" xfId="9516"/>
    <cellStyle name="Currency 2 2 2 2 5 2 2" xfId="9517"/>
    <cellStyle name="Currency 2 2 2 2 5 2 2 2" xfId="9518"/>
    <cellStyle name="Currency 2 2 2 2 5 2 3" xfId="9519"/>
    <cellStyle name="Currency 2 2 2 2 5 3" xfId="9520"/>
    <cellStyle name="Currency 2 2 2 2 5 3 2" xfId="9521"/>
    <cellStyle name="Currency 2 2 2 2 5 4" xfId="9522"/>
    <cellStyle name="Currency 2 2 2 2 6" xfId="9523"/>
    <cellStyle name="Currency 2 2 2 2 6 2" xfId="9524"/>
    <cellStyle name="Currency 2 2 2 2 6 2 2" xfId="9525"/>
    <cellStyle name="Currency 2 2 2 2 6 3" xfId="9526"/>
    <cellStyle name="Currency 2 2 2 2 7" xfId="9527"/>
    <cellStyle name="Currency 2 2 2 2 7 2" xfId="9528"/>
    <cellStyle name="Currency 2 2 2 2 7 2 2" xfId="9529"/>
    <cellStyle name="Currency 2 2 2 2 7 3" xfId="9530"/>
    <cellStyle name="Currency 2 2 2 2 8" xfId="9531"/>
    <cellStyle name="Currency 2 2 2 2 8 2" xfId="9532"/>
    <cellStyle name="Currency 2 2 2 2 9" xfId="9533"/>
    <cellStyle name="Currency 2 2 2 2 9 2" xfId="36266"/>
    <cellStyle name="Currency 2 2 2 3" xfId="9534"/>
    <cellStyle name="Currency 2 2 2 3 2" xfId="9535"/>
    <cellStyle name="Currency 2 2 2 3 2 2" xfId="9536"/>
    <cellStyle name="Currency 2 2 2 3 2 2 2" xfId="9537"/>
    <cellStyle name="Currency 2 2 2 3 2 2 2 2" xfId="9538"/>
    <cellStyle name="Currency 2 2 2 3 2 2 2 2 2" xfId="9539"/>
    <cellStyle name="Currency 2 2 2 3 2 2 2 2 3" xfId="9540"/>
    <cellStyle name="Currency 2 2 2 3 2 2 2 3" xfId="9541"/>
    <cellStyle name="Currency 2 2 2 3 2 2 2 3 2" xfId="9542"/>
    <cellStyle name="Currency 2 2 2 3 2 2 2 4" xfId="9543"/>
    <cellStyle name="Currency 2 2 2 3 2 2 3" xfId="9544"/>
    <cellStyle name="Currency 2 2 2 3 2 2 3 2" xfId="9545"/>
    <cellStyle name="Currency 2 2 2 3 2 2 3 2 2" xfId="9546"/>
    <cellStyle name="Currency 2 2 2 3 2 2 3 3" xfId="9547"/>
    <cellStyle name="Currency 2 2 2 3 2 2 4" xfId="9548"/>
    <cellStyle name="Currency 2 2 2 3 2 2 4 2" xfId="9549"/>
    <cellStyle name="Currency 2 2 2 3 2 2 4 3" xfId="9550"/>
    <cellStyle name="Currency 2 2 2 3 2 2 5" xfId="9551"/>
    <cellStyle name="Currency 2 2 2 3 2 2 5 2" xfId="9552"/>
    <cellStyle name="Currency 2 2 2 3 2 2 6" xfId="9553"/>
    <cellStyle name="Currency 2 2 2 3 2 2 6 2" xfId="36267"/>
    <cellStyle name="Currency 2 2 2 3 2 2 7" xfId="9554"/>
    <cellStyle name="Currency 2 2 2 3 2 3" xfId="9555"/>
    <cellStyle name="Currency 2 2 2 3 2 3 2" xfId="9556"/>
    <cellStyle name="Currency 2 2 2 3 2 3 2 2" xfId="9557"/>
    <cellStyle name="Currency 2 2 2 3 2 3 2 2 2" xfId="9558"/>
    <cellStyle name="Currency 2 2 2 3 2 3 2 3" xfId="9559"/>
    <cellStyle name="Currency 2 2 2 3 2 3 3" xfId="9560"/>
    <cellStyle name="Currency 2 2 2 3 2 3 3 2" xfId="9561"/>
    <cellStyle name="Currency 2 2 2 3 2 3 4" xfId="9562"/>
    <cellStyle name="Currency 2 2 2 3 2 4" xfId="9563"/>
    <cellStyle name="Currency 2 2 2 3 2 4 2" xfId="9564"/>
    <cellStyle name="Currency 2 2 2 3 2 4 2 2" xfId="9565"/>
    <cellStyle name="Currency 2 2 2 3 2 4 3" xfId="9566"/>
    <cellStyle name="Currency 2 2 2 3 2 5" xfId="9567"/>
    <cellStyle name="Currency 2 2 2 3 2 5 2" xfId="9568"/>
    <cellStyle name="Currency 2 2 2 3 2 5 2 2" xfId="9569"/>
    <cellStyle name="Currency 2 2 2 3 2 5 3" xfId="9570"/>
    <cellStyle name="Currency 2 2 2 3 2 6" xfId="9571"/>
    <cellStyle name="Currency 2 2 2 3 2 6 2" xfId="9572"/>
    <cellStyle name="Currency 2 2 2 3 2 7" xfId="9573"/>
    <cellStyle name="Currency 2 2 2 3 2 7 2" xfId="36268"/>
    <cellStyle name="Currency 2 2 2 3 2 8" xfId="9574"/>
    <cellStyle name="Currency 2 2 2 3 3" xfId="9575"/>
    <cellStyle name="Currency 2 2 2 3 3 2" xfId="9576"/>
    <cellStyle name="Currency 2 2 2 3 3 2 2" xfId="9577"/>
    <cellStyle name="Currency 2 2 2 3 3 2 2 2" xfId="9578"/>
    <cellStyle name="Currency 2 2 2 3 3 2 2 3" xfId="9579"/>
    <cellStyle name="Currency 2 2 2 3 3 2 3" xfId="9580"/>
    <cellStyle name="Currency 2 2 2 3 3 2 3 2" xfId="9581"/>
    <cellStyle name="Currency 2 2 2 3 3 2 4" xfId="9582"/>
    <cellStyle name="Currency 2 2 2 3 3 3" xfId="9583"/>
    <cellStyle name="Currency 2 2 2 3 3 3 2" xfId="9584"/>
    <cellStyle name="Currency 2 2 2 3 3 3 2 2" xfId="9585"/>
    <cellStyle name="Currency 2 2 2 3 3 3 3" xfId="9586"/>
    <cellStyle name="Currency 2 2 2 3 3 4" xfId="9587"/>
    <cellStyle name="Currency 2 2 2 3 3 4 2" xfId="9588"/>
    <cellStyle name="Currency 2 2 2 3 3 4 3" xfId="9589"/>
    <cellStyle name="Currency 2 2 2 3 3 5" xfId="9590"/>
    <cellStyle name="Currency 2 2 2 3 3 5 2" xfId="9591"/>
    <cellStyle name="Currency 2 2 2 3 3 6" xfId="9592"/>
    <cellStyle name="Currency 2 2 2 3 3 6 2" xfId="36269"/>
    <cellStyle name="Currency 2 2 2 3 3 7" xfId="9593"/>
    <cellStyle name="Currency 2 2 2 3 4" xfId="9594"/>
    <cellStyle name="Currency 2 2 2 3 4 2" xfId="9595"/>
    <cellStyle name="Currency 2 2 2 3 4 2 2" xfId="9596"/>
    <cellStyle name="Currency 2 2 2 3 4 2 2 2" xfId="9597"/>
    <cellStyle name="Currency 2 2 2 3 4 2 3" xfId="9598"/>
    <cellStyle name="Currency 2 2 2 3 4 3" xfId="9599"/>
    <cellStyle name="Currency 2 2 2 3 4 3 2" xfId="9600"/>
    <cellStyle name="Currency 2 2 2 3 4 4" xfId="9601"/>
    <cellStyle name="Currency 2 2 2 3 5" xfId="9602"/>
    <cellStyle name="Currency 2 2 2 3 5 2" xfId="9603"/>
    <cellStyle name="Currency 2 2 2 3 5 2 2" xfId="9604"/>
    <cellStyle name="Currency 2 2 2 3 5 3" xfId="9605"/>
    <cellStyle name="Currency 2 2 2 3 6" xfId="9606"/>
    <cellStyle name="Currency 2 2 2 3 6 2" xfId="9607"/>
    <cellStyle name="Currency 2 2 2 3 6 2 2" xfId="9608"/>
    <cellStyle name="Currency 2 2 2 3 6 3" xfId="9609"/>
    <cellStyle name="Currency 2 2 2 3 7" xfId="9610"/>
    <cellStyle name="Currency 2 2 2 3 7 2" xfId="9611"/>
    <cellStyle name="Currency 2 2 2 3 8" xfId="9612"/>
    <cellStyle name="Currency 2 2 2 3 8 2" xfId="36270"/>
    <cellStyle name="Currency 2 2 2 3 9" xfId="9613"/>
    <cellStyle name="Currency 2 2 2 4" xfId="9614"/>
    <cellStyle name="Currency 2 2 2 4 2" xfId="9615"/>
    <cellStyle name="Currency 2 2 2 4 2 2" xfId="9616"/>
    <cellStyle name="Currency 2 2 2 4 2 2 2" xfId="9617"/>
    <cellStyle name="Currency 2 2 2 4 2 2 2 2" xfId="9618"/>
    <cellStyle name="Currency 2 2 2 4 2 2 2 2 2" xfId="9619"/>
    <cellStyle name="Currency 2 2 2 4 2 2 2 2 3" xfId="9620"/>
    <cellStyle name="Currency 2 2 2 4 2 2 2 3" xfId="9621"/>
    <cellStyle name="Currency 2 2 2 4 2 2 2 3 2" xfId="9622"/>
    <cellStyle name="Currency 2 2 2 4 2 2 2 4" xfId="9623"/>
    <cellStyle name="Currency 2 2 2 4 2 2 3" xfId="9624"/>
    <cellStyle name="Currency 2 2 2 4 2 2 3 2" xfId="9625"/>
    <cellStyle name="Currency 2 2 2 4 2 2 3 2 2" xfId="9626"/>
    <cellStyle name="Currency 2 2 2 4 2 2 3 3" xfId="9627"/>
    <cellStyle name="Currency 2 2 2 4 2 2 4" xfId="9628"/>
    <cellStyle name="Currency 2 2 2 4 2 2 4 2" xfId="9629"/>
    <cellStyle name="Currency 2 2 2 4 2 2 4 3" xfId="9630"/>
    <cellStyle name="Currency 2 2 2 4 2 2 5" xfId="9631"/>
    <cellStyle name="Currency 2 2 2 4 2 2 5 2" xfId="9632"/>
    <cellStyle name="Currency 2 2 2 4 2 2 6" xfId="9633"/>
    <cellStyle name="Currency 2 2 2 4 2 2 6 2" xfId="36271"/>
    <cellStyle name="Currency 2 2 2 4 2 2 7" xfId="9634"/>
    <cellStyle name="Currency 2 2 2 4 2 3" xfId="9635"/>
    <cellStyle name="Currency 2 2 2 4 2 3 2" xfId="9636"/>
    <cellStyle name="Currency 2 2 2 4 2 3 2 2" xfId="9637"/>
    <cellStyle name="Currency 2 2 2 4 2 3 2 2 2" xfId="9638"/>
    <cellStyle name="Currency 2 2 2 4 2 3 2 3" xfId="9639"/>
    <cellStyle name="Currency 2 2 2 4 2 3 3" xfId="9640"/>
    <cellStyle name="Currency 2 2 2 4 2 3 3 2" xfId="9641"/>
    <cellStyle name="Currency 2 2 2 4 2 3 4" xfId="9642"/>
    <cellStyle name="Currency 2 2 2 4 2 4" xfId="9643"/>
    <cellStyle name="Currency 2 2 2 4 2 4 2" xfId="9644"/>
    <cellStyle name="Currency 2 2 2 4 2 4 2 2" xfId="9645"/>
    <cellStyle name="Currency 2 2 2 4 2 4 3" xfId="9646"/>
    <cellStyle name="Currency 2 2 2 4 2 5" xfId="9647"/>
    <cellStyle name="Currency 2 2 2 4 2 5 2" xfId="9648"/>
    <cellStyle name="Currency 2 2 2 4 2 5 2 2" xfId="9649"/>
    <cellStyle name="Currency 2 2 2 4 2 5 3" xfId="9650"/>
    <cellStyle name="Currency 2 2 2 4 2 6" xfId="9651"/>
    <cellStyle name="Currency 2 2 2 4 2 6 2" xfId="9652"/>
    <cellStyle name="Currency 2 2 2 4 2 7" xfId="9653"/>
    <cellStyle name="Currency 2 2 2 4 2 7 2" xfId="36272"/>
    <cellStyle name="Currency 2 2 2 4 2 8" xfId="9654"/>
    <cellStyle name="Currency 2 2 2 4 3" xfId="9655"/>
    <cellStyle name="Currency 2 2 2 4 3 2" xfId="9656"/>
    <cellStyle name="Currency 2 2 2 4 3 2 2" xfId="9657"/>
    <cellStyle name="Currency 2 2 2 4 3 2 2 2" xfId="9658"/>
    <cellStyle name="Currency 2 2 2 4 3 2 2 3" xfId="9659"/>
    <cellStyle name="Currency 2 2 2 4 3 2 3" xfId="9660"/>
    <cellStyle name="Currency 2 2 2 4 3 2 3 2" xfId="9661"/>
    <cellStyle name="Currency 2 2 2 4 3 2 4" xfId="9662"/>
    <cellStyle name="Currency 2 2 2 4 3 3" xfId="9663"/>
    <cellStyle name="Currency 2 2 2 4 3 3 2" xfId="9664"/>
    <cellStyle name="Currency 2 2 2 4 3 3 2 2" xfId="9665"/>
    <cellStyle name="Currency 2 2 2 4 3 3 3" xfId="9666"/>
    <cellStyle name="Currency 2 2 2 4 3 4" xfId="9667"/>
    <cellStyle name="Currency 2 2 2 4 3 4 2" xfId="9668"/>
    <cellStyle name="Currency 2 2 2 4 3 4 3" xfId="9669"/>
    <cellStyle name="Currency 2 2 2 4 3 5" xfId="9670"/>
    <cellStyle name="Currency 2 2 2 4 3 5 2" xfId="9671"/>
    <cellStyle name="Currency 2 2 2 4 3 6" xfId="9672"/>
    <cellStyle name="Currency 2 2 2 4 3 6 2" xfId="36273"/>
    <cellStyle name="Currency 2 2 2 4 3 7" xfId="9673"/>
    <cellStyle name="Currency 2 2 2 4 4" xfId="9674"/>
    <cellStyle name="Currency 2 2 2 4 4 2" xfId="9675"/>
    <cellStyle name="Currency 2 2 2 4 4 2 2" xfId="9676"/>
    <cellStyle name="Currency 2 2 2 4 4 2 2 2" xfId="9677"/>
    <cellStyle name="Currency 2 2 2 4 4 2 3" xfId="9678"/>
    <cellStyle name="Currency 2 2 2 4 4 3" xfId="9679"/>
    <cellStyle name="Currency 2 2 2 4 4 3 2" xfId="9680"/>
    <cellStyle name="Currency 2 2 2 4 4 4" xfId="9681"/>
    <cellStyle name="Currency 2 2 2 4 5" xfId="9682"/>
    <cellStyle name="Currency 2 2 2 4 5 2" xfId="9683"/>
    <cellStyle name="Currency 2 2 2 4 5 2 2" xfId="9684"/>
    <cellStyle name="Currency 2 2 2 4 5 3" xfId="9685"/>
    <cellStyle name="Currency 2 2 2 4 6" xfId="9686"/>
    <cellStyle name="Currency 2 2 2 4 6 2" xfId="9687"/>
    <cellStyle name="Currency 2 2 2 4 6 2 2" xfId="9688"/>
    <cellStyle name="Currency 2 2 2 4 6 3" xfId="9689"/>
    <cellStyle name="Currency 2 2 2 4 7" xfId="9690"/>
    <cellStyle name="Currency 2 2 2 4 7 2" xfId="9691"/>
    <cellStyle name="Currency 2 2 2 4 8" xfId="9692"/>
    <cellStyle name="Currency 2 2 2 4 8 2" xfId="36274"/>
    <cellStyle name="Currency 2 2 2 4 9" xfId="9693"/>
    <cellStyle name="Currency 2 2 2 5" xfId="9694"/>
    <cellStyle name="Currency 2 2 2 5 2" xfId="9695"/>
    <cellStyle name="Currency 2 2 2 5 2 2" xfId="9696"/>
    <cellStyle name="Currency 2 2 2 5 2 2 2" xfId="9697"/>
    <cellStyle name="Currency 2 2 2 5 2 2 2 2" xfId="9698"/>
    <cellStyle name="Currency 2 2 2 5 2 2 2 3" xfId="9699"/>
    <cellStyle name="Currency 2 2 2 5 2 2 3" xfId="9700"/>
    <cellStyle name="Currency 2 2 2 5 2 2 3 2" xfId="9701"/>
    <cellStyle name="Currency 2 2 2 5 2 2 4" xfId="9702"/>
    <cellStyle name="Currency 2 2 2 5 2 3" xfId="9703"/>
    <cellStyle name="Currency 2 2 2 5 2 3 2" xfId="9704"/>
    <cellStyle name="Currency 2 2 2 5 2 3 2 2" xfId="9705"/>
    <cellStyle name="Currency 2 2 2 5 2 3 3" xfId="9706"/>
    <cellStyle name="Currency 2 2 2 5 2 4" xfId="9707"/>
    <cellStyle name="Currency 2 2 2 5 2 4 2" xfId="9708"/>
    <cellStyle name="Currency 2 2 2 5 2 4 3" xfId="9709"/>
    <cellStyle name="Currency 2 2 2 5 2 5" xfId="9710"/>
    <cellStyle name="Currency 2 2 2 5 2 5 2" xfId="9711"/>
    <cellStyle name="Currency 2 2 2 5 2 6" xfId="9712"/>
    <cellStyle name="Currency 2 2 2 5 2 6 2" xfId="36275"/>
    <cellStyle name="Currency 2 2 2 5 2 7" xfId="9713"/>
    <cellStyle name="Currency 2 2 2 5 3" xfId="9714"/>
    <cellStyle name="Currency 2 2 2 5 3 2" xfId="9715"/>
    <cellStyle name="Currency 2 2 2 5 3 2 2" xfId="9716"/>
    <cellStyle name="Currency 2 2 2 5 3 2 2 2" xfId="9717"/>
    <cellStyle name="Currency 2 2 2 5 3 2 3" xfId="9718"/>
    <cellStyle name="Currency 2 2 2 5 3 3" xfId="9719"/>
    <cellStyle name="Currency 2 2 2 5 3 3 2" xfId="9720"/>
    <cellStyle name="Currency 2 2 2 5 3 4" xfId="9721"/>
    <cellStyle name="Currency 2 2 2 5 4" xfId="9722"/>
    <cellStyle name="Currency 2 2 2 5 4 2" xfId="9723"/>
    <cellStyle name="Currency 2 2 2 5 4 2 2" xfId="9724"/>
    <cellStyle name="Currency 2 2 2 5 4 3" xfId="9725"/>
    <cellStyle name="Currency 2 2 2 5 5" xfId="9726"/>
    <cellStyle name="Currency 2 2 2 5 5 2" xfId="9727"/>
    <cellStyle name="Currency 2 2 2 5 5 2 2" xfId="9728"/>
    <cellStyle name="Currency 2 2 2 5 5 3" xfId="9729"/>
    <cellStyle name="Currency 2 2 2 5 6" xfId="9730"/>
    <cellStyle name="Currency 2 2 2 5 6 2" xfId="9731"/>
    <cellStyle name="Currency 2 2 2 5 7" xfId="9732"/>
    <cellStyle name="Currency 2 2 2 5 7 2" xfId="36276"/>
    <cellStyle name="Currency 2 2 2 5 8" xfId="9733"/>
    <cellStyle name="Currency 2 2 2 6" xfId="9734"/>
    <cellStyle name="Currency 2 2 2 6 2" xfId="9735"/>
    <cellStyle name="Currency 2 2 2 6 2 2" xfId="9736"/>
    <cellStyle name="Currency 2 2 2 6 2 2 2" xfId="9737"/>
    <cellStyle name="Currency 2 2 2 6 2 2 2 2" xfId="9738"/>
    <cellStyle name="Currency 2 2 2 6 2 2 2 3" xfId="9739"/>
    <cellStyle name="Currency 2 2 2 6 2 2 3" xfId="9740"/>
    <cellStyle name="Currency 2 2 2 6 2 2 3 2" xfId="9741"/>
    <cellStyle name="Currency 2 2 2 6 2 2 4" xfId="9742"/>
    <cellStyle name="Currency 2 2 2 6 2 3" xfId="9743"/>
    <cellStyle name="Currency 2 2 2 6 2 3 2" xfId="9744"/>
    <cellStyle name="Currency 2 2 2 6 2 3 2 2" xfId="9745"/>
    <cellStyle name="Currency 2 2 2 6 2 3 3" xfId="9746"/>
    <cellStyle name="Currency 2 2 2 6 2 4" xfId="9747"/>
    <cellStyle name="Currency 2 2 2 6 2 4 2" xfId="9748"/>
    <cellStyle name="Currency 2 2 2 6 2 4 3" xfId="9749"/>
    <cellStyle name="Currency 2 2 2 6 2 5" xfId="9750"/>
    <cellStyle name="Currency 2 2 2 6 2 5 2" xfId="9751"/>
    <cellStyle name="Currency 2 2 2 6 2 6" xfId="9752"/>
    <cellStyle name="Currency 2 2 2 6 2 6 2" xfId="36277"/>
    <cellStyle name="Currency 2 2 2 6 2 7" xfId="9753"/>
    <cellStyle name="Currency 2 2 2 6 3" xfId="9754"/>
    <cellStyle name="Currency 2 2 2 6 3 2" xfId="9755"/>
    <cellStyle name="Currency 2 2 2 6 3 2 2" xfId="9756"/>
    <cellStyle name="Currency 2 2 2 6 3 2 2 2" xfId="9757"/>
    <cellStyle name="Currency 2 2 2 6 3 2 3" xfId="9758"/>
    <cellStyle name="Currency 2 2 2 6 3 3" xfId="9759"/>
    <cellStyle name="Currency 2 2 2 6 3 3 2" xfId="9760"/>
    <cellStyle name="Currency 2 2 2 6 3 4" xfId="9761"/>
    <cellStyle name="Currency 2 2 2 6 4" xfId="9762"/>
    <cellStyle name="Currency 2 2 2 6 4 2" xfId="9763"/>
    <cellStyle name="Currency 2 2 2 6 4 2 2" xfId="9764"/>
    <cellStyle name="Currency 2 2 2 6 4 3" xfId="9765"/>
    <cellStyle name="Currency 2 2 2 6 5" xfId="9766"/>
    <cellStyle name="Currency 2 2 2 6 5 2" xfId="9767"/>
    <cellStyle name="Currency 2 2 2 6 5 2 2" xfId="9768"/>
    <cellStyle name="Currency 2 2 2 6 5 3" xfId="9769"/>
    <cellStyle name="Currency 2 2 2 6 6" xfId="9770"/>
    <cellStyle name="Currency 2 2 2 6 6 2" xfId="9771"/>
    <cellStyle name="Currency 2 2 2 6 7" xfId="9772"/>
    <cellStyle name="Currency 2 2 2 6 7 2" xfId="36278"/>
    <cellStyle name="Currency 2 2 2 6 8" xfId="9773"/>
    <cellStyle name="Currency 2 2 2 7" xfId="9774"/>
    <cellStyle name="Currency 2 2 2 7 2" xfId="9775"/>
    <cellStyle name="Currency 2 2 2 7 2 2" xfId="9776"/>
    <cellStyle name="Currency 2 2 2 7 2 2 2" xfId="9777"/>
    <cellStyle name="Currency 2 2 2 7 2 2 2 2" xfId="9778"/>
    <cellStyle name="Currency 2 2 2 7 2 2 2 3" xfId="9779"/>
    <cellStyle name="Currency 2 2 2 7 2 2 3" xfId="9780"/>
    <cellStyle name="Currency 2 2 2 7 2 2 3 2" xfId="9781"/>
    <cellStyle name="Currency 2 2 2 7 2 2 4" xfId="9782"/>
    <cellStyle name="Currency 2 2 2 7 2 3" xfId="9783"/>
    <cellStyle name="Currency 2 2 2 7 2 3 2" xfId="9784"/>
    <cellStyle name="Currency 2 2 2 7 2 3 2 2" xfId="9785"/>
    <cellStyle name="Currency 2 2 2 7 2 3 3" xfId="9786"/>
    <cellStyle name="Currency 2 2 2 7 2 4" xfId="9787"/>
    <cellStyle name="Currency 2 2 2 7 2 4 2" xfId="9788"/>
    <cellStyle name="Currency 2 2 2 7 2 4 3" xfId="9789"/>
    <cellStyle name="Currency 2 2 2 7 2 5" xfId="9790"/>
    <cellStyle name="Currency 2 2 2 7 2 5 2" xfId="9791"/>
    <cellStyle name="Currency 2 2 2 7 2 6" xfId="9792"/>
    <cellStyle name="Currency 2 2 2 7 2 6 2" xfId="36279"/>
    <cellStyle name="Currency 2 2 2 7 2 7" xfId="9793"/>
    <cellStyle name="Currency 2 2 2 7 3" xfId="9794"/>
    <cellStyle name="Currency 2 2 2 7 3 2" xfId="9795"/>
    <cellStyle name="Currency 2 2 2 7 3 2 2" xfId="9796"/>
    <cellStyle name="Currency 2 2 2 7 3 2 2 2" xfId="9797"/>
    <cellStyle name="Currency 2 2 2 7 3 2 3" xfId="9798"/>
    <cellStyle name="Currency 2 2 2 7 3 3" xfId="9799"/>
    <cellStyle name="Currency 2 2 2 7 3 3 2" xfId="9800"/>
    <cellStyle name="Currency 2 2 2 7 3 4" xfId="9801"/>
    <cellStyle name="Currency 2 2 2 7 4" xfId="9802"/>
    <cellStyle name="Currency 2 2 2 7 4 2" xfId="9803"/>
    <cellStyle name="Currency 2 2 2 7 4 2 2" xfId="9804"/>
    <cellStyle name="Currency 2 2 2 7 4 3" xfId="9805"/>
    <cellStyle name="Currency 2 2 2 7 5" xfId="9806"/>
    <cellStyle name="Currency 2 2 2 7 5 2" xfId="9807"/>
    <cellStyle name="Currency 2 2 2 7 5 2 2" xfId="9808"/>
    <cellStyle name="Currency 2 2 2 7 5 3" xfId="9809"/>
    <cellStyle name="Currency 2 2 2 7 6" xfId="9810"/>
    <cellStyle name="Currency 2 2 2 7 6 2" xfId="9811"/>
    <cellStyle name="Currency 2 2 2 7 7" xfId="9812"/>
    <cellStyle name="Currency 2 2 2 7 7 2" xfId="36280"/>
    <cellStyle name="Currency 2 2 2 7 8" xfId="9813"/>
    <cellStyle name="Currency 2 2 2 8" xfId="9814"/>
    <cellStyle name="Currency 2 2 2 8 2" xfId="9815"/>
    <cellStyle name="Currency 2 2 2 8 2 2" xfId="9816"/>
    <cellStyle name="Currency 2 2 2 8 2 2 2" xfId="9817"/>
    <cellStyle name="Currency 2 2 2 8 2 2 3" xfId="9818"/>
    <cellStyle name="Currency 2 2 2 8 2 3" xfId="9819"/>
    <cellStyle name="Currency 2 2 2 8 2 3 2" xfId="9820"/>
    <cellStyle name="Currency 2 2 2 8 2 4" xfId="9821"/>
    <cellStyle name="Currency 2 2 2 8 3" xfId="9822"/>
    <cellStyle name="Currency 2 2 2 8 3 2" xfId="9823"/>
    <cellStyle name="Currency 2 2 2 8 3 2 2" xfId="9824"/>
    <cellStyle name="Currency 2 2 2 8 3 3" xfId="9825"/>
    <cellStyle name="Currency 2 2 2 8 4" xfId="9826"/>
    <cellStyle name="Currency 2 2 2 8 4 2" xfId="9827"/>
    <cellStyle name="Currency 2 2 2 8 4 3" xfId="9828"/>
    <cellStyle name="Currency 2 2 2 8 5" xfId="9829"/>
    <cellStyle name="Currency 2 2 2 8 5 2" xfId="9830"/>
    <cellStyle name="Currency 2 2 2 8 6" xfId="9831"/>
    <cellStyle name="Currency 2 2 2 8 6 2" xfId="36281"/>
    <cellStyle name="Currency 2 2 2 8 7" xfId="9832"/>
    <cellStyle name="Currency 2 2 2 9" xfId="9833"/>
    <cellStyle name="Currency 2 2 2 9 2" xfId="9834"/>
    <cellStyle name="Currency 2 2 2 9 2 2" xfId="9835"/>
    <cellStyle name="Currency 2 2 2 9 2 2 2" xfId="9836"/>
    <cellStyle name="Currency 2 2 2 9 2 3" xfId="9837"/>
    <cellStyle name="Currency 2 2 2 9 3" xfId="9838"/>
    <cellStyle name="Currency 2 2 2 9 3 2" xfId="9839"/>
    <cellStyle name="Currency 2 2 2 9 4" xfId="9840"/>
    <cellStyle name="Currency 2 2 3" xfId="9841"/>
    <cellStyle name="Currency 2 2 3 10" xfId="9842"/>
    <cellStyle name="Currency 2 2 3 10 2" xfId="9843"/>
    <cellStyle name="Currency 2 2 3 10 2 2" xfId="9844"/>
    <cellStyle name="Currency 2 2 3 10 3" xfId="9845"/>
    <cellStyle name="Currency 2 2 3 11" xfId="9846"/>
    <cellStyle name="Currency 2 2 3 11 2" xfId="9847"/>
    <cellStyle name="Currency 2 2 3 11 2 2" xfId="9848"/>
    <cellStyle name="Currency 2 2 3 11 3" xfId="9849"/>
    <cellStyle name="Currency 2 2 3 12" xfId="9850"/>
    <cellStyle name="Currency 2 2 3 12 2" xfId="9851"/>
    <cellStyle name="Currency 2 2 3 13" xfId="9852"/>
    <cellStyle name="Currency 2 2 3 13 2" xfId="36282"/>
    <cellStyle name="Currency 2 2 3 14" xfId="9853"/>
    <cellStyle name="Currency 2 2 3 2" xfId="9854"/>
    <cellStyle name="Currency 2 2 3 2 10" xfId="9855"/>
    <cellStyle name="Currency 2 2 3 2 2" xfId="9856"/>
    <cellStyle name="Currency 2 2 3 2 2 2" xfId="9857"/>
    <cellStyle name="Currency 2 2 3 2 2 2 2" xfId="9858"/>
    <cellStyle name="Currency 2 2 3 2 2 2 2 2" xfId="9859"/>
    <cellStyle name="Currency 2 2 3 2 2 2 2 2 2" xfId="9860"/>
    <cellStyle name="Currency 2 2 3 2 2 2 2 2 2 2" xfId="9861"/>
    <cellStyle name="Currency 2 2 3 2 2 2 2 2 2 3" xfId="9862"/>
    <cellStyle name="Currency 2 2 3 2 2 2 2 2 3" xfId="9863"/>
    <cellStyle name="Currency 2 2 3 2 2 2 2 2 3 2" xfId="9864"/>
    <cellStyle name="Currency 2 2 3 2 2 2 2 2 4" xfId="9865"/>
    <cellStyle name="Currency 2 2 3 2 2 2 2 3" xfId="9866"/>
    <cellStyle name="Currency 2 2 3 2 2 2 2 3 2" xfId="9867"/>
    <cellStyle name="Currency 2 2 3 2 2 2 2 3 2 2" xfId="9868"/>
    <cellStyle name="Currency 2 2 3 2 2 2 2 3 3" xfId="9869"/>
    <cellStyle name="Currency 2 2 3 2 2 2 2 4" xfId="9870"/>
    <cellStyle name="Currency 2 2 3 2 2 2 2 4 2" xfId="9871"/>
    <cellStyle name="Currency 2 2 3 2 2 2 2 4 3" xfId="9872"/>
    <cellStyle name="Currency 2 2 3 2 2 2 2 5" xfId="9873"/>
    <cellStyle name="Currency 2 2 3 2 2 2 2 5 2" xfId="9874"/>
    <cellStyle name="Currency 2 2 3 2 2 2 2 6" xfId="9875"/>
    <cellStyle name="Currency 2 2 3 2 2 2 2 6 2" xfId="36283"/>
    <cellStyle name="Currency 2 2 3 2 2 2 2 7" xfId="9876"/>
    <cellStyle name="Currency 2 2 3 2 2 2 3" xfId="9877"/>
    <cellStyle name="Currency 2 2 3 2 2 2 3 2" xfId="9878"/>
    <cellStyle name="Currency 2 2 3 2 2 2 3 2 2" xfId="9879"/>
    <cellStyle name="Currency 2 2 3 2 2 2 3 2 2 2" xfId="9880"/>
    <cellStyle name="Currency 2 2 3 2 2 2 3 2 3" xfId="9881"/>
    <cellStyle name="Currency 2 2 3 2 2 2 3 3" xfId="9882"/>
    <cellStyle name="Currency 2 2 3 2 2 2 3 3 2" xfId="9883"/>
    <cellStyle name="Currency 2 2 3 2 2 2 3 4" xfId="9884"/>
    <cellStyle name="Currency 2 2 3 2 2 2 4" xfId="9885"/>
    <cellStyle name="Currency 2 2 3 2 2 2 4 2" xfId="9886"/>
    <cellStyle name="Currency 2 2 3 2 2 2 4 2 2" xfId="9887"/>
    <cellStyle name="Currency 2 2 3 2 2 2 4 3" xfId="9888"/>
    <cellStyle name="Currency 2 2 3 2 2 2 5" xfId="9889"/>
    <cellStyle name="Currency 2 2 3 2 2 2 5 2" xfId="9890"/>
    <cellStyle name="Currency 2 2 3 2 2 2 5 2 2" xfId="9891"/>
    <cellStyle name="Currency 2 2 3 2 2 2 5 3" xfId="9892"/>
    <cellStyle name="Currency 2 2 3 2 2 2 6" xfId="9893"/>
    <cellStyle name="Currency 2 2 3 2 2 2 6 2" xfId="9894"/>
    <cellStyle name="Currency 2 2 3 2 2 2 7" xfId="9895"/>
    <cellStyle name="Currency 2 2 3 2 2 2 7 2" xfId="36284"/>
    <cellStyle name="Currency 2 2 3 2 2 2 8" xfId="9896"/>
    <cellStyle name="Currency 2 2 3 2 2 3" xfId="9897"/>
    <cellStyle name="Currency 2 2 3 2 2 3 2" xfId="9898"/>
    <cellStyle name="Currency 2 2 3 2 2 3 2 2" xfId="9899"/>
    <cellStyle name="Currency 2 2 3 2 2 3 2 2 2" xfId="9900"/>
    <cellStyle name="Currency 2 2 3 2 2 3 2 2 3" xfId="9901"/>
    <cellStyle name="Currency 2 2 3 2 2 3 2 3" xfId="9902"/>
    <cellStyle name="Currency 2 2 3 2 2 3 2 3 2" xfId="9903"/>
    <cellStyle name="Currency 2 2 3 2 2 3 2 4" xfId="9904"/>
    <cellStyle name="Currency 2 2 3 2 2 3 3" xfId="9905"/>
    <cellStyle name="Currency 2 2 3 2 2 3 3 2" xfId="9906"/>
    <cellStyle name="Currency 2 2 3 2 2 3 3 2 2" xfId="9907"/>
    <cellStyle name="Currency 2 2 3 2 2 3 3 3" xfId="9908"/>
    <cellStyle name="Currency 2 2 3 2 2 3 4" xfId="9909"/>
    <cellStyle name="Currency 2 2 3 2 2 3 4 2" xfId="9910"/>
    <cellStyle name="Currency 2 2 3 2 2 3 4 3" xfId="9911"/>
    <cellStyle name="Currency 2 2 3 2 2 3 5" xfId="9912"/>
    <cellStyle name="Currency 2 2 3 2 2 3 5 2" xfId="9913"/>
    <cellStyle name="Currency 2 2 3 2 2 3 6" xfId="9914"/>
    <cellStyle name="Currency 2 2 3 2 2 3 6 2" xfId="36285"/>
    <cellStyle name="Currency 2 2 3 2 2 3 7" xfId="9915"/>
    <cellStyle name="Currency 2 2 3 2 2 4" xfId="9916"/>
    <cellStyle name="Currency 2 2 3 2 2 4 2" xfId="9917"/>
    <cellStyle name="Currency 2 2 3 2 2 4 2 2" xfId="9918"/>
    <cellStyle name="Currency 2 2 3 2 2 4 2 2 2" xfId="9919"/>
    <cellStyle name="Currency 2 2 3 2 2 4 2 3" xfId="9920"/>
    <cellStyle name="Currency 2 2 3 2 2 4 3" xfId="9921"/>
    <cellStyle name="Currency 2 2 3 2 2 4 3 2" xfId="9922"/>
    <cellStyle name="Currency 2 2 3 2 2 4 4" xfId="9923"/>
    <cellStyle name="Currency 2 2 3 2 2 5" xfId="9924"/>
    <cellStyle name="Currency 2 2 3 2 2 5 2" xfId="9925"/>
    <cellStyle name="Currency 2 2 3 2 2 5 2 2" xfId="9926"/>
    <cellStyle name="Currency 2 2 3 2 2 5 3" xfId="9927"/>
    <cellStyle name="Currency 2 2 3 2 2 6" xfId="9928"/>
    <cellStyle name="Currency 2 2 3 2 2 6 2" xfId="9929"/>
    <cellStyle name="Currency 2 2 3 2 2 6 2 2" xfId="9930"/>
    <cellStyle name="Currency 2 2 3 2 2 6 3" xfId="9931"/>
    <cellStyle name="Currency 2 2 3 2 2 7" xfId="9932"/>
    <cellStyle name="Currency 2 2 3 2 2 7 2" xfId="9933"/>
    <cellStyle name="Currency 2 2 3 2 2 8" xfId="9934"/>
    <cellStyle name="Currency 2 2 3 2 2 8 2" xfId="36286"/>
    <cellStyle name="Currency 2 2 3 2 2 9" xfId="9935"/>
    <cellStyle name="Currency 2 2 3 2 3" xfId="9936"/>
    <cellStyle name="Currency 2 2 3 2 3 2" xfId="9937"/>
    <cellStyle name="Currency 2 2 3 2 3 2 2" xfId="9938"/>
    <cellStyle name="Currency 2 2 3 2 3 2 2 2" xfId="9939"/>
    <cellStyle name="Currency 2 2 3 2 3 2 2 2 2" xfId="9940"/>
    <cellStyle name="Currency 2 2 3 2 3 2 2 2 3" xfId="9941"/>
    <cellStyle name="Currency 2 2 3 2 3 2 2 3" xfId="9942"/>
    <cellStyle name="Currency 2 2 3 2 3 2 2 3 2" xfId="9943"/>
    <cellStyle name="Currency 2 2 3 2 3 2 2 4" xfId="9944"/>
    <cellStyle name="Currency 2 2 3 2 3 2 3" xfId="9945"/>
    <cellStyle name="Currency 2 2 3 2 3 2 3 2" xfId="9946"/>
    <cellStyle name="Currency 2 2 3 2 3 2 3 2 2" xfId="9947"/>
    <cellStyle name="Currency 2 2 3 2 3 2 3 3" xfId="9948"/>
    <cellStyle name="Currency 2 2 3 2 3 2 4" xfId="9949"/>
    <cellStyle name="Currency 2 2 3 2 3 2 4 2" xfId="9950"/>
    <cellStyle name="Currency 2 2 3 2 3 2 4 3" xfId="9951"/>
    <cellStyle name="Currency 2 2 3 2 3 2 5" xfId="9952"/>
    <cellStyle name="Currency 2 2 3 2 3 2 5 2" xfId="9953"/>
    <cellStyle name="Currency 2 2 3 2 3 2 6" xfId="9954"/>
    <cellStyle name="Currency 2 2 3 2 3 2 6 2" xfId="36287"/>
    <cellStyle name="Currency 2 2 3 2 3 2 7" xfId="9955"/>
    <cellStyle name="Currency 2 2 3 2 3 3" xfId="9956"/>
    <cellStyle name="Currency 2 2 3 2 3 3 2" xfId="9957"/>
    <cellStyle name="Currency 2 2 3 2 3 3 2 2" xfId="9958"/>
    <cellStyle name="Currency 2 2 3 2 3 3 2 2 2" xfId="9959"/>
    <cellStyle name="Currency 2 2 3 2 3 3 2 3" xfId="9960"/>
    <cellStyle name="Currency 2 2 3 2 3 3 3" xfId="9961"/>
    <cellStyle name="Currency 2 2 3 2 3 3 3 2" xfId="9962"/>
    <cellStyle name="Currency 2 2 3 2 3 3 4" xfId="9963"/>
    <cellStyle name="Currency 2 2 3 2 3 4" xfId="9964"/>
    <cellStyle name="Currency 2 2 3 2 3 4 2" xfId="9965"/>
    <cellStyle name="Currency 2 2 3 2 3 4 2 2" xfId="9966"/>
    <cellStyle name="Currency 2 2 3 2 3 4 3" xfId="9967"/>
    <cellStyle name="Currency 2 2 3 2 3 5" xfId="9968"/>
    <cellStyle name="Currency 2 2 3 2 3 5 2" xfId="9969"/>
    <cellStyle name="Currency 2 2 3 2 3 5 2 2" xfId="9970"/>
    <cellStyle name="Currency 2 2 3 2 3 5 3" xfId="9971"/>
    <cellStyle name="Currency 2 2 3 2 3 6" xfId="9972"/>
    <cellStyle name="Currency 2 2 3 2 3 6 2" xfId="9973"/>
    <cellStyle name="Currency 2 2 3 2 3 7" xfId="9974"/>
    <cellStyle name="Currency 2 2 3 2 3 7 2" xfId="36288"/>
    <cellStyle name="Currency 2 2 3 2 3 8" xfId="9975"/>
    <cellStyle name="Currency 2 2 3 2 4" xfId="9976"/>
    <cellStyle name="Currency 2 2 3 2 4 2" xfId="9977"/>
    <cellStyle name="Currency 2 2 3 2 4 2 2" xfId="9978"/>
    <cellStyle name="Currency 2 2 3 2 4 2 2 2" xfId="9979"/>
    <cellStyle name="Currency 2 2 3 2 4 2 2 3" xfId="9980"/>
    <cellStyle name="Currency 2 2 3 2 4 2 3" xfId="9981"/>
    <cellStyle name="Currency 2 2 3 2 4 2 3 2" xfId="9982"/>
    <cellStyle name="Currency 2 2 3 2 4 2 4" xfId="9983"/>
    <cellStyle name="Currency 2 2 3 2 4 3" xfId="9984"/>
    <cellStyle name="Currency 2 2 3 2 4 3 2" xfId="9985"/>
    <cellStyle name="Currency 2 2 3 2 4 3 2 2" xfId="9986"/>
    <cellStyle name="Currency 2 2 3 2 4 3 3" xfId="9987"/>
    <cellStyle name="Currency 2 2 3 2 4 4" xfId="9988"/>
    <cellStyle name="Currency 2 2 3 2 4 4 2" xfId="9989"/>
    <cellStyle name="Currency 2 2 3 2 4 4 3" xfId="9990"/>
    <cellStyle name="Currency 2 2 3 2 4 5" xfId="9991"/>
    <cellStyle name="Currency 2 2 3 2 4 5 2" xfId="9992"/>
    <cellStyle name="Currency 2 2 3 2 4 6" xfId="9993"/>
    <cellStyle name="Currency 2 2 3 2 4 6 2" xfId="36289"/>
    <cellStyle name="Currency 2 2 3 2 4 7" xfId="9994"/>
    <cellStyle name="Currency 2 2 3 2 5" xfId="9995"/>
    <cellStyle name="Currency 2 2 3 2 5 2" xfId="9996"/>
    <cellStyle name="Currency 2 2 3 2 5 2 2" xfId="9997"/>
    <cellStyle name="Currency 2 2 3 2 5 2 2 2" xfId="9998"/>
    <cellStyle name="Currency 2 2 3 2 5 2 3" xfId="9999"/>
    <cellStyle name="Currency 2 2 3 2 5 3" xfId="10000"/>
    <cellStyle name="Currency 2 2 3 2 5 3 2" xfId="10001"/>
    <cellStyle name="Currency 2 2 3 2 5 4" xfId="10002"/>
    <cellStyle name="Currency 2 2 3 2 6" xfId="10003"/>
    <cellStyle name="Currency 2 2 3 2 6 2" xfId="10004"/>
    <cellStyle name="Currency 2 2 3 2 6 2 2" xfId="10005"/>
    <cellStyle name="Currency 2 2 3 2 6 3" xfId="10006"/>
    <cellStyle name="Currency 2 2 3 2 7" xfId="10007"/>
    <cellStyle name="Currency 2 2 3 2 7 2" xfId="10008"/>
    <cellStyle name="Currency 2 2 3 2 7 2 2" xfId="10009"/>
    <cellStyle name="Currency 2 2 3 2 7 3" xfId="10010"/>
    <cellStyle name="Currency 2 2 3 2 8" xfId="10011"/>
    <cellStyle name="Currency 2 2 3 2 8 2" xfId="10012"/>
    <cellStyle name="Currency 2 2 3 2 9" xfId="10013"/>
    <cellStyle name="Currency 2 2 3 2 9 2" xfId="36290"/>
    <cellStyle name="Currency 2 2 3 3" xfId="10014"/>
    <cellStyle name="Currency 2 2 3 3 2" xfId="10015"/>
    <cellStyle name="Currency 2 2 3 3 2 2" xfId="10016"/>
    <cellStyle name="Currency 2 2 3 3 2 2 2" xfId="10017"/>
    <cellStyle name="Currency 2 2 3 3 2 2 2 2" xfId="10018"/>
    <cellStyle name="Currency 2 2 3 3 2 2 2 2 2" xfId="10019"/>
    <cellStyle name="Currency 2 2 3 3 2 2 2 2 3" xfId="10020"/>
    <cellStyle name="Currency 2 2 3 3 2 2 2 3" xfId="10021"/>
    <cellStyle name="Currency 2 2 3 3 2 2 2 3 2" xfId="10022"/>
    <cellStyle name="Currency 2 2 3 3 2 2 2 4" xfId="10023"/>
    <cellStyle name="Currency 2 2 3 3 2 2 3" xfId="10024"/>
    <cellStyle name="Currency 2 2 3 3 2 2 3 2" xfId="10025"/>
    <cellStyle name="Currency 2 2 3 3 2 2 3 2 2" xfId="10026"/>
    <cellStyle name="Currency 2 2 3 3 2 2 3 3" xfId="10027"/>
    <cellStyle name="Currency 2 2 3 3 2 2 4" xfId="10028"/>
    <cellStyle name="Currency 2 2 3 3 2 2 4 2" xfId="10029"/>
    <cellStyle name="Currency 2 2 3 3 2 2 4 3" xfId="10030"/>
    <cellStyle name="Currency 2 2 3 3 2 2 5" xfId="10031"/>
    <cellStyle name="Currency 2 2 3 3 2 2 5 2" xfId="10032"/>
    <cellStyle name="Currency 2 2 3 3 2 2 6" xfId="10033"/>
    <cellStyle name="Currency 2 2 3 3 2 2 6 2" xfId="36291"/>
    <cellStyle name="Currency 2 2 3 3 2 2 7" xfId="10034"/>
    <cellStyle name="Currency 2 2 3 3 2 3" xfId="10035"/>
    <cellStyle name="Currency 2 2 3 3 2 3 2" xfId="10036"/>
    <cellStyle name="Currency 2 2 3 3 2 3 2 2" xfId="10037"/>
    <cellStyle name="Currency 2 2 3 3 2 3 2 2 2" xfId="10038"/>
    <cellStyle name="Currency 2 2 3 3 2 3 2 3" xfId="10039"/>
    <cellStyle name="Currency 2 2 3 3 2 3 3" xfId="10040"/>
    <cellStyle name="Currency 2 2 3 3 2 3 3 2" xfId="10041"/>
    <cellStyle name="Currency 2 2 3 3 2 3 4" xfId="10042"/>
    <cellStyle name="Currency 2 2 3 3 2 4" xfId="10043"/>
    <cellStyle name="Currency 2 2 3 3 2 4 2" xfId="10044"/>
    <cellStyle name="Currency 2 2 3 3 2 4 2 2" xfId="10045"/>
    <cellStyle name="Currency 2 2 3 3 2 4 3" xfId="10046"/>
    <cellStyle name="Currency 2 2 3 3 2 5" xfId="10047"/>
    <cellStyle name="Currency 2 2 3 3 2 5 2" xfId="10048"/>
    <cellStyle name="Currency 2 2 3 3 2 5 2 2" xfId="10049"/>
    <cellStyle name="Currency 2 2 3 3 2 5 3" xfId="10050"/>
    <cellStyle name="Currency 2 2 3 3 2 6" xfId="10051"/>
    <cellStyle name="Currency 2 2 3 3 2 6 2" xfId="10052"/>
    <cellStyle name="Currency 2 2 3 3 2 7" xfId="10053"/>
    <cellStyle name="Currency 2 2 3 3 2 7 2" xfId="36292"/>
    <cellStyle name="Currency 2 2 3 3 2 8" xfId="10054"/>
    <cellStyle name="Currency 2 2 3 3 3" xfId="10055"/>
    <cellStyle name="Currency 2 2 3 3 3 2" xfId="10056"/>
    <cellStyle name="Currency 2 2 3 3 3 2 2" xfId="10057"/>
    <cellStyle name="Currency 2 2 3 3 3 2 2 2" xfId="10058"/>
    <cellStyle name="Currency 2 2 3 3 3 2 2 3" xfId="10059"/>
    <cellStyle name="Currency 2 2 3 3 3 2 3" xfId="10060"/>
    <cellStyle name="Currency 2 2 3 3 3 2 3 2" xfId="10061"/>
    <cellStyle name="Currency 2 2 3 3 3 2 4" xfId="10062"/>
    <cellStyle name="Currency 2 2 3 3 3 3" xfId="10063"/>
    <cellStyle name="Currency 2 2 3 3 3 3 2" xfId="10064"/>
    <cellStyle name="Currency 2 2 3 3 3 3 2 2" xfId="10065"/>
    <cellStyle name="Currency 2 2 3 3 3 3 3" xfId="10066"/>
    <cellStyle name="Currency 2 2 3 3 3 4" xfId="10067"/>
    <cellStyle name="Currency 2 2 3 3 3 4 2" xfId="10068"/>
    <cellStyle name="Currency 2 2 3 3 3 4 3" xfId="10069"/>
    <cellStyle name="Currency 2 2 3 3 3 5" xfId="10070"/>
    <cellStyle name="Currency 2 2 3 3 3 5 2" xfId="10071"/>
    <cellStyle name="Currency 2 2 3 3 3 6" xfId="10072"/>
    <cellStyle name="Currency 2 2 3 3 3 6 2" xfId="36293"/>
    <cellStyle name="Currency 2 2 3 3 3 7" xfId="10073"/>
    <cellStyle name="Currency 2 2 3 3 4" xfId="10074"/>
    <cellStyle name="Currency 2 2 3 3 4 2" xfId="10075"/>
    <cellStyle name="Currency 2 2 3 3 4 2 2" xfId="10076"/>
    <cellStyle name="Currency 2 2 3 3 4 2 2 2" xfId="10077"/>
    <cellStyle name="Currency 2 2 3 3 4 2 3" xfId="10078"/>
    <cellStyle name="Currency 2 2 3 3 4 3" xfId="10079"/>
    <cellStyle name="Currency 2 2 3 3 4 3 2" xfId="10080"/>
    <cellStyle name="Currency 2 2 3 3 4 4" xfId="10081"/>
    <cellStyle name="Currency 2 2 3 3 5" xfId="10082"/>
    <cellStyle name="Currency 2 2 3 3 5 2" xfId="10083"/>
    <cellStyle name="Currency 2 2 3 3 5 2 2" xfId="10084"/>
    <cellStyle name="Currency 2 2 3 3 5 3" xfId="10085"/>
    <cellStyle name="Currency 2 2 3 3 6" xfId="10086"/>
    <cellStyle name="Currency 2 2 3 3 6 2" xfId="10087"/>
    <cellStyle name="Currency 2 2 3 3 6 2 2" xfId="10088"/>
    <cellStyle name="Currency 2 2 3 3 6 3" xfId="10089"/>
    <cellStyle name="Currency 2 2 3 3 7" xfId="10090"/>
    <cellStyle name="Currency 2 2 3 3 7 2" xfId="10091"/>
    <cellStyle name="Currency 2 2 3 3 8" xfId="10092"/>
    <cellStyle name="Currency 2 2 3 3 8 2" xfId="36294"/>
    <cellStyle name="Currency 2 2 3 3 9" xfId="10093"/>
    <cellStyle name="Currency 2 2 3 4" xfId="10094"/>
    <cellStyle name="Currency 2 2 3 4 2" xfId="10095"/>
    <cellStyle name="Currency 2 2 3 4 2 2" xfId="10096"/>
    <cellStyle name="Currency 2 2 3 4 2 2 2" xfId="10097"/>
    <cellStyle name="Currency 2 2 3 4 2 2 2 2" xfId="10098"/>
    <cellStyle name="Currency 2 2 3 4 2 2 2 2 2" xfId="10099"/>
    <cellStyle name="Currency 2 2 3 4 2 2 2 2 3" xfId="10100"/>
    <cellStyle name="Currency 2 2 3 4 2 2 2 3" xfId="10101"/>
    <cellStyle name="Currency 2 2 3 4 2 2 2 3 2" xfId="10102"/>
    <cellStyle name="Currency 2 2 3 4 2 2 2 4" xfId="10103"/>
    <cellStyle name="Currency 2 2 3 4 2 2 3" xfId="10104"/>
    <cellStyle name="Currency 2 2 3 4 2 2 3 2" xfId="10105"/>
    <cellStyle name="Currency 2 2 3 4 2 2 3 2 2" xfId="10106"/>
    <cellStyle name="Currency 2 2 3 4 2 2 3 3" xfId="10107"/>
    <cellStyle name="Currency 2 2 3 4 2 2 4" xfId="10108"/>
    <cellStyle name="Currency 2 2 3 4 2 2 4 2" xfId="10109"/>
    <cellStyle name="Currency 2 2 3 4 2 2 4 3" xfId="10110"/>
    <cellStyle name="Currency 2 2 3 4 2 2 5" xfId="10111"/>
    <cellStyle name="Currency 2 2 3 4 2 2 5 2" xfId="10112"/>
    <cellStyle name="Currency 2 2 3 4 2 2 6" xfId="10113"/>
    <cellStyle name="Currency 2 2 3 4 2 2 6 2" xfId="36295"/>
    <cellStyle name="Currency 2 2 3 4 2 2 7" xfId="10114"/>
    <cellStyle name="Currency 2 2 3 4 2 3" xfId="10115"/>
    <cellStyle name="Currency 2 2 3 4 2 3 2" xfId="10116"/>
    <cellStyle name="Currency 2 2 3 4 2 3 2 2" xfId="10117"/>
    <cellStyle name="Currency 2 2 3 4 2 3 2 2 2" xfId="10118"/>
    <cellStyle name="Currency 2 2 3 4 2 3 2 3" xfId="10119"/>
    <cellStyle name="Currency 2 2 3 4 2 3 3" xfId="10120"/>
    <cellStyle name="Currency 2 2 3 4 2 3 3 2" xfId="10121"/>
    <cellStyle name="Currency 2 2 3 4 2 3 4" xfId="10122"/>
    <cellStyle name="Currency 2 2 3 4 2 4" xfId="10123"/>
    <cellStyle name="Currency 2 2 3 4 2 4 2" xfId="10124"/>
    <cellStyle name="Currency 2 2 3 4 2 4 2 2" xfId="10125"/>
    <cellStyle name="Currency 2 2 3 4 2 4 3" xfId="10126"/>
    <cellStyle name="Currency 2 2 3 4 2 5" xfId="10127"/>
    <cellStyle name="Currency 2 2 3 4 2 5 2" xfId="10128"/>
    <cellStyle name="Currency 2 2 3 4 2 5 2 2" xfId="10129"/>
    <cellStyle name="Currency 2 2 3 4 2 5 3" xfId="10130"/>
    <cellStyle name="Currency 2 2 3 4 2 6" xfId="10131"/>
    <cellStyle name="Currency 2 2 3 4 2 6 2" xfId="10132"/>
    <cellStyle name="Currency 2 2 3 4 2 7" xfId="10133"/>
    <cellStyle name="Currency 2 2 3 4 2 7 2" xfId="36296"/>
    <cellStyle name="Currency 2 2 3 4 2 8" xfId="10134"/>
    <cellStyle name="Currency 2 2 3 4 3" xfId="10135"/>
    <cellStyle name="Currency 2 2 3 4 3 2" xfId="10136"/>
    <cellStyle name="Currency 2 2 3 4 3 2 2" xfId="10137"/>
    <cellStyle name="Currency 2 2 3 4 3 2 2 2" xfId="10138"/>
    <cellStyle name="Currency 2 2 3 4 3 2 2 3" xfId="10139"/>
    <cellStyle name="Currency 2 2 3 4 3 2 3" xfId="10140"/>
    <cellStyle name="Currency 2 2 3 4 3 2 3 2" xfId="10141"/>
    <cellStyle name="Currency 2 2 3 4 3 2 4" xfId="10142"/>
    <cellStyle name="Currency 2 2 3 4 3 3" xfId="10143"/>
    <cellStyle name="Currency 2 2 3 4 3 3 2" xfId="10144"/>
    <cellStyle name="Currency 2 2 3 4 3 3 2 2" xfId="10145"/>
    <cellStyle name="Currency 2 2 3 4 3 3 3" xfId="10146"/>
    <cellStyle name="Currency 2 2 3 4 3 4" xfId="10147"/>
    <cellStyle name="Currency 2 2 3 4 3 4 2" xfId="10148"/>
    <cellStyle name="Currency 2 2 3 4 3 4 3" xfId="10149"/>
    <cellStyle name="Currency 2 2 3 4 3 5" xfId="10150"/>
    <cellStyle name="Currency 2 2 3 4 3 5 2" xfId="10151"/>
    <cellStyle name="Currency 2 2 3 4 3 6" xfId="10152"/>
    <cellStyle name="Currency 2 2 3 4 3 6 2" xfId="36297"/>
    <cellStyle name="Currency 2 2 3 4 3 7" xfId="10153"/>
    <cellStyle name="Currency 2 2 3 4 4" xfId="10154"/>
    <cellStyle name="Currency 2 2 3 4 4 2" xfId="10155"/>
    <cellStyle name="Currency 2 2 3 4 4 2 2" xfId="10156"/>
    <cellStyle name="Currency 2 2 3 4 4 2 2 2" xfId="10157"/>
    <cellStyle name="Currency 2 2 3 4 4 2 3" xfId="10158"/>
    <cellStyle name="Currency 2 2 3 4 4 3" xfId="10159"/>
    <cellStyle name="Currency 2 2 3 4 4 3 2" xfId="10160"/>
    <cellStyle name="Currency 2 2 3 4 4 4" xfId="10161"/>
    <cellStyle name="Currency 2 2 3 4 5" xfId="10162"/>
    <cellStyle name="Currency 2 2 3 4 5 2" xfId="10163"/>
    <cellStyle name="Currency 2 2 3 4 5 2 2" xfId="10164"/>
    <cellStyle name="Currency 2 2 3 4 5 3" xfId="10165"/>
    <cellStyle name="Currency 2 2 3 4 6" xfId="10166"/>
    <cellStyle name="Currency 2 2 3 4 6 2" xfId="10167"/>
    <cellStyle name="Currency 2 2 3 4 6 2 2" xfId="10168"/>
    <cellStyle name="Currency 2 2 3 4 6 3" xfId="10169"/>
    <cellStyle name="Currency 2 2 3 4 7" xfId="10170"/>
    <cellStyle name="Currency 2 2 3 4 7 2" xfId="10171"/>
    <cellStyle name="Currency 2 2 3 4 8" xfId="10172"/>
    <cellStyle name="Currency 2 2 3 4 8 2" xfId="36298"/>
    <cellStyle name="Currency 2 2 3 4 9" xfId="10173"/>
    <cellStyle name="Currency 2 2 3 5" xfId="10174"/>
    <cellStyle name="Currency 2 2 3 5 2" xfId="10175"/>
    <cellStyle name="Currency 2 2 3 5 2 2" xfId="10176"/>
    <cellStyle name="Currency 2 2 3 5 2 2 2" xfId="10177"/>
    <cellStyle name="Currency 2 2 3 5 2 2 2 2" xfId="10178"/>
    <cellStyle name="Currency 2 2 3 5 2 2 2 3" xfId="10179"/>
    <cellStyle name="Currency 2 2 3 5 2 2 3" xfId="10180"/>
    <cellStyle name="Currency 2 2 3 5 2 2 3 2" xfId="10181"/>
    <cellStyle name="Currency 2 2 3 5 2 2 4" xfId="10182"/>
    <cellStyle name="Currency 2 2 3 5 2 3" xfId="10183"/>
    <cellStyle name="Currency 2 2 3 5 2 3 2" xfId="10184"/>
    <cellStyle name="Currency 2 2 3 5 2 3 2 2" xfId="10185"/>
    <cellStyle name="Currency 2 2 3 5 2 3 3" xfId="10186"/>
    <cellStyle name="Currency 2 2 3 5 2 4" xfId="10187"/>
    <cellStyle name="Currency 2 2 3 5 2 4 2" xfId="10188"/>
    <cellStyle name="Currency 2 2 3 5 2 4 3" xfId="10189"/>
    <cellStyle name="Currency 2 2 3 5 2 5" xfId="10190"/>
    <cellStyle name="Currency 2 2 3 5 2 5 2" xfId="10191"/>
    <cellStyle name="Currency 2 2 3 5 2 6" xfId="10192"/>
    <cellStyle name="Currency 2 2 3 5 2 6 2" xfId="36299"/>
    <cellStyle name="Currency 2 2 3 5 2 7" xfId="10193"/>
    <cellStyle name="Currency 2 2 3 5 3" xfId="10194"/>
    <cellStyle name="Currency 2 2 3 5 3 2" xfId="10195"/>
    <cellStyle name="Currency 2 2 3 5 3 2 2" xfId="10196"/>
    <cellStyle name="Currency 2 2 3 5 3 2 2 2" xfId="10197"/>
    <cellStyle name="Currency 2 2 3 5 3 2 3" xfId="10198"/>
    <cellStyle name="Currency 2 2 3 5 3 3" xfId="10199"/>
    <cellStyle name="Currency 2 2 3 5 3 3 2" xfId="10200"/>
    <cellStyle name="Currency 2 2 3 5 3 4" xfId="10201"/>
    <cellStyle name="Currency 2 2 3 5 4" xfId="10202"/>
    <cellStyle name="Currency 2 2 3 5 4 2" xfId="10203"/>
    <cellStyle name="Currency 2 2 3 5 4 2 2" xfId="10204"/>
    <cellStyle name="Currency 2 2 3 5 4 3" xfId="10205"/>
    <cellStyle name="Currency 2 2 3 5 5" xfId="10206"/>
    <cellStyle name="Currency 2 2 3 5 5 2" xfId="10207"/>
    <cellStyle name="Currency 2 2 3 5 5 2 2" xfId="10208"/>
    <cellStyle name="Currency 2 2 3 5 5 3" xfId="10209"/>
    <cellStyle name="Currency 2 2 3 5 6" xfId="10210"/>
    <cellStyle name="Currency 2 2 3 5 6 2" xfId="10211"/>
    <cellStyle name="Currency 2 2 3 5 7" xfId="10212"/>
    <cellStyle name="Currency 2 2 3 5 7 2" xfId="36300"/>
    <cellStyle name="Currency 2 2 3 5 8" xfId="10213"/>
    <cellStyle name="Currency 2 2 3 6" xfId="10214"/>
    <cellStyle name="Currency 2 2 3 6 2" xfId="10215"/>
    <cellStyle name="Currency 2 2 3 6 2 2" xfId="10216"/>
    <cellStyle name="Currency 2 2 3 6 2 2 2" xfId="10217"/>
    <cellStyle name="Currency 2 2 3 6 2 2 2 2" xfId="10218"/>
    <cellStyle name="Currency 2 2 3 6 2 2 2 3" xfId="10219"/>
    <cellStyle name="Currency 2 2 3 6 2 2 3" xfId="10220"/>
    <cellStyle name="Currency 2 2 3 6 2 2 3 2" xfId="10221"/>
    <cellStyle name="Currency 2 2 3 6 2 2 4" xfId="10222"/>
    <cellStyle name="Currency 2 2 3 6 2 3" xfId="10223"/>
    <cellStyle name="Currency 2 2 3 6 2 3 2" xfId="10224"/>
    <cellStyle name="Currency 2 2 3 6 2 3 2 2" xfId="10225"/>
    <cellStyle name="Currency 2 2 3 6 2 3 3" xfId="10226"/>
    <cellStyle name="Currency 2 2 3 6 2 4" xfId="10227"/>
    <cellStyle name="Currency 2 2 3 6 2 4 2" xfId="10228"/>
    <cellStyle name="Currency 2 2 3 6 2 4 3" xfId="10229"/>
    <cellStyle name="Currency 2 2 3 6 2 5" xfId="10230"/>
    <cellStyle name="Currency 2 2 3 6 2 5 2" xfId="10231"/>
    <cellStyle name="Currency 2 2 3 6 2 6" xfId="10232"/>
    <cellStyle name="Currency 2 2 3 6 2 6 2" xfId="36301"/>
    <cellStyle name="Currency 2 2 3 6 2 7" xfId="10233"/>
    <cellStyle name="Currency 2 2 3 6 3" xfId="10234"/>
    <cellStyle name="Currency 2 2 3 6 3 2" xfId="10235"/>
    <cellStyle name="Currency 2 2 3 6 3 2 2" xfId="10236"/>
    <cellStyle name="Currency 2 2 3 6 3 2 2 2" xfId="10237"/>
    <cellStyle name="Currency 2 2 3 6 3 2 3" xfId="10238"/>
    <cellStyle name="Currency 2 2 3 6 3 3" xfId="10239"/>
    <cellStyle name="Currency 2 2 3 6 3 3 2" xfId="10240"/>
    <cellStyle name="Currency 2 2 3 6 3 4" xfId="10241"/>
    <cellStyle name="Currency 2 2 3 6 4" xfId="10242"/>
    <cellStyle name="Currency 2 2 3 6 4 2" xfId="10243"/>
    <cellStyle name="Currency 2 2 3 6 4 2 2" xfId="10244"/>
    <cellStyle name="Currency 2 2 3 6 4 3" xfId="10245"/>
    <cellStyle name="Currency 2 2 3 6 5" xfId="10246"/>
    <cellStyle name="Currency 2 2 3 6 5 2" xfId="10247"/>
    <cellStyle name="Currency 2 2 3 6 5 2 2" xfId="10248"/>
    <cellStyle name="Currency 2 2 3 6 5 3" xfId="10249"/>
    <cellStyle name="Currency 2 2 3 6 6" xfId="10250"/>
    <cellStyle name="Currency 2 2 3 6 6 2" xfId="10251"/>
    <cellStyle name="Currency 2 2 3 6 7" xfId="10252"/>
    <cellStyle name="Currency 2 2 3 6 7 2" xfId="36302"/>
    <cellStyle name="Currency 2 2 3 6 8" xfId="10253"/>
    <cellStyle name="Currency 2 2 3 7" xfId="10254"/>
    <cellStyle name="Currency 2 2 3 7 2" xfId="10255"/>
    <cellStyle name="Currency 2 2 3 7 2 2" xfId="10256"/>
    <cellStyle name="Currency 2 2 3 7 2 2 2" xfId="10257"/>
    <cellStyle name="Currency 2 2 3 7 2 2 2 2" xfId="10258"/>
    <cellStyle name="Currency 2 2 3 7 2 2 2 3" xfId="10259"/>
    <cellStyle name="Currency 2 2 3 7 2 2 3" xfId="10260"/>
    <cellStyle name="Currency 2 2 3 7 2 2 3 2" xfId="10261"/>
    <cellStyle name="Currency 2 2 3 7 2 2 4" xfId="10262"/>
    <cellStyle name="Currency 2 2 3 7 2 3" xfId="10263"/>
    <cellStyle name="Currency 2 2 3 7 2 3 2" xfId="10264"/>
    <cellStyle name="Currency 2 2 3 7 2 3 2 2" xfId="10265"/>
    <cellStyle name="Currency 2 2 3 7 2 3 3" xfId="10266"/>
    <cellStyle name="Currency 2 2 3 7 2 4" xfId="10267"/>
    <cellStyle name="Currency 2 2 3 7 2 4 2" xfId="10268"/>
    <cellStyle name="Currency 2 2 3 7 2 4 3" xfId="10269"/>
    <cellStyle name="Currency 2 2 3 7 2 5" xfId="10270"/>
    <cellStyle name="Currency 2 2 3 7 2 5 2" xfId="10271"/>
    <cellStyle name="Currency 2 2 3 7 2 6" xfId="10272"/>
    <cellStyle name="Currency 2 2 3 7 2 6 2" xfId="36303"/>
    <cellStyle name="Currency 2 2 3 7 2 7" xfId="10273"/>
    <cellStyle name="Currency 2 2 3 7 3" xfId="10274"/>
    <cellStyle name="Currency 2 2 3 7 3 2" xfId="10275"/>
    <cellStyle name="Currency 2 2 3 7 3 2 2" xfId="10276"/>
    <cellStyle name="Currency 2 2 3 7 3 2 2 2" xfId="10277"/>
    <cellStyle name="Currency 2 2 3 7 3 2 3" xfId="10278"/>
    <cellStyle name="Currency 2 2 3 7 3 3" xfId="10279"/>
    <cellStyle name="Currency 2 2 3 7 3 3 2" xfId="10280"/>
    <cellStyle name="Currency 2 2 3 7 3 4" xfId="10281"/>
    <cellStyle name="Currency 2 2 3 7 4" xfId="10282"/>
    <cellStyle name="Currency 2 2 3 7 4 2" xfId="10283"/>
    <cellStyle name="Currency 2 2 3 7 4 2 2" xfId="10284"/>
    <cellStyle name="Currency 2 2 3 7 4 3" xfId="10285"/>
    <cellStyle name="Currency 2 2 3 7 5" xfId="10286"/>
    <cellStyle name="Currency 2 2 3 7 5 2" xfId="10287"/>
    <cellStyle name="Currency 2 2 3 7 5 2 2" xfId="10288"/>
    <cellStyle name="Currency 2 2 3 7 5 3" xfId="10289"/>
    <cellStyle name="Currency 2 2 3 7 6" xfId="10290"/>
    <cellStyle name="Currency 2 2 3 7 6 2" xfId="10291"/>
    <cellStyle name="Currency 2 2 3 7 7" xfId="10292"/>
    <cellStyle name="Currency 2 2 3 7 7 2" xfId="36304"/>
    <cellStyle name="Currency 2 2 3 7 8" xfId="10293"/>
    <cellStyle name="Currency 2 2 3 8" xfId="10294"/>
    <cellStyle name="Currency 2 2 3 8 2" xfId="10295"/>
    <cellStyle name="Currency 2 2 3 8 2 2" xfId="10296"/>
    <cellStyle name="Currency 2 2 3 8 2 2 2" xfId="10297"/>
    <cellStyle name="Currency 2 2 3 8 2 2 3" xfId="10298"/>
    <cellStyle name="Currency 2 2 3 8 2 3" xfId="10299"/>
    <cellStyle name="Currency 2 2 3 8 2 3 2" xfId="10300"/>
    <cellStyle name="Currency 2 2 3 8 2 4" xfId="10301"/>
    <cellStyle name="Currency 2 2 3 8 3" xfId="10302"/>
    <cellStyle name="Currency 2 2 3 8 3 2" xfId="10303"/>
    <cellStyle name="Currency 2 2 3 8 3 2 2" xfId="10304"/>
    <cellStyle name="Currency 2 2 3 8 3 3" xfId="10305"/>
    <cellStyle name="Currency 2 2 3 8 4" xfId="10306"/>
    <cellStyle name="Currency 2 2 3 8 4 2" xfId="10307"/>
    <cellStyle name="Currency 2 2 3 8 4 3" xfId="10308"/>
    <cellStyle name="Currency 2 2 3 8 5" xfId="10309"/>
    <cellStyle name="Currency 2 2 3 8 5 2" xfId="10310"/>
    <cellStyle name="Currency 2 2 3 8 6" xfId="10311"/>
    <cellStyle name="Currency 2 2 3 8 6 2" xfId="36305"/>
    <cellStyle name="Currency 2 2 3 8 7" xfId="10312"/>
    <cellStyle name="Currency 2 2 3 9" xfId="10313"/>
    <cellStyle name="Currency 2 2 3 9 2" xfId="10314"/>
    <cellStyle name="Currency 2 2 3 9 2 2" xfId="10315"/>
    <cellStyle name="Currency 2 2 3 9 2 2 2" xfId="10316"/>
    <cellStyle name="Currency 2 2 3 9 2 3" xfId="10317"/>
    <cellStyle name="Currency 2 2 3 9 3" xfId="10318"/>
    <cellStyle name="Currency 2 2 3 9 3 2" xfId="10319"/>
    <cellStyle name="Currency 2 2 3 9 4" xfId="10320"/>
    <cellStyle name="Currency 2 2 4" xfId="10321"/>
    <cellStyle name="Currency 2 2 4 10" xfId="10322"/>
    <cellStyle name="Currency 2 2 4 10 2" xfId="10323"/>
    <cellStyle name="Currency 2 2 4 11" xfId="10324"/>
    <cellStyle name="Currency 2 2 4 11 2" xfId="36306"/>
    <cellStyle name="Currency 2 2 4 12" xfId="10325"/>
    <cellStyle name="Currency 2 2 4 2" xfId="10326"/>
    <cellStyle name="Currency 2 2 4 2 10" xfId="10327"/>
    <cellStyle name="Currency 2 2 4 2 2" xfId="10328"/>
    <cellStyle name="Currency 2 2 4 2 2 2" xfId="10329"/>
    <cellStyle name="Currency 2 2 4 2 2 2 2" xfId="10330"/>
    <cellStyle name="Currency 2 2 4 2 2 2 2 2" xfId="10331"/>
    <cellStyle name="Currency 2 2 4 2 2 2 2 2 2" xfId="10332"/>
    <cellStyle name="Currency 2 2 4 2 2 2 2 2 2 2" xfId="10333"/>
    <cellStyle name="Currency 2 2 4 2 2 2 2 2 2 3" xfId="10334"/>
    <cellStyle name="Currency 2 2 4 2 2 2 2 2 3" xfId="10335"/>
    <cellStyle name="Currency 2 2 4 2 2 2 2 2 3 2" xfId="10336"/>
    <cellStyle name="Currency 2 2 4 2 2 2 2 2 4" xfId="10337"/>
    <cellStyle name="Currency 2 2 4 2 2 2 2 3" xfId="10338"/>
    <cellStyle name="Currency 2 2 4 2 2 2 2 3 2" xfId="10339"/>
    <cellStyle name="Currency 2 2 4 2 2 2 2 3 2 2" xfId="10340"/>
    <cellStyle name="Currency 2 2 4 2 2 2 2 3 3" xfId="10341"/>
    <cellStyle name="Currency 2 2 4 2 2 2 2 4" xfId="10342"/>
    <cellStyle name="Currency 2 2 4 2 2 2 2 4 2" xfId="10343"/>
    <cellStyle name="Currency 2 2 4 2 2 2 2 4 3" xfId="10344"/>
    <cellStyle name="Currency 2 2 4 2 2 2 2 5" xfId="10345"/>
    <cellStyle name="Currency 2 2 4 2 2 2 2 5 2" xfId="10346"/>
    <cellStyle name="Currency 2 2 4 2 2 2 2 6" xfId="10347"/>
    <cellStyle name="Currency 2 2 4 2 2 2 2 6 2" xfId="36307"/>
    <cellStyle name="Currency 2 2 4 2 2 2 2 7" xfId="10348"/>
    <cellStyle name="Currency 2 2 4 2 2 2 3" xfId="10349"/>
    <cellStyle name="Currency 2 2 4 2 2 2 3 2" xfId="10350"/>
    <cellStyle name="Currency 2 2 4 2 2 2 3 2 2" xfId="10351"/>
    <cellStyle name="Currency 2 2 4 2 2 2 3 2 2 2" xfId="10352"/>
    <cellStyle name="Currency 2 2 4 2 2 2 3 2 3" xfId="10353"/>
    <cellStyle name="Currency 2 2 4 2 2 2 3 3" xfId="10354"/>
    <cellStyle name="Currency 2 2 4 2 2 2 3 3 2" xfId="10355"/>
    <cellStyle name="Currency 2 2 4 2 2 2 3 4" xfId="10356"/>
    <cellStyle name="Currency 2 2 4 2 2 2 4" xfId="10357"/>
    <cellStyle name="Currency 2 2 4 2 2 2 4 2" xfId="10358"/>
    <cellStyle name="Currency 2 2 4 2 2 2 4 2 2" xfId="10359"/>
    <cellStyle name="Currency 2 2 4 2 2 2 4 3" xfId="10360"/>
    <cellStyle name="Currency 2 2 4 2 2 2 5" xfId="10361"/>
    <cellStyle name="Currency 2 2 4 2 2 2 5 2" xfId="10362"/>
    <cellStyle name="Currency 2 2 4 2 2 2 5 2 2" xfId="10363"/>
    <cellStyle name="Currency 2 2 4 2 2 2 5 3" xfId="10364"/>
    <cellStyle name="Currency 2 2 4 2 2 2 6" xfId="10365"/>
    <cellStyle name="Currency 2 2 4 2 2 2 6 2" xfId="10366"/>
    <cellStyle name="Currency 2 2 4 2 2 2 7" xfId="10367"/>
    <cellStyle name="Currency 2 2 4 2 2 2 7 2" xfId="36308"/>
    <cellStyle name="Currency 2 2 4 2 2 2 8" xfId="10368"/>
    <cellStyle name="Currency 2 2 4 2 2 3" xfId="10369"/>
    <cellStyle name="Currency 2 2 4 2 2 3 2" xfId="10370"/>
    <cellStyle name="Currency 2 2 4 2 2 3 2 2" xfId="10371"/>
    <cellStyle name="Currency 2 2 4 2 2 3 2 2 2" xfId="10372"/>
    <cellStyle name="Currency 2 2 4 2 2 3 2 2 3" xfId="10373"/>
    <cellStyle name="Currency 2 2 4 2 2 3 2 3" xfId="10374"/>
    <cellStyle name="Currency 2 2 4 2 2 3 2 3 2" xfId="10375"/>
    <cellStyle name="Currency 2 2 4 2 2 3 2 4" xfId="10376"/>
    <cellStyle name="Currency 2 2 4 2 2 3 3" xfId="10377"/>
    <cellStyle name="Currency 2 2 4 2 2 3 3 2" xfId="10378"/>
    <cellStyle name="Currency 2 2 4 2 2 3 3 2 2" xfId="10379"/>
    <cellStyle name="Currency 2 2 4 2 2 3 3 3" xfId="10380"/>
    <cellStyle name="Currency 2 2 4 2 2 3 4" xfId="10381"/>
    <cellStyle name="Currency 2 2 4 2 2 3 4 2" xfId="10382"/>
    <cellStyle name="Currency 2 2 4 2 2 3 4 3" xfId="10383"/>
    <cellStyle name="Currency 2 2 4 2 2 3 5" xfId="10384"/>
    <cellStyle name="Currency 2 2 4 2 2 3 5 2" xfId="10385"/>
    <cellStyle name="Currency 2 2 4 2 2 3 6" xfId="10386"/>
    <cellStyle name="Currency 2 2 4 2 2 3 6 2" xfId="36309"/>
    <cellStyle name="Currency 2 2 4 2 2 3 7" xfId="10387"/>
    <cellStyle name="Currency 2 2 4 2 2 4" xfId="10388"/>
    <cellStyle name="Currency 2 2 4 2 2 4 2" xfId="10389"/>
    <cellStyle name="Currency 2 2 4 2 2 4 2 2" xfId="10390"/>
    <cellStyle name="Currency 2 2 4 2 2 4 2 2 2" xfId="10391"/>
    <cellStyle name="Currency 2 2 4 2 2 4 2 3" xfId="10392"/>
    <cellStyle name="Currency 2 2 4 2 2 4 3" xfId="10393"/>
    <cellStyle name="Currency 2 2 4 2 2 4 3 2" xfId="10394"/>
    <cellStyle name="Currency 2 2 4 2 2 4 4" xfId="10395"/>
    <cellStyle name="Currency 2 2 4 2 2 5" xfId="10396"/>
    <cellStyle name="Currency 2 2 4 2 2 5 2" xfId="10397"/>
    <cellStyle name="Currency 2 2 4 2 2 5 2 2" xfId="10398"/>
    <cellStyle name="Currency 2 2 4 2 2 5 3" xfId="10399"/>
    <cellStyle name="Currency 2 2 4 2 2 6" xfId="10400"/>
    <cellStyle name="Currency 2 2 4 2 2 6 2" xfId="10401"/>
    <cellStyle name="Currency 2 2 4 2 2 6 2 2" xfId="10402"/>
    <cellStyle name="Currency 2 2 4 2 2 6 3" xfId="10403"/>
    <cellStyle name="Currency 2 2 4 2 2 7" xfId="10404"/>
    <cellStyle name="Currency 2 2 4 2 2 7 2" xfId="10405"/>
    <cellStyle name="Currency 2 2 4 2 2 8" xfId="10406"/>
    <cellStyle name="Currency 2 2 4 2 2 8 2" xfId="36310"/>
    <cellStyle name="Currency 2 2 4 2 2 9" xfId="10407"/>
    <cellStyle name="Currency 2 2 4 2 3" xfId="10408"/>
    <cellStyle name="Currency 2 2 4 2 3 2" xfId="10409"/>
    <cellStyle name="Currency 2 2 4 2 3 2 2" xfId="10410"/>
    <cellStyle name="Currency 2 2 4 2 3 2 2 2" xfId="10411"/>
    <cellStyle name="Currency 2 2 4 2 3 2 2 2 2" xfId="10412"/>
    <cellStyle name="Currency 2 2 4 2 3 2 2 2 3" xfId="10413"/>
    <cellStyle name="Currency 2 2 4 2 3 2 2 3" xfId="10414"/>
    <cellStyle name="Currency 2 2 4 2 3 2 2 3 2" xfId="10415"/>
    <cellStyle name="Currency 2 2 4 2 3 2 2 4" xfId="10416"/>
    <cellStyle name="Currency 2 2 4 2 3 2 3" xfId="10417"/>
    <cellStyle name="Currency 2 2 4 2 3 2 3 2" xfId="10418"/>
    <cellStyle name="Currency 2 2 4 2 3 2 3 2 2" xfId="10419"/>
    <cellStyle name="Currency 2 2 4 2 3 2 3 3" xfId="10420"/>
    <cellStyle name="Currency 2 2 4 2 3 2 4" xfId="10421"/>
    <cellStyle name="Currency 2 2 4 2 3 2 4 2" xfId="10422"/>
    <cellStyle name="Currency 2 2 4 2 3 2 4 3" xfId="10423"/>
    <cellStyle name="Currency 2 2 4 2 3 2 5" xfId="10424"/>
    <cellStyle name="Currency 2 2 4 2 3 2 5 2" xfId="10425"/>
    <cellStyle name="Currency 2 2 4 2 3 2 6" xfId="10426"/>
    <cellStyle name="Currency 2 2 4 2 3 2 6 2" xfId="36311"/>
    <cellStyle name="Currency 2 2 4 2 3 2 7" xfId="10427"/>
    <cellStyle name="Currency 2 2 4 2 3 3" xfId="10428"/>
    <cellStyle name="Currency 2 2 4 2 3 3 2" xfId="10429"/>
    <cellStyle name="Currency 2 2 4 2 3 3 2 2" xfId="10430"/>
    <cellStyle name="Currency 2 2 4 2 3 3 2 2 2" xfId="10431"/>
    <cellStyle name="Currency 2 2 4 2 3 3 2 3" xfId="10432"/>
    <cellStyle name="Currency 2 2 4 2 3 3 3" xfId="10433"/>
    <cellStyle name="Currency 2 2 4 2 3 3 3 2" xfId="10434"/>
    <cellStyle name="Currency 2 2 4 2 3 3 4" xfId="10435"/>
    <cellStyle name="Currency 2 2 4 2 3 4" xfId="10436"/>
    <cellStyle name="Currency 2 2 4 2 3 4 2" xfId="10437"/>
    <cellStyle name="Currency 2 2 4 2 3 4 2 2" xfId="10438"/>
    <cellStyle name="Currency 2 2 4 2 3 4 3" xfId="10439"/>
    <cellStyle name="Currency 2 2 4 2 3 5" xfId="10440"/>
    <cellStyle name="Currency 2 2 4 2 3 5 2" xfId="10441"/>
    <cellStyle name="Currency 2 2 4 2 3 5 2 2" xfId="10442"/>
    <cellStyle name="Currency 2 2 4 2 3 5 3" xfId="10443"/>
    <cellStyle name="Currency 2 2 4 2 3 6" xfId="10444"/>
    <cellStyle name="Currency 2 2 4 2 3 6 2" xfId="10445"/>
    <cellStyle name="Currency 2 2 4 2 3 7" xfId="10446"/>
    <cellStyle name="Currency 2 2 4 2 3 7 2" xfId="36312"/>
    <cellStyle name="Currency 2 2 4 2 3 8" xfId="10447"/>
    <cellStyle name="Currency 2 2 4 2 4" xfId="10448"/>
    <cellStyle name="Currency 2 2 4 2 4 2" xfId="10449"/>
    <cellStyle name="Currency 2 2 4 2 4 2 2" xfId="10450"/>
    <cellStyle name="Currency 2 2 4 2 4 2 2 2" xfId="10451"/>
    <cellStyle name="Currency 2 2 4 2 4 2 2 3" xfId="10452"/>
    <cellStyle name="Currency 2 2 4 2 4 2 3" xfId="10453"/>
    <cellStyle name="Currency 2 2 4 2 4 2 3 2" xfId="10454"/>
    <cellStyle name="Currency 2 2 4 2 4 2 4" xfId="10455"/>
    <cellStyle name="Currency 2 2 4 2 4 3" xfId="10456"/>
    <cellStyle name="Currency 2 2 4 2 4 3 2" xfId="10457"/>
    <cellStyle name="Currency 2 2 4 2 4 3 2 2" xfId="10458"/>
    <cellStyle name="Currency 2 2 4 2 4 3 3" xfId="10459"/>
    <cellStyle name="Currency 2 2 4 2 4 4" xfId="10460"/>
    <cellStyle name="Currency 2 2 4 2 4 4 2" xfId="10461"/>
    <cellStyle name="Currency 2 2 4 2 4 4 3" xfId="10462"/>
    <cellStyle name="Currency 2 2 4 2 4 5" xfId="10463"/>
    <cellStyle name="Currency 2 2 4 2 4 5 2" xfId="10464"/>
    <cellStyle name="Currency 2 2 4 2 4 6" xfId="10465"/>
    <cellStyle name="Currency 2 2 4 2 4 6 2" xfId="36313"/>
    <cellStyle name="Currency 2 2 4 2 4 7" xfId="10466"/>
    <cellStyle name="Currency 2 2 4 2 5" xfId="10467"/>
    <cellStyle name="Currency 2 2 4 2 5 2" xfId="10468"/>
    <cellStyle name="Currency 2 2 4 2 5 2 2" xfId="10469"/>
    <cellStyle name="Currency 2 2 4 2 5 2 2 2" xfId="10470"/>
    <cellStyle name="Currency 2 2 4 2 5 2 3" xfId="10471"/>
    <cellStyle name="Currency 2 2 4 2 5 3" xfId="10472"/>
    <cellStyle name="Currency 2 2 4 2 5 3 2" xfId="10473"/>
    <cellStyle name="Currency 2 2 4 2 5 4" xfId="10474"/>
    <cellStyle name="Currency 2 2 4 2 6" xfId="10475"/>
    <cellStyle name="Currency 2 2 4 2 6 2" xfId="10476"/>
    <cellStyle name="Currency 2 2 4 2 6 2 2" xfId="10477"/>
    <cellStyle name="Currency 2 2 4 2 6 3" xfId="10478"/>
    <cellStyle name="Currency 2 2 4 2 7" xfId="10479"/>
    <cellStyle name="Currency 2 2 4 2 7 2" xfId="10480"/>
    <cellStyle name="Currency 2 2 4 2 7 2 2" xfId="10481"/>
    <cellStyle name="Currency 2 2 4 2 7 3" xfId="10482"/>
    <cellStyle name="Currency 2 2 4 2 8" xfId="10483"/>
    <cellStyle name="Currency 2 2 4 2 8 2" xfId="10484"/>
    <cellStyle name="Currency 2 2 4 2 9" xfId="10485"/>
    <cellStyle name="Currency 2 2 4 2 9 2" xfId="36314"/>
    <cellStyle name="Currency 2 2 4 3" xfId="10486"/>
    <cellStyle name="Currency 2 2 4 3 2" xfId="10487"/>
    <cellStyle name="Currency 2 2 4 3 2 2" xfId="10488"/>
    <cellStyle name="Currency 2 2 4 3 2 2 2" xfId="10489"/>
    <cellStyle name="Currency 2 2 4 3 2 2 2 2" xfId="10490"/>
    <cellStyle name="Currency 2 2 4 3 2 2 2 2 2" xfId="10491"/>
    <cellStyle name="Currency 2 2 4 3 2 2 2 2 3" xfId="10492"/>
    <cellStyle name="Currency 2 2 4 3 2 2 2 3" xfId="10493"/>
    <cellStyle name="Currency 2 2 4 3 2 2 2 3 2" xfId="10494"/>
    <cellStyle name="Currency 2 2 4 3 2 2 2 4" xfId="10495"/>
    <cellStyle name="Currency 2 2 4 3 2 2 3" xfId="10496"/>
    <cellStyle name="Currency 2 2 4 3 2 2 3 2" xfId="10497"/>
    <cellStyle name="Currency 2 2 4 3 2 2 3 2 2" xfId="10498"/>
    <cellStyle name="Currency 2 2 4 3 2 2 3 3" xfId="10499"/>
    <cellStyle name="Currency 2 2 4 3 2 2 4" xfId="10500"/>
    <cellStyle name="Currency 2 2 4 3 2 2 4 2" xfId="10501"/>
    <cellStyle name="Currency 2 2 4 3 2 2 4 3" xfId="10502"/>
    <cellStyle name="Currency 2 2 4 3 2 2 5" xfId="10503"/>
    <cellStyle name="Currency 2 2 4 3 2 2 5 2" xfId="10504"/>
    <cellStyle name="Currency 2 2 4 3 2 2 6" xfId="10505"/>
    <cellStyle name="Currency 2 2 4 3 2 2 6 2" xfId="36315"/>
    <cellStyle name="Currency 2 2 4 3 2 2 7" xfId="10506"/>
    <cellStyle name="Currency 2 2 4 3 2 3" xfId="10507"/>
    <cellStyle name="Currency 2 2 4 3 2 3 2" xfId="10508"/>
    <cellStyle name="Currency 2 2 4 3 2 3 2 2" xfId="10509"/>
    <cellStyle name="Currency 2 2 4 3 2 3 2 2 2" xfId="10510"/>
    <cellStyle name="Currency 2 2 4 3 2 3 2 3" xfId="10511"/>
    <cellStyle name="Currency 2 2 4 3 2 3 3" xfId="10512"/>
    <cellStyle name="Currency 2 2 4 3 2 3 3 2" xfId="10513"/>
    <cellStyle name="Currency 2 2 4 3 2 3 4" xfId="10514"/>
    <cellStyle name="Currency 2 2 4 3 2 4" xfId="10515"/>
    <cellStyle name="Currency 2 2 4 3 2 4 2" xfId="10516"/>
    <cellStyle name="Currency 2 2 4 3 2 4 2 2" xfId="10517"/>
    <cellStyle name="Currency 2 2 4 3 2 4 3" xfId="10518"/>
    <cellStyle name="Currency 2 2 4 3 2 5" xfId="10519"/>
    <cellStyle name="Currency 2 2 4 3 2 5 2" xfId="10520"/>
    <cellStyle name="Currency 2 2 4 3 2 5 2 2" xfId="10521"/>
    <cellStyle name="Currency 2 2 4 3 2 5 3" xfId="10522"/>
    <cellStyle name="Currency 2 2 4 3 2 6" xfId="10523"/>
    <cellStyle name="Currency 2 2 4 3 2 6 2" xfId="10524"/>
    <cellStyle name="Currency 2 2 4 3 2 7" xfId="10525"/>
    <cellStyle name="Currency 2 2 4 3 2 7 2" xfId="36316"/>
    <cellStyle name="Currency 2 2 4 3 2 8" xfId="10526"/>
    <cellStyle name="Currency 2 2 4 3 3" xfId="10527"/>
    <cellStyle name="Currency 2 2 4 3 3 2" xfId="10528"/>
    <cellStyle name="Currency 2 2 4 3 3 2 2" xfId="10529"/>
    <cellStyle name="Currency 2 2 4 3 3 2 2 2" xfId="10530"/>
    <cellStyle name="Currency 2 2 4 3 3 2 2 3" xfId="10531"/>
    <cellStyle name="Currency 2 2 4 3 3 2 3" xfId="10532"/>
    <cellStyle name="Currency 2 2 4 3 3 2 3 2" xfId="10533"/>
    <cellStyle name="Currency 2 2 4 3 3 2 4" xfId="10534"/>
    <cellStyle name="Currency 2 2 4 3 3 3" xfId="10535"/>
    <cellStyle name="Currency 2 2 4 3 3 3 2" xfId="10536"/>
    <cellStyle name="Currency 2 2 4 3 3 3 2 2" xfId="10537"/>
    <cellStyle name="Currency 2 2 4 3 3 3 3" xfId="10538"/>
    <cellStyle name="Currency 2 2 4 3 3 4" xfId="10539"/>
    <cellStyle name="Currency 2 2 4 3 3 4 2" xfId="10540"/>
    <cellStyle name="Currency 2 2 4 3 3 4 3" xfId="10541"/>
    <cellStyle name="Currency 2 2 4 3 3 5" xfId="10542"/>
    <cellStyle name="Currency 2 2 4 3 3 5 2" xfId="10543"/>
    <cellStyle name="Currency 2 2 4 3 3 6" xfId="10544"/>
    <cellStyle name="Currency 2 2 4 3 3 6 2" xfId="36317"/>
    <cellStyle name="Currency 2 2 4 3 3 7" xfId="10545"/>
    <cellStyle name="Currency 2 2 4 3 4" xfId="10546"/>
    <cellStyle name="Currency 2 2 4 3 4 2" xfId="10547"/>
    <cellStyle name="Currency 2 2 4 3 4 2 2" xfId="10548"/>
    <cellStyle name="Currency 2 2 4 3 4 2 2 2" xfId="10549"/>
    <cellStyle name="Currency 2 2 4 3 4 2 3" xfId="10550"/>
    <cellStyle name="Currency 2 2 4 3 4 3" xfId="10551"/>
    <cellStyle name="Currency 2 2 4 3 4 3 2" xfId="10552"/>
    <cellStyle name="Currency 2 2 4 3 4 4" xfId="10553"/>
    <cellStyle name="Currency 2 2 4 3 5" xfId="10554"/>
    <cellStyle name="Currency 2 2 4 3 5 2" xfId="10555"/>
    <cellStyle name="Currency 2 2 4 3 5 2 2" xfId="10556"/>
    <cellStyle name="Currency 2 2 4 3 5 3" xfId="10557"/>
    <cellStyle name="Currency 2 2 4 3 6" xfId="10558"/>
    <cellStyle name="Currency 2 2 4 3 6 2" xfId="10559"/>
    <cellStyle name="Currency 2 2 4 3 6 2 2" xfId="10560"/>
    <cellStyle name="Currency 2 2 4 3 6 3" xfId="10561"/>
    <cellStyle name="Currency 2 2 4 3 7" xfId="10562"/>
    <cellStyle name="Currency 2 2 4 3 7 2" xfId="10563"/>
    <cellStyle name="Currency 2 2 4 3 8" xfId="10564"/>
    <cellStyle name="Currency 2 2 4 3 8 2" xfId="36318"/>
    <cellStyle name="Currency 2 2 4 3 9" xfId="10565"/>
    <cellStyle name="Currency 2 2 4 4" xfId="10566"/>
    <cellStyle name="Currency 2 2 4 4 2" xfId="10567"/>
    <cellStyle name="Currency 2 2 4 4 2 2" xfId="10568"/>
    <cellStyle name="Currency 2 2 4 4 2 2 2" xfId="10569"/>
    <cellStyle name="Currency 2 2 4 4 2 2 2 2" xfId="10570"/>
    <cellStyle name="Currency 2 2 4 4 2 2 2 3" xfId="10571"/>
    <cellStyle name="Currency 2 2 4 4 2 2 3" xfId="10572"/>
    <cellStyle name="Currency 2 2 4 4 2 2 3 2" xfId="10573"/>
    <cellStyle name="Currency 2 2 4 4 2 2 4" xfId="10574"/>
    <cellStyle name="Currency 2 2 4 4 2 3" xfId="10575"/>
    <cellStyle name="Currency 2 2 4 4 2 3 2" xfId="10576"/>
    <cellStyle name="Currency 2 2 4 4 2 3 2 2" xfId="10577"/>
    <cellStyle name="Currency 2 2 4 4 2 3 3" xfId="10578"/>
    <cellStyle name="Currency 2 2 4 4 2 4" xfId="10579"/>
    <cellStyle name="Currency 2 2 4 4 2 4 2" xfId="10580"/>
    <cellStyle name="Currency 2 2 4 4 2 4 3" xfId="10581"/>
    <cellStyle name="Currency 2 2 4 4 2 5" xfId="10582"/>
    <cellStyle name="Currency 2 2 4 4 2 5 2" xfId="10583"/>
    <cellStyle name="Currency 2 2 4 4 2 6" xfId="10584"/>
    <cellStyle name="Currency 2 2 4 4 2 6 2" xfId="36319"/>
    <cellStyle name="Currency 2 2 4 4 2 7" xfId="10585"/>
    <cellStyle name="Currency 2 2 4 4 3" xfId="10586"/>
    <cellStyle name="Currency 2 2 4 4 3 2" xfId="10587"/>
    <cellStyle name="Currency 2 2 4 4 3 2 2" xfId="10588"/>
    <cellStyle name="Currency 2 2 4 4 3 2 2 2" xfId="10589"/>
    <cellStyle name="Currency 2 2 4 4 3 2 3" xfId="10590"/>
    <cellStyle name="Currency 2 2 4 4 3 3" xfId="10591"/>
    <cellStyle name="Currency 2 2 4 4 3 3 2" xfId="10592"/>
    <cellStyle name="Currency 2 2 4 4 3 4" xfId="10593"/>
    <cellStyle name="Currency 2 2 4 4 4" xfId="10594"/>
    <cellStyle name="Currency 2 2 4 4 4 2" xfId="10595"/>
    <cellStyle name="Currency 2 2 4 4 4 2 2" xfId="10596"/>
    <cellStyle name="Currency 2 2 4 4 4 3" xfId="10597"/>
    <cellStyle name="Currency 2 2 4 4 5" xfId="10598"/>
    <cellStyle name="Currency 2 2 4 4 5 2" xfId="10599"/>
    <cellStyle name="Currency 2 2 4 4 5 2 2" xfId="10600"/>
    <cellStyle name="Currency 2 2 4 4 5 3" xfId="10601"/>
    <cellStyle name="Currency 2 2 4 4 6" xfId="10602"/>
    <cellStyle name="Currency 2 2 4 4 6 2" xfId="10603"/>
    <cellStyle name="Currency 2 2 4 4 7" xfId="10604"/>
    <cellStyle name="Currency 2 2 4 4 7 2" xfId="36320"/>
    <cellStyle name="Currency 2 2 4 4 8" xfId="10605"/>
    <cellStyle name="Currency 2 2 4 5" xfId="10606"/>
    <cellStyle name="Currency 2 2 4 5 2" xfId="10607"/>
    <cellStyle name="Currency 2 2 4 5 2 2" xfId="10608"/>
    <cellStyle name="Currency 2 2 4 5 2 2 2" xfId="10609"/>
    <cellStyle name="Currency 2 2 4 5 2 2 2 2" xfId="10610"/>
    <cellStyle name="Currency 2 2 4 5 2 2 2 3" xfId="10611"/>
    <cellStyle name="Currency 2 2 4 5 2 2 3" xfId="10612"/>
    <cellStyle name="Currency 2 2 4 5 2 2 3 2" xfId="10613"/>
    <cellStyle name="Currency 2 2 4 5 2 2 4" xfId="10614"/>
    <cellStyle name="Currency 2 2 4 5 2 3" xfId="10615"/>
    <cellStyle name="Currency 2 2 4 5 2 3 2" xfId="10616"/>
    <cellStyle name="Currency 2 2 4 5 2 3 2 2" xfId="10617"/>
    <cellStyle name="Currency 2 2 4 5 2 3 3" xfId="10618"/>
    <cellStyle name="Currency 2 2 4 5 2 4" xfId="10619"/>
    <cellStyle name="Currency 2 2 4 5 2 4 2" xfId="10620"/>
    <cellStyle name="Currency 2 2 4 5 2 4 3" xfId="10621"/>
    <cellStyle name="Currency 2 2 4 5 2 5" xfId="10622"/>
    <cellStyle name="Currency 2 2 4 5 2 5 2" xfId="10623"/>
    <cellStyle name="Currency 2 2 4 5 2 6" xfId="10624"/>
    <cellStyle name="Currency 2 2 4 5 2 6 2" xfId="36321"/>
    <cellStyle name="Currency 2 2 4 5 2 7" xfId="10625"/>
    <cellStyle name="Currency 2 2 4 5 3" xfId="10626"/>
    <cellStyle name="Currency 2 2 4 5 3 2" xfId="10627"/>
    <cellStyle name="Currency 2 2 4 5 3 2 2" xfId="10628"/>
    <cellStyle name="Currency 2 2 4 5 3 2 2 2" xfId="10629"/>
    <cellStyle name="Currency 2 2 4 5 3 2 3" xfId="10630"/>
    <cellStyle name="Currency 2 2 4 5 3 3" xfId="10631"/>
    <cellStyle name="Currency 2 2 4 5 3 3 2" xfId="10632"/>
    <cellStyle name="Currency 2 2 4 5 3 4" xfId="10633"/>
    <cellStyle name="Currency 2 2 4 5 4" xfId="10634"/>
    <cellStyle name="Currency 2 2 4 5 4 2" xfId="10635"/>
    <cellStyle name="Currency 2 2 4 5 4 2 2" xfId="10636"/>
    <cellStyle name="Currency 2 2 4 5 4 3" xfId="10637"/>
    <cellStyle name="Currency 2 2 4 5 5" xfId="10638"/>
    <cellStyle name="Currency 2 2 4 5 5 2" xfId="10639"/>
    <cellStyle name="Currency 2 2 4 5 5 2 2" xfId="10640"/>
    <cellStyle name="Currency 2 2 4 5 5 3" xfId="10641"/>
    <cellStyle name="Currency 2 2 4 5 6" xfId="10642"/>
    <cellStyle name="Currency 2 2 4 5 6 2" xfId="10643"/>
    <cellStyle name="Currency 2 2 4 5 7" xfId="10644"/>
    <cellStyle name="Currency 2 2 4 5 7 2" xfId="36322"/>
    <cellStyle name="Currency 2 2 4 5 8" xfId="10645"/>
    <cellStyle name="Currency 2 2 4 6" xfId="10646"/>
    <cellStyle name="Currency 2 2 4 6 2" xfId="10647"/>
    <cellStyle name="Currency 2 2 4 6 2 2" xfId="10648"/>
    <cellStyle name="Currency 2 2 4 6 2 2 2" xfId="10649"/>
    <cellStyle name="Currency 2 2 4 6 2 2 3" xfId="10650"/>
    <cellStyle name="Currency 2 2 4 6 2 3" xfId="10651"/>
    <cellStyle name="Currency 2 2 4 6 2 3 2" xfId="10652"/>
    <cellStyle name="Currency 2 2 4 6 2 4" xfId="10653"/>
    <cellStyle name="Currency 2 2 4 6 3" xfId="10654"/>
    <cellStyle name="Currency 2 2 4 6 3 2" xfId="10655"/>
    <cellStyle name="Currency 2 2 4 6 3 2 2" xfId="10656"/>
    <cellStyle name="Currency 2 2 4 6 3 3" xfId="10657"/>
    <cellStyle name="Currency 2 2 4 6 4" xfId="10658"/>
    <cellStyle name="Currency 2 2 4 6 4 2" xfId="10659"/>
    <cellStyle name="Currency 2 2 4 6 4 3" xfId="10660"/>
    <cellStyle name="Currency 2 2 4 6 5" xfId="10661"/>
    <cellStyle name="Currency 2 2 4 6 5 2" xfId="10662"/>
    <cellStyle name="Currency 2 2 4 6 6" xfId="10663"/>
    <cellStyle name="Currency 2 2 4 6 6 2" xfId="36323"/>
    <cellStyle name="Currency 2 2 4 6 7" xfId="10664"/>
    <cellStyle name="Currency 2 2 4 7" xfId="10665"/>
    <cellStyle name="Currency 2 2 4 7 2" xfId="10666"/>
    <cellStyle name="Currency 2 2 4 7 2 2" xfId="10667"/>
    <cellStyle name="Currency 2 2 4 7 2 2 2" xfId="10668"/>
    <cellStyle name="Currency 2 2 4 7 2 3" xfId="10669"/>
    <cellStyle name="Currency 2 2 4 7 3" xfId="10670"/>
    <cellStyle name="Currency 2 2 4 7 3 2" xfId="10671"/>
    <cellStyle name="Currency 2 2 4 7 4" xfId="10672"/>
    <cellStyle name="Currency 2 2 4 8" xfId="10673"/>
    <cellStyle name="Currency 2 2 4 8 2" xfId="10674"/>
    <cellStyle name="Currency 2 2 4 8 2 2" xfId="10675"/>
    <cellStyle name="Currency 2 2 4 8 3" xfId="10676"/>
    <cellStyle name="Currency 2 2 4 9" xfId="10677"/>
    <cellStyle name="Currency 2 2 4 9 2" xfId="10678"/>
    <cellStyle name="Currency 2 2 4 9 2 2" xfId="10679"/>
    <cellStyle name="Currency 2 2 4 9 3" xfId="10680"/>
    <cellStyle name="Currency 2 2 5" xfId="10681"/>
    <cellStyle name="Currency 2 2 5 10" xfId="10682"/>
    <cellStyle name="Currency 2 2 5 10 2" xfId="10683"/>
    <cellStyle name="Currency 2 2 5 11" xfId="10684"/>
    <cellStyle name="Currency 2 2 5 11 2" xfId="36324"/>
    <cellStyle name="Currency 2 2 5 12" xfId="10685"/>
    <cellStyle name="Currency 2 2 5 2" xfId="10686"/>
    <cellStyle name="Currency 2 2 5 2 10" xfId="10687"/>
    <cellStyle name="Currency 2 2 5 2 2" xfId="10688"/>
    <cellStyle name="Currency 2 2 5 2 2 2" xfId="10689"/>
    <cellStyle name="Currency 2 2 5 2 2 2 2" xfId="10690"/>
    <cellStyle name="Currency 2 2 5 2 2 2 2 2" xfId="10691"/>
    <cellStyle name="Currency 2 2 5 2 2 2 2 2 2" xfId="10692"/>
    <cellStyle name="Currency 2 2 5 2 2 2 2 2 2 2" xfId="10693"/>
    <cellStyle name="Currency 2 2 5 2 2 2 2 2 2 3" xfId="10694"/>
    <cellStyle name="Currency 2 2 5 2 2 2 2 2 3" xfId="10695"/>
    <cellStyle name="Currency 2 2 5 2 2 2 2 2 3 2" xfId="10696"/>
    <cellStyle name="Currency 2 2 5 2 2 2 2 2 4" xfId="10697"/>
    <cellStyle name="Currency 2 2 5 2 2 2 2 3" xfId="10698"/>
    <cellStyle name="Currency 2 2 5 2 2 2 2 3 2" xfId="10699"/>
    <cellStyle name="Currency 2 2 5 2 2 2 2 3 2 2" xfId="10700"/>
    <cellStyle name="Currency 2 2 5 2 2 2 2 3 3" xfId="10701"/>
    <cellStyle name="Currency 2 2 5 2 2 2 2 4" xfId="10702"/>
    <cellStyle name="Currency 2 2 5 2 2 2 2 4 2" xfId="10703"/>
    <cellStyle name="Currency 2 2 5 2 2 2 2 4 3" xfId="10704"/>
    <cellStyle name="Currency 2 2 5 2 2 2 2 5" xfId="10705"/>
    <cellStyle name="Currency 2 2 5 2 2 2 2 5 2" xfId="10706"/>
    <cellStyle name="Currency 2 2 5 2 2 2 2 6" xfId="10707"/>
    <cellStyle name="Currency 2 2 5 2 2 2 2 6 2" xfId="36325"/>
    <cellStyle name="Currency 2 2 5 2 2 2 2 7" xfId="10708"/>
    <cellStyle name="Currency 2 2 5 2 2 2 3" xfId="10709"/>
    <cellStyle name="Currency 2 2 5 2 2 2 3 2" xfId="10710"/>
    <cellStyle name="Currency 2 2 5 2 2 2 3 2 2" xfId="10711"/>
    <cellStyle name="Currency 2 2 5 2 2 2 3 2 2 2" xfId="10712"/>
    <cellStyle name="Currency 2 2 5 2 2 2 3 2 3" xfId="10713"/>
    <cellStyle name="Currency 2 2 5 2 2 2 3 3" xfId="10714"/>
    <cellStyle name="Currency 2 2 5 2 2 2 3 3 2" xfId="10715"/>
    <cellStyle name="Currency 2 2 5 2 2 2 3 4" xfId="10716"/>
    <cellStyle name="Currency 2 2 5 2 2 2 4" xfId="10717"/>
    <cellStyle name="Currency 2 2 5 2 2 2 4 2" xfId="10718"/>
    <cellStyle name="Currency 2 2 5 2 2 2 4 2 2" xfId="10719"/>
    <cellStyle name="Currency 2 2 5 2 2 2 4 3" xfId="10720"/>
    <cellStyle name="Currency 2 2 5 2 2 2 5" xfId="10721"/>
    <cellStyle name="Currency 2 2 5 2 2 2 5 2" xfId="10722"/>
    <cellStyle name="Currency 2 2 5 2 2 2 5 2 2" xfId="10723"/>
    <cellStyle name="Currency 2 2 5 2 2 2 5 3" xfId="10724"/>
    <cellStyle name="Currency 2 2 5 2 2 2 6" xfId="10725"/>
    <cellStyle name="Currency 2 2 5 2 2 2 6 2" xfId="10726"/>
    <cellStyle name="Currency 2 2 5 2 2 2 7" xfId="10727"/>
    <cellStyle name="Currency 2 2 5 2 2 2 7 2" xfId="36326"/>
    <cellStyle name="Currency 2 2 5 2 2 2 8" xfId="10728"/>
    <cellStyle name="Currency 2 2 5 2 2 3" xfId="10729"/>
    <cellStyle name="Currency 2 2 5 2 2 3 2" xfId="10730"/>
    <cellStyle name="Currency 2 2 5 2 2 3 2 2" xfId="10731"/>
    <cellStyle name="Currency 2 2 5 2 2 3 2 2 2" xfId="10732"/>
    <cellStyle name="Currency 2 2 5 2 2 3 2 2 3" xfId="10733"/>
    <cellStyle name="Currency 2 2 5 2 2 3 2 3" xfId="10734"/>
    <cellStyle name="Currency 2 2 5 2 2 3 2 3 2" xfId="10735"/>
    <cellStyle name="Currency 2 2 5 2 2 3 2 4" xfId="10736"/>
    <cellStyle name="Currency 2 2 5 2 2 3 3" xfId="10737"/>
    <cellStyle name="Currency 2 2 5 2 2 3 3 2" xfId="10738"/>
    <cellStyle name="Currency 2 2 5 2 2 3 3 2 2" xfId="10739"/>
    <cellStyle name="Currency 2 2 5 2 2 3 3 3" xfId="10740"/>
    <cellStyle name="Currency 2 2 5 2 2 3 4" xfId="10741"/>
    <cellStyle name="Currency 2 2 5 2 2 3 4 2" xfId="10742"/>
    <cellStyle name="Currency 2 2 5 2 2 3 4 3" xfId="10743"/>
    <cellStyle name="Currency 2 2 5 2 2 3 5" xfId="10744"/>
    <cellStyle name="Currency 2 2 5 2 2 3 5 2" xfId="10745"/>
    <cellStyle name="Currency 2 2 5 2 2 3 6" xfId="10746"/>
    <cellStyle name="Currency 2 2 5 2 2 3 6 2" xfId="36327"/>
    <cellStyle name="Currency 2 2 5 2 2 3 7" xfId="10747"/>
    <cellStyle name="Currency 2 2 5 2 2 4" xfId="10748"/>
    <cellStyle name="Currency 2 2 5 2 2 4 2" xfId="10749"/>
    <cellStyle name="Currency 2 2 5 2 2 4 2 2" xfId="10750"/>
    <cellStyle name="Currency 2 2 5 2 2 4 2 2 2" xfId="10751"/>
    <cellStyle name="Currency 2 2 5 2 2 4 2 3" xfId="10752"/>
    <cellStyle name="Currency 2 2 5 2 2 4 3" xfId="10753"/>
    <cellStyle name="Currency 2 2 5 2 2 4 3 2" xfId="10754"/>
    <cellStyle name="Currency 2 2 5 2 2 4 4" xfId="10755"/>
    <cellStyle name="Currency 2 2 5 2 2 5" xfId="10756"/>
    <cellStyle name="Currency 2 2 5 2 2 5 2" xfId="10757"/>
    <cellStyle name="Currency 2 2 5 2 2 5 2 2" xfId="10758"/>
    <cellStyle name="Currency 2 2 5 2 2 5 3" xfId="10759"/>
    <cellStyle name="Currency 2 2 5 2 2 6" xfId="10760"/>
    <cellStyle name="Currency 2 2 5 2 2 6 2" xfId="10761"/>
    <cellStyle name="Currency 2 2 5 2 2 6 2 2" xfId="10762"/>
    <cellStyle name="Currency 2 2 5 2 2 6 3" xfId="10763"/>
    <cellStyle name="Currency 2 2 5 2 2 7" xfId="10764"/>
    <cellStyle name="Currency 2 2 5 2 2 7 2" xfId="10765"/>
    <cellStyle name="Currency 2 2 5 2 2 8" xfId="10766"/>
    <cellStyle name="Currency 2 2 5 2 2 8 2" xfId="36328"/>
    <cellStyle name="Currency 2 2 5 2 2 9" xfId="10767"/>
    <cellStyle name="Currency 2 2 5 2 3" xfId="10768"/>
    <cellStyle name="Currency 2 2 5 2 3 2" xfId="10769"/>
    <cellStyle name="Currency 2 2 5 2 3 2 2" xfId="10770"/>
    <cellStyle name="Currency 2 2 5 2 3 2 2 2" xfId="10771"/>
    <cellStyle name="Currency 2 2 5 2 3 2 2 2 2" xfId="10772"/>
    <cellStyle name="Currency 2 2 5 2 3 2 2 2 3" xfId="10773"/>
    <cellStyle name="Currency 2 2 5 2 3 2 2 3" xfId="10774"/>
    <cellStyle name="Currency 2 2 5 2 3 2 2 3 2" xfId="10775"/>
    <cellStyle name="Currency 2 2 5 2 3 2 2 4" xfId="10776"/>
    <cellStyle name="Currency 2 2 5 2 3 2 3" xfId="10777"/>
    <cellStyle name="Currency 2 2 5 2 3 2 3 2" xfId="10778"/>
    <cellStyle name="Currency 2 2 5 2 3 2 3 2 2" xfId="10779"/>
    <cellStyle name="Currency 2 2 5 2 3 2 3 3" xfId="10780"/>
    <cellStyle name="Currency 2 2 5 2 3 2 4" xfId="10781"/>
    <cellStyle name="Currency 2 2 5 2 3 2 4 2" xfId="10782"/>
    <cellStyle name="Currency 2 2 5 2 3 2 4 3" xfId="10783"/>
    <cellStyle name="Currency 2 2 5 2 3 2 5" xfId="10784"/>
    <cellStyle name="Currency 2 2 5 2 3 2 5 2" xfId="10785"/>
    <cellStyle name="Currency 2 2 5 2 3 2 6" xfId="10786"/>
    <cellStyle name="Currency 2 2 5 2 3 2 6 2" xfId="36329"/>
    <cellStyle name="Currency 2 2 5 2 3 2 7" xfId="10787"/>
    <cellStyle name="Currency 2 2 5 2 3 3" xfId="10788"/>
    <cellStyle name="Currency 2 2 5 2 3 3 2" xfId="10789"/>
    <cellStyle name="Currency 2 2 5 2 3 3 2 2" xfId="10790"/>
    <cellStyle name="Currency 2 2 5 2 3 3 2 2 2" xfId="10791"/>
    <cellStyle name="Currency 2 2 5 2 3 3 2 3" xfId="10792"/>
    <cellStyle name="Currency 2 2 5 2 3 3 3" xfId="10793"/>
    <cellStyle name="Currency 2 2 5 2 3 3 3 2" xfId="10794"/>
    <cellStyle name="Currency 2 2 5 2 3 3 4" xfId="10795"/>
    <cellStyle name="Currency 2 2 5 2 3 4" xfId="10796"/>
    <cellStyle name="Currency 2 2 5 2 3 4 2" xfId="10797"/>
    <cellStyle name="Currency 2 2 5 2 3 4 2 2" xfId="10798"/>
    <cellStyle name="Currency 2 2 5 2 3 4 3" xfId="10799"/>
    <cellStyle name="Currency 2 2 5 2 3 5" xfId="10800"/>
    <cellStyle name="Currency 2 2 5 2 3 5 2" xfId="10801"/>
    <cellStyle name="Currency 2 2 5 2 3 5 2 2" xfId="10802"/>
    <cellStyle name="Currency 2 2 5 2 3 5 3" xfId="10803"/>
    <cellStyle name="Currency 2 2 5 2 3 6" xfId="10804"/>
    <cellStyle name="Currency 2 2 5 2 3 6 2" xfId="10805"/>
    <cellStyle name="Currency 2 2 5 2 3 7" xfId="10806"/>
    <cellStyle name="Currency 2 2 5 2 3 7 2" xfId="36330"/>
    <cellStyle name="Currency 2 2 5 2 3 8" xfId="10807"/>
    <cellStyle name="Currency 2 2 5 2 4" xfId="10808"/>
    <cellStyle name="Currency 2 2 5 2 4 2" xfId="10809"/>
    <cellStyle name="Currency 2 2 5 2 4 2 2" xfId="10810"/>
    <cellStyle name="Currency 2 2 5 2 4 2 2 2" xfId="10811"/>
    <cellStyle name="Currency 2 2 5 2 4 2 2 3" xfId="10812"/>
    <cellStyle name="Currency 2 2 5 2 4 2 3" xfId="10813"/>
    <cellStyle name="Currency 2 2 5 2 4 2 3 2" xfId="10814"/>
    <cellStyle name="Currency 2 2 5 2 4 2 4" xfId="10815"/>
    <cellStyle name="Currency 2 2 5 2 4 3" xfId="10816"/>
    <cellStyle name="Currency 2 2 5 2 4 3 2" xfId="10817"/>
    <cellStyle name="Currency 2 2 5 2 4 3 2 2" xfId="10818"/>
    <cellStyle name="Currency 2 2 5 2 4 3 3" xfId="10819"/>
    <cellStyle name="Currency 2 2 5 2 4 4" xfId="10820"/>
    <cellStyle name="Currency 2 2 5 2 4 4 2" xfId="10821"/>
    <cellStyle name="Currency 2 2 5 2 4 4 3" xfId="10822"/>
    <cellStyle name="Currency 2 2 5 2 4 5" xfId="10823"/>
    <cellStyle name="Currency 2 2 5 2 4 5 2" xfId="10824"/>
    <cellStyle name="Currency 2 2 5 2 4 6" xfId="10825"/>
    <cellStyle name="Currency 2 2 5 2 4 6 2" xfId="36331"/>
    <cellStyle name="Currency 2 2 5 2 4 7" xfId="10826"/>
    <cellStyle name="Currency 2 2 5 2 5" xfId="10827"/>
    <cellStyle name="Currency 2 2 5 2 5 2" xfId="10828"/>
    <cellStyle name="Currency 2 2 5 2 5 2 2" xfId="10829"/>
    <cellStyle name="Currency 2 2 5 2 5 2 2 2" xfId="10830"/>
    <cellStyle name="Currency 2 2 5 2 5 2 3" xfId="10831"/>
    <cellStyle name="Currency 2 2 5 2 5 3" xfId="10832"/>
    <cellStyle name="Currency 2 2 5 2 5 3 2" xfId="10833"/>
    <cellStyle name="Currency 2 2 5 2 5 4" xfId="10834"/>
    <cellStyle name="Currency 2 2 5 2 6" xfId="10835"/>
    <cellStyle name="Currency 2 2 5 2 6 2" xfId="10836"/>
    <cellStyle name="Currency 2 2 5 2 6 2 2" xfId="10837"/>
    <cellStyle name="Currency 2 2 5 2 6 3" xfId="10838"/>
    <cellStyle name="Currency 2 2 5 2 7" xfId="10839"/>
    <cellStyle name="Currency 2 2 5 2 7 2" xfId="10840"/>
    <cellStyle name="Currency 2 2 5 2 7 2 2" xfId="10841"/>
    <cellStyle name="Currency 2 2 5 2 7 3" xfId="10842"/>
    <cellStyle name="Currency 2 2 5 2 8" xfId="10843"/>
    <cellStyle name="Currency 2 2 5 2 8 2" xfId="10844"/>
    <cellStyle name="Currency 2 2 5 2 9" xfId="10845"/>
    <cellStyle name="Currency 2 2 5 2 9 2" xfId="36332"/>
    <cellStyle name="Currency 2 2 5 3" xfId="10846"/>
    <cellStyle name="Currency 2 2 5 3 2" xfId="10847"/>
    <cellStyle name="Currency 2 2 5 3 2 2" xfId="10848"/>
    <cellStyle name="Currency 2 2 5 3 2 2 2" xfId="10849"/>
    <cellStyle name="Currency 2 2 5 3 2 2 2 2" xfId="10850"/>
    <cellStyle name="Currency 2 2 5 3 2 2 2 2 2" xfId="10851"/>
    <cellStyle name="Currency 2 2 5 3 2 2 2 2 3" xfId="10852"/>
    <cellStyle name="Currency 2 2 5 3 2 2 2 3" xfId="10853"/>
    <cellStyle name="Currency 2 2 5 3 2 2 2 3 2" xfId="10854"/>
    <cellStyle name="Currency 2 2 5 3 2 2 2 4" xfId="10855"/>
    <cellStyle name="Currency 2 2 5 3 2 2 3" xfId="10856"/>
    <cellStyle name="Currency 2 2 5 3 2 2 3 2" xfId="10857"/>
    <cellStyle name="Currency 2 2 5 3 2 2 3 2 2" xfId="10858"/>
    <cellStyle name="Currency 2 2 5 3 2 2 3 3" xfId="10859"/>
    <cellStyle name="Currency 2 2 5 3 2 2 4" xfId="10860"/>
    <cellStyle name="Currency 2 2 5 3 2 2 4 2" xfId="10861"/>
    <cellStyle name="Currency 2 2 5 3 2 2 4 3" xfId="10862"/>
    <cellStyle name="Currency 2 2 5 3 2 2 5" xfId="10863"/>
    <cellStyle name="Currency 2 2 5 3 2 2 5 2" xfId="10864"/>
    <cellStyle name="Currency 2 2 5 3 2 2 6" xfId="10865"/>
    <cellStyle name="Currency 2 2 5 3 2 2 6 2" xfId="36333"/>
    <cellStyle name="Currency 2 2 5 3 2 2 7" xfId="10866"/>
    <cellStyle name="Currency 2 2 5 3 2 3" xfId="10867"/>
    <cellStyle name="Currency 2 2 5 3 2 3 2" xfId="10868"/>
    <cellStyle name="Currency 2 2 5 3 2 3 2 2" xfId="10869"/>
    <cellStyle name="Currency 2 2 5 3 2 3 2 2 2" xfId="10870"/>
    <cellStyle name="Currency 2 2 5 3 2 3 2 3" xfId="10871"/>
    <cellStyle name="Currency 2 2 5 3 2 3 3" xfId="10872"/>
    <cellStyle name="Currency 2 2 5 3 2 3 3 2" xfId="10873"/>
    <cellStyle name="Currency 2 2 5 3 2 3 4" xfId="10874"/>
    <cellStyle name="Currency 2 2 5 3 2 4" xfId="10875"/>
    <cellStyle name="Currency 2 2 5 3 2 4 2" xfId="10876"/>
    <cellStyle name="Currency 2 2 5 3 2 4 2 2" xfId="10877"/>
    <cellStyle name="Currency 2 2 5 3 2 4 3" xfId="10878"/>
    <cellStyle name="Currency 2 2 5 3 2 5" xfId="10879"/>
    <cellStyle name="Currency 2 2 5 3 2 5 2" xfId="10880"/>
    <cellStyle name="Currency 2 2 5 3 2 5 2 2" xfId="10881"/>
    <cellStyle name="Currency 2 2 5 3 2 5 3" xfId="10882"/>
    <cellStyle name="Currency 2 2 5 3 2 6" xfId="10883"/>
    <cellStyle name="Currency 2 2 5 3 2 6 2" xfId="10884"/>
    <cellStyle name="Currency 2 2 5 3 2 7" xfId="10885"/>
    <cellStyle name="Currency 2 2 5 3 2 7 2" xfId="36334"/>
    <cellStyle name="Currency 2 2 5 3 2 8" xfId="10886"/>
    <cellStyle name="Currency 2 2 5 3 3" xfId="10887"/>
    <cellStyle name="Currency 2 2 5 3 3 2" xfId="10888"/>
    <cellStyle name="Currency 2 2 5 3 3 2 2" xfId="10889"/>
    <cellStyle name="Currency 2 2 5 3 3 2 2 2" xfId="10890"/>
    <cellStyle name="Currency 2 2 5 3 3 2 2 3" xfId="10891"/>
    <cellStyle name="Currency 2 2 5 3 3 2 3" xfId="10892"/>
    <cellStyle name="Currency 2 2 5 3 3 2 3 2" xfId="10893"/>
    <cellStyle name="Currency 2 2 5 3 3 2 4" xfId="10894"/>
    <cellStyle name="Currency 2 2 5 3 3 3" xfId="10895"/>
    <cellStyle name="Currency 2 2 5 3 3 3 2" xfId="10896"/>
    <cellStyle name="Currency 2 2 5 3 3 3 2 2" xfId="10897"/>
    <cellStyle name="Currency 2 2 5 3 3 3 3" xfId="10898"/>
    <cellStyle name="Currency 2 2 5 3 3 4" xfId="10899"/>
    <cellStyle name="Currency 2 2 5 3 3 4 2" xfId="10900"/>
    <cellStyle name="Currency 2 2 5 3 3 4 3" xfId="10901"/>
    <cellStyle name="Currency 2 2 5 3 3 5" xfId="10902"/>
    <cellStyle name="Currency 2 2 5 3 3 5 2" xfId="10903"/>
    <cellStyle name="Currency 2 2 5 3 3 6" xfId="10904"/>
    <cellStyle name="Currency 2 2 5 3 3 6 2" xfId="36335"/>
    <cellStyle name="Currency 2 2 5 3 3 7" xfId="10905"/>
    <cellStyle name="Currency 2 2 5 3 4" xfId="10906"/>
    <cellStyle name="Currency 2 2 5 3 4 2" xfId="10907"/>
    <cellStyle name="Currency 2 2 5 3 4 2 2" xfId="10908"/>
    <cellStyle name="Currency 2 2 5 3 4 2 2 2" xfId="10909"/>
    <cellStyle name="Currency 2 2 5 3 4 2 3" xfId="10910"/>
    <cellStyle name="Currency 2 2 5 3 4 3" xfId="10911"/>
    <cellStyle name="Currency 2 2 5 3 4 3 2" xfId="10912"/>
    <cellStyle name="Currency 2 2 5 3 4 4" xfId="10913"/>
    <cellStyle name="Currency 2 2 5 3 5" xfId="10914"/>
    <cellStyle name="Currency 2 2 5 3 5 2" xfId="10915"/>
    <cellStyle name="Currency 2 2 5 3 5 2 2" xfId="10916"/>
    <cellStyle name="Currency 2 2 5 3 5 3" xfId="10917"/>
    <cellStyle name="Currency 2 2 5 3 6" xfId="10918"/>
    <cellStyle name="Currency 2 2 5 3 6 2" xfId="10919"/>
    <cellStyle name="Currency 2 2 5 3 6 2 2" xfId="10920"/>
    <cellStyle name="Currency 2 2 5 3 6 3" xfId="10921"/>
    <cellStyle name="Currency 2 2 5 3 7" xfId="10922"/>
    <cellStyle name="Currency 2 2 5 3 7 2" xfId="10923"/>
    <cellStyle name="Currency 2 2 5 3 8" xfId="10924"/>
    <cellStyle name="Currency 2 2 5 3 8 2" xfId="36336"/>
    <cellStyle name="Currency 2 2 5 3 9" xfId="10925"/>
    <cellStyle name="Currency 2 2 5 4" xfId="10926"/>
    <cellStyle name="Currency 2 2 5 4 2" xfId="10927"/>
    <cellStyle name="Currency 2 2 5 4 2 2" xfId="10928"/>
    <cellStyle name="Currency 2 2 5 4 2 2 2" xfId="10929"/>
    <cellStyle name="Currency 2 2 5 4 2 2 2 2" xfId="10930"/>
    <cellStyle name="Currency 2 2 5 4 2 2 2 3" xfId="10931"/>
    <cellStyle name="Currency 2 2 5 4 2 2 3" xfId="10932"/>
    <cellStyle name="Currency 2 2 5 4 2 2 3 2" xfId="10933"/>
    <cellStyle name="Currency 2 2 5 4 2 2 4" xfId="10934"/>
    <cellStyle name="Currency 2 2 5 4 2 3" xfId="10935"/>
    <cellStyle name="Currency 2 2 5 4 2 3 2" xfId="10936"/>
    <cellStyle name="Currency 2 2 5 4 2 3 2 2" xfId="10937"/>
    <cellStyle name="Currency 2 2 5 4 2 3 3" xfId="10938"/>
    <cellStyle name="Currency 2 2 5 4 2 4" xfId="10939"/>
    <cellStyle name="Currency 2 2 5 4 2 4 2" xfId="10940"/>
    <cellStyle name="Currency 2 2 5 4 2 4 3" xfId="10941"/>
    <cellStyle name="Currency 2 2 5 4 2 5" xfId="10942"/>
    <cellStyle name="Currency 2 2 5 4 2 5 2" xfId="10943"/>
    <cellStyle name="Currency 2 2 5 4 2 6" xfId="10944"/>
    <cellStyle name="Currency 2 2 5 4 2 6 2" xfId="36337"/>
    <cellStyle name="Currency 2 2 5 4 2 7" xfId="10945"/>
    <cellStyle name="Currency 2 2 5 4 3" xfId="10946"/>
    <cellStyle name="Currency 2 2 5 4 3 2" xfId="10947"/>
    <cellStyle name="Currency 2 2 5 4 3 2 2" xfId="10948"/>
    <cellStyle name="Currency 2 2 5 4 3 2 2 2" xfId="10949"/>
    <cellStyle name="Currency 2 2 5 4 3 2 3" xfId="10950"/>
    <cellStyle name="Currency 2 2 5 4 3 3" xfId="10951"/>
    <cellStyle name="Currency 2 2 5 4 3 3 2" xfId="10952"/>
    <cellStyle name="Currency 2 2 5 4 3 4" xfId="10953"/>
    <cellStyle name="Currency 2 2 5 4 4" xfId="10954"/>
    <cellStyle name="Currency 2 2 5 4 4 2" xfId="10955"/>
    <cellStyle name="Currency 2 2 5 4 4 2 2" xfId="10956"/>
    <cellStyle name="Currency 2 2 5 4 4 3" xfId="10957"/>
    <cellStyle name="Currency 2 2 5 4 5" xfId="10958"/>
    <cellStyle name="Currency 2 2 5 4 5 2" xfId="10959"/>
    <cellStyle name="Currency 2 2 5 4 5 2 2" xfId="10960"/>
    <cellStyle name="Currency 2 2 5 4 5 3" xfId="10961"/>
    <cellStyle name="Currency 2 2 5 4 6" xfId="10962"/>
    <cellStyle name="Currency 2 2 5 4 6 2" xfId="10963"/>
    <cellStyle name="Currency 2 2 5 4 7" xfId="10964"/>
    <cellStyle name="Currency 2 2 5 4 7 2" xfId="36338"/>
    <cellStyle name="Currency 2 2 5 4 8" xfId="10965"/>
    <cellStyle name="Currency 2 2 5 5" xfId="10966"/>
    <cellStyle name="Currency 2 2 5 5 2" xfId="10967"/>
    <cellStyle name="Currency 2 2 5 5 2 2" xfId="10968"/>
    <cellStyle name="Currency 2 2 5 5 2 2 2" xfId="10969"/>
    <cellStyle name="Currency 2 2 5 5 2 2 2 2" xfId="10970"/>
    <cellStyle name="Currency 2 2 5 5 2 2 2 3" xfId="10971"/>
    <cellStyle name="Currency 2 2 5 5 2 2 3" xfId="10972"/>
    <cellStyle name="Currency 2 2 5 5 2 2 3 2" xfId="10973"/>
    <cellStyle name="Currency 2 2 5 5 2 2 4" xfId="10974"/>
    <cellStyle name="Currency 2 2 5 5 2 3" xfId="10975"/>
    <cellStyle name="Currency 2 2 5 5 2 3 2" xfId="10976"/>
    <cellStyle name="Currency 2 2 5 5 2 3 2 2" xfId="10977"/>
    <cellStyle name="Currency 2 2 5 5 2 3 3" xfId="10978"/>
    <cellStyle name="Currency 2 2 5 5 2 4" xfId="10979"/>
    <cellStyle name="Currency 2 2 5 5 2 4 2" xfId="10980"/>
    <cellStyle name="Currency 2 2 5 5 2 4 3" xfId="10981"/>
    <cellStyle name="Currency 2 2 5 5 2 5" xfId="10982"/>
    <cellStyle name="Currency 2 2 5 5 2 5 2" xfId="10983"/>
    <cellStyle name="Currency 2 2 5 5 2 6" xfId="10984"/>
    <cellStyle name="Currency 2 2 5 5 2 6 2" xfId="36339"/>
    <cellStyle name="Currency 2 2 5 5 2 7" xfId="10985"/>
    <cellStyle name="Currency 2 2 5 5 3" xfId="10986"/>
    <cellStyle name="Currency 2 2 5 5 3 2" xfId="10987"/>
    <cellStyle name="Currency 2 2 5 5 3 2 2" xfId="10988"/>
    <cellStyle name="Currency 2 2 5 5 3 2 2 2" xfId="10989"/>
    <cellStyle name="Currency 2 2 5 5 3 2 3" xfId="10990"/>
    <cellStyle name="Currency 2 2 5 5 3 3" xfId="10991"/>
    <cellStyle name="Currency 2 2 5 5 3 3 2" xfId="10992"/>
    <cellStyle name="Currency 2 2 5 5 3 4" xfId="10993"/>
    <cellStyle name="Currency 2 2 5 5 4" xfId="10994"/>
    <cellStyle name="Currency 2 2 5 5 4 2" xfId="10995"/>
    <cellStyle name="Currency 2 2 5 5 4 2 2" xfId="10996"/>
    <cellStyle name="Currency 2 2 5 5 4 3" xfId="10997"/>
    <cellStyle name="Currency 2 2 5 5 5" xfId="10998"/>
    <cellStyle name="Currency 2 2 5 5 5 2" xfId="10999"/>
    <cellStyle name="Currency 2 2 5 5 5 2 2" xfId="11000"/>
    <cellStyle name="Currency 2 2 5 5 5 3" xfId="11001"/>
    <cellStyle name="Currency 2 2 5 5 6" xfId="11002"/>
    <cellStyle name="Currency 2 2 5 5 6 2" xfId="11003"/>
    <cellStyle name="Currency 2 2 5 5 7" xfId="11004"/>
    <cellStyle name="Currency 2 2 5 5 7 2" xfId="36340"/>
    <cellStyle name="Currency 2 2 5 5 8" xfId="11005"/>
    <cellStyle name="Currency 2 2 5 6" xfId="11006"/>
    <cellStyle name="Currency 2 2 5 6 2" xfId="11007"/>
    <cellStyle name="Currency 2 2 5 6 2 2" xfId="11008"/>
    <cellStyle name="Currency 2 2 5 6 2 2 2" xfId="11009"/>
    <cellStyle name="Currency 2 2 5 6 2 2 3" xfId="11010"/>
    <cellStyle name="Currency 2 2 5 6 2 3" xfId="11011"/>
    <cellStyle name="Currency 2 2 5 6 2 3 2" xfId="11012"/>
    <cellStyle name="Currency 2 2 5 6 2 4" xfId="11013"/>
    <cellStyle name="Currency 2 2 5 6 3" xfId="11014"/>
    <cellStyle name="Currency 2 2 5 6 3 2" xfId="11015"/>
    <cellStyle name="Currency 2 2 5 6 3 2 2" xfId="11016"/>
    <cellStyle name="Currency 2 2 5 6 3 3" xfId="11017"/>
    <cellStyle name="Currency 2 2 5 6 4" xfId="11018"/>
    <cellStyle name="Currency 2 2 5 6 4 2" xfId="11019"/>
    <cellStyle name="Currency 2 2 5 6 4 3" xfId="11020"/>
    <cellStyle name="Currency 2 2 5 6 5" xfId="11021"/>
    <cellStyle name="Currency 2 2 5 6 5 2" xfId="11022"/>
    <cellStyle name="Currency 2 2 5 6 6" xfId="11023"/>
    <cellStyle name="Currency 2 2 5 6 6 2" xfId="36341"/>
    <cellStyle name="Currency 2 2 5 6 7" xfId="11024"/>
    <cellStyle name="Currency 2 2 5 7" xfId="11025"/>
    <cellStyle name="Currency 2 2 5 7 2" xfId="11026"/>
    <cellStyle name="Currency 2 2 5 7 2 2" xfId="11027"/>
    <cellStyle name="Currency 2 2 5 7 2 2 2" xfId="11028"/>
    <cellStyle name="Currency 2 2 5 7 2 3" xfId="11029"/>
    <cellStyle name="Currency 2 2 5 7 3" xfId="11030"/>
    <cellStyle name="Currency 2 2 5 7 3 2" xfId="11031"/>
    <cellStyle name="Currency 2 2 5 7 4" xfId="11032"/>
    <cellStyle name="Currency 2 2 5 8" xfId="11033"/>
    <cellStyle name="Currency 2 2 5 8 2" xfId="11034"/>
    <cellStyle name="Currency 2 2 5 8 2 2" xfId="11035"/>
    <cellStyle name="Currency 2 2 5 8 3" xfId="11036"/>
    <cellStyle name="Currency 2 2 5 9" xfId="11037"/>
    <cellStyle name="Currency 2 2 5 9 2" xfId="11038"/>
    <cellStyle name="Currency 2 2 5 9 2 2" xfId="11039"/>
    <cellStyle name="Currency 2 2 5 9 3" xfId="11040"/>
    <cellStyle name="Currency 2 2 6" xfId="11041"/>
    <cellStyle name="Currency 2 2 6 10" xfId="11042"/>
    <cellStyle name="Currency 2 2 6 2" xfId="11043"/>
    <cellStyle name="Currency 2 2 6 2 2" xfId="11044"/>
    <cellStyle name="Currency 2 2 6 2 2 2" xfId="11045"/>
    <cellStyle name="Currency 2 2 6 2 2 2 2" xfId="11046"/>
    <cellStyle name="Currency 2 2 6 2 2 2 2 2" xfId="11047"/>
    <cellStyle name="Currency 2 2 6 2 2 2 2 2 2" xfId="11048"/>
    <cellStyle name="Currency 2 2 6 2 2 2 2 2 3" xfId="11049"/>
    <cellStyle name="Currency 2 2 6 2 2 2 2 3" xfId="11050"/>
    <cellStyle name="Currency 2 2 6 2 2 2 2 3 2" xfId="11051"/>
    <cellStyle name="Currency 2 2 6 2 2 2 2 4" xfId="11052"/>
    <cellStyle name="Currency 2 2 6 2 2 2 3" xfId="11053"/>
    <cellStyle name="Currency 2 2 6 2 2 2 3 2" xfId="11054"/>
    <cellStyle name="Currency 2 2 6 2 2 2 3 2 2" xfId="11055"/>
    <cellStyle name="Currency 2 2 6 2 2 2 3 3" xfId="11056"/>
    <cellStyle name="Currency 2 2 6 2 2 2 4" xfId="11057"/>
    <cellStyle name="Currency 2 2 6 2 2 2 4 2" xfId="11058"/>
    <cellStyle name="Currency 2 2 6 2 2 2 4 3" xfId="11059"/>
    <cellStyle name="Currency 2 2 6 2 2 2 5" xfId="11060"/>
    <cellStyle name="Currency 2 2 6 2 2 2 5 2" xfId="11061"/>
    <cellStyle name="Currency 2 2 6 2 2 2 6" xfId="11062"/>
    <cellStyle name="Currency 2 2 6 2 2 2 6 2" xfId="36342"/>
    <cellStyle name="Currency 2 2 6 2 2 2 7" xfId="11063"/>
    <cellStyle name="Currency 2 2 6 2 2 3" xfId="11064"/>
    <cellStyle name="Currency 2 2 6 2 2 3 2" xfId="11065"/>
    <cellStyle name="Currency 2 2 6 2 2 3 2 2" xfId="11066"/>
    <cellStyle name="Currency 2 2 6 2 2 3 2 2 2" xfId="11067"/>
    <cellStyle name="Currency 2 2 6 2 2 3 2 3" xfId="11068"/>
    <cellStyle name="Currency 2 2 6 2 2 3 3" xfId="11069"/>
    <cellStyle name="Currency 2 2 6 2 2 3 3 2" xfId="11070"/>
    <cellStyle name="Currency 2 2 6 2 2 3 4" xfId="11071"/>
    <cellStyle name="Currency 2 2 6 2 2 4" xfId="11072"/>
    <cellStyle name="Currency 2 2 6 2 2 4 2" xfId="11073"/>
    <cellStyle name="Currency 2 2 6 2 2 4 2 2" xfId="11074"/>
    <cellStyle name="Currency 2 2 6 2 2 4 3" xfId="11075"/>
    <cellStyle name="Currency 2 2 6 2 2 5" xfId="11076"/>
    <cellStyle name="Currency 2 2 6 2 2 5 2" xfId="11077"/>
    <cellStyle name="Currency 2 2 6 2 2 5 2 2" xfId="11078"/>
    <cellStyle name="Currency 2 2 6 2 2 5 3" xfId="11079"/>
    <cellStyle name="Currency 2 2 6 2 2 6" xfId="11080"/>
    <cellStyle name="Currency 2 2 6 2 2 6 2" xfId="11081"/>
    <cellStyle name="Currency 2 2 6 2 2 7" xfId="11082"/>
    <cellStyle name="Currency 2 2 6 2 2 7 2" xfId="36343"/>
    <cellStyle name="Currency 2 2 6 2 2 8" xfId="11083"/>
    <cellStyle name="Currency 2 2 6 2 3" xfId="11084"/>
    <cellStyle name="Currency 2 2 6 2 3 2" xfId="11085"/>
    <cellStyle name="Currency 2 2 6 2 3 2 2" xfId="11086"/>
    <cellStyle name="Currency 2 2 6 2 3 2 2 2" xfId="11087"/>
    <cellStyle name="Currency 2 2 6 2 3 2 2 3" xfId="11088"/>
    <cellStyle name="Currency 2 2 6 2 3 2 3" xfId="11089"/>
    <cellStyle name="Currency 2 2 6 2 3 2 3 2" xfId="11090"/>
    <cellStyle name="Currency 2 2 6 2 3 2 4" xfId="11091"/>
    <cellStyle name="Currency 2 2 6 2 3 3" xfId="11092"/>
    <cellStyle name="Currency 2 2 6 2 3 3 2" xfId="11093"/>
    <cellStyle name="Currency 2 2 6 2 3 3 2 2" xfId="11094"/>
    <cellStyle name="Currency 2 2 6 2 3 3 3" xfId="11095"/>
    <cellStyle name="Currency 2 2 6 2 3 4" xfId="11096"/>
    <cellStyle name="Currency 2 2 6 2 3 4 2" xfId="11097"/>
    <cellStyle name="Currency 2 2 6 2 3 4 3" xfId="11098"/>
    <cellStyle name="Currency 2 2 6 2 3 5" xfId="11099"/>
    <cellStyle name="Currency 2 2 6 2 3 5 2" xfId="11100"/>
    <cellStyle name="Currency 2 2 6 2 3 6" xfId="11101"/>
    <cellStyle name="Currency 2 2 6 2 3 6 2" xfId="36344"/>
    <cellStyle name="Currency 2 2 6 2 3 7" xfId="11102"/>
    <cellStyle name="Currency 2 2 6 2 4" xfId="11103"/>
    <cellStyle name="Currency 2 2 6 2 4 2" xfId="11104"/>
    <cellStyle name="Currency 2 2 6 2 4 2 2" xfId="11105"/>
    <cellStyle name="Currency 2 2 6 2 4 2 2 2" xfId="11106"/>
    <cellStyle name="Currency 2 2 6 2 4 2 3" xfId="11107"/>
    <cellStyle name="Currency 2 2 6 2 4 3" xfId="11108"/>
    <cellStyle name="Currency 2 2 6 2 4 3 2" xfId="11109"/>
    <cellStyle name="Currency 2 2 6 2 4 4" xfId="11110"/>
    <cellStyle name="Currency 2 2 6 2 5" xfId="11111"/>
    <cellStyle name="Currency 2 2 6 2 5 2" xfId="11112"/>
    <cellStyle name="Currency 2 2 6 2 5 2 2" xfId="11113"/>
    <cellStyle name="Currency 2 2 6 2 5 3" xfId="11114"/>
    <cellStyle name="Currency 2 2 6 2 6" xfId="11115"/>
    <cellStyle name="Currency 2 2 6 2 6 2" xfId="11116"/>
    <cellStyle name="Currency 2 2 6 2 6 2 2" xfId="11117"/>
    <cellStyle name="Currency 2 2 6 2 6 3" xfId="11118"/>
    <cellStyle name="Currency 2 2 6 2 7" xfId="11119"/>
    <cellStyle name="Currency 2 2 6 2 7 2" xfId="11120"/>
    <cellStyle name="Currency 2 2 6 2 8" xfId="11121"/>
    <cellStyle name="Currency 2 2 6 2 8 2" xfId="36345"/>
    <cellStyle name="Currency 2 2 6 2 9" xfId="11122"/>
    <cellStyle name="Currency 2 2 6 3" xfId="11123"/>
    <cellStyle name="Currency 2 2 6 3 2" xfId="11124"/>
    <cellStyle name="Currency 2 2 6 3 2 2" xfId="11125"/>
    <cellStyle name="Currency 2 2 6 3 2 2 2" xfId="11126"/>
    <cellStyle name="Currency 2 2 6 3 2 2 2 2" xfId="11127"/>
    <cellStyle name="Currency 2 2 6 3 2 2 2 3" xfId="11128"/>
    <cellStyle name="Currency 2 2 6 3 2 2 3" xfId="11129"/>
    <cellStyle name="Currency 2 2 6 3 2 2 3 2" xfId="11130"/>
    <cellStyle name="Currency 2 2 6 3 2 2 4" xfId="11131"/>
    <cellStyle name="Currency 2 2 6 3 2 3" xfId="11132"/>
    <cellStyle name="Currency 2 2 6 3 2 3 2" xfId="11133"/>
    <cellStyle name="Currency 2 2 6 3 2 3 2 2" xfId="11134"/>
    <cellStyle name="Currency 2 2 6 3 2 3 3" xfId="11135"/>
    <cellStyle name="Currency 2 2 6 3 2 4" xfId="11136"/>
    <cellStyle name="Currency 2 2 6 3 2 4 2" xfId="11137"/>
    <cellStyle name="Currency 2 2 6 3 2 4 3" xfId="11138"/>
    <cellStyle name="Currency 2 2 6 3 2 5" xfId="11139"/>
    <cellStyle name="Currency 2 2 6 3 2 5 2" xfId="11140"/>
    <cellStyle name="Currency 2 2 6 3 2 6" xfId="11141"/>
    <cellStyle name="Currency 2 2 6 3 2 6 2" xfId="36346"/>
    <cellStyle name="Currency 2 2 6 3 2 7" xfId="11142"/>
    <cellStyle name="Currency 2 2 6 3 3" xfId="11143"/>
    <cellStyle name="Currency 2 2 6 3 3 2" xfId="11144"/>
    <cellStyle name="Currency 2 2 6 3 3 2 2" xfId="11145"/>
    <cellStyle name="Currency 2 2 6 3 3 2 2 2" xfId="11146"/>
    <cellStyle name="Currency 2 2 6 3 3 2 3" xfId="11147"/>
    <cellStyle name="Currency 2 2 6 3 3 3" xfId="11148"/>
    <cellStyle name="Currency 2 2 6 3 3 3 2" xfId="11149"/>
    <cellStyle name="Currency 2 2 6 3 3 4" xfId="11150"/>
    <cellStyle name="Currency 2 2 6 3 4" xfId="11151"/>
    <cellStyle name="Currency 2 2 6 3 4 2" xfId="11152"/>
    <cellStyle name="Currency 2 2 6 3 4 2 2" xfId="11153"/>
    <cellStyle name="Currency 2 2 6 3 4 3" xfId="11154"/>
    <cellStyle name="Currency 2 2 6 3 5" xfId="11155"/>
    <cellStyle name="Currency 2 2 6 3 5 2" xfId="11156"/>
    <cellStyle name="Currency 2 2 6 3 5 2 2" xfId="11157"/>
    <cellStyle name="Currency 2 2 6 3 5 3" xfId="11158"/>
    <cellStyle name="Currency 2 2 6 3 6" xfId="11159"/>
    <cellStyle name="Currency 2 2 6 3 6 2" xfId="11160"/>
    <cellStyle name="Currency 2 2 6 3 7" xfId="11161"/>
    <cellStyle name="Currency 2 2 6 3 7 2" xfId="36347"/>
    <cellStyle name="Currency 2 2 6 3 8" xfId="11162"/>
    <cellStyle name="Currency 2 2 6 4" xfId="11163"/>
    <cellStyle name="Currency 2 2 6 4 2" xfId="11164"/>
    <cellStyle name="Currency 2 2 6 4 2 2" xfId="11165"/>
    <cellStyle name="Currency 2 2 6 4 2 2 2" xfId="11166"/>
    <cellStyle name="Currency 2 2 6 4 2 2 3" xfId="11167"/>
    <cellStyle name="Currency 2 2 6 4 2 3" xfId="11168"/>
    <cellStyle name="Currency 2 2 6 4 2 3 2" xfId="11169"/>
    <cellStyle name="Currency 2 2 6 4 2 4" xfId="11170"/>
    <cellStyle name="Currency 2 2 6 4 3" xfId="11171"/>
    <cellStyle name="Currency 2 2 6 4 3 2" xfId="11172"/>
    <cellStyle name="Currency 2 2 6 4 3 2 2" xfId="11173"/>
    <cellStyle name="Currency 2 2 6 4 3 3" xfId="11174"/>
    <cellStyle name="Currency 2 2 6 4 4" xfId="11175"/>
    <cellStyle name="Currency 2 2 6 4 4 2" xfId="11176"/>
    <cellStyle name="Currency 2 2 6 4 4 3" xfId="11177"/>
    <cellStyle name="Currency 2 2 6 4 5" xfId="11178"/>
    <cellStyle name="Currency 2 2 6 4 5 2" xfId="11179"/>
    <cellStyle name="Currency 2 2 6 4 6" xfId="11180"/>
    <cellStyle name="Currency 2 2 6 4 6 2" xfId="36348"/>
    <cellStyle name="Currency 2 2 6 4 7" xfId="11181"/>
    <cellStyle name="Currency 2 2 6 5" xfId="11182"/>
    <cellStyle name="Currency 2 2 6 5 2" xfId="11183"/>
    <cellStyle name="Currency 2 2 6 5 2 2" xfId="11184"/>
    <cellStyle name="Currency 2 2 6 5 2 2 2" xfId="11185"/>
    <cellStyle name="Currency 2 2 6 5 2 3" xfId="11186"/>
    <cellStyle name="Currency 2 2 6 5 3" xfId="11187"/>
    <cellStyle name="Currency 2 2 6 5 3 2" xfId="11188"/>
    <cellStyle name="Currency 2 2 6 5 4" xfId="11189"/>
    <cellStyle name="Currency 2 2 6 6" xfId="11190"/>
    <cellStyle name="Currency 2 2 6 6 2" xfId="11191"/>
    <cellStyle name="Currency 2 2 6 6 2 2" xfId="11192"/>
    <cellStyle name="Currency 2 2 6 6 3" xfId="11193"/>
    <cellStyle name="Currency 2 2 6 7" xfId="11194"/>
    <cellStyle name="Currency 2 2 6 7 2" xfId="11195"/>
    <cellStyle name="Currency 2 2 6 7 2 2" xfId="11196"/>
    <cellStyle name="Currency 2 2 6 7 3" xfId="11197"/>
    <cellStyle name="Currency 2 2 6 8" xfId="11198"/>
    <cellStyle name="Currency 2 2 6 8 2" xfId="11199"/>
    <cellStyle name="Currency 2 2 6 9" xfId="11200"/>
    <cellStyle name="Currency 2 2 6 9 2" xfId="36349"/>
    <cellStyle name="Currency 2 2 7" xfId="11201"/>
    <cellStyle name="Currency 2 2 7 2" xfId="11202"/>
    <cellStyle name="Currency 2 2 7 2 2" xfId="11203"/>
    <cellStyle name="Currency 2 2 7 2 2 2" xfId="11204"/>
    <cellStyle name="Currency 2 2 7 2 2 2 2" xfId="11205"/>
    <cellStyle name="Currency 2 2 7 2 2 2 2 2" xfId="11206"/>
    <cellStyle name="Currency 2 2 7 2 2 2 2 3" xfId="11207"/>
    <cellStyle name="Currency 2 2 7 2 2 2 3" xfId="11208"/>
    <cellStyle name="Currency 2 2 7 2 2 2 3 2" xfId="11209"/>
    <cellStyle name="Currency 2 2 7 2 2 2 4" xfId="11210"/>
    <cellStyle name="Currency 2 2 7 2 2 3" xfId="11211"/>
    <cellStyle name="Currency 2 2 7 2 2 3 2" xfId="11212"/>
    <cellStyle name="Currency 2 2 7 2 2 3 2 2" xfId="11213"/>
    <cellStyle name="Currency 2 2 7 2 2 3 3" xfId="11214"/>
    <cellStyle name="Currency 2 2 7 2 2 4" xfId="11215"/>
    <cellStyle name="Currency 2 2 7 2 2 4 2" xfId="11216"/>
    <cellStyle name="Currency 2 2 7 2 2 4 3" xfId="11217"/>
    <cellStyle name="Currency 2 2 7 2 2 5" xfId="11218"/>
    <cellStyle name="Currency 2 2 7 2 2 5 2" xfId="11219"/>
    <cellStyle name="Currency 2 2 7 2 2 6" xfId="11220"/>
    <cellStyle name="Currency 2 2 7 2 2 6 2" xfId="36350"/>
    <cellStyle name="Currency 2 2 7 2 2 7" xfId="11221"/>
    <cellStyle name="Currency 2 2 7 2 3" xfId="11222"/>
    <cellStyle name="Currency 2 2 7 2 3 2" xfId="11223"/>
    <cellStyle name="Currency 2 2 7 2 3 2 2" xfId="11224"/>
    <cellStyle name="Currency 2 2 7 2 3 2 2 2" xfId="11225"/>
    <cellStyle name="Currency 2 2 7 2 3 2 3" xfId="11226"/>
    <cellStyle name="Currency 2 2 7 2 3 3" xfId="11227"/>
    <cellStyle name="Currency 2 2 7 2 3 3 2" xfId="11228"/>
    <cellStyle name="Currency 2 2 7 2 3 4" xfId="11229"/>
    <cellStyle name="Currency 2 2 7 2 4" xfId="11230"/>
    <cellStyle name="Currency 2 2 7 2 4 2" xfId="11231"/>
    <cellStyle name="Currency 2 2 7 2 4 2 2" xfId="11232"/>
    <cellStyle name="Currency 2 2 7 2 4 3" xfId="11233"/>
    <cellStyle name="Currency 2 2 7 2 5" xfId="11234"/>
    <cellStyle name="Currency 2 2 7 2 5 2" xfId="11235"/>
    <cellStyle name="Currency 2 2 7 2 5 2 2" xfId="11236"/>
    <cellStyle name="Currency 2 2 7 2 5 3" xfId="11237"/>
    <cellStyle name="Currency 2 2 7 2 6" xfId="11238"/>
    <cellStyle name="Currency 2 2 7 2 6 2" xfId="11239"/>
    <cellStyle name="Currency 2 2 7 2 7" xfId="11240"/>
    <cellStyle name="Currency 2 2 7 2 7 2" xfId="36351"/>
    <cellStyle name="Currency 2 2 7 2 8" xfId="11241"/>
    <cellStyle name="Currency 2 2 7 3" xfId="11242"/>
    <cellStyle name="Currency 2 2 7 3 2" xfId="11243"/>
    <cellStyle name="Currency 2 2 7 3 2 2" xfId="11244"/>
    <cellStyle name="Currency 2 2 7 3 2 2 2" xfId="11245"/>
    <cellStyle name="Currency 2 2 7 3 2 2 3" xfId="11246"/>
    <cellStyle name="Currency 2 2 7 3 2 3" xfId="11247"/>
    <cellStyle name="Currency 2 2 7 3 2 3 2" xfId="11248"/>
    <cellStyle name="Currency 2 2 7 3 2 4" xfId="11249"/>
    <cellStyle name="Currency 2 2 7 3 3" xfId="11250"/>
    <cellStyle name="Currency 2 2 7 3 3 2" xfId="11251"/>
    <cellStyle name="Currency 2 2 7 3 3 2 2" xfId="11252"/>
    <cellStyle name="Currency 2 2 7 3 3 3" xfId="11253"/>
    <cellStyle name="Currency 2 2 7 3 4" xfId="11254"/>
    <cellStyle name="Currency 2 2 7 3 4 2" xfId="11255"/>
    <cellStyle name="Currency 2 2 7 3 4 3" xfId="11256"/>
    <cellStyle name="Currency 2 2 7 3 5" xfId="11257"/>
    <cellStyle name="Currency 2 2 7 3 5 2" xfId="11258"/>
    <cellStyle name="Currency 2 2 7 3 6" xfId="11259"/>
    <cellStyle name="Currency 2 2 7 3 6 2" xfId="36352"/>
    <cellStyle name="Currency 2 2 7 3 7" xfId="11260"/>
    <cellStyle name="Currency 2 2 7 4" xfId="11261"/>
    <cellStyle name="Currency 2 2 7 4 2" xfId="11262"/>
    <cellStyle name="Currency 2 2 7 4 2 2" xfId="11263"/>
    <cellStyle name="Currency 2 2 7 4 2 2 2" xfId="11264"/>
    <cellStyle name="Currency 2 2 7 4 2 3" xfId="11265"/>
    <cellStyle name="Currency 2 2 7 4 3" xfId="11266"/>
    <cellStyle name="Currency 2 2 7 4 3 2" xfId="11267"/>
    <cellStyle name="Currency 2 2 7 4 4" xfId="11268"/>
    <cellStyle name="Currency 2 2 7 5" xfId="11269"/>
    <cellStyle name="Currency 2 2 7 5 2" xfId="11270"/>
    <cellStyle name="Currency 2 2 7 5 2 2" xfId="11271"/>
    <cellStyle name="Currency 2 2 7 5 3" xfId="11272"/>
    <cellStyle name="Currency 2 2 7 6" xfId="11273"/>
    <cellStyle name="Currency 2 2 7 6 2" xfId="11274"/>
    <cellStyle name="Currency 2 2 7 6 2 2" xfId="11275"/>
    <cellStyle name="Currency 2 2 7 6 3" xfId="11276"/>
    <cellStyle name="Currency 2 2 7 7" xfId="11277"/>
    <cellStyle name="Currency 2 2 7 7 2" xfId="11278"/>
    <cellStyle name="Currency 2 2 7 8" xfId="11279"/>
    <cellStyle name="Currency 2 2 7 8 2" xfId="36353"/>
    <cellStyle name="Currency 2 2 7 9" xfId="11280"/>
    <cellStyle name="Currency 2 2 8" xfId="11281"/>
    <cellStyle name="Currency 2 2 8 2" xfId="11282"/>
    <cellStyle name="Currency 2 2 8 2 2" xfId="11283"/>
    <cellStyle name="Currency 2 2 8 2 2 2" xfId="11284"/>
    <cellStyle name="Currency 2 2 8 2 2 2 2" xfId="11285"/>
    <cellStyle name="Currency 2 2 8 2 2 2 2 2" xfId="11286"/>
    <cellStyle name="Currency 2 2 8 2 2 2 2 3" xfId="11287"/>
    <cellStyle name="Currency 2 2 8 2 2 2 3" xfId="11288"/>
    <cellStyle name="Currency 2 2 8 2 2 2 3 2" xfId="11289"/>
    <cellStyle name="Currency 2 2 8 2 2 2 4" xfId="11290"/>
    <cellStyle name="Currency 2 2 8 2 2 3" xfId="11291"/>
    <cellStyle name="Currency 2 2 8 2 2 3 2" xfId="11292"/>
    <cellStyle name="Currency 2 2 8 2 2 3 2 2" xfId="11293"/>
    <cellStyle name="Currency 2 2 8 2 2 3 3" xfId="11294"/>
    <cellStyle name="Currency 2 2 8 2 2 4" xfId="11295"/>
    <cellStyle name="Currency 2 2 8 2 2 4 2" xfId="11296"/>
    <cellStyle name="Currency 2 2 8 2 2 4 3" xfId="11297"/>
    <cellStyle name="Currency 2 2 8 2 2 5" xfId="11298"/>
    <cellStyle name="Currency 2 2 8 2 2 5 2" xfId="11299"/>
    <cellStyle name="Currency 2 2 8 2 2 6" xfId="11300"/>
    <cellStyle name="Currency 2 2 8 2 2 6 2" xfId="36354"/>
    <cellStyle name="Currency 2 2 8 2 2 7" xfId="11301"/>
    <cellStyle name="Currency 2 2 8 2 3" xfId="11302"/>
    <cellStyle name="Currency 2 2 8 2 3 2" xfId="11303"/>
    <cellStyle name="Currency 2 2 8 2 3 2 2" xfId="11304"/>
    <cellStyle name="Currency 2 2 8 2 3 2 2 2" xfId="11305"/>
    <cellStyle name="Currency 2 2 8 2 3 2 3" xfId="11306"/>
    <cellStyle name="Currency 2 2 8 2 3 3" xfId="11307"/>
    <cellStyle name="Currency 2 2 8 2 3 3 2" xfId="11308"/>
    <cellStyle name="Currency 2 2 8 2 3 4" xfId="11309"/>
    <cellStyle name="Currency 2 2 8 2 4" xfId="11310"/>
    <cellStyle name="Currency 2 2 8 2 4 2" xfId="11311"/>
    <cellStyle name="Currency 2 2 8 2 4 2 2" xfId="11312"/>
    <cellStyle name="Currency 2 2 8 2 4 3" xfId="11313"/>
    <cellStyle name="Currency 2 2 8 2 5" xfId="11314"/>
    <cellStyle name="Currency 2 2 8 2 5 2" xfId="11315"/>
    <cellStyle name="Currency 2 2 8 2 5 2 2" xfId="11316"/>
    <cellStyle name="Currency 2 2 8 2 5 3" xfId="11317"/>
    <cellStyle name="Currency 2 2 8 2 6" xfId="11318"/>
    <cellStyle name="Currency 2 2 8 2 6 2" xfId="11319"/>
    <cellStyle name="Currency 2 2 8 2 7" xfId="11320"/>
    <cellStyle name="Currency 2 2 8 2 7 2" xfId="36355"/>
    <cellStyle name="Currency 2 2 8 2 8" xfId="11321"/>
    <cellStyle name="Currency 2 2 8 3" xfId="11322"/>
    <cellStyle name="Currency 2 2 8 3 2" xfId="11323"/>
    <cellStyle name="Currency 2 2 8 3 2 2" xfId="11324"/>
    <cellStyle name="Currency 2 2 8 3 2 2 2" xfId="11325"/>
    <cellStyle name="Currency 2 2 8 3 2 2 3" xfId="11326"/>
    <cellStyle name="Currency 2 2 8 3 2 3" xfId="11327"/>
    <cellStyle name="Currency 2 2 8 3 2 3 2" xfId="11328"/>
    <cellStyle name="Currency 2 2 8 3 2 4" xfId="11329"/>
    <cellStyle name="Currency 2 2 8 3 3" xfId="11330"/>
    <cellStyle name="Currency 2 2 8 3 3 2" xfId="11331"/>
    <cellStyle name="Currency 2 2 8 3 3 2 2" xfId="11332"/>
    <cellStyle name="Currency 2 2 8 3 3 3" xfId="11333"/>
    <cellStyle name="Currency 2 2 8 3 4" xfId="11334"/>
    <cellStyle name="Currency 2 2 8 3 4 2" xfId="11335"/>
    <cellStyle name="Currency 2 2 8 3 4 3" xfId="11336"/>
    <cellStyle name="Currency 2 2 8 3 5" xfId="11337"/>
    <cellStyle name="Currency 2 2 8 3 5 2" xfId="11338"/>
    <cellStyle name="Currency 2 2 8 3 6" xfId="11339"/>
    <cellStyle name="Currency 2 2 8 3 6 2" xfId="36356"/>
    <cellStyle name="Currency 2 2 8 3 7" xfId="11340"/>
    <cellStyle name="Currency 2 2 8 4" xfId="11341"/>
    <cellStyle name="Currency 2 2 8 4 2" xfId="11342"/>
    <cellStyle name="Currency 2 2 8 4 2 2" xfId="11343"/>
    <cellStyle name="Currency 2 2 8 4 2 2 2" xfId="11344"/>
    <cellStyle name="Currency 2 2 8 4 2 3" xfId="11345"/>
    <cellStyle name="Currency 2 2 8 4 3" xfId="11346"/>
    <cellStyle name="Currency 2 2 8 4 3 2" xfId="11347"/>
    <cellStyle name="Currency 2 2 8 4 4" xfId="11348"/>
    <cellStyle name="Currency 2 2 8 5" xfId="11349"/>
    <cellStyle name="Currency 2 2 8 5 2" xfId="11350"/>
    <cellStyle name="Currency 2 2 8 5 2 2" xfId="11351"/>
    <cellStyle name="Currency 2 2 8 5 3" xfId="11352"/>
    <cellStyle name="Currency 2 2 8 6" xfId="11353"/>
    <cellStyle name="Currency 2 2 8 6 2" xfId="11354"/>
    <cellStyle name="Currency 2 2 8 6 2 2" xfId="11355"/>
    <cellStyle name="Currency 2 2 8 6 3" xfId="11356"/>
    <cellStyle name="Currency 2 2 8 7" xfId="11357"/>
    <cellStyle name="Currency 2 2 8 7 2" xfId="11358"/>
    <cellStyle name="Currency 2 2 8 8" xfId="11359"/>
    <cellStyle name="Currency 2 2 8 8 2" xfId="36357"/>
    <cellStyle name="Currency 2 2 8 9" xfId="11360"/>
    <cellStyle name="Currency 2 2 9" xfId="11361"/>
    <cellStyle name="Currency 2 2 9 2" xfId="11362"/>
    <cellStyle name="Currency 2 2 9 2 2" xfId="11363"/>
    <cellStyle name="Currency 2 2 9 2 2 2" xfId="11364"/>
    <cellStyle name="Currency 2 2 9 2 2 2 2" xfId="11365"/>
    <cellStyle name="Currency 2 2 9 2 2 2 3" xfId="11366"/>
    <cellStyle name="Currency 2 2 9 2 2 3" xfId="11367"/>
    <cellStyle name="Currency 2 2 9 2 2 3 2" xfId="11368"/>
    <cellStyle name="Currency 2 2 9 2 2 4" xfId="11369"/>
    <cellStyle name="Currency 2 2 9 2 3" xfId="11370"/>
    <cellStyle name="Currency 2 2 9 2 3 2" xfId="11371"/>
    <cellStyle name="Currency 2 2 9 2 3 2 2" xfId="11372"/>
    <cellStyle name="Currency 2 2 9 2 3 3" xfId="11373"/>
    <cellStyle name="Currency 2 2 9 2 4" xfId="11374"/>
    <cellStyle name="Currency 2 2 9 2 4 2" xfId="11375"/>
    <cellStyle name="Currency 2 2 9 2 4 3" xfId="11376"/>
    <cellStyle name="Currency 2 2 9 2 5" xfId="11377"/>
    <cellStyle name="Currency 2 2 9 2 5 2" xfId="11378"/>
    <cellStyle name="Currency 2 2 9 2 6" xfId="11379"/>
    <cellStyle name="Currency 2 2 9 2 6 2" xfId="36358"/>
    <cellStyle name="Currency 2 2 9 2 7" xfId="11380"/>
    <cellStyle name="Currency 2 2 9 3" xfId="11381"/>
    <cellStyle name="Currency 2 2 9 3 2" xfId="11382"/>
    <cellStyle name="Currency 2 2 9 3 2 2" xfId="11383"/>
    <cellStyle name="Currency 2 2 9 3 2 2 2" xfId="11384"/>
    <cellStyle name="Currency 2 2 9 3 2 3" xfId="11385"/>
    <cellStyle name="Currency 2 2 9 3 3" xfId="11386"/>
    <cellStyle name="Currency 2 2 9 3 3 2" xfId="11387"/>
    <cellStyle name="Currency 2 2 9 3 4" xfId="11388"/>
    <cellStyle name="Currency 2 2 9 4" xfId="11389"/>
    <cellStyle name="Currency 2 2 9 4 2" xfId="11390"/>
    <cellStyle name="Currency 2 2 9 4 2 2" xfId="11391"/>
    <cellStyle name="Currency 2 2 9 4 3" xfId="11392"/>
    <cellStyle name="Currency 2 2 9 5" xfId="11393"/>
    <cellStyle name="Currency 2 2 9 5 2" xfId="11394"/>
    <cellStyle name="Currency 2 2 9 5 2 2" xfId="11395"/>
    <cellStyle name="Currency 2 2 9 5 3" xfId="11396"/>
    <cellStyle name="Currency 2 2 9 6" xfId="11397"/>
    <cellStyle name="Currency 2 2 9 6 2" xfId="11398"/>
    <cellStyle name="Currency 2 2 9 7" xfId="11399"/>
    <cellStyle name="Currency 2 2 9 7 2" xfId="36359"/>
    <cellStyle name="Currency 2 2 9 8" xfId="11400"/>
    <cellStyle name="Currency 2 3" xfId="11401"/>
    <cellStyle name="Currency 2 3 10" xfId="11402"/>
    <cellStyle name="Currency 2 3 10 2" xfId="11403"/>
    <cellStyle name="Currency 2 3 10 2 2" xfId="11404"/>
    <cellStyle name="Currency 2 3 10 3" xfId="11405"/>
    <cellStyle name="Currency 2 3 11" xfId="11406"/>
    <cellStyle name="Currency 2 3 11 2" xfId="11407"/>
    <cellStyle name="Currency 2 3 11 2 2" xfId="11408"/>
    <cellStyle name="Currency 2 3 11 3" xfId="11409"/>
    <cellStyle name="Currency 2 3 12" xfId="11410"/>
    <cellStyle name="Currency 2 3 12 2" xfId="11411"/>
    <cellStyle name="Currency 2 3 13" xfId="11412"/>
    <cellStyle name="Currency 2 3 13 2" xfId="36360"/>
    <cellStyle name="Currency 2 3 14" xfId="11413"/>
    <cellStyle name="Currency 2 3 2" xfId="11414"/>
    <cellStyle name="Currency 2 3 2 10" xfId="11415"/>
    <cellStyle name="Currency 2 3 2 2" xfId="11416"/>
    <cellStyle name="Currency 2 3 2 2 2" xfId="11417"/>
    <cellStyle name="Currency 2 3 2 2 2 2" xfId="11418"/>
    <cellStyle name="Currency 2 3 2 2 2 2 2" xfId="11419"/>
    <cellStyle name="Currency 2 3 2 2 2 2 2 2" xfId="11420"/>
    <cellStyle name="Currency 2 3 2 2 2 2 2 2 2" xfId="11421"/>
    <cellStyle name="Currency 2 3 2 2 2 2 2 2 3" xfId="11422"/>
    <cellStyle name="Currency 2 3 2 2 2 2 2 3" xfId="11423"/>
    <cellStyle name="Currency 2 3 2 2 2 2 2 3 2" xfId="11424"/>
    <cellStyle name="Currency 2 3 2 2 2 2 2 4" xfId="11425"/>
    <cellStyle name="Currency 2 3 2 2 2 2 3" xfId="11426"/>
    <cellStyle name="Currency 2 3 2 2 2 2 3 2" xfId="11427"/>
    <cellStyle name="Currency 2 3 2 2 2 2 3 2 2" xfId="11428"/>
    <cellStyle name="Currency 2 3 2 2 2 2 3 3" xfId="11429"/>
    <cellStyle name="Currency 2 3 2 2 2 2 4" xfId="11430"/>
    <cellStyle name="Currency 2 3 2 2 2 2 4 2" xfId="11431"/>
    <cellStyle name="Currency 2 3 2 2 2 2 4 3" xfId="11432"/>
    <cellStyle name="Currency 2 3 2 2 2 2 5" xfId="11433"/>
    <cellStyle name="Currency 2 3 2 2 2 2 5 2" xfId="11434"/>
    <cellStyle name="Currency 2 3 2 2 2 2 6" xfId="11435"/>
    <cellStyle name="Currency 2 3 2 2 2 2 6 2" xfId="36361"/>
    <cellStyle name="Currency 2 3 2 2 2 2 7" xfId="11436"/>
    <cellStyle name="Currency 2 3 2 2 2 3" xfId="11437"/>
    <cellStyle name="Currency 2 3 2 2 2 3 2" xfId="11438"/>
    <cellStyle name="Currency 2 3 2 2 2 3 2 2" xfId="11439"/>
    <cellStyle name="Currency 2 3 2 2 2 3 2 2 2" xfId="11440"/>
    <cellStyle name="Currency 2 3 2 2 2 3 2 3" xfId="11441"/>
    <cellStyle name="Currency 2 3 2 2 2 3 3" xfId="11442"/>
    <cellStyle name="Currency 2 3 2 2 2 3 3 2" xfId="11443"/>
    <cellStyle name="Currency 2 3 2 2 2 3 4" xfId="11444"/>
    <cellStyle name="Currency 2 3 2 2 2 4" xfId="11445"/>
    <cellStyle name="Currency 2 3 2 2 2 4 2" xfId="11446"/>
    <cellStyle name="Currency 2 3 2 2 2 4 2 2" xfId="11447"/>
    <cellStyle name="Currency 2 3 2 2 2 4 3" xfId="11448"/>
    <cellStyle name="Currency 2 3 2 2 2 5" xfId="11449"/>
    <cellStyle name="Currency 2 3 2 2 2 5 2" xfId="11450"/>
    <cellStyle name="Currency 2 3 2 2 2 5 2 2" xfId="11451"/>
    <cellStyle name="Currency 2 3 2 2 2 5 3" xfId="11452"/>
    <cellStyle name="Currency 2 3 2 2 2 6" xfId="11453"/>
    <cellStyle name="Currency 2 3 2 2 2 6 2" xfId="11454"/>
    <cellStyle name="Currency 2 3 2 2 2 7" xfId="11455"/>
    <cellStyle name="Currency 2 3 2 2 2 7 2" xfId="36362"/>
    <cellStyle name="Currency 2 3 2 2 2 8" xfId="11456"/>
    <cellStyle name="Currency 2 3 2 2 3" xfId="11457"/>
    <cellStyle name="Currency 2 3 2 2 3 2" xfId="11458"/>
    <cellStyle name="Currency 2 3 2 2 3 2 2" xfId="11459"/>
    <cellStyle name="Currency 2 3 2 2 3 2 2 2" xfId="11460"/>
    <cellStyle name="Currency 2 3 2 2 3 2 2 3" xfId="11461"/>
    <cellStyle name="Currency 2 3 2 2 3 2 3" xfId="11462"/>
    <cellStyle name="Currency 2 3 2 2 3 2 3 2" xfId="11463"/>
    <cellStyle name="Currency 2 3 2 2 3 2 4" xfId="11464"/>
    <cellStyle name="Currency 2 3 2 2 3 3" xfId="11465"/>
    <cellStyle name="Currency 2 3 2 2 3 3 2" xfId="11466"/>
    <cellStyle name="Currency 2 3 2 2 3 3 2 2" xfId="11467"/>
    <cellStyle name="Currency 2 3 2 2 3 3 3" xfId="11468"/>
    <cellStyle name="Currency 2 3 2 2 3 4" xfId="11469"/>
    <cellStyle name="Currency 2 3 2 2 3 4 2" xfId="11470"/>
    <cellStyle name="Currency 2 3 2 2 3 4 3" xfId="11471"/>
    <cellStyle name="Currency 2 3 2 2 3 5" xfId="11472"/>
    <cellStyle name="Currency 2 3 2 2 3 5 2" xfId="11473"/>
    <cellStyle name="Currency 2 3 2 2 3 6" xfId="11474"/>
    <cellStyle name="Currency 2 3 2 2 3 6 2" xfId="36363"/>
    <cellStyle name="Currency 2 3 2 2 3 7" xfId="11475"/>
    <cellStyle name="Currency 2 3 2 2 4" xfId="11476"/>
    <cellStyle name="Currency 2 3 2 2 4 2" xfId="11477"/>
    <cellStyle name="Currency 2 3 2 2 4 2 2" xfId="11478"/>
    <cellStyle name="Currency 2 3 2 2 4 2 2 2" xfId="11479"/>
    <cellStyle name="Currency 2 3 2 2 4 2 3" xfId="11480"/>
    <cellStyle name="Currency 2 3 2 2 4 3" xfId="11481"/>
    <cellStyle name="Currency 2 3 2 2 4 3 2" xfId="11482"/>
    <cellStyle name="Currency 2 3 2 2 4 4" xfId="11483"/>
    <cellStyle name="Currency 2 3 2 2 5" xfId="11484"/>
    <cellStyle name="Currency 2 3 2 2 5 2" xfId="11485"/>
    <cellStyle name="Currency 2 3 2 2 5 2 2" xfId="11486"/>
    <cellStyle name="Currency 2 3 2 2 5 3" xfId="11487"/>
    <cellStyle name="Currency 2 3 2 2 6" xfId="11488"/>
    <cellStyle name="Currency 2 3 2 2 6 2" xfId="11489"/>
    <cellStyle name="Currency 2 3 2 2 6 2 2" xfId="11490"/>
    <cellStyle name="Currency 2 3 2 2 6 3" xfId="11491"/>
    <cellStyle name="Currency 2 3 2 2 7" xfId="11492"/>
    <cellStyle name="Currency 2 3 2 2 7 2" xfId="11493"/>
    <cellStyle name="Currency 2 3 2 2 8" xfId="11494"/>
    <cellStyle name="Currency 2 3 2 2 8 2" xfId="36364"/>
    <cellStyle name="Currency 2 3 2 2 9" xfId="11495"/>
    <cellStyle name="Currency 2 3 2 3" xfId="11496"/>
    <cellStyle name="Currency 2 3 2 3 2" xfId="11497"/>
    <cellStyle name="Currency 2 3 2 3 2 2" xfId="11498"/>
    <cellStyle name="Currency 2 3 2 3 2 2 2" xfId="11499"/>
    <cellStyle name="Currency 2 3 2 3 2 2 2 2" xfId="11500"/>
    <cellStyle name="Currency 2 3 2 3 2 2 2 3" xfId="11501"/>
    <cellStyle name="Currency 2 3 2 3 2 2 3" xfId="11502"/>
    <cellStyle name="Currency 2 3 2 3 2 2 3 2" xfId="11503"/>
    <cellStyle name="Currency 2 3 2 3 2 2 4" xfId="11504"/>
    <cellStyle name="Currency 2 3 2 3 2 3" xfId="11505"/>
    <cellStyle name="Currency 2 3 2 3 2 3 2" xfId="11506"/>
    <cellStyle name="Currency 2 3 2 3 2 3 2 2" xfId="11507"/>
    <cellStyle name="Currency 2 3 2 3 2 3 3" xfId="11508"/>
    <cellStyle name="Currency 2 3 2 3 2 4" xfId="11509"/>
    <cellStyle name="Currency 2 3 2 3 2 4 2" xfId="11510"/>
    <cellStyle name="Currency 2 3 2 3 2 4 3" xfId="11511"/>
    <cellStyle name="Currency 2 3 2 3 2 5" xfId="11512"/>
    <cellStyle name="Currency 2 3 2 3 2 5 2" xfId="11513"/>
    <cellStyle name="Currency 2 3 2 3 2 6" xfId="11514"/>
    <cellStyle name="Currency 2 3 2 3 2 6 2" xfId="36365"/>
    <cellStyle name="Currency 2 3 2 3 2 7" xfId="11515"/>
    <cellStyle name="Currency 2 3 2 3 3" xfId="11516"/>
    <cellStyle name="Currency 2 3 2 3 3 2" xfId="11517"/>
    <cellStyle name="Currency 2 3 2 3 3 2 2" xfId="11518"/>
    <cellStyle name="Currency 2 3 2 3 3 2 2 2" xfId="11519"/>
    <cellStyle name="Currency 2 3 2 3 3 2 3" xfId="11520"/>
    <cellStyle name="Currency 2 3 2 3 3 3" xfId="11521"/>
    <cellStyle name="Currency 2 3 2 3 3 3 2" xfId="11522"/>
    <cellStyle name="Currency 2 3 2 3 3 4" xfId="11523"/>
    <cellStyle name="Currency 2 3 2 3 4" xfId="11524"/>
    <cellStyle name="Currency 2 3 2 3 4 2" xfId="11525"/>
    <cellStyle name="Currency 2 3 2 3 4 2 2" xfId="11526"/>
    <cellStyle name="Currency 2 3 2 3 4 3" xfId="11527"/>
    <cellStyle name="Currency 2 3 2 3 5" xfId="11528"/>
    <cellStyle name="Currency 2 3 2 3 5 2" xfId="11529"/>
    <cellStyle name="Currency 2 3 2 3 5 2 2" xfId="11530"/>
    <cellStyle name="Currency 2 3 2 3 5 3" xfId="11531"/>
    <cellStyle name="Currency 2 3 2 3 6" xfId="11532"/>
    <cellStyle name="Currency 2 3 2 3 6 2" xfId="11533"/>
    <cellStyle name="Currency 2 3 2 3 7" xfId="11534"/>
    <cellStyle name="Currency 2 3 2 3 7 2" xfId="36366"/>
    <cellStyle name="Currency 2 3 2 3 8" xfId="11535"/>
    <cellStyle name="Currency 2 3 2 4" xfId="11536"/>
    <cellStyle name="Currency 2 3 2 4 2" xfId="11537"/>
    <cellStyle name="Currency 2 3 2 4 2 2" xfId="11538"/>
    <cellStyle name="Currency 2 3 2 4 2 2 2" xfId="11539"/>
    <cellStyle name="Currency 2 3 2 4 2 2 3" xfId="11540"/>
    <cellStyle name="Currency 2 3 2 4 2 3" xfId="11541"/>
    <cellStyle name="Currency 2 3 2 4 2 3 2" xfId="11542"/>
    <cellStyle name="Currency 2 3 2 4 2 4" xfId="11543"/>
    <cellStyle name="Currency 2 3 2 4 3" xfId="11544"/>
    <cellStyle name="Currency 2 3 2 4 3 2" xfId="11545"/>
    <cellStyle name="Currency 2 3 2 4 3 2 2" xfId="11546"/>
    <cellStyle name="Currency 2 3 2 4 3 3" xfId="11547"/>
    <cellStyle name="Currency 2 3 2 4 4" xfId="11548"/>
    <cellStyle name="Currency 2 3 2 4 4 2" xfId="11549"/>
    <cellStyle name="Currency 2 3 2 4 4 3" xfId="11550"/>
    <cellStyle name="Currency 2 3 2 4 5" xfId="11551"/>
    <cellStyle name="Currency 2 3 2 4 5 2" xfId="11552"/>
    <cellStyle name="Currency 2 3 2 4 6" xfId="11553"/>
    <cellStyle name="Currency 2 3 2 4 6 2" xfId="36367"/>
    <cellStyle name="Currency 2 3 2 4 7" xfId="11554"/>
    <cellStyle name="Currency 2 3 2 5" xfId="11555"/>
    <cellStyle name="Currency 2 3 2 5 2" xfId="11556"/>
    <cellStyle name="Currency 2 3 2 5 2 2" xfId="11557"/>
    <cellStyle name="Currency 2 3 2 5 2 2 2" xfId="11558"/>
    <cellStyle name="Currency 2 3 2 5 2 3" xfId="11559"/>
    <cellStyle name="Currency 2 3 2 5 3" xfId="11560"/>
    <cellStyle name="Currency 2 3 2 5 3 2" xfId="11561"/>
    <cellStyle name="Currency 2 3 2 5 4" xfId="11562"/>
    <cellStyle name="Currency 2 3 2 6" xfId="11563"/>
    <cellStyle name="Currency 2 3 2 6 2" xfId="11564"/>
    <cellStyle name="Currency 2 3 2 6 2 2" xfId="11565"/>
    <cellStyle name="Currency 2 3 2 6 3" xfId="11566"/>
    <cellStyle name="Currency 2 3 2 7" xfId="11567"/>
    <cellStyle name="Currency 2 3 2 7 2" xfId="11568"/>
    <cellStyle name="Currency 2 3 2 7 2 2" xfId="11569"/>
    <cellStyle name="Currency 2 3 2 7 3" xfId="11570"/>
    <cellStyle name="Currency 2 3 2 8" xfId="11571"/>
    <cellStyle name="Currency 2 3 2 8 2" xfId="11572"/>
    <cellStyle name="Currency 2 3 2 9" xfId="11573"/>
    <cellStyle name="Currency 2 3 2 9 2" xfId="36368"/>
    <cellStyle name="Currency 2 3 3" xfId="11574"/>
    <cellStyle name="Currency 2 3 3 2" xfId="11575"/>
    <cellStyle name="Currency 2 3 3 2 2" xfId="11576"/>
    <cellStyle name="Currency 2 3 3 2 2 2" xfId="11577"/>
    <cellStyle name="Currency 2 3 3 2 2 2 2" xfId="11578"/>
    <cellStyle name="Currency 2 3 3 2 2 2 2 2" xfId="11579"/>
    <cellStyle name="Currency 2 3 3 2 2 2 2 3" xfId="11580"/>
    <cellStyle name="Currency 2 3 3 2 2 2 3" xfId="11581"/>
    <cellStyle name="Currency 2 3 3 2 2 2 3 2" xfId="11582"/>
    <cellStyle name="Currency 2 3 3 2 2 2 4" xfId="11583"/>
    <cellStyle name="Currency 2 3 3 2 2 3" xfId="11584"/>
    <cellStyle name="Currency 2 3 3 2 2 3 2" xfId="11585"/>
    <cellStyle name="Currency 2 3 3 2 2 3 2 2" xfId="11586"/>
    <cellStyle name="Currency 2 3 3 2 2 3 3" xfId="11587"/>
    <cellStyle name="Currency 2 3 3 2 2 4" xfId="11588"/>
    <cellStyle name="Currency 2 3 3 2 2 4 2" xfId="11589"/>
    <cellStyle name="Currency 2 3 3 2 2 4 3" xfId="11590"/>
    <cellStyle name="Currency 2 3 3 2 2 5" xfId="11591"/>
    <cellStyle name="Currency 2 3 3 2 2 5 2" xfId="11592"/>
    <cellStyle name="Currency 2 3 3 2 2 6" xfId="11593"/>
    <cellStyle name="Currency 2 3 3 2 2 6 2" xfId="36369"/>
    <cellStyle name="Currency 2 3 3 2 2 7" xfId="11594"/>
    <cellStyle name="Currency 2 3 3 2 3" xfId="11595"/>
    <cellStyle name="Currency 2 3 3 2 3 2" xfId="11596"/>
    <cellStyle name="Currency 2 3 3 2 3 2 2" xfId="11597"/>
    <cellStyle name="Currency 2 3 3 2 3 2 2 2" xfId="11598"/>
    <cellStyle name="Currency 2 3 3 2 3 2 3" xfId="11599"/>
    <cellStyle name="Currency 2 3 3 2 3 3" xfId="11600"/>
    <cellStyle name="Currency 2 3 3 2 3 3 2" xfId="11601"/>
    <cellStyle name="Currency 2 3 3 2 3 4" xfId="11602"/>
    <cellStyle name="Currency 2 3 3 2 4" xfId="11603"/>
    <cellStyle name="Currency 2 3 3 2 4 2" xfId="11604"/>
    <cellStyle name="Currency 2 3 3 2 4 2 2" xfId="11605"/>
    <cellStyle name="Currency 2 3 3 2 4 3" xfId="11606"/>
    <cellStyle name="Currency 2 3 3 2 5" xfId="11607"/>
    <cellStyle name="Currency 2 3 3 2 5 2" xfId="11608"/>
    <cellStyle name="Currency 2 3 3 2 5 2 2" xfId="11609"/>
    <cellStyle name="Currency 2 3 3 2 5 3" xfId="11610"/>
    <cellStyle name="Currency 2 3 3 2 6" xfId="11611"/>
    <cellStyle name="Currency 2 3 3 2 6 2" xfId="11612"/>
    <cellStyle name="Currency 2 3 3 2 7" xfId="11613"/>
    <cellStyle name="Currency 2 3 3 2 7 2" xfId="36370"/>
    <cellStyle name="Currency 2 3 3 2 8" xfId="11614"/>
    <cellStyle name="Currency 2 3 3 3" xfId="11615"/>
    <cellStyle name="Currency 2 3 3 3 2" xfId="11616"/>
    <cellStyle name="Currency 2 3 3 3 2 2" xfId="11617"/>
    <cellStyle name="Currency 2 3 3 3 2 2 2" xfId="11618"/>
    <cellStyle name="Currency 2 3 3 3 2 2 3" xfId="11619"/>
    <cellStyle name="Currency 2 3 3 3 2 3" xfId="11620"/>
    <cellStyle name="Currency 2 3 3 3 2 3 2" xfId="11621"/>
    <cellStyle name="Currency 2 3 3 3 2 4" xfId="11622"/>
    <cellStyle name="Currency 2 3 3 3 3" xfId="11623"/>
    <cellStyle name="Currency 2 3 3 3 3 2" xfId="11624"/>
    <cellStyle name="Currency 2 3 3 3 3 2 2" xfId="11625"/>
    <cellStyle name="Currency 2 3 3 3 3 3" xfId="11626"/>
    <cellStyle name="Currency 2 3 3 3 4" xfId="11627"/>
    <cellStyle name="Currency 2 3 3 3 4 2" xfId="11628"/>
    <cellStyle name="Currency 2 3 3 3 4 3" xfId="11629"/>
    <cellStyle name="Currency 2 3 3 3 5" xfId="11630"/>
    <cellStyle name="Currency 2 3 3 3 5 2" xfId="11631"/>
    <cellStyle name="Currency 2 3 3 3 6" xfId="11632"/>
    <cellStyle name="Currency 2 3 3 3 6 2" xfId="36371"/>
    <cellStyle name="Currency 2 3 3 3 7" xfId="11633"/>
    <cellStyle name="Currency 2 3 3 4" xfId="11634"/>
    <cellStyle name="Currency 2 3 3 4 2" xfId="11635"/>
    <cellStyle name="Currency 2 3 3 4 2 2" xfId="11636"/>
    <cellStyle name="Currency 2 3 3 4 2 2 2" xfId="11637"/>
    <cellStyle name="Currency 2 3 3 4 2 3" xfId="11638"/>
    <cellStyle name="Currency 2 3 3 4 3" xfId="11639"/>
    <cellStyle name="Currency 2 3 3 4 3 2" xfId="11640"/>
    <cellStyle name="Currency 2 3 3 4 4" xfId="11641"/>
    <cellStyle name="Currency 2 3 3 5" xfId="11642"/>
    <cellStyle name="Currency 2 3 3 5 2" xfId="11643"/>
    <cellStyle name="Currency 2 3 3 5 2 2" xfId="11644"/>
    <cellStyle name="Currency 2 3 3 5 3" xfId="11645"/>
    <cellStyle name="Currency 2 3 3 6" xfId="11646"/>
    <cellStyle name="Currency 2 3 3 6 2" xfId="11647"/>
    <cellStyle name="Currency 2 3 3 6 2 2" xfId="11648"/>
    <cellStyle name="Currency 2 3 3 6 3" xfId="11649"/>
    <cellStyle name="Currency 2 3 3 7" xfId="11650"/>
    <cellStyle name="Currency 2 3 3 7 2" xfId="11651"/>
    <cellStyle name="Currency 2 3 3 8" xfId="11652"/>
    <cellStyle name="Currency 2 3 3 8 2" xfId="36372"/>
    <cellStyle name="Currency 2 3 3 9" xfId="11653"/>
    <cellStyle name="Currency 2 3 4" xfId="11654"/>
    <cellStyle name="Currency 2 3 4 2" xfId="11655"/>
    <cellStyle name="Currency 2 3 4 2 2" xfId="11656"/>
    <cellStyle name="Currency 2 3 4 2 2 2" xfId="11657"/>
    <cellStyle name="Currency 2 3 4 2 2 2 2" xfId="11658"/>
    <cellStyle name="Currency 2 3 4 2 2 2 2 2" xfId="11659"/>
    <cellStyle name="Currency 2 3 4 2 2 2 2 3" xfId="11660"/>
    <cellStyle name="Currency 2 3 4 2 2 2 3" xfId="11661"/>
    <cellStyle name="Currency 2 3 4 2 2 2 3 2" xfId="11662"/>
    <cellStyle name="Currency 2 3 4 2 2 2 4" xfId="11663"/>
    <cellStyle name="Currency 2 3 4 2 2 3" xfId="11664"/>
    <cellStyle name="Currency 2 3 4 2 2 3 2" xfId="11665"/>
    <cellStyle name="Currency 2 3 4 2 2 3 2 2" xfId="11666"/>
    <cellStyle name="Currency 2 3 4 2 2 3 3" xfId="11667"/>
    <cellStyle name="Currency 2 3 4 2 2 4" xfId="11668"/>
    <cellStyle name="Currency 2 3 4 2 2 4 2" xfId="11669"/>
    <cellStyle name="Currency 2 3 4 2 2 4 3" xfId="11670"/>
    <cellStyle name="Currency 2 3 4 2 2 5" xfId="11671"/>
    <cellStyle name="Currency 2 3 4 2 2 5 2" xfId="11672"/>
    <cellStyle name="Currency 2 3 4 2 2 6" xfId="11673"/>
    <cellStyle name="Currency 2 3 4 2 2 6 2" xfId="36373"/>
    <cellStyle name="Currency 2 3 4 2 2 7" xfId="11674"/>
    <cellStyle name="Currency 2 3 4 2 3" xfId="11675"/>
    <cellStyle name="Currency 2 3 4 2 3 2" xfId="11676"/>
    <cellStyle name="Currency 2 3 4 2 3 2 2" xfId="11677"/>
    <cellStyle name="Currency 2 3 4 2 3 2 2 2" xfId="11678"/>
    <cellStyle name="Currency 2 3 4 2 3 2 3" xfId="11679"/>
    <cellStyle name="Currency 2 3 4 2 3 3" xfId="11680"/>
    <cellStyle name="Currency 2 3 4 2 3 3 2" xfId="11681"/>
    <cellStyle name="Currency 2 3 4 2 3 4" xfId="11682"/>
    <cellStyle name="Currency 2 3 4 2 4" xfId="11683"/>
    <cellStyle name="Currency 2 3 4 2 4 2" xfId="11684"/>
    <cellStyle name="Currency 2 3 4 2 4 2 2" xfId="11685"/>
    <cellStyle name="Currency 2 3 4 2 4 3" xfId="11686"/>
    <cellStyle name="Currency 2 3 4 2 5" xfId="11687"/>
    <cellStyle name="Currency 2 3 4 2 5 2" xfId="11688"/>
    <cellStyle name="Currency 2 3 4 2 5 2 2" xfId="11689"/>
    <cellStyle name="Currency 2 3 4 2 5 3" xfId="11690"/>
    <cellStyle name="Currency 2 3 4 2 6" xfId="11691"/>
    <cellStyle name="Currency 2 3 4 2 6 2" xfId="11692"/>
    <cellStyle name="Currency 2 3 4 2 7" xfId="11693"/>
    <cellStyle name="Currency 2 3 4 2 7 2" xfId="36374"/>
    <cellStyle name="Currency 2 3 4 2 8" xfId="11694"/>
    <cellStyle name="Currency 2 3 4 3" xfId="11695"/>
    <cellStyle name="Currency 2 3 4 3 2" xfId="11696"/>
    <cellStyle name="Currency 2 3 4 3 2 2" xfId="11697"/>
    <cellStyle name="Currency 2 3 4 3 2 2 2" xfId="11698"/>
    <cellStyle name="Currency 2 3 4 3 2 2 3" xfId="11699"/>
    <cellStyle name="Currency 2 3 4 3 2 3" xfId="11700"/>
    <cellStyle name="Currency 2 3 4 3 2 3 2" xfId="11701"/>
    <cellStyle name="Currency 2 3 4 3 2 4" xfId="11702"/>
    <cellStyle name="Currency 2 3 4 3 3" xfId="11703"/>
    <cellStyle name="Currency 2 3 4 3 3 2" xfId="11704"/>
    <cellStyle name="Currency 2 3 4 3 3 2 2" xfId="11705"/>
    <cellStyle name="Currency 2 3 4 3 3 3" xfId="11706"/>
    <cellStyle name="Currency 2 3 4 3 4" xfId="11707"/>
    <cellStyle name="Currency 2 3 4 3 4 2" xfId="11708"/>
    <cellStyle name="Currency 2 3 4 3 4 3" xfId="11709"/>
    <cellStyle name="Currency 2 3 4 3 5" xfId="11710"/>
    <cellStyle name="Currency 2 3 4 3 5 2" xfId="11711"/>
    <cellStyle name="Currency 2 3 4 3 6" xfId="11712"/>
    <cellStyle name="Currency 2 3 4 3 6 2" xfId="36375"/>
    <cellStyle name="Currency 2 3 4 3 7" xfId="11713"/>
    <cellStyle name="Currency 2 3 4 4" xfId="11714"/>
    <cellStyle name="Currency 2 3 4 4 2" xfId="11715"/>
    <cellStyle name="Currency 2 3 4 4 2 2" xfId="11716"/>
    <cellStyle name="Currency 2 3 4 4 2 2 2" xfId="11717"/>
    <cellStyle name="Currency 2 3 4 4 2 3" xfId="11718"/>
    <cellStyle name="Currency 2 3 4 4 3" xfId="11719"/>
    <cellStyle name="Currency 2 3 4 4 3 2" xfId="11720"/>
    <cellStyle name="Currency 2 3 4 4 4" xfId="11721"/>
    <cellStyle name="Currency 2 3 4 5" xfId="11722"/>
    <cellStyle name="Currency 2 3 4 5 2" xfId="11723"/>
    <cellStyle name="Currency 2 3 4 5 2 2" xfId="11724"/>
    <cellStyle name="Currency 2 3 4 5 3" xfId="11725"/>
    <cellStyle name="Currency 2 3 4 6" xfId="11726"/>
    <cellStyle name="Currency 2 3 4 6 2" xfId="11727"/>
    <cellStyle name="Currency 2 3 4 6 2 2" xfId="11728"/>
    <cellStyle name="Currency 2 3 4 6 3" xfId="11729"/>
    <cellStyle name="Currency 2 3 4 7" xfId="11730"/>
    <cellStyle name="Currency 2 3 4 7 2" xfId="11731"/>
    <cellStyle name="Currency 2 3 4 8" xfId="11732"/>
    <cellStyle name="Currency 2 3 4 8 2" xfId="36376"/>
    <cellStyle name="Currency 2 3 4 9" xfId="11733"/>
    <cellStyle name="Currency 2 3 5" xfId="11734"/>
    <cellStyle name="Currency 2 3 5 2" xfId="11735"/>
    <cellStyle name="Currency 2 3 5 2 2" xfId="11736"/>
    <cellStyle name="Currency 2 3 5 2 2 2" xfId="11737"/>
    <cellStyle name="Currency 2 3 5 2 2 2 2" xfId="11738"/>
    <cellStyle name="Currency 2 3 5 2 2 2 3" xfId="11739"/>
    <cellStyle name="Currency 2 3 5 2 2 3" xfId="11740"/>
    <cellStyle name="Currency 2 3 5 2 2 3 2" xfId="11741"/>
    <cellStyle name="Currency 2 3 5 2 2 4" xfId="11742"/>
    <cellStyle name="Currency 2 3 5 2 3" xfId="11743"/>
    <cellStyle name="Currency 2 3 5 2 3 2" xfId="11744"/>
    <cellStyle name="Currency 2 3 5 2 3 2 2" xfId="11745"/>
    <cellStyle name="Currency 2 3 5 2 3 3" xfId="11746"/>
    <cellStyle name="Currency 2 3 5 2 4" xfId="11747"/>
    <cellStyle name="Currency 2 3 5 2 4 2" xfId="11748"/>
    <cellStyle name="Currency 2 3 5 2 4 3" xfId="11749"/>
    <cellStyle name="Currency 2 3 5 2 5" xfId="11750"/>
    <cellStyle name="Currency 2 3 5 2 5 2" xfId="11751"/>
    <cellStyle name="Currency 2 3 5 2 6" xfId="11752"/>
    <cellStyle name="Currency 2 3 5 2 6 2" xfId="36377"/>
    <cellStyle name="Currency 2 3 5 2 7" xfId="11753"/>
    <cellStyle name="Currency 2 3 5 3" xfId="11754"/>
    <cellStyle name="Currency 2 3 5 3 2" xfId="11755"/>
    <cellStyle name="Currency 2 3 5 3 2 2" xfId="11756"/>
    <cellStyle name="Currency 2 3 5 3 2 2 2" xfId="11757"/>
    <cellStyle name="Currency 2 3 5 3 2 3" xfId="11758"/>
    <cellStyle name="Currency 2 3 5 3 3" xfId="11759"/>
    <cellStyle name="Currency 2 3 5 3 3 2" xfId="11760"/>
    <cellStyle name="Currency 2 3 5 3 4" xfId="11761"/>
    <cellStyle name="Currency 2 3 5 4" xfId="11762"/>
    <cellStyle name="Currency 2 3 5 4 2" xfId="11763"/>
    <cellStyle name="Currency 2 3 5 4 2 2" xfId="11764"/>
    <cellStyle name="Currency 2 3 5 4 3" xfId="11765"/>
    <cellStyle name="Currency 2 3 5 5" xfId="11766"/>
    <cellStyle name="Currency 2 3 5 5 2" xfId="11767"/>
    <cellStyle name="Currency 2 3 5 5 2 2" xfId="11768"/>
    <cellStyle name="Currency 2 3 5 5 3" xfId="11769"/>
    <cellStyle name="Currency 2 3 5 6" xfId="11770"/>
    <cellStyle name="Currency 2 3 5 6 2" xfId="11771"/>
    <cellStyle name="Currency 2 3 5 7" xfId="11772"/>
    <cellStyle name="Currency 2 3 5 7 2" xfId="36378"/>
    <cellStyle name="Currency 2 3 5 8" xfId="11773"/>
    <cellStyle name="Currency 2 3 6" xfId="11774"/>
    <cellStyle name="Currency 2 3 6 2" xfId="11775"/>
    <cellStyle name="Currency 2 3 6 2 2" xfId="11776"/>
    <cellStyle name="Currency 2 3 6 2 2 2" xfId="11777"/>
    <cellStyle name="Currency 2 3 6 2 2 2 2" xfId="11778"/>
    <cellStyle name="Currency 2 3 6 2 2 2 3" xfId="11779"/>
    <cellStyle name="Currency 2 3 6 2 2 3" xfId="11780"/>
    <cellStyle name="Currency 2 3 6 2 2 3 2" xfId="11781"/>
    <cellStyle name="Currency 2 3 6 2 2 4" xfId="11782"/>
    <cellStyle name="Currency 2 3 6 2 3" xfId="11783"/>
    <cellStyle name="Currency 2 3 6 2 3 2" xfId="11784"/>
    <cellStyle name="Currency 2 3 6 2 3 2 2" xfId="11785"/>
    <cellStyle name="Currency 2 3 6 2 3 3" xfId="11786"/>
    <cellStyle name="Currency 2 3 6 2 4" xfId="11787"/>
    <cellStyle name="Currency 2 3 6 2 4 2" xfId="11788"/>
    <cellStyle name="Currency 2 3 6 2 4 3" xfId="11789"/>
    <cellStyle name="Currency 2 3 6 2 5" xfId="11790"/>
    <cellStyle name="Currency 2 3 6 2 5 2" xfId="11791"/>
    <cellStyle name="Currency 2 3 6 2 6" xfId="11792"/>
    <cellStyle name="Currency 2 3 6 2 6 2" xfId="36379"/>
    <cellStyle name="Currency 2 3 6 2 7" xfId="11793"/>
    <cellStyle name="Currency 2 3 6 3" xfId="11794"/>
    <cellStyle name="Currency 2 3 6 3 2" xfId="11795"/>
    <cellStyle name="Currency 2 3 6 3 2 2" xfId="11796"/>
    <cellStyle name="Currency 2 3 6 3 2 2 2" xfId="11797"/>
    <cellStyle name="Currency 2 3 6 3 2 3" xfId="11798"/>
    <cellStyle name="Currency 2 3 6 3 3" xfId="11799"/>
    <cellStyle name="Currency 2 3 6 3 3 2" xfId="11800"/>
    <cellStyle name="Currency 2 3 6 3 4" xfId="11801"/>
    <cellStyle name="Currency 2 3 6 4" xfId="11802"/>
    <cellStyle name="Currency 2 3 6 4 2" xfId="11803"/>
    <cellStyle name="Currency 2 3 6 4 2 2" xfId="11804"/>
    <cellStyle name="Currency 2 3 6 4 3" xfId="11805"/>
    <cellStyle name="Currency 2 3 6 5" xfId="11806"/>
    <cellStyle name="Currency 2 3 6 5 2" xfId="11807"/>
    <cellStyle name="Currency 2 3 6 5 2 2" xfId="11808"/>
    <cellStyle name="Currency 2 3 6 5 3" xfId="11809"/>
    <cellStyle name="Currency 2 3 6 6" xfId="11810"/>
    <cellStyle name="Currency 2 3 6 6 2" xfId="11811"/>
    <cellStyle name="Currency 2 3 6 7" xfId="11812"/>
    <cellStyle name="Currency 2 3 6 7 2" xfId="36380"/>
    <cellStyle name="Currency 2 3 6 8" xfId="11813"/>
    <cellStyle name="Currency 2 3 7" xfId="11814"/>
    <cellStyle name="Currency 2 3 7 2" xfId="11815"/>
    <cellStyle name="Currency 2 3 7 2 2" xfId="11816"/>
    <cellStyle name="Currency 2 3 7 2 2 2" xfId="11817"/>
    <cellStyle name="Currency 2 3 7 2 2 2 2" xfId="11818"/>
    <cellStyle name="Currency 2 3 7 2 2 2 3" xfId="11819"/>
    <cellStyle name="Currency 2 3 7 2 2 3" xfId="11820"/>
    <cellStyle name="Currency 2 3 7 2 2 3 2" xfId="11821"/>
    <cellStyle name="Currency 2 3 7 2 2 4" xfId="11822"/>
    <cellStyle name="Currency 2 3 7 2 3" xfId="11823"/>
    <cellStyle name="Currency 2 3 7 2 3 2" xfId="11824"/>
    <cellStyle name="Currency 2 3 7 2 3 2 2" xfId="11825"/>
    <cellStyle name="Currency 2 3 7 2 3 3" xfId="11826"/>
    <cellStyle name="Currency 2 3 7 2 4" xfId="11827"/>
    <cellStyle name="Currency 2 3 7 2 4 2" xfId="11828"/>
    <cellStyle name="Currency 2 3 7 2 4 3" xfId="11829"/>
    <cellStyle name="Currency 2 3 7 2 5" xfId="11830"/>
    <cellStyle name="Currency 2 3 7 2 5 2" xfId="11831"/>
    <cellStyle name="Currency 2 3 7 2 6" xfId="11832"/>
    <cellStyle name="Currency 2 3 7 2 6 2" xfId="36381"/>
    <cellStyle name="Currency 2 3 7 2 7" xfId="11833"/>
    <cellStyle name="Currency 2 3 7 3" xfId="11834"/>
    <cellStyle name="Currency 2 3 7 3 2" xfId="11835"/>
    <cellStyle name="Currency 2 3 7 3 2 2" xfId="11836"/>
    <cellStyle name="Currency 2 3 7 3 2 2 2" xfId="11837"/>
    <cellStyle name="Currency 2 3 7 3 2 3" xfId="11838"/>
    <cellStyle name="Currency 2 3 7 3 3" xfId="11839"/>
    <cellStyle name="Currency 2 3 7 3 3 2" xfId="11840"/>
    <cellStyle name="Currency 2 3 7 3 4" xfId="11841"/>
    <cellStyle name="Currency 2 3 7 4" xfId="11842"/>
    <cellStyle name="Currency 2 3 7 4 2" xfId="11843"/>
    <cellStyle name="Currency 2 3 7 4 2 2" xfId="11844"/>
    <cellStyle name="Currency 2 3 7 4 3" xfId="11845"/>
    <cellStyle name="Currency 2 3 7 5" xfId="11846"/>
    <cellStyle name="Currency 2 3 7 5 2" xfId="11847"/>
    <cellStyle name="Currency 2 3 7 5 2 2" xfId="11848"/>
    <cellStyle name="Currency 2 3 7 5 3" xfId="11849"/>
    <cellStyle name="Currency 2 3 7 6" xfId="11850"/>
    <cellStyle name="Currency 2 3 7 6 2" xfId="11851"/>
    <cellStyle name="Currency 2 3 7 7" xfId="11852"/>
    <cellStyle name="Currency 2 3 7 7 2" xfId="36382"/>
    <cellStyle name="Currency 2 3 7 8" xfId="11853"/>
    <cellStyle name="Currency 2 3 8" xfId="11854"/>
    <cellStyle name="Currency 2 3 8 2" xfId="11855"/>
    <cellStyle name="Currency 2 3 8 2 2" xfId="11856"/>
    <cellStyle name="Currency 2 3 8 2 2 2" xfId="11857"/>
    <cellStyle name="Currency 2 3 8 2 2 3" xfId="11858"/>
    <cellStyle name="Currency 2 3 8 2 3" xfId="11859"/>
    <cellStyle name="Currency 2 3 8 2 3 2" xfId="11860"/>
    <cellStyle name="Currency 2 3 8 2 4" xfId="11861"/>
    <cellStyle name="Currency 2 3 8 3" xfId="11862"/>
    <cellStyle name="Currency 2 3 8 3 2" xfId="11863"/>
    <cellStyle name="Currency 2 3 8 3 2 2" xfId="11864"/>
    <cellStyle name="Currency 2 3 8 3 3" xfId="11865"/>
    <cellStyle name="Currency 2 3 8 4" xfId="11866"/>
    <cellStyle name="Currency 2 3 8 4 2" xfId="11867"/>
    <cellStyle name="Currency 2 3 8 4 3" xfId="11868"/>
    <cellStyle name="Currency 2 3 8 5" xfId="11869"/>
    <cellStyle name="Currency 2 3 8 5 2" xfId="11870"/>
    <cellStyle name="Currency 2 3 8 6" xfId="11871"/>
    <cellStyle name="Currency 2 3 8 6 2" xfId="36383"/>
    <cellStyle name="Currency 2 3 8 7" xfId="11872"/>
    <cellStyle name="Currency 2 3 9" xfId="11873"/>
    <cellStyle name="Currency 2 3 9 2" xfId="11874"/>
    <cellStyle name="Currency 2 3 9 2 2" xfId="11875"/>
    <cellStyle name="Currency 2 3 9 2 2 2" xfId="11876"/>
    <cellStyle name="Currency 2 3 9 2 3" xfId="11877"/>
    <cellStyle name="Currency 2 3 9 3" xfId="11878"/>
    <cellStyle name="Currency 2 3 9 3 2" xfId="11879"/>
    <cellStyle name="Currency 2 3 9 4" xfId="11880"/>
    <cellStyle name="Currency 2 4" xfId="11881"/>
    <cellStyle name="Currency 2 4 10" xfId="11882"/>
    <cellStyle name="Currency 2 4 10 2" xfId="11883"/>
    <cellStyle name="Currency 2 4 10 2 2" xfId="11884"/>
    <cellStyle name="Currency 2 4 10 3" xfId="11885"/>
    <cellStyle name="Currency 2 4 11" xfId="11886"/>
    <cellStyle name="Currency 2 4 11 2" xfId="11887"/>
    <cellStyle name="Currency 2 4 11 2 2" xfId="11888"/>
    <cellStyle name="Currency 2 4 11 3" xfId="11889"/>
    <cellStyle name="Currency 2 4 12" xfId="11890"/>
    <cellStyle name="Currency 2 4 12 2" xfId="11891"/>
    <cellStyle name="Currency 2 4 13" xfId="11892"/>
    <cellStyle name="Currency 2 4 13 2" xfId="36384"/>
    <cellStyle name="Currency 2 4 14" xfId="11893"/>
    <cellStyle name="Currency 2 4 2" xfId="11894"/>
    <cellStyle name="Currency 2 4 2 10" xfId="11895"/>
    <cellStyle name="Currency 2 4 2 2" xfId="11896"/>
    <cellStyle name="Currency 2 4 2 2 2" xfId="11897"/>
    <cellStyle name="Currency 2 4 2 2 2 2" xfId="11898"/>
    <cellStyle name="Currency 2 4 2 2 2 2 2" xfId="11899"/>
    <cellStyle name="Currency 2 4 2 2 2 2 2 2" xfId="11900"/>
    <cellStyle name="Currency 2 4 2 2 2 2 2 2 2" xfId="11901"/>
    <cellStyle name="Currency 2 4 2 2 2 2 2 2 3" xfId="11902"/>
    <cellStyle name="Currency 2 4 2 2 2 2 2 3" xfId="11903"/>
    <cellStyle name="Currency 2 4 2 2 2 2 2 3 2" xfId="11904"/>
    <cellStyle name="Currency 2 4 2 2 2 2 2 4" xfId="11905"/>
    <cellStyle name="Currency 2 4 2 2 2 2 3" xfId="11906"/>
    <cellStyle name="Currency 2 4 2 2 2 2 3 2" xfId="11907"/>
    <cellStyle name="Currency 2 4 2 2 2 2 3 2 2" xfId="11908"/>
    <cellStyle name="Currency 2 4 2 2 2 2 3 3" xfId="11909"/>
    <cellStyle name="Currency 2 4 2 2 2 2 4" xfId="11910"/>
    <cellStyle name="Currency 2 4 2 2 2 2 4 2" xfId="11911"/>
    <cellStyle name="Currency 2 4 2 2 2 2 4 3" xfId="11912"/>
    <cellStyle name="Currency 2 4 2 2 2 2 5" xfId="11913"/>
    <cellStyle name="Currency 2 4 2 2 2 2 5 2" xfId="11914"/>
    <cellStyle name="Currency 2 4 2 2 2 2 6" xfId="11915"/>
    <cellStyle name="Currency 2 4 2 2 2 2 6 2" xfId="36385"/>
    <cellStyle name="Currency 2 4 2 2 2 2 7" xfId="11916"/>
    <cellStyle name="Currency 2 4 2 2 2 3" xfId="11917"/>
    <cellStyle name="Currency 2 4 2 2 2 3 2" xfId="11918"/>
    <cellStyle name="Currency 2 4 2 2 2 3 2 2" xfId="11919"/>
    <cellStyle name="Currency 2 4 2 2 2 3 2 2 2" xfId="11920"/>
    <cellStyle name="Currency 2 4 2 2 2 3 2 3" xfId="11921"/>
    <cellStyle name="Currency 2 4 2 2 2 3 3" xfId="11922"/>
    <cellStyle name="Currency 2 4 2 2 2 3 3 2" xfId="11923"/>
    <cellStyle name="Currency 2 4 2 2 2 3 4" xfId="11924"/>
    <cellStyle name="Currency 2 4 2 2 2 4" xfId="11925"/>
    <cellStyle name="Currency 2 4 2 2 2 4 2" xfId="11926"/>
    <cellStyle name="Currency 2 4 2 2 2 4 2 2" xfId="11927"/>
    <cellStyle name="Currency 2 4 2 2 2 4 3" xfId="11928"/>
    <cellStyle name="Currency 2 4 2 2 2 5" xfId="11929"/>
    <cellStyle name="Currency 2 4 2 2 2 5 2" xfId="11930"/>
    <cellStyle name="Currency 2 4 2 2 2 5 2 2" xfId="11931"/>
    <cellStyle name="Currency 2 4 2 2 2 5 3" xfId="11932"/>
    <cellStyle name="Currency 2 4 2 2 2 6" xfId="11933"/>
    <cellStyle name="Currency 2 4 2 2 2 6 2" xfId="11934"/>
    <cellStyle name="Currency 2 4 2 2 2 7" xfId="11935"/>
    <cellStyle name="Currency 2 4 2 2 2 7 2" xfId="36386"/>
    <cellStyle name="Currency 2 4 2 2 2 8" xfId="11936"/>
    <cellStyle name="Currency 2 4 2 2 3" xfId="11937"/>
    <cellStyle name="Currency 2 4 2 2 3 2" xfId="11938"/>
    <cellStyle name="Currency 2 4 2 2 3 2 2" xfId="11939"/>
    <cellStyle name="Currency 2 4 2 2 3 2 2 2" xfId="11940"/>
    <cellStyle name="Currency 2 4 2 2 3 2 2 3" xfId="11941"/>
    <cellStyle name="Currency 2 4 2 2 3 2 3" xfId="11942"/>
    <cellStyle name="Currency 2 4 2 2 3 2 3 2" xfId="11943"/>
    <cellStyle name="Currency 2 4 2 2 3 2 4" xfId="11944"/>
    <cellStyle name="Currency 2 4 2 2 3 3" xfId="11945"/>
    <cellStyle name="Currency 2 4 2 2 3 3 2" xfId="11946"/>
    <cellStyle name="Currency 2 4 2 2 3 3 2 2" xfId="11947"/>
    <cellStyle name="Currency 2 4 2 2 3 3 3" xfId="11948"/>
    <cellStyle name="Currency 2 4 2 2 3 4" xfId="11949"/>
    <cellStyle name="Currency 2 4 2 2 3 4 2" xfId="11950"/>
    <cellStyle name="Currency 2 4 2 2 3 4 3" xfId="11951"/>
    <cellStyle name="Currency 2 4 2 2 3 5" xfId="11952"/>
    <cellStyle name="Currency 2 4 2 2 3 5 2" xfId="11953"/>
    <cellStyle name="Currency 2 4 2 2 3 6" xfId="11954"/>
    <cellStyle name="Currency 2 4 2 2 3 6 2" xfId="36387"/>
    <cellStyle name="Currency 2 4 2 2 3 7" xfId="11955"/>
    <cellStyle name="Currency 2 4 2 2 4" xfId="11956"/>
    <cellStyle name="Currency 2 4 2 2 4 2" xfId="11957"/>
    <cellStyle name="Currency 2 4 2 2 4 2 2" xfId="11958"/>
    <cellStyle name="Currency 2 4 2 2 4 2 2 2" xfId="11959"/>
    <cellStyle name="Currency 2 4 2 2 4 2 3" xfId="11960"/>
    <cellStyle name="Currency 2 4 2 2 4 3" xfId="11961"/>
    <cellStyle name="Currency 2 4 2 2 4 3 2" xfId="11962"/>
    <cellStyle name="Currency 2 4 2 2 4 4" xfId="11963"/>
    <cellStyle name="Currency 2 4 2 2 5" xfId="11964"/>
    <cellStyle name="Currency 2 4 2 2 5 2" xfId="11965"/>
    <cellStyle name="Currency 2 4 2 2 5 2 2" xfId="11966"/>
    <cellStyle name="Currency 2 4 2 2 5 3" xfId="11967"/>
    <cellStyle name="Currency 2 4 2 2 6" xfId="11968"/>
    <cellStyle name="Currency 2 4 2 2 6 2" xfId="11969"/>
    <cellStyle name="Currency 2 4 2 2 6 2 2" xfId="11970"/>
    <cellStyle name="Currency 2 4 2 2 6 3" xfId="11971"/>
    <cellStyle name="Currency 2 4 2 2 7" xfId="11972"/>
    <cellStyle name="Currency 2 4 2 2 7 2" xfId="11973"/>
    <cellStyle name="Currency 2 4 2 2 8" xfId="11974"/>
    <cellStyle name="Currency 2 4 2 2 8 2" xfId="36388"/>
    <cellStyle name="Currency 2 4 2 2 9" xfId="11975"/>
    <cellStyle name="Currency 2 4 2 3" xfId="11976"/>
    <cellStyle name="Currency 2 4 2 3 2" xfId="11977"/>
    <cellStyle name="Currency 2 4 2 3 2 2" xfId="11978"/>
    <cellStyle name="Currency 2 4 2 3 2 2 2" xfId="11979"/>
    <cellStyle name="Currency 2 4 2 3 2 2 2 2" xfId="11980"/>
    <cellStyle name="Currency 2 4 2 3 2 2 2 3" xfId="11981"/>
    <cellStyle name="Currency 2 4 2 3 2 2 3" xfId="11982"/>
    <cellStyle name="Currency 2 4 2 3 2 2 3 2" xfId="11983"/>
    <cellStyle name="Currency 2 4 2 3 2 2 4" xfId="11984"/>
    <cellStyle name="Currency 2 4 2 3 2 3" xfId="11985"/>
    <cellStyle name="Currency 2 4 2 3 2 3 2" xfId="11986"/>
    <cellStyle name="Currency 2 4 2 3 2 3 2 2" xfId="11987"/>
    <cellStyle name="Currency 2 4 2 3 2 3 3" xfId="11988"/>
    <cellStyle name="Currency 2 4 2 3 2 4" xfId="11989"/>
    <cellStyle name="Currency 2 4 2 3 2 4 2" xfId="11990"/>
    <cellStyle name="Currency 2 4 2 3 2 4 3" xfId="11991"/>
    <cellStyle name="Currency 2 4 2 3 2 5" xfId="11992"/>
    <cellStyle name="Currency 2 4 2 3 2 5 2" xfId="11993"/>
    <cellStyle name="Currency 2 4 2 3 2 6" xfId="11994"/>
    <cellStyle name="Currency 2 4 2 3 2 6 2" xfId="36389"/>
    <cellStyle name="Currency 2 4 2 3 2 7" xfId="11995"/>
    <cellStyle name="Currency 2 4 2 3 3" xfId="11996"/>
    <cellStyle name="Currency 2 4 2 3 3 2" xfId="11997"/>
    <cellStyle name="Currency 2 4 2 3 3 2 2" xfId="11998"/>
    <cellStyle name="Currency 2 4 2 3 3 2 2 2" xfId="11999"/>
    <cellStyle name="Currency 2 4 2 3 3 2 3" xfId="12000"/>
    <cellStyle name="Currency 2 4 2 3 3 3" xfId="12001"/>
    <cellStyle name="Currency 2 4 2 3 3 3 2" xfId="12002"/>
    <cellStyle name="Currency 2 4 2 3 3 4" xfId="12003"/>
    <cellStyle name="Currency 2 4 2 3 4" xfId="12004"/>
    <cellStyle name="Currency 2 4 2 3 4 2" xfId="12005"/>
    <cellStyle name="Currency 2 4 2 3 4 2 2" xfId="12006"/>
    <cellStyle name="Currency 2 4 2 3 4 3" xfId="12007"/>
    <cellStyle name="Currency 2 4 2 3 5" xfId="12008"/>
    <cellStyle name="Currency 2 4 2 3 5 2" xfId="12009"/>
    <cellStyle name="Currency 2 4 2 3 5 2 2" xfId="12010"/>
    <cellStyle name="Currency 2 4 2 3 5 3" xfId="12011"/>
    <cellStyle name="Currency 2 4 2 3 6" xfId="12012"/>
    <cellStyle name="Currency 2 4 2 3 6 2" xfId="12013"/>
    <cellStyle name="Currency 2 4 2 3 7" xfId="12014"/>
    <cellStyle name="Currency 2 4 2 3 7 2" xfId="36390"/>
    <cellStyle name="Currency 2 4 2 3 8" xfId="12015"/>
    <cellStyle name="Currency 2 4 2 4" xfId="12016"/>
    <cellStyle name="Currency 2 4 2 4 2" xfId="12017"/>
    <cellStyle name="Currency 2 4 2 4 2 2" xfId="12018"/>
    <cellStyle name="Currency 2 4 2 4 2 2 2" xfId="12019"/>
    <cellStyle name="Currency 2 4 2 4 2 2 3" xfId="12020"/>
    <cellStyle name="Currency 2 4 2 4 2 3" xfId="12021"/>
    <cellStyle name="Currency 2 4 2 4 2 3 2" xfId="12022"/>
    <cellStyle name="Currency 2 4 2 4 2 4" xfId="12023"/>
    <cellStyle name="Currency 2 4 2 4 3" xfId="12024"/>
    <cellStyle name="Currency 2 4 2 4 3 2" xfId="12025"/>
    <cellStyle name="Currency 2 4 2 4 3 2 2" xfId="12026"/>
    <cellStyle name="Currency 2 4 2 4 3 3" xfId="12027"/>
    <cellStyle name="Currency 2 4 2 4 4" xfId="12028"/>
    <cellStyle name="Currency 2 4 2 4 4 2" xfId="12029"/>
    <cellStyle name="Currency 2 4 2 4 4 3" xfId="12030"/>
    <cellStyle name="Currency 2 4 2 4 5" xfId="12031"/>
    <cellStyle name="Currency 2 4 2 4 5 2" xfId="12032"/>
    <cellStyle name="Currency 2 4 2 4 6" xfId="12033"/>
    <cellStyle name="Currency 2 4 2 4 6 2" xfId="36391"/>
    <cellStyle name="Currency 2 4 2 4 7" xfId="12034"/>
    <cellStyle name="Currency 2 4 2 5" xfId="12035"/>
    <cellStyle name="Currency 2 4 2 5 2" xfId="12036"/>
    <cellStyle name="Currency 2 4 2 5 2 2" xfId="12037"/>
    <cellStyle name="Currency 2 4 2 5 2 2 2" xfId="12038"/>
    <cellStyle name="Currency 2 4 2 5 2 3" xfId="12039"/>
    <cellStyle name="Currency 2 4 2 5 3" xfId="12040"/>
    <cellStyle name="Currency 2 4 2 5 3 2" xfId="12041"/>
    <cellStyle name="Currency 2 4 2 5 4" xfId="12042"/>
    <cellStyle name="Currency 2 4 2 6" xfId="12043"/>
    <cellStyle name="Currency 2 4 2 6 2" xfId="12044"/>
    <cellStyle name="Currency 2 4 2 6 2 2" xfId="12045"/>
    <cellStyle name="Currency 2 4 2 6 3" xfId="12046"/>
    <cellStyle name="Currency 2 4 2 7" xfId="12047"/>
    <cellStyle name="Currency 2 4 2 7 2" xfId="12048"/>
    <cellStyle name="Currency 2 4 2 7 2 2" xfId="12049"/>
    <cellStyle name="Currency 2 4 2 7 3" xfId="12050"/>
    <cellStyle name="Currency 2 4 2 8" xfId="12051"/>
    <cellStyle name="Currency 2 4 2 8 2" xfId="12052"/>
    <cellStyle name="Currency 2 4 2 9" xfId="12053"/>
    <cellStyle name="Currency 2 4 2 9 2" xfId="36392"/>
    <cellStyle name="Currency 2 4 3" xfId="12054"/>
    <cellStyle name="Currency 2 4 3 2" xfId="12055"/>
    <cellStyle name="Currency 2 4 3 2 2" xfId="12056"/>
    <cellStyle name="Currency 2 4 3 2 2 2" xfId="12057"/>
    <cellStyle name="Currency 2 4 3 2 2 2 2" xfId="12058"/>
    <cellStyle name="Currency 2 4 3 2 2 2 2 2" xfId="12059"/>
    <cellStyle name="Currency 2 4 3 2 2 2 2 3" xfId="12060"/>
    <cellStyle name="Currency 2 4 3 2 2 2 3" xfId="12061"/>
    <cellStyle name="Currency 2 4 3 2 2 2 3 2" xfId="12062"/>
    <cellStyle name="Currency 2 4 3 2 2 2 4" xfId="12063"/>
    <cellStyle name="Currency 2 4 3 2 2 3" xfId="12064"/>
    <cellStyle name="Currency 2 4 3 2 2 3 2" xfId="12065"/>
    <cellStyle name="Currency 2 4 3 2 2 3 2 2" xfId="12066"/>
    <cellStyle name="Currency 2 4 3 2 2 3 3" xfId="12067"/>
    <cellStyle name="Currency 2 4 3 2 2 4" xfId="12068"/>
    <cellStyle name="Currency 2 4 3 2 2 4 2" xfId="12069"/>
    <cellStyle name="Currency 2 4 3 2 2 4 3" xfId="12070"/>
    <cellStyle name="Currency 2 4 3 2 2 5" xfId="12071"/>
    <cellStyle name="Currency 2 4 3 2 2 5 2" xfId="12072"/>
    <cellStyle name="Currency 2 4 3 2 2 6" xfId="12073"/>
    <cellStyle name="Currency 2 4 3 2 2 6 2" xfId="36393"/>
    <cellStyle name="Currency 2 4 3 2 2 7" xfId="12074"/>
    <cellStyle name="Currency 2 4 3 2 3" xfId="12075"/>
    <cellStyle name="Currency 2 4 3 2 3 2" xfId="12076"/>
    <cellStyle name="Currency 2 4 3 2 3 2 2" xfId="12077"/>
    <cellStyle name="Currency 2 4 3 2 3 2 2 2" xfId="12078"/>
    <cellStyle name="Currency 2 4 3 2 3 2 3" xfId="12079"/>
    <cellStyle name="Currency 2 4 3 2 3 3" xfId="12080"/>
    <cellStyle name="Currency 2 4 3 2 3 3 2" xfId="12081"/>
    <cellStyle name="Currency 2 4 3 2 3 4" xfId="12082"/>
    <cellStyle name="Currency 2 4 3 2 4" xfId="12083"/>
    <cellStyle name="Currency 2 4 3 2 4 2" xfId="12084"/>
    <cellStyle name="Currency 2 4 3 2 4 2 2" xfId="12085"/>
    <cellStyle name="Currency 2 4 3 2 4 3" xfId="12086"/>
    <cellStyle name="Currency 2 4 3 2 5" xfId="12087"/>
    <cellStyle name="Currency 2 4 3 2 5 2" xfId="12088"/>
    <cellStyle name="Currency 2 4 3 2 5 2 2" xfId="12089"/>
    <cellStyle name="Currency 2 4 3 2 5 3" xfId="12090"/>
    <cellStyle name="Currency 2 4 3 2 6" xfId="12091"/>
    <cellStyle name="Currency 2 4 3 2 6 2" xfId="12092"/>
    <cellStyle name="Currency 2 4 3 2 7" xfId="12093"/>
    <cellStyle name="Currency 2 4 3 2 7 2" xfId="36394"/>
    <cellStyle name="Currency 2 4 3 2 8" xfId="12094"/>
    <cellStyle name="Currency 2 4 3 3" xfId="12095"/>
    <cellStyle name="Currency 2 4 3 3 2" xfId="12096"/>
    <cellStyle name="Currency 2 4 3 3 2 2" xfId="12097"/>
    <cellStyle name="Currency 2 4 3 3 2 2 2" xfId="12098"/>
    <cellStyle name="Currency 2 4 3 3 2 2 3" xfId="12099"/>
    <cellStyle name="Currency 2 4 3 3 2 3" xfId="12100"/>
    <cellStyle name="Currency 2 4 3 3 2 3 2" xfId="12101"/>
    <cellStyle name="Currency 2 4 3 3 2 4" xfId="12102"/>
    <cellStyle name="Currency 2 4 3 3 3" xfId="12103"/>
    <cellStyle name="Currency 2 4 3 3 3 2" xfId="12104"/>
    <cellStyle name="Currency 2 4 3 3 3 2 2" xfId="12105"/>
    <cellStyle name="Currency 2 4 3 3 3 3" xfId="12106"/>
    <cellStyle name="Currency 2 4 3 3 4" xfId="12107"/>
    <cellStyle name="Currency 2 4 3 3 4 2" xfId="12108"/>
    <cellStyle name="Currency 2 4 3 3 4 3" xfId="12109"/>
    <cellStyle name="Currency 2 4 3 3 5" xfId="12110"/>
    <cellStyle name="Currency 2 4 3 3 5 2" xfId="12111"/>
    <cellStyle name="Currency 2 4 3 3 6" xfId="12112"/>
    <cellStyle name="Currency 2 4 3 3 6 2" xfId="36395"/>
    <cellStyle name="Currency 2 4 3 3 7" xfId="12113"/>
    <cellStyle name="Currency 2 4 3 4" xfId="12114"/>
    <cellStyle name="Currency 2 4 3 4 2" xfId="12115"/>
    <cellStyle name="Currency 2 4 3 4 2 2" xfId="12116"/>
    <cellStyle name="Currency 2 4 3 4 2 2 2" xfId="12117"/>
    <cellStyle name="Currency 2 4 3 4 2 3" xfId="12118"/>
    <cellStyle name="Currency 2 4 3 4 3" xfId="12119"/>
    <cellStyle name="Currency 2 4 3 4 3 2" xfId="12120"/>
    <cellStyle name="Currency 2 4 3 4 4" xfId="12121"/>
    <cellStyle name="Currency 2 4 3 5" xfId="12122"/>
    <cellStyle name="Currency 2 4 3 5 2" xfId="12123"/>
    <cellStyle name="Currency 2 4 3 5 2 2" xfId="12124"/>
    <cellStyle name="Currency 2 4 3 5 3" xfId="12125"/>
    <cellStyle name="Currency 2 4 3 6" xfId="12126"/>
    <cellStyle name="Currency 2 4 3 6 2" xfId="12127"/>
    <cellStyle name="Currency 2 4 3 6 2 2" xfId="12128"/>
    <cellStyle name="Currency 2 4 3 6 3" xfId="12129"/>
    <cellStyle name="Currency 2 4 3 7" xfId="12130"/>
    <cellStyle name="Currency 2 4 3 7 2" xfId="12131"/>
    <cellStyle name="Currency 2 4 3 8" xfId="12132"/>
    <cellStyle name="Currency 2 4 3 8 2" xfId="36396"/>
    <cellStyle name="Currency 2 4 3 9" xfId="12133"/>
    <cellStyle name="Currency 2 4 4" xfId="12134"/>
    <cellStyle name="Currency 2 4 4 2" xfId="12135"/>
    <cellStyle name="Currency 2 4 4 2 2" xfId="12136"/>
    <cellStyle name="Currency 2 4 4 2 2 2" xfId="12137"/>
    <cellStyle name="Currency 2 4 4 2 2 2 2" xfId="12138"/>
    <cellStyle name="Currency 2 4 4 2 2 2 2 2" xfId="12139"/>
    <cellStyle name="Currency 2 4 4 2 2 2 2 3" xfId="12140"/>
    <cellStyle name="Currency 2 4 4 2 2 2 3" xfId="12141"/>
    <cellStyle name="Currency 2 4 4 2 2 2 3 2" xfId="12142"/>
    <cellStyle name="Currency 2 4 4 2 2 2 4" xfId="12143"/>
    <cellStyle name="Currency 2 4 4 2 2 3" xfId="12144"/>
    <cellStyle name="Currency 2 4 4 2 2 3 2" xfId="12145"/>
    <cellStyle name="Currency 2 4 4 2 2 3 2 2" xfId="12146"/>
    <cellStyle name="Currency 2 4 4 2 2 3 3" xfId="12147"/>
    <cellStyle name="Currency 2 4 4 2 2 4" xfId="12148"/>
    <cellStyle name="Currency 2 4 4 2 2 4 2" xfId="12149"/>
    <cellStyle name="Currency 2 4 4 2 2 4 3" xfId="12150"/>
    <cellStyle name="Currency 2 4 4 2 2 5" xfId="12151"/>
    <cellStyle name="Currency 2 4 4 2 2 5 2" xfId="12152"/>
    <cellStyle name="Currency 2 4 4 2 2 6" xfId="12153"/>
    <cellStyle name="Currency 2 4 4 2 2 6 2" xfId="36397"/>
    <cellStyle name="Currency 2 4 4 2 2 7" xfId="12154"/>
    <cellStyle name="Currency 2 4 4 2 3" xfId="12155"/>
    <cellStyle name="Currency 2 4 4 2 3 2" xfId="12156"/>
    <cellStyle name="Currency 2 4 4 2 3 2 2" xfId="12157"/>
    <cellStyle name="Currency 2 4 4 2 3 2 2 2" xfId="12158"/>
    <cellStyle name="Currency 2 4 4 2 3 2 3" xfId="12159"/>
    <cellStyle name="Currency 2 4 4 2 3 3" xfId="12160"/>
    <cellStyle name="Currency 2 4 4 2 3 3 2" xfId="12161"/>
    <cellStyle name="Currency 2 4 4 2 3 4" xfId="12162"/>
    <cellStyle name="Currency 2 4 4 2 4" xfId="12163"/>
    <cellStyle name="Currency 2 4 4 2 4 2" xfId="12164"/>
    <cellStyle name="Currency 2 4 4 2 4 2 2" xfId="12165"/>
    <cellStyle name="Currency 2 4 4 2 4 3" xfId="12166"/>
    <cellStyle name="Currency 2 4 4 2 5" xfId="12167"/>
    <cellStyle name="Currency 2 4 4 2 5 2" xfId="12168"/>
    <cellStyle name="Currency 2 4 4 2 5 2 2" xfId="12169"/>
    <cellStyle name="Currency 2 4 4 2 5 3" xfId="12170"/>
    <cellStyle name="Currency 2 4 4 2 6" xfId="12171"/>
    <cellStyle name="Currency 2 4 4 2 6 2" xfId="12172"/>
    <cellStyle name="Currency 2 4 4 2 7" xfId="12173"/>
    <cellStyle name="Currency 2 4 4 2 7 2" xfId="36398"/>
    <cellStyle name="Currency 2 4 4 2 8" xfId="12174"/>
    <cellStyle name="Currency 2 4 4 3" xfId="12175"/>
    <cellStyle name="Currency 2 4 4 3 2" xfId="12176"/>
    <cellStyle name="Currency 2 4 4 3 2 2" xfId="12177"/>
    <cellStyle name="Currency 2 4 4 3 2 2 2" xfId="12178"/>
    <cellStyle name="Currency 2 4 4 3 2 2 3" xfId="12179"/>
    <cellStyle name="Currency 2 4 4 3 2 3" xfId="12180"/>
    <cellStyle name="Currency 2 4 4 3 2 3 2" xfId="12181"/>
    <cellStyle name="Currency 2 4 4 3 2 4" xfId="12182"/>
    <cellStyle name="Currency 2 4 4 3 3" xfId="12183"/>
    <cellStyle name="Currency 2 4 4 3 3 2" xfId="12184"/>
    <cellStyle name="Currency 2 4 4 3 3 2 2" xfId="12185"/>
    <cellStyle name="Currency 2 4 4 3 3 3" xfId="12186"/>
    <cellStyle name="Currency 2 4 4 3 4" xfId="12187"/>
    <cellStyle name="Currency 2 4 4 3 4 2" xfId="12188"/>
    <cellStyle name="Currency 2 4 4 3 4 3" xfId="12189"/>
    <cellStyle name="Currency 2 4 4 3 5" xfId="12190"/>
    <cellStyle name="Currency 2 4 4 3 5 2" xfId="12191"/>
    <cellStyle name="Currency 2 4 4 3 6" xfId="12192"/>
    <cellStyle name="Currency 2 4 4 3 6 2" xfId="36399"/>
    <cellStyle name="Currency 2 4 4 3 7" xfId="12193"/>
    <cellStyle name="Currency 2 4 4 4" xfId="12194"/>
    <cellStyle name="Currency 2 4 4 4 2" xfId="12195"/>
    <cellStyle name="Currency 2 4 4 4 2 2" xfId="12196"/>
    <cellStyle name="Currency 2 4 4 4 2 2 2" xfId="12197"/>
    <cellStyle name="Currency 2 4 4 4 2 3" xfId="12198"/>
    <cellStyle name="Currency 2 4 4 4 3" xfId="12199"/>
    <cellStyle name="Currency 2 4 4 4 3 2" xfId="12200"/>
    <cellStyle name="Currency 2 4 4 4 4" xfId="12201"/>
    <cellStyle name="Currency 2 4 4 5" xfId="12202"/>
    <cellStyle name="Currency 2 4 4 5 2" xfId="12203"/>
    <cellStyle name="Currency 2 4 4 5 2 2" xfId="12204"/>
    <cellStyle name="Currency 2 4 4 5 3" xfId="12205"/>
    <cellStyle name="Currency 2 4 4 6" xfId="12206"/>
    <cellStyle name="Currency 2 4 4 6 2" xfId="12207"/>
    <cellStyle name="Currency 2 4 4 6 2 2" xfId="12208"/>
    <cellStyle name="Currency 2 4 4 6 3" xfId="12209"/>
    <cellStyle name="Currency 2 4 4 7" xfId="12210"/>
    <cellStyle name="Currency 2 4 4 7 2" xfId="12211"/>
    <cellStyle name="Currency 2 4 4 8" xfId="12212"/>
    <cellStyle name="Currency 2 4 4 8 2" xfId="36400"/>
    <cellStyle name="Currency 2 4 4 9" xfId="12213"/>
    <cellStyle name="Currency 2 4 5" xfId="12214"/>
    <cellStyle name="Currency 2 4 5 2" xfId="12215"/>
    <cellStyle name="Currency 2 4 5 2 2" xfId="12216"/>
    <cellStyle name="Currency 2 4 5 2 2 2" xfId="12217"/>
    <cellStyle name="Currency 2 4 5 2 2 2 2" xfId="12218"/>
    <cellStyle name="Currency 2 4 5 2 2 2 3" xfId="12219"/>
    <cellStyle name="Currency 2 4 5 2 2 3" xfId="12220"/>
    <cellStyle name="Currency 2 4 5 2 2 3 2" xfId="12221"/>
    <cellStyle name="Currency 2 4 5 2 2 4" xfId="12222"/>
    <cellStyle name="Currency 2 4 5 2 3" xfId="12223"/>
    <cellStyle name="Currency 2 4 5 2 3 2" xfId="12224"/>
    <cellStyle name="Currency 2 4 5 2 3 2 2" xfId="12225"/>
    <cellStyle name="Currency 2 4 5 2 3 3" xfId="12226"/>
    <cellStyle name="Currency 2 4 5 2 4" xfId="12227"/>
    <cellStyle name="Currency 2 4 5 2 4 2" xfId="12228"/>
    <cellStyle name="Currency 2 4 5 2 4 3" xfId="12229"/>
    <cellStyle name="Currency 2 4 5 2 5" xfId="12230"/>
    <cellStyle name="Currency 2 4 5 2 5 2" xfId="12231"/>
    <cellStyle name="Currency 2 4 5 2 6" xfId="12232"/>
    <cellStyle name="Currency 2 4 5 2 6 2" xfId="36401"/>
    <cellStyle name="Currency 2 4 5 2 7" xfId="12233"/>
    <cellStyle name="Currency 2 4 5 3" xfId="12234"/>
    <cellStyle name="Currency 2 4 5 3 2" xfId="12235"/>
    <cellStyle name="Currency 2 4 5 3 2 2" xfId="12236"/>
    <cellStyle name="Currency 2 4 5 3 2 2 2" xfId="12237"/>
    <cellStyle name="Currency 2 4 5 3 2 3" xfId="12238"/>
    <cellStyle name="Currency 2 4 5 3 3" xfId="12239"/>
    <cellStyle name="Currency 2 4 5 3 3 2" xfId="12240"/>
    <cellStyle name="Currency 2 4 5 3 4" xfId="12241"/>
    <cellStyle name="Currency 2 4 5 4" xfId="12242"/>
    <cellStyle name="Currency 2 4 5 4 2" xfId="12243"/>
    <cellStyle name="Currency 2 4 5 4 2 2" xfId="12244"/>
    <cellStyle name="Currency 2 4 5 4 3" xfId="12245"/>
    <cellStyle name="Currency 2 4 5 5" xfId="12246"/>
    <cellStyle name="Currency 2 4 5 5 2" xfId="12247"/>
    <cellStyle name="Currency 2 4 5 5 2 2" xfId="12248"/>
    <cellStyle name="Currency 2 4 5 5 3" xfId="12249"/>
    <cellStyle name="Currency 2 4 5 6" xfId="12250"/>
    <cellStyle name="Currency 2 4 5 6 2" xfId="12251"/>
    <cellStyle name="Currency 2 4 5 7" xfId="12252"/>
    <cellStyle name="Currency 2 4 5 7 2" xfId="36402"/>
    <cellStyle name="Currency 2 4 5 8" xfId="12253"/>
    <cellStyle name="Currency 2 4 6" xfId="12254"/>
    <cellStyle name="Currency 2 4 6 2" xfId="12255"/>
    <cellStyle name="Currency 2 4 6 2 2" xfId="12256"/>
    <cellStyle name="Currency 2 4 6 2 2 2" xfId="12257"/>
    <cellStyle name="Currency 2 4 6 2 2 2 2" xfId="12258"/>
    <cellStyle name="Currency 2 4 6 2 2 2 3" xfId="12259"/>
    <cellStyle name="Currency 2 4 6 2 2 3" xfId="12260"/>
    <cellStyle name="Currency 2 4 6 2 2 3 2" xfId="12261"/>
    <cellStyle name="Currency 2 4 6 2 2 4" xfId="12262"/>
    <cellStyle name="Currency 2 4 6 2 3" xfId="12263"/>
    <cellStyle name="Currency 2 4 6 2 3 2" xfId="12264"/>
    <cellStyle name="Currency 2 4 6 2 3 2 2" xfId="12265"/>
    <cellStyle name="Currency 2 4 6 2 3 3" xfId="12266"/>
    <cellStyle name="Currency 2 4 6 2 4" xfId="12267"/>
    <cellStyle name="Currency 2 4 6 2 4 2" xfId="12268"/>
    <cellStyle name="Currency 2 4 6 2 4 3" xfId="12269"/>
    <cellStyle name="Currency 2 4 6 2 5" xfId="12270"/>
    <cellStyle name="Currency 2 4 6 2 5 2" xfId="12271"/>
    <cellStyle name="Currency 2 4 6 2 6" xfId="12272"/>
    <cellStyle name="Currency 2 4 6 2 6 2" xfId="36403"/>
    <cellStyle name="Currency 2 4 6 2 7" xfId="12273"/>
    <cellStyle name="Currency 2 4 6 3" xfId="12274"/>
    <cellStyle name="Currency 2 4 6 3 2" xfId="12275"/>
    <cellStyle name="Currency 2 4 6 3 2 2" xfId="12276"/>
    <cellStyle name="Currency 2 4 6 3 2 2 2" xfId="12277"/>
    <cellStyle name="Currency 2 4 6 3 2 3" xfId="12278"/>
    <cellStyle name="Currency 2 4 6 3 3" xfId="12279"/>
    <cellStyle name="Currency 2 4 6 3 3 2" xfId="12280"/>
    <cellStyle name="Currency 2 4 6 3 4" xfId="12281"/>
    <cellStyle name="Currency 2 4 6 4" xfId="12282"/>
    <cellStyle name="Currency 2 4 6 4 2" xfId="12283"/>
    <cellStyle name="Currency 2 4 6 4 2 2" xfId="12284"/>
    <cellStyle name="Currency 2 4 6 4 3" xfId="12285"/>
    <cellStyle name="Currency 2 4 6 5" xfId="12286"/>
    <cellStyle name="Currency 2 4 6 5 2" xfId="12287"/>
    <cellStyle name="Currency 2 4 6 5 2 2" xfId="12288"/>
    <cellStyle name="Currency 2 4 6 5 3" xfId="12289"/>
    <cellStyle name="Currency 2 4 6 6" xfId="12290"/>
    <cellStyle name="Currency 2 4 6 6 2" xfId="12291"/>
    <cellStyle name="Currency 2 4 6 7" xfId="12292"/>
    <cellStyle name="Currency 2 4 6 7 2" xfId="36404"/>
    <cellStyle name="Currency 2 4 6 8" xfId="12293"/>
    <cellStyle name="Currency 2 4 7" xfId="12294"/>
    <cellStyle name="Currency 2 4 7 2" xfId="12295"/>
    <cellStyle name="Currency 2 4 7 2 2" xfId="12296"/>
    <cellStyle name="Currency 2 4 7 2 2 2" xfId="12297"/>
    <cellStyle name="Currency 2 4 7 2 2 2 2" xfId="12298"/>
    <cellStyle name="Currency 2 4 7 2 2 2 3" xfId="12299"/>
    <cellStyle name="Currency 2 4 7 2 2 3" xfId="12300"/>
    <cellStyle name="Currency 2 4 7 2 2 3 2" xfId="12301"/>
    <cellStyle name="Currency 2 4 7 2 2 4" xfId="12302"/>
    <cellStyle name="Currency 2 4 7 2 3" xfId="12303"/>
    <cellStyle name="Currency 2 4 7 2 3 2" xfId="12304"/>
    <cellStyle name="Currency 2 4 7 2 3 2 2" xfId="12305"/>
    <cellStyle name="Currency 2 4 7 2 3 3" xfId="12306"/>
    <cellStyle name="Currency 2 4 7 2 4" xfId="12307"/>
    <cellStyle name="Currency 2 4 7 2 4 2" xfId="12308"/>
    <cellStyle name="Currency 2 4 7 2 4 3" xfId="12309"/>
    <cellStyle name="Currency 2 4 7 2 5" xfId="12310"/>
    <cellStyle name="Currency 2 4 7 2 5 2" xfId="12311"/>
    <cellStyle name="Currency 2 4 7 2 6" xfId="12312"/>
    <cellStyle name="Currency 2 4 7 2 6 2" xfId="36405"/>
    <cellStyle name="Currency 2 4 7 2 7" xfId="12313"/>
    <cellStyle name="Currency 2 4 7 3" xfId="12314"/>
    <cellStyle name="Currency 2 4 7 3 2" xfId="12315"/>
    <cellStyle name="Currency 2 4 7 3 2 2" xfId="12316"/>
    <cellStyle name="Currency 2 4 7 3 2 2 2" xfId="12317"/>
    <cellStyle name="Currency 2 4 7 3 2 3" xfId="12318"/>
    <cellStyle name="Currency 2 4 7 3 3" xfId="12319"/>
    <cellStyle name="Currency 2 4 7 3 3 2" xfId="12320"/>
    <cellStyle name="Currency 2 4 7 3 4" xfId="12321"/>
    <cellStyle name="Currency 2 4 7 4" xfId="12322"/>
    <cellStyle name="Currency 2 4 7 4 2" xfId="12323"/>
    <cellStyle name="Currency 2 4 7 4 2 2" xfId="12324"/>
    <cellStyle name="Currency 2 4 7 4 3" xfId="12325"/>
    <cellStyle name="Currency 2 4 7 5" xfId="12326"/>
    <cellStyle name="Currency 2 4 7 5 2" xfId="12327"/>
    <cellStyle name="Currency 2 4 7 5 2 2" xfId="12328"/>
    <cellStyle name="Currency 2 4 7 5 3" xfId="12329"/>
    <cellStyle name="Currency 2 4 7 6" xfId="12330"/>
    <cellStyle name="Currency 2 4 7 6 2" xfId="12331"/>
    <cellStyle name="Currency 2 4 7 7" xfId="12332"/>
    <cellStyle name="Currency 2 4 7 7 2" xfId="36406"/>
    <cellStyle name="Currency 2 4 7 8" xfId="12333"/>
    <cellStyle name="Currency 2 4 8" xfId="12334"/>
    <cellStyle name="Currency 2 4 8 2" xfId="12335"/>
    <cellStyle name="Currency 2 4 8 2 2" xfId="12336"/>
    <cellStyle name="Currency 2 4 8 2 2 2" xfId="12337"/>
    <cellStyle name="Currency 2 4 8 2 2 3" xfId="12338"/>
    <cellStyle name="Currency 2 4 8 2 3" xfId="12339"/>
    <cellStyle name="Currency 2 4 8 2 3 2" xfId="12340"/>
    <cellStyle name="Currency 2 4 8 2 4" xfId="12341"/>
    <cellStyle name="Currency 2 4 8 3" xfId="12342"/>
    <cellStyle name="Currency 2 4 8 3 2" xfId="12343"/>
    <cellStyle name="Currency 2 4 8 3 2 2" xfId="12344"/>
    <cellStyle name="Currency 2 4 8 3 3" xfId="12345"/>
    <cellStyle name="Currency 2 4 8 4" xfId="12346"/>
    <cellStyle name="Currency 2 4 8 4 2" xfId="12347"/>
    <cellStyle name="Currency 2 4 8 4 3" xfId="12348"/>
    <cellStyle name="Currency 2 4 8 5" xfId="12349"/>
    <cellStyle name="Currency 2 4 8 5 2" xfId="12350"/>
    <cellStyle name="Currency 2 4 8 6" xfId="12351"/>
    <cellStyle name="Currency 2 4 8 6 2" xfId="36407"/>
    <cellStyle name="Currency 2 4 8 7" xfId="12352"/>
    <cellStyle name="Currency 2 4 9" xfId="12353"/>
    <cellStyle name="Currency 2 4 9 2" xfId="12354"/>
    <cellStyle name="Currency 2 4 9 2 2" xfId="12355"/>
    <cellStyle name="Currency 2 4 9 2 2 2" xfId="12356"/>
    <cellStyle name="Currency 2 4 9 2 3" xfId="12357"/>
    <cellStyle name="Currency 2 4 9 3" xfId="12358"/>
    <cellStyle name="Currency 2 4 9 3 2" xfId="12359"/>
    <cellStyle name="Currency 2 4 9 4" xfId="12360"/>
    <cellStyle name="Currency 2 5" xfId="12361"/>
    <cellStyle name="Currency 2 5 10" xfId="12362"/>
    <cellStyle name="Currency 2 5 10 2" xfId="12363"/>
    <cellStyle name="Currency 2 5 10 2 2" xfId="12364"/>
    <cellStyle name="Currency 2 5 10 3" xfId="12365"/>
    <cellStyle name="Currency 2 5 11" xfId="12366"/>
    <cellStyle name="Currency 2 5 11 2" xfId="12367"/>
    <cellStyle name="Currency 2 5 11 2 2" xfId="12368"/>
    <cellStyle name="Currency 2 5 11 3" xfId="12369"/>
    <cellStyle name="Currency 2 5 12" xfId="12370"/>
    <cellStyle name="Currency 2 5 12 2" xfId="12371"/>
    <cellStyle name="Currency 2 5 13" xfId="12372"/>
    <cellStyle name="Currency 2 5 13 2" xfId="36408"/>
    <cellStyle name="Currency 2 5 14" xfId="12373"/>
    <cellStyle name="Currency 2 5 2" xfId="12374"/>
    <cellStyle name="Currency 2 5 2 10" xfId="12375"/>
    <cellStyle name="Currency 2 5 2 2" xfId="12376"/>
    <cellStyle name="Currency 2 5 2 2 2" xfId="12377"/>
    <cellStyle name="Currency 2 5 2 2 2 2" xfId="12378"/>
    <cellStyle name="Currency 2 5 2 2 2 2 2" xfId="12379"/>
    <cellStyle name="Currency 2 5 2 2 2 2 2 2" xfId="12380"/>
    <cellStyle name="Currency 2 5 2 2 2 2 2 2 2" xfId="12381"/>
    <cellStyle name="Currency 2 5 2 2 2 2 2 2 3" xfId="12382"/>
    <cellStyle name="Currency 2 5 2 2 2 2 2 3" xfId="12383"/>
    <cellStyle name="Currency 2 5 2 2 2 2 2 3 2" xfId="12384"/>
    <cellStyle name="Currency 2 5 2 2 2 2 2 4" xfId="12385"/>
    <cellStyle name="Currency 2 5 2 2 2 2 3" xfId="12386"/>
    <cellStyle name="Currency 2 5 2 2 2 2 3 2" xfId="12387"/>
    <cellStyle name="Currency 2 5 2 2 2 2 3 2 2" xfId="12388"/>
    <cellStyle name="Currency 2 5 2 2 2 2 3 3" xfId="12389"/>
    <cellStyle name="Currency 2 5 2 2 2 2 4" xfId="12390"/>
    <cellStyle name="Currency 2 5 2 2 2 2 4 2" xfId="12391"/>
    <cellStyle name="Currency 2 5 2 2 2 2 4 3" xfId="12392"/>
    <cellStyle name="Currency 2 5 2 2 2 2 5" xfId="12393"/>
    <cellStyle name="Currency 2 5 2 2 2 2 5 2" xfId="12394"/>
    <cellStyle name="Currency 2 5 2 2 2 2 6" xfId="12395"/>
    <cellStyle name="Currency 2 5 2 2 2 2 6 2" xfId="36409"/>
    <cellStyle name="Currency 2 5 2 2 2 2 7" xfId="12396"/>
    <cellStyle name="Currency 2 5 2 2 2 3" xfId="12397"/>
    <cellStyle name="Currency 2 5 2 2 2 3 2" xfId="12398"/>
    <cellStyle name="Currency 2 5 2 2 2 3 2 2" xfId="12399"/>
    <cellStyle name="Currency 2 5 2 2 2 3 2 2 2" xfId="12400"/>
    <cellStyle name="Currency 2 5 2 2 2 3 2 3" xfId="12401"/>
    <cellStyle name="Currency 2 5 2 2 2 3 3" xfId="12402"/>
    <cellStyle name="Currency 2 5 2 2 2 3 3 2" xfId="12403"/>
    <cellStyle name="Currency 2 5 2 2 2 3 4" xfId="12404"/>
    <cellStyle name="Currency 2 5 2 2 2 4" xfId="12405"/>
    <cellStyle name="Currency 2 5 2 2 2 4 2" xfId="12406"/>
    <cellStyle name="Currency 2 5 2 2 2 4 2 2" xfId="12407"/>
    <cellStyle name="Currency 2 5 2 2 2 4 3" xfId="12408"/>
    <cellStyle name="Currency 2 5 2 2 2 5" xfId="12409"/>
    <cellStyle name="Currency 2 5 2 2 2 5 2" xfId="12410"/>
    <cellStyle name="Currency 2 5 2 2 2 5 2 2" xfId="12411"/>
    <cellStyle name="Currency 2 5 2 2 2 5 3" xfId="12412"/>
    <cellStyle name="Currency 2 5 2 2 2 6" xfId="12413"/>
    <cellStyle name="Currency 2 5 2 2 2 6 2" xfId="12414"/>
    <cellStyle name="Currency 2 5 2 2 2 7" xfId="12415"/>
    <cellStyle name="Currency 2 5 2 2 2 7 2" xfId="36410"/>
    <cellStyle name="Currency 2 5 2 2 2 8" xfId="12416"/>
    <cellStyle name="Currency 2 5 2 2 3" xfId="12417"/>
    <cellStyle name="Currency 2 5 2 2 3 2" xfId="12418"/>
    <cellStyle name="Currency 2 5 2 2 3 2 2" xfId="12419"/>
    <cellStyle name="Currency 2 5 2 2 3 2 2 2" xfId="12420"/>
    <cellStyle name="Currency 2 5 2 2 3 2 2 3" xfId="12421"/>
    <cellStyle name="Currency 2 5 2 2 3 2 3" xfId="12422"/>
    <cellStyle name="Currency 2 5 2 2 3 2 3 2" xfId="12423"/>
    <cellStyle name="Currency 2 5 2 2 3 2 4" xfId="12424"/>
    <cellStyle name="Currency 2 5 2 2 3 3" xfId="12425"/>
    <cellStyle name="Currency 2 5 2 2 3 3 2" xfId="12426"/>
    <cellStyle name="Currency 2 5 2 2 3 3 2 2" xfId="12427"/>
    <cellStyle name="Currency 2 5 2 2 3 3 3" xfId="12428"/>
    <cellStyle name="Currency 2 5 2 2 3 4" xfId="12429"/>
    <cellStyle name="Currency 2 5 2 2 3 4 2" xfId="12430"/>
    <cellStyle name="Currency 2 5 2 2 3 4 3" xfId="12431"/>
    <cellStyle name="Currency 2 5 2 2 3 5" xfId="12432"/>
    <cellStyle name="Currency 2 5 2 2 3 5 2" xfId="12433"/>
    <cellStyle name="Currency 2 5 2 2 3 6" xfId="12434"/>
    <cellStyle name="Currency 2 5 2 2 3 6 2" xfId="36411"/>
    <cellStyle name="Currency 2 5 2 2 3 7" xfId="12435"/>
    <cellStyle name="Currency 2 5 2 2 4" xfId="12436"/>
    <cellStyle name="Currency 2 5 2 2 4 2" xfId="12437"/>
    <cellStyle name="Currency 2 5 2 2 4 2 2" xfId="12438"/>
    <cellStyle name="Currency 2 5 2 2 4 2 2 2" xfId="12439"/>
    <cellStyle name="Currency 2 5 2 2 4 2 3" xfId="12440"/>
    <cellStyle name="Currency 2 5 2 2 4 3" xfId="12441"/>
    <cellStyle name="Currency 2 5 2 2 4 3 2" xfId="12442"/>
    <cellStyle name="Currency 2 5 2 2 4 4" xfId="12443"/>
    <cellStyle name="Currency 2 5 2 2 5" xfId="12444"/>
    <cellStyle name="Currency 2 5 2 2 5 2" xfId="12445"/>
    <cellStyle name="Currency 2 5 2 2 5 2 2" xfId="12446"/>
    <cellStyle name="Currency 2 5 2 2 5 3" xfId="12447"/>
    <cellStyle name="Currency 2 5 2 2 6" xfId="12448"/>
    <cellStyle name="Currency 2 5 2 2 6 2" xfId="12449"/>
    <cellStyle name="Currency 2 5 2 2 6 2 2" xfId="12450"/>
    <cellStyle name="Currency 2 5 2 2 6 3" xfId="12451"/>
    <cellStyle name="Currency 2 5 2 2 7" xfId="12452"/>
    <cellStyle name="Currency 2 5 2 2 7 2" xfId="12453"/>
    <cellStyle name="Currency 2 5 2 2 8" xfId="12454"/>
    <cellStyle name="Currency 2 5 2 2 8 2" xfId="36412"/>
    <cellStyle name="Currency 2 5 2 2 9" xfId="12455"/>
    <cellStyle name="Currency 2 5 2 3" xfId="12456"/>
    <cellStyle name="Currency 2 5 2 3 2" xfId="12457"/>
    <cellStyle name="Currency 2 5 2 3 2 2" xfId="12458"/>
    <cellStyle name="Currency 2 5 2 3 2 2 2" xfId="12459"/>
    <cellStyle name="Currency 2 5 2 3 2 2 2 2" xfId="12460"/>
    <cellStyle name="Currency 2 5 2 3 2 2 2 3" xfId="12461"/>
    <cellStyle name="Currency 2 5 2 3 2 2 3" xfId="12462"/>
    <cellStyle name="Currency 2 5 2 3 2 2 3 2" xfId="12463"/>
    <cellStyle name="Currency 2 5 2 3 2 2 4" xfId="12464"/>
    <cellStyle name="Currency 2 5 2 3 2 3" xfId="12465"/>
    <cellStyle name="Currency 2 5 2 3 2 3 2" xfId="12466"/>
    <cellStyle name="Currency 2 5 2 3 2 3 2 2" xfId="12467"/>
    <cellStyle name="Currency 2 5 2 3 2 3 3" xfId="12468"/>
    <cellStyle name="Currency 2 5 2 3 2 4" xfId="12469"/>
    <cellStyle name="Currency 2 5 2 3 2 4 2" xfId="12470"/>
    <cellStyle name="Currency 2 5 2 3 2 4 3" xfId="12471"/>
    <cellStyle name="Currency 2 5 2 3 2 5" xfId="12472"/>
    <cellStyle name="Currency 2 5 2 3 2 5 2" xfId="12473"/>
    <cellStyle name="Currency 2 5 2 3 2 6" xfId="12474"/>
    <cellStyle name="Currency 2 5 2 3 2 6 2" xfId="36413"/>
    <cellStyle name="Currency 2 5 2 3 2 7" xfId="12475"/>
    <cellStyle name="Currency 2 5 2 3 3" xfId="12476"/>
    <cellStyle name="Currency 2 5 2 3 3 2" xfId="12477"/>
    <cellStyle name="Currency 2 5 2 3 3 2 2" xfId="12478"/>
    <cellStyle name="Currency 2 5 2 3 3 2 2 2" xfId="12479"/>
    <cellStyle name="Currency 2 5 2 3 3 2 3" xfId="12480"/>
    <cellStyle name="Currency 2 5 2 3 3 3" xfId="12481"/>
    <cellStyle name="Currency 2 5 2 3 3 3 2" xfId="12482"/>
    <cellStyle name="Currency 2 5 2 3 3 4" xfId="12483"/>
    <cellStyle name="Currency 2 5 2 3 4" xfId="12484"/>
    <cellStyle name="Currency 2 5 2 3 4 2" xfId="12485"/>
    <cellStyle name="Currency 2 5 2 3 4 2 2" xfId="12486"/>
    <cellStyle name="Currency 2 5 2 3 4 3" xfId="12487"/>
    <cellStyle name="Currency 2 5 2 3 5" xfId="12488"/>
    <cellStyle name="Currency 2 5 2 3 5 2" xfId="12489"/>
    <cellStyle name="Currency 2 5 2 3 5 2 2" xfId="12490"/>
    <cellStyle name="Currency 2 5 2 3 5 3" xfId="12491"/>
    <cellStyle name="Currency 2 5 2 3 6" xfId="12492"/>
    <cellStyle name="Currency 2 5 2 3 6 2" xfId="12493"/>
    <cellStyle name="Currency 2 5 2 3 7" xfId="12494"/>
    <cellStyle name="Currency 2 5 2 3 7 2" xfId="36414"/>
    <cellStyle name="Currency 2 5 2 3 8" xfId="12495"/>
    <cellStyle name="Currency 2 5 2 4" xfId="12496"/>
    <cellStyle name="Currency 2 5 2 4 2" xfId="12497"/>
    <cellStyle name="Currency 2 5 2 4 2 2" xfId="12498"/>
    <cellStyle name="Currency 2 5 2 4 2 2 2" xfId="12499"/>
    <cellStyle name="Currency 2 5 2 4 2 2 3" xfId="12500"/>
    <cellStyle name="Currency 2 5 2 4 2 3" xfId="12501"/>
    <cellStyle name="Currency 2 5 2 4 2 3 2" xfId="12502"/>
    <cellStyle name="Currency 2 5 2 4 2 4" xfId="12503"/>
    <cellStyle name="Currency 2 5 2 4 3" xfId="12504"/>
    <cellStyle name="Currency 2 5 2 4 3 2" xfId="12505"/>
    <cellStyle name="Currency 2 5 2 4 3 2 2" xfId="12506"/>
    <cellStyle name="Currency 2 5 2 4 3 3" xfId="12507"/>
    <cellStyle name="Currency 2 5 2 4 4" xfId="12508"/>
    <cellStyle name="Currency 2 5 2 4 4 2" xfId="12509"/>
    <cellStyle name="Currency 2 5 2 4 4 3" xfId="12510"/>
    <cellStyle name="Currency 2 5 2 4 5" xfId="12511"/>
    <cellStyle name="Currency 2 5 2 4 5 2" xfId="12512"/>
    <cellStyle name="Currency 2 5 2 4 6" xfId="12513"/>
    <cellStyle name="Currency 2 5 2 4 6 2" xfId="36415"/>
    <cellStyle name="Currency 2 5 2 4 7" xfId="12514"/>
    <cellStyle name="Currency 2 5 2 5" xfId="12515"/>
    <cellStyle name="Currency 2 5 2 5 2" xfId="12516"/>
    <cellStyle name="Currency 2 5 2 5 2 2" xfId="12517"/>
    <cellStyle name="Currency 2 5 2 5 2 2 2" xfId="12518"/>
    <cellStyle name="Currency 2 5 2 5 2 3" xfId="12519"/>
    <cellStyle name="Currency 2 5 2 5 3" xfId="12520"/>
    <cellStyle name="Currency 2 5 2 5 3 2" xfId="12521"/>
    <cellStyle name="Currency 2 5 2 5 4" xfId="12522"/>
    <cellStyle name="Currency 2 5 2 6" xfId="12523"/>
    <cellStyle name="Currency 2 5 2 6 2" xfId="12524"/>
    <cellStyle name="Currency 2 5 2 6 2 2" xfId="12525"/>
    <cellStyle name="Currency 2 5 2 6 3" xfId="12526"/>
    <cellStyle name="Currency 2 5 2 7" xfId="12527"/>
    <cellStyle name="Currency 2 5 2 7 2" xfId="12528"/>
    <cellStyle name="Currency 2 5 2 7 2 2" xfId="12529"/>
    <cellStyle name="Currency 2 5 2 7 3" xfId="12530"/>
    <cellStyle name="Currency 2 5 2 8" xfId="12531"/>
    <cellStyle name="Currency 2 5 2 8 2" xfId="12532"/>
    <cellStyle name="Currency 2 5 2 9" xfId="12533"/>
    <cellStyle name="Currency 2 5 2 9 2" xfId="36416"/>
    <cellStyle name="Currency 2 5 3" xfId="12534"/>
    <cellStyle name="Currency 2 5 3 2" xfId="12535"/>
    <cellStyle name="Currency 2 5 3 2 2" xfId="12536"/>
    <cellStyle name="Currency 2 5 3 2 2 2" xfId="12537"/>
    <cellStyle name="Currency 2 5 3 2 2 2 2" xfId="12538"/>
    <cellStyle name="Currency 2 5 3 2 2 2 2 2" xfId="12539"/>
    <cellStyle name="Currency 2 5 3 2 2 2 2 3" xfId="12540"/>
    <cellStyle name="Currency 2 5 3 2 2 2 3" xfId="12541"/>
    <cellStyle name="Currency 2 5 3 2 2 2 3 2" xfId="12542"/>
    <cellStyle name="Currency 2 5 3 2 2 2 4" xfId="12543"/>
    <cellStyle name="Currency 2 5 3 2 2 3" xfId="12544"/>
    <cellStyle name="Currency 2 5 3 2 2 3 2" xfId="12545"/>
    <cellStyle name="Currency 2 5 3 2 2 3 2 2" xfId="12546"/>
    <cellStyle name="Currency 2 5 3 2 2 3 3" xfId="12547"/>
    <cellStyle name="Currency 2 5 3 2 2 4" xfId="12548"/>
    <cellStyle name="Currency 2 5 3 2 2 4 2" xfId="12549"/>
    <cellStyle name="Currency 2 5 3 2 2 4 3" xfId="12550"/>
    <cellStyle name="Currency 2 5 3 2 2 5" xfId="12551"/>
    <cellStyle name="Currency 2 5 3 2 2 5 2" xfId="12552"/>
    <cellStyle name="Currency 2 5 3 2 2 6" xfId="12553"/>
    <cellStyle name="Currency 2 5 3 2 2 6 2" xfId="36417"/>
    <cellStyle name="Currency 2 5 3 2 2 7" xfId="12554"/>
    <cellStyle name="Currency 2 5 3 2 3" xfId="12555"/>
    <cellStyle name="Currency 2 5 3 2 3 2" xfId="12556"/>
    <cellStyle name="Currency 2 5 3 2 3 2 2" xfId="12557"/>
    <cellStyle name="Currency 2 5 3 2 3 2 2 2" xfId="12558"/>
    <cellStyle name="Currency 2 5 3 2 3 2 3" xfId="12559"/>
    <cellStyle name="Currency 2 5 3 2 3 3" xfId="12560"/>
    <cellStyle name="Currency 2 5 3 2 3 3 2" xfId="12561"/>
    <cellStyle name="Currency 2 5 3 2 3 4" xfId="12562"/>
    <cellStyle name="Currency 2 5 3 2 4" xfId="12563"/>
    <cellStyle name="Currency 2 5 3 2 4 2" xfId="12564"/>
    <cellStyle name="Currency 2 5 3 2 4 2 2" xfId="12565"/>
    <cellStyle name="Currency 2 5 3 2 4 3" xfId="12566"/>
    <cellStyle name="Currency 2 5 3 2 5" xfId="12567"/>
    <cellStyle name="Currency 2 5 3 2 5 2" xfId="12568"/>
    <cellStyle name="Currency 2 5 3 2 5 2 2" xfId="12569"/>
    <cellStyle name="Currency 2 5 3 2 5 3" xfId="12570"/>
    <cellStyle name="Currency 2 5 3 2 6" xfId="12571"/>
    <cellStyle name="Currency 2 5 3 2 6 2" xfId="12572"/>
    <cellStyle name="Currency 2 5 3 2 7" xfId="12573"/>
    <cellStyle name="Currency 2 5 3 2 7 2" xfId="36418"/>
    <cellStyle name="Currency 2 5 3 2 8" xfId="12574"/>
    <cellStyle name="Currency 2 5 3 3" xfId="12575"/>
    <cellStyle name="Currency 2 5 3 3 2" xfId="12576"/>
    <cellStyle name="Currency 2 5 3 3 2 2" xfId="12577"/>
    <cellStyle name="Currency 2 5 3 3 2 2 2" xfId="12578"/>
    <cellStyle name="Currency 2 5 3 3 2 2 3" xfId="12579"/>
    <cellStyle name="Currency 2 5 3 3 2 3" xfId="12580"/>
    <cellStyle name="Currency 2 5 3 3 2 3 2" xfId="12581"/>
    <cellStyle name="Currency 2 5 3 3 2 4" xfId="12582"/>
    <cellStyle name="Currency 2 5 3 3 3" xfId="12583"/>
    <cellStyle name="Currency 2 5 3 3 3 2" xfId="12584"/>
    <cellStyle name="Currency 2 5 3 3 3 2 2" xfId="12585"/>
    <cellStyle name="Currency 2 5 3 3 3 3" xfId="12586"/>
    <cellStyle name="Currency 2 5 3 3 4" xfId="12587"/>
    <cellStyle name="Currency 2 5 3 3 4 2" xfId="12588"/>
    <cellStyle name="Currency 2 5 3 3 4 3" xfId="12589"/>
    <cellStyle name="Currency 2 5 3 3 5" xfId="12590"/>
    <cellStyle name="Currency 2 5 3 3 5 2" xfId="12591"/>
    <cellStyle name="Currency 2 5 3 3 6" xfId="12592"/>
    <cellStyle name="Currency 2 5 3 3 6 2" xfId="36419"/>
    <cellStyle name="Currency 2 5 3 3 7" xfId="12593"/>
    <cellStyle name="Currency 2 5 3 4" xfId="12594"/>
    <cellStyle name="Currency 2 5 3 4 2" xfId="12595"/>
    <cellStyle name="Currency 2 5 3 4 2 2" xfId="12596"/>
    <cellStyle name="Currency 2 5 3 4 2 2 2" xfId="12597"/>
    <cellStyle name="Currency 2 5 3 4 2 3" xfId="12598"/>
    <cellStyle name="Currency 2 5 3 4 3" xfId="12599"/>
    <cellStyle name="Currency 2 5 3 4 3 2" xfId="12600"/>
    <cellStyle name="Currency 2 5 3 4 4" xfId="12601"/>
    <cellStyle name="Currency 2 5 3 5" xfId="12602"/>
    <cellStyle name="Currency 2 5 3 5 2" xfId="12603"/>
    <cellStyle name="Currency 2 5 3 5 2 2" xfId="12604"/>
    <cellStyle name="Currency 2 5 3 5 3" xfId="12605"/>
    <cellStyle name="Currency 2 5 3 6" xfId="12606"/>
    <cellStyle name="Currency 2 5 3 6 2" xfId="12607"/>
    <cellStyle name="Currency 2 5 3 6 2 2" xfId="12608"/>
    <cellStyle name="Currency 2 5 3 6 3" xfId="12609"/>
    <cellStyle name="Currency 2 5 3 7" xfId="12610"/>
    <cellStyle name="Currency 2 5 3 7 2" xfId="12611"/>
    <cellStyle name="Currency 2 5 3 8" xfId="12612"/>
    <cellStyle name="Currency 2 5 3 8 2" xfId="36420"/>
    <cellStyle name="Currency 2 5 3 9" xfId="12613"/>
    <cellStyle name="Currency 2 5 4" xfId="12614"/>
    <cellStyle name="Currency 2 5 4 2" xfId="12615"/>
    <cellStyle name="Currency 2 5 4 2 2" xfId="12616"/>
    <cellStyle name="Currency 2 5 4 2 2 2" xfId="12617"/>
    <cellStyle name="Currency 2 5 4 2 2 2 2" xfId="12618"/>
    <cellStyle name="Currency 2 5 4 2 2 2 2 2" xfId="12619"/>
    <cellStyle name="Currency 2 5 4 2 2 2 2 3" xfId="12620"/>
    <cellStyle name="Currency 2 5 4 2 2 2 3" xfId="12621"/>
    <cellStyle name="Currency 2 5 4 2 2 2 3 2" xfId="12622"/>
    <cellStyle name="Currency 2 5 4 2 2 2 4" xfId="12623"/>
    <cellStyle name="Currency 2 5 4 2 2 3" xfId="12624"/>
    <cellStyle name="Currency 2 5 4 2 2 3 2" xfId="12625"/>
    <cellStyle name="Currency 2 5 4 2 2 3 2 2" xfId="12626"/>
    <cellStyle name="Currency 2 5 4 2 2 3 3" xfId="12627"/>
    <cellStyle name="Currency 2 5 4 2 2 4" xfId="12628"/>
    <cellStyle name="Currency 2 5 4 2 2 4 2" xfId="12629"/>
    <cellStyle name="Currency 2 5 4 2 2 4 3" xfId="12630"/>
    <cellStyle name="Currency 2 5 4 2 2 5" xfId="12631"/>
    <cellStyle name="Currency 2 5 4 2 2 5 2" xfId="12632"/>
    <cellStyle name="Currency 2 5 4 2 2 6" xfId="12633"/>
    <cellStyle name="Currency 2 5 4 2 2 6 2" xfId="36421"/>
    <cellStyle name="Currency 2 5 4 2 2 7" xfId="12634"/>
    <cellStyle name="Currency 2 5 4 2 3" xfId="12635"/>
    <cellStyle name="Currency 2 5 4 2 3 2" xfId="12636"/>
    <cellStyle name="Currency 2 5 4 2 3 2 2" xfId="12637"/>
    <cellStyle name="Currency 2 5 4 2 3 2 2 2" xfId="12638"/>
    <cellStyle name="Currency 2 5 4 2 3 2 3" xfId="12639"/>
    <cellStyle name="Currency 2 5 4 2 3 3" xfId="12640"/>
    <cellStyle name="Currency 2 5 4 2 3 3 2" xfId="12641"/>
    <cellStyle name="Currency 2 5 4 2 3 4" xfId="12642"/>
    <cellStyle name="Currency 2 5 4 2 4" xfId="12643"/>
    <cellStyle name="Currency 2 5 4 2 4 2" xfId="12644"/>
    <cellStyle name="Currency 2 5 4 2 4 2 2" xfId="12645"/>
    <cellStyle name="Currency 2 5 4 2 4 3" xfId="12646"/>
    <cellStyle name="Currency 2 5 4 2 5" xfId="12647"/>
    <cellStyle name="Currency 2 5 4 2 5 2" xfId="12648"/>
    <cellStyle name="Currency 2 5 4 2 5 2 2" xfId="12649"/>
    <cellStyle name="Currency 2 5 4 2 5 3" xfId="12650"/>
    <cellStyle name="Currency 2 5 4 2 6" xfId="12651"/>
    <cellStyle name="Currency 2 5 4 2 6 2" xfId="12652"/>
    <cellStyle name="Currency 2 5 4 2 7" xfId="12653"/>
    <cellStyle name="Currency 2 5 4 2 7 2" xfId="36422"/>
    <cellStyle name="Currency 2 5 4 2 8" xfId="12654"/>
    <cellStyle name="Currency 2 5 4 3" xfId="12655"/>
    <cellStyle name="Currency 2 5 4 3 2" xfId="12656"/>
    <cellStyle name="Currency 2 5 4 3 2 2" xfId="12657"/>
    <cellStyle name="Currency 2 5 4 3 2 2 2" xfId="12658"/>
    <cellStyle name="Currency 2 5 4 3 2 2 3" xfId="12659"/>
    <cellStyle name="Currency 2 5 4 3 2 3" xfId="12660"/>
    <cellStyle name="Currency 2 5 4 3 2 3 2" xfId="12661"/>
    <cellStyle name="Currency 2 5 4 3 2 4" xfId="12662"/>
    <cellStyle name="Currency 2 5 4 3 3" xfId="12663"/>
    <cellStyle name="Currency 2 5 4 3 3 2" xfId="12664"/>
    <cellStyle name="Currency 2 5 4 3 3 2 2" xfId="12665"/>
    <cellStyle name="Currency 2 5 4 3 3 3" xfId="12666"/>
    <cellStyle name="Currency 2 5 4 3 4" xfId="12667"/>
    <cellStyle name="Currency 2 5 4 3 4 2" xfId="12668"/>
    <cellStyle name="Currency 2 5 4 3 4 3" xfId="12669"/>
    <cellStyle name="Currency 2 5 4 3 5" xfId="12670"/>
    <cellStyle name="Currency 2 5 4 3 5 2" xfId="12671"/>
    <cellStyle name="Currency 2 5 4 3 6" xfId="12672"/>
    <cellStyle name="Currency 2 5 4 3 6 2" xfId="36423"/>
    <cellStyle name="Currency 2 5 4 3 7" xfId="12673"/>
    <cellStyle name="Currency 2 5 4 4" xfId="12674"/>
    <cellStyle name="Currency 2 5 4 4 2" xfId="12675"/>
    <cellStyle name="Currency 2 5 4 4 2 2" xfId="12676"/>
    <cellStyle name="Currency 2 5 4 4 2 2 2" xfId="12677"/>
    <cellStyle name="Currency 2 5 4 4 2 3" xfId="12678"/>
    <cellStyle name="Currency 2 5 4 4 3" xfId="12679"/>
    <cellStyle name="Currency 2 5 4 4 3 2" xfId="12680"/>
    <cellStyle name="Currency 2 5 4 4 4" xfId="12681"/>
    <cellStyle name="Currency 2 5 4 5" xfId="12682"/>
    <cellStyle name="Currency 2 5 4 5 2" xfId="12683"/>
    <cellStyle name="Currency 2 5 4 5 2 2" xfId="12684"/>
    <cellStyle name="Currency 2 5 4 5 3" xfId="12685"/>
    <cellStyle name="Currency 2 5 4 6" xfId="12686"/>
    <cellStyle name="Currency 2 5 4 6 2" xfId="12687"/>
    <cellStyle name="Currency 2 5 4 6 2 2" xfId="12688"/>
    <cellStyle name="Currency 2 5 4 6 3" xfId="12689"/>
    <cellStyle name="Currency 2 5 4 7" xfId="12690"/>
    <cellStyle name="Currency 2 5 4 7 2" xfId="12691"/>
    <cellStyle name="Currency 2 5 4 8" xfId="12692"/>
    <cellStyle name="Currency 2 5 4 8 2" xfId="36424"/>
    <cellStyle name="Currency 2 5 4 9" xfId="12693"/>
    <cellStyle name="Currency 2 5 5" xfId="12694"/>
    <cellStyle name="Currency 2 5 5 2" xfId="12695"/>
    <cellStyle name="Currency 2 5 5 2 2" xfId="12696"/>
    <cellStyle name="Currency 2 5 5 2 2 2" xfId="12697"/>
    <cellStyle name="Currency 2 5 5 2 2 2 2" xfId="12698"/>
    <cellStyle name="Currency 2 5 5 2 2 2 3" xfId="12699"/>
    <cellStyle name="Currency 2 5 5 2 2 3" xfId="12700"/>
    <cellStyle name="Currency 2 5 5 2 2 3 2" xfId="12701"/>
    <cellStyle name="Currency 2 5 5 2 2 4" xfId="12702"/>
    <cellStyle name="Currency 2 5 5 2 3" xfId="12703"/>
    <cellStyle name="Currency 2 5 5 2 3 2" xfId="12704"/>
    <cellStyle name="Currency 2 5 5 2 3 2 2" xfId="12705"/>
    <cellStyle name="Currency 2 5 5 2 3 3" xfId="12706"/>
    <cellStyle name="Currency 2 5 5 2 4" xfId="12707"/>
    <cellStyle name="Currency 2 5 5 2 4 2" xfId="12708"/>
    <cellStyle name="Currency 2 5 5 2 4 3" xfId="12709"/>
    <cellStyle name="Currency 2 5 5 2 5" xfId="12710"/>
    <cellStyle name="Currency 2 5 5 2 5 2" xfId="12711"/>
    <cellStyle name="Currency 2 5 5 2 6" xfId="12712"/>
    <cellStyle name="Currency 2 5 5 2 6 2" xfId="36425"/>
    <cellStyle name="Currency 2 5 5 2 7" xfId="12713"/>
    <cellStyle name="Currency 2 5 5 3" xfId="12714"/>
    <cellStyle name="Currency 2 5 5 3 2" xfId="12715"/>
    <cellStyle name="Currency 2 5 5 3 2 2" xfId="12716"/>
    <cellStyle name="Currency 2 5 5 3 2 2 2" xfId="12717"/>
    <cellStyle name="Currency 2 5 5 3 2 3" xfId="12718"/>
    <cellStyle name="Currency 2 5 5 3 3" xfId="12719"/>
    <cellStyle name="Currency 2 5 5 3 3 2" xfId="12720"/>
    <cellStyle name="Currency 2 5 5 3 4" xfId="12721"/>
    <cellStyle name="Currency 2 5 5 4" xfId="12722"/>
    <cellStyle name="Currency 2 5 5 4 2" xfId="12723"/>
    <cellStyle name="Currency 2 5 5 4 2 2" xfId="12724"/>
    <cellStyle name="Currency 2 5 5 4 3" xfId="12725"/>
    <cellStyle name="Currency 2 5 5 5" xfId="12726"/>
    <cellStyle name="Currency 2 5 5 5 2" xfId="12727"/>
    <cellStyle name="Currency 2 5 5 5 2 2" xfId="12728"/>
    <cellStyle name="Currency 2 5 5 5 3" xfId="12729"/>
    <cellStyle name="Currency 2 5 5 6" xfId="12730"/>
    <cellStyle name="Currency 2 5 5 6 2" xfId="12731"/>
    <cellStyle name="Currency 2 5 5 7" xfId="12732"/>
    <cellStyle name="Currency 2 5 5 7 2" xfId="36426"/>
    <cellStyle name="Currency 2 5 5 8" xfId="12733"/>
    <cellStyle name="Currency 2 5 6" xfId="12734"/>
    <cellStyle name="Currency 2 5 6 2" xfId="12735"/>
    <cellStyle name="Currency 2 5 6 2 2" xfId="12736"/>
    <cellStyle name="Currency 2 5 6 2 2 2" xfId="12737"/>
    <cellStyle name="Currency 2 5 6 2 2 2 2" xfId="12738"/>
    <cellStyle name="Currency 2 5 6 2 2 2 3" xfId="12739"/>
    <cellStyle name="Currency 2 5 6 2 2 3" xfId="12740"/>
    <cellStyle name="Currency 2 5 6 2 2 3 2" xfId="12741"/>
    <cellStyle name="Currency 2 5 6 2 2 4" xfId="12742"/>
    <cellStyle name="Currency 2 5 6 2 3" xfId="12743"/>
    <cellStyle name="Currency 2 5 6 2 3 2" xfId="12744"/>
    <cellStyle name="Currency 2 5 6 2 3 2 2" xfId="12745"/>
    <cellStyle name="Currency 2 5 6 2 3 3" xfId="12746"/>
    <cellStyle name="Currency 2 5 6 2 4" xfId="12747"/>
    <cellStyle name="Currency 2 5 6 2 4 2" xfId="12748"/>
    <cellStyle name="Currency 2 5 6 2 4 3" xfId="12749"/>
    <cellStyle name="Currency 2 5 6 2 5" xfId="12750"/>
    <cellStyle name="Currency 2 5 6 2 5 2" xfId="12751"/>
    <cellStyle name="Currency 2 5 6 2 6" xfId="12752"/>
    <cellStyle name="Currency 2 5 6 2 6 2" xfId="36427"/>
    <cellStyle name="Currency 2 5 6 2 7" xfId="12753"/>
    <cellStyle name="Currency 2 5 6 3" xfId="12754"/>
    <cellStyle name="Currency 2 5 6 3 2" xfId="12755"/>
    <cellStyle name="Currency 2 5 6 3 2 2" xfId="12756"/>
    <cellStyle name="Currency 2 5 6 3 2 2 2" xfId="12757"/>
    <cellStyle name="Currency 2 5 6 3 2 3" xfId="12758"/>
    <cellStyle name="Currency 2 5 6 3 3" xfId="12759"/>
    <cellStyle name="Currency 2 5 6 3 3 2" xfId="12760"/>
    <cellStyle name="Currency 2 5 6 3 4" xfId="12761"/>
    <cellStyle name="Currency 2 5 6 4" xfId="12762"/>
    <cellStyle name="Currency 2 5 6 4 2" xfId="12763"/>
    <cellStyle name="Currency 2 5 6 4 2 2" xfId="12764"/>
    <cellStyle name="Currency 2 5 6 4 3" xfId="12765"/>
    <cellStyle name="Currency 2 5 6 5" xfId="12766"/>
    <cellStyle name="Currency 2 5 6 5 2" xfId="12767"/>
    <cellStyle name="Currency 2 5 6 5 2 2" xfId="12768"/>
    <cellStyle name="Currency 2 5 6 5 3" xfId="12769"/>
    <cellStyle name="Currency 2 5 6 6" xfId="12770"/>
    <cellStyle name="Currency 2 5 6 6 2" xfId="12771"/>
    <cellStyle name="Currency 2 5 6 7" xfId="12772"/>
    <cellStyle name="Currency 2 5 6 7 2" xfId="36428"/>
    <cellStyle name="Currency 2 5 6 8" xfId="12773"/>
    <cellStyle name="Currency 2 5 7" xfId="12774"/>
    <cellStyle name="Currency 2 5 7 2" xfId="12775"/>
    <cellStyle name="Currency 2 5 7 2 2" xfId="12776"/>
    <cellStyle name="Currency 2 5 7 2 2 2" xfId="12777"/>
    <cellStyle name="Currency 2 5 7 2 2 2 2" xfId="12778"/>
    <cellStyle name="Currency 2 5 7 2 2 2 3" xfId="12779"/>
    <cellStyle name="Currency 2 5 7 2 2 3" xfId="12780"/>
    <cellStyle name="Currency 2 5 7 2 2 3 2" xfId="12781"/>
    <cellStyle name="Currency 2 5 7 2 2 4" xfId="12782"/>
    <cellStyle name="Currency 2 5 7 2 3" xfId="12783"/>
    <cellStyle name="Currency 2 5 7 2 3 2" xfId="12784"/>
    <cellStyle name="Currency 2 5 7 2 3 2 2" xfId="12785"/>
    <cellStyle name="Currency 2 5 7 2 3 3" xfId="12786"/>
    <cellStyle name="Currency 2 5 7 2 4" xfId="12787"/>
    <cellStyle name="Currency 2 5 7 2 4 2" xfId="12788"/>
    <cellStyle name="Currency 2 5 7 2 4 3" xfId="12789"/>
    <cellStyle name="Currency 2 5 7 2 5" xfId="12790"/>
    <cellStyle name="Currency 2 5 7 2 5 2" xfId="12791"/>
    <cellStyle name="Currency 2 5 7 2 6" xfId="12792"/>
    <cellStyle name="Currency 2 5 7 2 6 2" xfId="36429"/>
    <cellStyle name="Currency 2 5 7 2 7" xfId="12793"/>
    <cellStyle name="Currency 2 5 7 3" xfId="12794"/>
    <cellStyle name="Currency 2 5 7 3 2" xfId="12795"/>
    <cellStyle name="Currency 2 5 7 3 2 2" xfId="12796"/>
    <cellStyle name="Currency 2 5 7 3 2 2 2" xfId="12797"/>
    <cellStyle name="Currency 2 5 7 3 2 3" xfId="12798"/>
    <cellStyle name="Currency 2 5 7 3 3" xfId="12799"/>
    <cellStyle name="Currency 2 5 7 3 3 2" xfId="12800"/>
    <cellStyle name="Currency 2 5 7 3 4" xfId="12801"/>
    <cellStyle name="Currency 2 5 7 4" xfId="12802"/>
    <cellStyle name="Currency 2 5 7 4 2" xfId="12803"/>
    <cellStyle name="Currency 2 5 7 4 2 2" xfId="12804"/>
    <cellStyle name="Currency 2 5 7 4 3" xfId="12805"/>
    <cellStyle name="Currency 2 5 7 5" xfId="12806"/>
    <cellStyle name="Currency 2 5 7 5 2" xfId="12807"/>
    <cellStyle name="Currency 2 5 7 5 2 2" xfId="12808"/>
    <cellStyle name="Currency 2 5 7 5 3" xfId="12809"/>
    <cellStyle name="Currency 2 5 7 6" xfId="12810"/>
    <cellStyle name="Currency 2 5 7 6 2" xfId="12811"/>
    <cellStyle name="Currency 2 5 7 7" xfId="12812"/>
    <cellStyle name="Currency 2 5 7 7 2" xfId="36430"/>
    <cellStyle name="Currency 2 5 7 8" xfId="12813"/>
    <cellStyle name="Currency 2 5 8" xfId="12814"/>
    <cellStyle name="Currency 2 5 8 2" xfId="12815"/>
    <cellStyle name="Currency 2 5 8 2 2" xfId="12816"/>
    <cellStyle name="Currency 2 5 8 2 2 2" xfId="12817"/>
    <cellStyle name="Currency 2 5 8 2 2 3" xfId="12818"/>
    <cellStyle name="Currency 2 5 8 2 3" xfId="12819"/>
    <cellStyle name="Currency 2 5 8 2 3 2" xfId="12820"/>
    <cellStyle name="Currency 2 5 8 2 4" xfId="12821"/>
    <cellStyle name="Currency 2 5 8 3" xfId="12822"/>
    <cellStyle name="Currency 2 5 8 3 2" xfId="12823"/>
    <cellStyle name="Currency 2 5 8 3 2 2" xfId="12824"/>
    <cellStyle name="Currency 2 5 8 3 3" xfId="12825"/>
    <cellStyle name="Currency 2 5 8 4" xfId="12826"/>
    <cellStyle name="Currency 2 5 8 4 2" xfId="12827"/>
    <cellStyle name="Currency 2 5 8 4 3" xfId="12828"/>
    <cellStyle name="Currency 2 5 8 5" xfId="12829"/>
    <cellStyle name="Currency 2 5 8 5 2" xfId="12830"/>
    <cellStyle name="Currency 2 5 8 6" xfId="12831"/>
    <cellStyle name="Currency 2 5 8 6 2" xfId="36431"/>
    <cellStyle name="Currency 2 5 8 7" xfId="12832"/>
    <cellStyle name="Currency 2 5 9" xfId="12833"/>
    <cellStyle name="Currency 2 5 9 2" xfId="12834"/>
    <cellStyle name="Currency 2 5 9 2 2" xfId="12835"/>
    <cellStyle name="Currency 2 5 9 2 2 2" xfId="12836"/>
    <cellStyle name="Currency 2 5 9 2 3" xfId="12837"/>
    <cellStyle name="Currency 2 5 9 3" xfId="12838"/>
    <cellStyle name="Currency 2 5 9 3 2" xfId="12839"/>
    <cellStyle name="Currency 2 5 9 4" xfId="12840"/>
    <cellStyle name="Currency 2 6" xfId="12841"/>
    <cellStyle name="Currency 2 6 10" xfId="12842"/>
    <cellStyle name="Currency 2 6 10 2" xfId="12843"/>
    <cellStyle name="Currency 2 6 10 2 2" xfId="12844"/>
    <cellStyle name="Currency 2 6 10 3" xfId="12845"/>
    <cellStyle name="Currency 2 6 11" xfId="12846"/>
    <cellStyle name="Currency 2 6 11 2" xfId="12847"/>
    <cellStyle name="Currency 2 6 12" xfId="12848"/>
    <cellStyle name="Currency 2 6 12 2" xfId="36432"/>
    <cellStyle name="Currency 2 6 13" xfId="12849"/>
    <cellStyle name="Currency 2 6 2" xfId="12850"/>
    <cellStyle name="Currency 2 6 2 10" xfId="12851"/>
    <cellStyle name="Currency 2 6 2 2" xfId="12852"/>
    <cellStyle name="Currency 2 6 2 2 2" xfId="12853"/>
    <cellStyle name="Currency 2 6 2 2 2 2" xfId="12854"/>
    <cellStyle name="Currency 2 6 2 2 2 2 2" xfId="12855"/>
    <cellStyle name="Currency 2 6 2 2 2 2 2 2" xfId="12856"/>
    <cellStyle name="Currency 2 6 2 2 2 2 2 2 2" xfId="12857"/>
    <cellStyle name="Currency 2 6 2 2 2 2 2 2 3" xfId="12858"/>
    <cellStyle name="Currency 2 6 2 2 2 2 2 3" xfId="12859"/>
    <cellStyle name="Currency 2 6 2 2 2 2 2 3 2" xfId="12860"/>
    <cellStyle name="Currency 2 6 2 2 2 2 2 4" xfId="12861"/>
    <cellStyle name="Currency 2 6 2 2 2 2 3" xfId="12862"/>
    <cellStyle name="Currency 2 6 2 2 2 2 3 2" xfId="12863"/>
    <cellStyle name="Currency 2 6 2 2 2 2 3 2 2" xfId="12864"/>
    <cellStyle name="Currency 2 6 2 2 2 2 3 3" xfId="12865"/>
    <cellStyle name="Currency 2 6 2 2 2 2 4" xfId="12866"/>
    <cellStyle name="Currency 2 6 2 2 2 2 4 2" xfId="12867"/>
    <cellStyle name="Currency 2 6 2 2 2 2 4 3" xfId="12868"/>
    <cellStyle name="Currency 2 6 2 2 2 2 5" xfId="12869"/>
    <cellStyle name="Currency 2 6 2 2 2 2 5 2" xfId="12870"/>
    <cellStyle name="Currency 2 6 2 2 2 2 6" xfId="12871"/>
    <cellStyle name="Currency 2 6 2 2 2 2 6 2" xfId="36433"/>
    <cellStyle name="Currency 2 6 2 2 2 2 7" xfId="12872"/>
    <cellStyle name="Currency 2 6 2 2 2 3" xfId="12873"/>
    <cellStyle name="Currency 2 6 2 2 2 3 2" xfId="12874"/>
    <cellStyle name="Currency 2 6 2 2 2 3 2 2" xfId="12875"/>
    <cellStyle name="Currency 2 6 2 2 2 3 2 2 2" xfId="12876"/>
    <cellStyle name="Currency 2 6 2 2 2 3 2 3" xfId="12877"/>
    <cellStyle name="Currency 2 6 2 2 2 3 3" xfId="12878"/>
    <cellStyle name="Currency 2 6 2 2 2 3 3 2" xfId="12879"/>
    <cellStyle name="Currency 2 6 2 2 2 3 4" xfId="12880"/>
    <cellStyle name="Currency 2 6 2 2 2 4" xfId="12881"/>
    <cellStyle name="Currency 2 6 2 2 2 4 2" xfId="12882"/>
    <cellStyle name="Currency 2 6 2 2 2 4 2 2" xfId="12883"/>
    <cellStyle name="Currency 2 6 2 2 2 4 3" xfId="12884"/>
    <cellStyle name="Currency 2 6 2 2 2 5" xfId="12885"/>
    <cellStyle name="Currency 2 6 2 2 2 5 2" xfId="12886"/>
    <cellStyle name="Currency 2 6 2 2 2 5 2 2" xfId="12887"/>
    <cellStyle name="Currency 2 6 2 2 2 5 3" xfId="12888"/>
    <cellStyle name="Currency 2 6 2 2 2 6" xfId="12889"/>
    <cellStyle name="Currency 2 6 2 2 2 6 2" xfId="12890"/>
    <cellStyle name="Currency 2 6 2 2 2 7" xfId="12891"/>
    <cellStyle name="Currency 2 6 2 2 2 7 2" xfId="36434"/>
    <cellStyle name="Currency 2 6 2 2 2 8" xfId="12892"/>
    <cellStyle name="Currency 2 6 2 2 3" xfId="12893"/>
    <cellStyle name="Currency 2 6 2 2 3 2" xfId="12894"/>
    <cellStyle name="Currency 2 6 2 2 3 2 2" xfId="12895"/>
    <cellStyle name="Currency 2 6 2 2 3 2 2 2" xfId="12896"/>
    <cellStyle name="Currency 2 6 2 2 3 2 2 3" xfId="12897"/>
    <cellStyle name="Currency 2 6 2 2 3 2 3" xfId="12898"/>
    <cellStyle name="Currency 2 6 2 2 3 2 3 2" xfId="12899"/>
    <cellStyle name="Currency 2 6 2 2 3 2 4" xfId="12900"/>
    <cellStyle name="Currency 2 6 2 2 3 3" xfId="12901"/>
    <cellStyle name="Currency 2 6 2 2 3 3 2" xfId="12902"/>
    <cellStyle name="Currency 2 6 2 2 3 3 2 2" xfId="12903"/>
    <cellStyle name="Currency 2 6 2 2 3 3 3" xfId="12904"/>
    <cellStyle name="Currency 2 6 2 2 3 4" xfId="12905"/>
    <cellStyle name="Currency 2 6 2 2 3 4 2" xfId="12906"/>
    <cellStyle name="Currency 2 6 2 2 3 4 3" xfId="12907"/>
    <cellStyle name="Currency 2 6 2 2 3 5" xfId="12908"/>
    <cellStyle name="Currency 2 6 2 2 3 5 2" xfId="12909"/>
    <cellStyle name="Currency 2 6 2 2 3 6" xfId="12910"/>
    <cellStyle name="Currency 2 6 2 2 3 6 2" xfId="36435"/>
    <cellStyle name="Currency 2 6 2 2 3 7" xfId="12911"/>
    <cellStyle name="Currency 2 6 2 2 4" xfId="12912"/>
    <cellStyle name="Currency 2 6 2 2 4 2" xfId="12913"/>
    <cellStyle name="Currency 2 6 2 2 4 2 2" xfId="12914"/>
    <cellStyle name="Currency 2 6 2 2 4 2 2 2" xfId="12915"/>
    <cellStyle name="Currency 2 6 2 2 4 2 3" xfId="12916"/>
    <cellStyle name="Currency 2 6 2 2 4 3" xfId="12917"/>
    <cellStyle name="Currency 2 6 2 2 4 3 2" xfId="12918"/>
    <cellStyle name="Currency 2 6 2 2 4 4" xfId="12919"/>
    <cellStyle name="Currency 2 6 2 2 5" xfId="12920"/>
    <cellStyle name="Currency 2 6 2 2 5 2" xfId="12921"/>
    <cellStyle name="Currency 2 6 2 2 5 2 2" xfId="12922"/>
    <cellStyle name="Currency 2 6 2 2 5 3" xfId="12923"/>
    <cellStyle name="Currency 2 6 2 2 6" xfId="12924"/>
    <cellStyle name="Currency 2 6 2 2 6 2" xfId="12925"/>
    <cellStyle name="Currency 2 6 2 2 6 2 2" xfId="12926"/>
    <cellStyle name="Currency 2 6 2 2 6 3" xfId="12927"/>
    <cellStyle name="Currency 2 6 2 2 7" xfId="12928"/>
    <cellStyle name="Currency 2 6 2 2 7 2" xfId="12929"/>
    <cellStyle name="Currency 2 6 2 2 8" xfId="12930"/>
    <cellStyle name="Currency 2 6 2 2 8 2" xfId="36436"/>
    <cellStyle name="Currency 2 6 2 2 9" xfId="12931"/>
    <cellStyle name="Currency 2 6 2 3" xfId="12932"/>
    <cellStyle name="Currency 2 6 2 3 2" xfId="12933"/>
    <cellStyle name="Currency 2 6 2 3 2 2" xfId="12934"/>
    <cellStyle name="Currency 2 6 2 3 2 2 2" xfId="12935"/>
    <cellStyle name="Currency 2 6 2 3 2 2 2 2" xfId="12936"/>
    <cellStyle name="Currency 2 6 2 3 2 2 2 3" xfId="12937"/>
    <cellStyle name="Currency 2 6 2 3 2 2 3" xfId="12938"/>
    <cellStyle name="Currency 2 6 2 3 2 2 3 2" xfId="12939"/>
    <cellStyle name="Currency 2 6 2 3 2 2 4" xfId="12940"/>
    <cellStyle name="Currency 2 6 2 3 2 3" xfId="12941"/>
    <cellStyle name="Currency 2 6 2 3 2 3 2" xfId="12942"/>
    <cellStyle name="Currency 2 6 2 3 2 3 2 2" xfId="12943"/>
    <cellStyle name="Currency 2 6 2 3 2 3 3" xfId="12944"/>
    <cellStyle name="Currency 2 6 2 3 2 4" xfId="12945"/>
    <cellStyle name="Currency 2 6 2 3 2 4 2" xfId="12946"/>
    <cellStyle name="Currency 2 6 2 3 2 4 3" xfId="12947"/>
    <cellStyle name="Currency 2 6 2 3 2 5" xfId="12948"/>
    <cellStyle name="Currency 2 6 2 3 2 5 2" xfId="12949"/>
    <cellStyle name="Currency 2 6 2 3 2 6" xfId="12950"/>
    <cellStyle name="Currency 2 6 2 3 2 6 2" xfId="36437"/>
    <cellStyle name="Currency 2 6 2 3 2 7" xfId="12951"/>
    <cellStyle name="Currency 2 6 2 3 3" xfId="12952"/>
    <cellStyle name="Currency 2 6 2 3 3 2" xfId="12953"/>
    <cellStyle name="Currency 2 6 2 3 3 2 2" xfId="12954"/>
    <cellStyle name="Currency 2 6 2 3 3 2 2 2" xfId="12955"/>
    <cellStyle name="Currency 2 6 2 3 3 2 3" xfId="12956"/>
    <cellStyle name="Currency 2 6 2 3 3 3" xfId="12957"/>
    <cellStyle name="Currency 2 6 2 3 3 3 2" xfId="12958"/>
    <cellStyle name="Currency 2 6 2 3 3 4" xfId="12959"/>
    <cellStyle name="Currency 2 6 2 3 4" xfId="12960"/>
    <cellStyle name="Currency 2 6 2 3 4 2" xfId="12961"/>
    <cellStyle name="Currency 2 6 2 3 4 2 2" xfId="12962"/>
    <cellStyle name="Currency 2 6 2 3 4 3" xfId="12963"/>
    <cellStyle name="Currency 2 6 2 3 5" xfId="12964"/>
    <cellStyle name="Currency 2 6 2 3 5 2" xfId="12965"/>
    <cellStyle name="Currency 2 6 2 3 5 2 2" xfId="12966"/>
    <cellStyle name="Currency 2 6 2 3 5 3" xfId="12967"/>
    <cellStyle name="Currency 2 6 2 3 6" xfId="12968"/>
    <cellStyle name="Currency 2 6 2 3 6 2" xfId="12969"/>
    <cellStyle name="Currency 2 6 2 3 7" xfId="12970"/>
    <cellStyle name="Currency 2 6 2 3 7 2" xfId="36438"/>
    <cellStyle name="Currency 2 6 2 3 8" xfId="12971"/>
    <cellStyle name="Currency 2 6 2 4" xfId="12972"/>
    <cellStyle name="Currency 2 6 2 4 2" xfId="12973"/>
    <cellStyle name="Currency 2 6 2 4 2 2" xfId="12974"/>
    <cellStyle name="Currency 2 6 2 4 2 2 2" xfId="12975"/>
    <cellStyle name="Currency 2 6 2 4 2 2 3" xfId="12976"/>
    <cellStyle name="Currency 2 6 2 4 2 3" xfId="12977"/>
    <cellStyle name="Currency 2 6 2 4 2 3 2" xfId="12978"/>
    <cellStyle name="Currency 2 6 2 4 2 4" xfId="12979"/>
    <cellStyle name="Currency 2 6 2 4 3" xfId="12980"/>
    <cellStyle name="Currency 2 6 2 4 3 2" xfId="12981"/>
    <cellStyle name="Currency 2 6 2 4 3 2 2" xfId="12982"/>
    <cellStyle name="Currency 2 6 2 4 3 3" xfId="12983"/>
    <cellStyle name="Currency 2 6 2 4 4" xfId="12984"/>
    <cellStyle name="Currency 2 6 2 4 4 2" xfId="12985"/>
    <cellStyle name="Currency 2 6 2 4 4 3" xfId="12986"/>
    <cellStyle name="Currency 2 6 2 4 5" xfId="12987"/>
    <cellStyle name="Currency 2 6 2 4 5 2" xfId="12988"/>
    <cellStyle name="Currency 2 6 2 4 6" xfId="12989"/>
    <cellStyle name="Currency 2 6 2 4 6 2" xfId="36439"/>
    <cellStyle name="Currency 2 6 2 4 7" xfId="12990"/>
    <cellStyle name="Currency 2 6 2 5" xfId="12991"/>
    <cellStyle name="Currency 2 6 2 5 2" xfId="12992"/>
    <cellStyle name="Currency 2 6 2 5 2 2" xfId="12993"/>
    <cellStyle name="Currency 2 6 2 5 2 2 2" xfId="12994"/>
    <cellStyle name="Currency 2 6 2 5 2 3" xfId="12995"/>
    <cellStyle name="Currency 2 6 2 5 3" xfId="12996"/>
    <cellStyle name="Currency 2 6 2 5 3 2" xfId="12997"/>
    <cellStyle name="Currency 2 6 2 5 4" xfId="12998"/>
    <cellStyle name="Currency 2 6 2 6" xfId="12999"/>
    <cellStyle name="Currency 2 6 2 6 2" xfId="13000"/>
    <cellStyle name="Currency 2 6 2 6 2 2" xfId="13001"/>
    <cellStyle name="Currency 2 6 2 6 3" xfId="13002"/>
    <cellStyle name="Currency 2 6 2 7" xfId="13003"/>
    <cellStyle name="Currency 2 6 2 7 2" xfId="13004"/>
    <cellStyle name="Currency 2 6 2 7 2 2" xfId="13005"/>
    <cellStyle name="Currency 2 6 2 7 3" xfId="13006"/>
    <cellStyle name="Currency 2 6 2 8" xfId="13007"/>
    <cellStyle name="Currency 2 6 2 8 2" xfId="13008"/>
    <cellStyle name="Currency 2 6 2 9" xfId="13009"/>
    <cellStyle name="Currency 2 6 2 9 2" xfId="36440"/>
    <cellStyle name="Currency 2 6 3" xfId="13010"/>
    <cellStyle name="Currency 2 6 3 2" xfId="13011"/>
    <cellStyle name="Currency 2 6 3 2 2" xfId="13012"/>
    <cellStyle name="Currency 2 6 3 2 2 2" xfId="13013"/>
    <cellStyle name="Currency 2 6 3 2 2 2 2" xfId="13014"/>
    <cellStyle name="Currency 2 6 3 2 2 2 2 2" xfId="13015"/>
    <cellStyle name="Currency 2 6 3 2 2 2 2 3" xfId="13016"/>
    <cellStyle name="Currency 2 6 3 2 2 2 3" xfId="13017"/>
    <cellStyle name="Currency 2 6 3 2 2 2 3 2" xfId="13018"/>
    <cellStyle name="Currency 2 6 3 2 2 2 4" xfId="13019"/>
    <cellStyle name="Currency 2 6 3 2 2 3" xfId="13020"/>
    <cellStyle name="Currency 2 6 3 2 2 3 2" xfId="13021"/>
    <cellStyle name="Currency 2 6 3 2 2 3 2 2" xfId="13022"/>
    <cellStyle name="Currency 2 6 3 2 2 3 3" xfId="13023"/>
    <cellStyle name="Currency 2 6 3 2 2 4" xfId="13024"/>
    <cellStyle name="Currency 2 6 3 2 2 4 2" xfId="13025"/>
    <cellStyle name="Currency 2 6 3 2 2 4 3" xfId="13026"/>
    <cellStyle name="Currency 2 6 3 2 2 5" xfId="13027"/>
    <cellStyle name="Currency 2 6 3 2 2 5 2" xfId="13028"/>
    <cellStyle name="Currency 2 6 3 2 2 6" xfId="13029"/>
    <cellStyle name="Currency 2 6 3 2 2 6 2" xfId="36441"/>
    <cellStyle name="Currency 2 6 3 2 2 7" xfId="13030"/>
    <cellStyle name="Currency 2 6 3 2 3" xfId="13031"/>
    <cellStyle name="Currency 2 6 3 2 3 2" xfId="13032"/>
    <cellStyle name="Currency 2 6 3 2 3 2 2" xfId="13033"/>
    <cellStyle name="Currency 2 6 3 2 3 2 2 2" xfId="13034"/>
    <cellStyle name="Currency 2 6 3 2 3 2 3" xfId="13035"/>
    <cellStyle name="Currency 2 6 3 2 3 3" xfId="13036"/>
    <cellStyle name="Currency 2 6 3 2 3 3 2" xfId="13037"/>
    <cellStyle name="Currency 2 6 3 2 3 4" xfId="13038"/>
    <cellStyle name="Currency 2 6 3 2 4" xfId="13039"/>
    <cellStyle name="Currency 2 6 3 2 4 2" xfId="13040"/>
    <cellStyle name="Currency 2 6 3 2 4 2 2" xfId="13041"/>
    <cellStyle name="Currency 2 6 3 2 4 3" xfId="13042"/>
    <cellStyle name="Currency 2 6 3 2 5" xfId="13043"/>
    <cellStyle name="Currency 2 6 3 2 5 2" xfId="13044"/>
    <cellStyle name="Currency 2 6 3 2 5 2 2" xfId="13045"/>
    <cellStyle name="Currency 2 6 3 2 5 3" xfId="13046"/>
    <cellStyle name="Currency 2 6 3 2 6" xfId="13047"/>
    <cellStyle name="Currency 2 6 3 2 6 2" xfId="13048"/>
    <cellStyle name="Currency 2 6 3 2 7" xfId="13049"/>
    <cellStyle name="Currency 2 6 3 2 7 2" xfId="36442"/>
    <cellStyle name="Currency 2 6 3 2 8" xfId="13050"/>
    <cellStyle name="Currency 2 6 3 3" xfId="13051"/>
    <cellStyle name="Currency 2 6 3 3 2" xfId="13052"/>
    <cellStyle name="Currency 2 6 3 3 2 2" xfId="13053"/>
    <cellStyle name="Currency 2 6 3 3 2 2 2" xfId="13054"/>
    <cellStyle name="Currency 2 6 3 3 2 2 3" xfId="13055"/>
    <cellStyle name="Currency 2 6 3 3 2 3" xfId="13056"/>
    <cellStyle name="Currency 2 6 3 3 2 3 2" xfId="13057"/>
    <cellStyle name="Currency 2 6 3 3 2 4" xfId="13058"/>
    <cellStyle name="Currency 2 6 3 3 3" xfId="13059"/>
    <cellStyle name="Currency 2 6 3 3 3 2" xfId="13060"/>
    <cellStyle name="Currency 2 6 3 3 3 2 2" xfId="13061"/>
    <cellStyle name="Currency 2 6 3 3 3 3" xfId="13062"/>
    <cellStyle name="Currency 2 6 3 3 4" xfId="13063"/>
    <cellStyle name="Currency 2 6 3 3 4 2" xfId="13064"/>
    <cellStyle name="Currency 2 6 3 3 4 3" xfId="13065"/>
    <cellStyle name="Currency 2 6 3 3 5" xfId="13066"/>
    <cellStyle name="Currency 2 6 3 3 5 2" xfId="13067"/>
    <cellStyle name="Currency 2 6 3 3 6" xfId="13068"/>
    <cellStyle name="Currency 2 6 3 3 6 2" xfId="36443"/>
    <cellStyle name="Currency 2 6 3 3 7" xfId="13069"/>
    <cellStyle name="Currency 2 6 3 4" xfId="13070"/>
    <cellStyle name="Currency 2 6 3 4 2" xfId="13071"/>
    <cellStyle name="Currency 2 6 3 4 2 2" xfId="13072"/>
    <cellStyle name="Currency 2 6 3 4 2 2 2" xfId="13073"/>
    <cellStyle name="Currency 2 6 3 4 2 3" xfId="13074"/>
    <cellStyle name="Currency 2 6 3 4 3" xfId="13075"/>
    <cellStyle name="Currency 2 6 3 4 3 2" xfId="13076"/>
    <cellStyle name="Currency 2 6 3 4 4" xfId="13077"/>
    <cellStyle name="Currency 2 6 3 5" xfId="13078"/>
    <cellStyle name="Currency 2 6 3 5 2" xfId="13079"/>
    <cellStyle name="Currency 2 6 3 5 2 2" xfId="13080"/>
    <cellStyle name="Currency 2 6 3 5 3" xfId="13081"/>
    <cellStyle name="Currency 2 6 3 6" xfId="13082"/>
    <cellStyle name="Currency 2 6 3 6 2" xfId="13083"/>
    <cellStyle name="Currency 2 6 3 6 2 2" xfId="13084"/>
    <cellStyle name="Currency 2 6 3 6 3" xfId="13085"/>
    <cellStyle name="Currency 2 6 3 7" xfId="13086"/>
    <cellStyle name="Currency 2 6 3 7 2" xfId="13087"/>
    <cellStyle name="Currency 2 6 3 8" xfId="13088"/>
    <cellStyle name="Currency 2 6 3 8 2" xfId="36444"/>
    <cellStyle name="Currency 2 6 3 9" xfId="13089"/>
    <cellStyle name="Currency 2 6 4" xfId="13090"/>
    <cellStyle name="Currency 2 6 4 2" xfId="13091"/>
    <cellStyle name="Currency 2 6 4 2 2" xfId="13092"/>
    <cellStyle name="Currency 2 6 4 2 2 2" xfId="13093"/>
    <cellStyle name="Currency 2 6 4 2 2 2 2" xfId="13094"/>
    <cellStyle name="Currency 2 6 4 2 2 2 3" xfId="13095"/>
    <cellStyle name="Currency 2 6 4 2 2 3" xfId="13096"/>
    <cellStyle name="Currency 2 6 4 2 2 3 2" xfId="13097"/>
    <cellStyle name="Currency 2 6 4 2 2 4" xfId="13098"/>
    <cellStyle name="Currency 2 6 4 2 3" xfId="13099"/>
    <cellStyle name="Currency 2 6 4 2 3 2" xfId="13100"/>
    <cellStyle name="Currency 2 6 4 2 3 2 2" xfId="13101"/>
    <cellStyle name="Currency 2 6 4 2 3 3" xfId="13102"/>
    <cellStyle name="Currency 2 6 4 2 4" xfId="13103"/>
    <cellStyle name="Currency 2 6 4 2 4 2" xfId="13104"/>
    <cellStyle name="Currency 2 6 4 2 4 3" xfId="13105"/>
    <cellStyle name="Currency 2 6 4 2 5" xfId="13106"/>
    <cellStyle name="Currency 2 6 4 2 5 2" xfId="13107"/>
    <cellStyle name="Currency 2 6 4 2 6" xfId="13108"/>
    <cellStyle name="Currency 2 6 4 2 6 2" xfId="36445"/>
    <cellStyle name="Currency 2 6 4 2 7" xfId="13109"/>
    <cellStyle name="Currency 2 6 4 3" xfId="13110"/>
    <cellStyle name="Currency 2 6 4 3 2" xfId="13111"/>
    <cellStyle name="Currency 2 6 4 3 2 2" xfId="13112"/>
    <cellStyle name="Currency 2 6 4 3 2 2 2" xfId="13113"/>
    <cellStyle name="Currency 2 6 4 3 2 3" xfId="13114"/>
    <cellStyle name="Currency 2 6 4 3 3" xfId="13115"/>
    <cellStyle name="Currency 2 6 4 3 3 2" xfId="13116"/>
    <cellStyle name="Currency 2 6 4 3 4" xfId="13117"/>
    <cellStyle name="Currency 2 6 4 4" xfId="13118"/>
    <cellStyle name="Currency 2 6 4 4 2" xfId="13119"/>
    <cellStyle name="Currency 2 6 4 4 2 2" xfId="13120"/>
    <cellStyle name="Currency 2 6 4 4 3" xfId="13121"/>
    <cellStyle name="Currency 2 6 4 5" xfId="13122"/>
    <cellStyle name="Currency 2 6 4 5 2" xfId="13123"/>
    <cellStyle name="Currency 2 6 4 5 2 2" xfId="13124"/>
    <cellStyle name="Currency 2 6 4 5 3" xfId="13125"/>
    <cellStyle name="Currency 2 6 4 6" xfId="13126"/>
    <cellStyle name="Currency 2 6 4 6 2" xfId="13127"/>
    <cellStyle name="Currency 2 6 4 7" xfId="13128"/>
    <cellStyle name="Currency 2 6 4 7 2" xfId="36446"/>
    <cellStyle name="Currency 2 6 4 8" xfId="13129"/>
    <cellStyle name="Currency 2 6 5" xfId="13130"/>
    <cellStyle name="Currency 2 6 5 2" xfId="13131"/>
    <cellStyle name="Currency 2 6 5 2 2" xfId="13132"/>
    <cellStyle name="Currency 2 6 5 2 2 2" xfId="13133"/>
    <cellStyle name="Currency 2 6 5 2 2 2 2" xfId="13134"/>
    <cellStyle name="Currency 2 6 5 2 2 2 3" xfId="13135"/>
    <cellStyle name="Currency 2 6 5 2 2 3" xfId="13136"/>
    <cellStyle name="Currency 2 6 5 2 2 3 2" xfId="13137"/>
    <cellStyle name="Currency 2 6 5 2 2 4" xfId="13138"/>
    <cellStyle name="Currency 2 6 5 2 3" xfId="13139"/>
    <cellStyle name="Currency 2 6 5 2 3 2" xfId="13140"/>
    <cellStyle name="Currency 2 6 5 2 3 2 2" xfId="13141"/>
    <cellStyle name="Currency 2 6 5 2 3 3" xfId="13142"/>
    <cellStyle name="Currency 2 6 5 2 4" xfId="13143"/>
    <cellStyle name="Currency 2 6 5 2 4 2" xfId="13144"/>
    <cellStyle name="Currency 2 6 5 2 4 3" xfId="13145"/>
    <cellStyle name="Currency 2 6 5 2 5" xfId="13146"/>
    <cellStyle name="Currency 2 6 5 2 5 2" xfId="13147"/>
    <cellStyle name="Currency 2 6 5 2 6" xfId="13148"/>
    <cellStyle name="Currency 2 6 5 2 6 2" xfId="36447"/>
    <cellStyle name="Currency 2 6 5 2 7" xfId="13149"/>
    <cellStyle name="Currency 2 6 5 3" xfId="13150"/>
    <cellStyle name="Currency 2 6 5 3 2" xfId="13151"/>
    <cellStyle name="Currency 2 6 5 3 2 2" xfId="13152"/>
    <cellStyle name="Currency 2 6 5 3 2 2 2" xfId="13153"/>
    <cellStyle name="Currency 2 6 5 3 2 3" xfId="13154"/>
    <cellStyle name="Currency 2 6 5 3 3" xfId="13155"/>
    <cellStyle name="Currency 2 6 5 3 3 2" xfId="13156"/>
    <cellStyle name="Currency 2 6 5 3 4" xfId="13157"/>
    <cellStyle name="Currency 2 6 5 4" xfId="13158"/>
    <cellStyle name="Currency 2 6 5 4 2" xfId="13159"/>
    <cellStyle name="Currency 2 6 5 4 2 2" xfId="13160"/>
    <cellStyle name="Currency 2 6 5 4 3" xfId="13161"/>
    <cellStyle name="Currency 2 6 5 5" xfId="13162"/>
    <cellStyle name="Currency 2 6 5 5 2" xfId="13163"/>
    <cellStyle name="Currency 2 6 5 5 2 2" xfId="13164"/>
    <cellStyle name="Currency 2 6 5 5 3" xfId="13165"/>
    <cellStyle name="Currency 2 6 5 6" xfId="13166"/>
    <cellStyle name="Currency 2 6 5 6 2" xfId="13167"/>
    <cellStyle name="Currency 2 6 5 7" xfId="13168"/>
    <cellStyle name="Currency 2 6 5 7 2" xfId="36448"/>
    <cellStyle name="Currency 2 6 5 8" xfId="13169"/>
    <cellStyle name="Currency 2 6 6" xfId="183"/>
    <cellStyle name="Currency 2 6 7" xfId="13170"/>
    <cellStyle name="Currency 2 6 7 2" xfId="13171"/>
    <cellStyle name="Currency 2 6 7 2 2" xfId="13172"/>
    <cellStyle name="Currency 2 6 7 2 2 2" xfId="13173"/>
    <cellStyle name="Currency 2 6 7 2 2 3" xfId="13174"/>
    <cellStyle name="Currency 2 6 7 2 3" xfId="13175"/>
    <cellStyle name="Currency 2 6 7 2 3 2" xfId="13176"/>
    <cellStyle name="Currency 2 6 7 2 4" xfId="13177"/>
    <cellStyle name="Currency 2 6 7 3" xfId="13178"/>
    <cellStyle name="Currency 2 6 7 3 2" xfId="13179"/>
    <cellStyle name="Currency 2 6 7 3 2 2" xfId="13180"/>
    <cellStyle name="Currency 2 6 7 3 3" xfId="13181"/>
    <cellStyle name="Currency 2 6 7 4" xfId="13182"/>
    <cellStyle name="Currency 2 6 7 4 2" xfId="13183"/>
    <cellStyle name="Currency 2 6 7 4 3" xfId="13184"/>
    <cellStyle name="Currency 2 6 7 5" xfId="13185"/>
    <cellStyle name="Currency 2 6 7 5 2" xfId="13186"/>
    <cellStyle name="Currency 2 6 7 6" xfId="13187"/>
    <cellStyle name="Currency 2 6 7 6 2" xfId="36449"/>
    <cellStyle name="Currency 2 6 7 7" xfId="13188"/>
    <cellStyle name="Currency 2 6 8" xfId="13189"/>
    <cellStyle name="Currency 2 6 8 2" xfId="13190"/>
    <cellStyle name="Currency 2 6 8 2 2" xfId="13191"/>
    <cellStyle name="Currency 2 6 8 2 2 2" xfId="13192"/>
    <cellStyle name="Currency 2 6 8 2 3" xfId="13193"/>
    <cellStyle name="Currency 2 6 8 3" xfId="13194"/>
    <cellStyle name="Currency 2 6 8 3 2" xfId="13195"/>
    <cellStyle name="Currency 2 6 8 4" xfId="13196"/>
    <cellStyle name="Currency 2 6 9" xfId="13197"/>
    <cellStyle name="Currency 2 6 9 2" xfId="13198"/>
    <cellStyle name="Currency 2 6 9 2 2" xfId="13199"/>
    <cellStyle name="Currency 2 6 9 3" xfId="13200"/>
    <cellStyle name="Currency 2 7" xfId="13201"/>
    <cellStyle name="Currency 2 7 10" xfId="13202"/>
    <cellStyle name="Currency 2 7 2" xfId="13203"/>
    <cellStyle name="Currency 2 7 2 2" xfId="13204"/>
    <cellStyle name="Currency 2 7 2 2 2" xfId="13205"/>
    <cellStyle name="Currency 2 7 2 2 2 2" xfId="13206"/>
    <cellStyle name="Currency 2 7 2 2 2 2 2" xfId="13207"/>
    <cellStyle name="Currency 2 7 2 2 2 2 2 2" xfId="13208"/>
    <cellStyle name="Currency 2 7 2 2 2 2 2 3" xfId="13209"/>
    <cellStyle name="Currency 2 7 2 2 2 2 3" xfId="13210"/>
    <cellStyle name="Currency 2 7 2 2 2 2 3 2" xfId="13211"/>
    <cellStyle name="Currency 2 7 2 2 2 2 4" xfId="13212"/>
    <cellStyle name="Currency 2 7 2 2 2 3" xfId="13213"/>
    <cellStyle name="Currency 2 7 2 2 2 3 2" xfId="13214"/>
    <cellStyle name="Currency 2 7 2 2 2 3 2 2" xfId="13215"/>
    <cellStyle name="Currency 2 7 2 2 2 3 3" xfId="13216"/>
    <cellStyle name="Currency 2 7 2 2 2 4" xfId="13217"/>
    <cellStyle name="Currency 2 7 2 2 2 4 2" xfId="13218"/>
    <cellStyle name="Currency 2 7 2 2 2 4 3" xfId="13219"/>
    <cellStyle name="Currency 2 7 2 2 2 5" xfId="13220"/>
    <cellStyle name="Currency 2 7 2 2 2 5 2" xfId="13221"/>
    <cellStyle name="Currency 2 7 2 2 2 6" xfId="13222"/>
    <cellStyle name="Currency 2 7 2 2 2 6 2" xfId="36450"/>
    <cellStyle name="Currency 2 7 2 2 2 7" xfId="13223"/>
    <cellStyle name="Currency 2 7 2 2 3" xfId="13224"/>
    <cellStyle name="Currency 2 7 2 2 3 2" xfId="13225"/>
    <cellStyle name="Currency 2 7 2 2 3 2 2" xfId="13226"/>
    <cellStyle name="Currency 2 7 2 2 3 2 2 2" xfId="13227"/>
    <cellStyle name="Currency 2 7 2 2 3 2 3" xfId="13228"/>
    <cellStyle name="Currency 2 7 2 2 3 3" xfId="13229"/>
    <cellStyle name="Currency 2 7 2 2 3 3 2" xfId="13230"/>
    <cellStyle name="Currency 2 7 2 2 3 4" xfId="13231"/>
    <cellStyle name="Currency 2 7 2 2 4" xfId="13232"/>
    <cellStyle name="Currency 2 7 2 2 4 2" xfId="13233"/>
    <cellStyle name="Currency 2 7 2 2 4 2 2" xfId="13234"/>
    <cellStyle name="Currency 2 7 2 2 4 3" xfId="13235"/>
    <cellStyle name="Currency 2 7 2 2 5" xfId="13236"/>
    <cellStyle name="Currency 2 7 2 2 5 2" xfId="13237"/>
    <cellStyle name="Currency 2 7 2 2 5 2 2" xfId="13238"/>
    <cellStyle name="Currency 2 7 2 2 5 3" xfId="13239"/>
    <cellStyle name="Currency 2 7 2 2 6" xfId="13240"/>
    <cellStyle name="Currency 2 7 2 2 6 2" xfId="13241"/>
    <cellStyle name="Currency 2 7 2 2 7" xfId="13242"/>
    <cellStyle name="Currency 2 7 2 2 7 2" xfId="36451"/>
    <cellStyle name="Currency 2 7 2 2 8" xfId="13243"/>
    <cellStyle name="Currency 2 7 2 3" xfId="13244"/>
    <cellStyle name="Currency 2 7 2 3 2" xfId="13245"/>
    <cellStyle name="Currency 2 7 2 3 2 2" xfId="13246"/>
    <cellStyle name="Currency 2 7 2 3 2 2 2" xfId="13247"/>
    <cellStyle name="Currency 2 7 2 3 2 2 3" xfId="13248"/>
    <cellStyle name="Currency 2 7 2 3 2 3" xfId="13249"/>
    <cellStyle name="Currency 2 7 2 3 2 3 2" xfId="13250"/>
    <cellStyle name="Currency 2 7 2 3 2 4" xfId="13251"/>
    <cellStyle name="Currency 2 7 2 3 3" xfId="13252"/>
    <cellStyle name="Currency 2 7 2 3 3 2" xfId="13253"/>
    <cellStyle name="Currency 2 7 2 3 3 2 2" xfId="13254"/>
    <cellStyle name="Currency 2 7 2 3 3 3" xfId="13255"/>
    <cellStyle name="Currency 2 7 2 3 4" xfId="13256"/>
    <cellStyle name="Currency 2 7 2 3 4 2" xfId="13257"/>
    <cellStyle name="Currency 2 7 2 3 4 3" xfId="13258"/>
    <cellStyle name="Currency 2 7 2 3 5" xfId="13259"/>
    <cellStyle name="Currency 2 7 2 3 5 2" xfId="13260"/>
    <cellStyle name="Currency 2 7 2 3 6" xfId="13261"/>
    <cellStyle name="Currency 2 7 2 3 6 2" xfId="36452"/>
    <cellStyle name="Currency 2 7 2 3 7" xfId="13262"/>
    <cellStyle name="Currency 2 7 2 4" xfId="13263"/>
    <cellStyle name="Currency 2 7 2 4 2" xfId="13264"/>
    <cellStyle name="Currency 2 7 2 4 2 2" xfId="13265"/>
    <cellStyle name="Currency 2 7 2 4 2 2 2" xfId="13266"/>
    <cellStyle name="Currency 2 7 2 4 2 3" xfId="13267"/>
    <cellStyle name="Currency 2 7 2 4 3" xfId="13268"/>
    <cellStyle name="Currency 2 7 2 4 3 2" xfId="13269"/>
    <cellStyle name="Currency 2 7 2 4 4" xfId="13270"/>
    <cellStyle name="Currency 2 7 2 5" xfId="13271"/>
    <cellStyle name="Currency 2 7 2 5 2" xfId="13272"/>
    <cellStyle name="Currency 2 7 2 5 2 2" xfId="13273"/>
    <cellStyle name="Currency 2 7 2 5 3" xfId="13274"/>
    <cellStyle name="Currency 2 7 2 6" xfId="13275"/>
    <cellStyle name="Currency 2 7 2 6 2" xfId="13276"/>
    <cellStyle name="Currency 2 7 2 6 2 2" xfId="13277"/>
    <cellStyle name="Currency 2 7 2 6 3" xfId="13278"/>
    <cellStyle name="Currency 2 7 2 7" xfId="13279"/>
    <cellStyle name="Currency 2 7 2 7 2" xfId="13280"/>
    <cellStyle name="Currency 2 7 2 8" xfId="13281"/>
    <cellStyle name="Currency 2 7 2 8 2" xfId="36453"/>
    <cellStyle name="Currency 2 7 2 9" xfId="13282"/>
    <cellStyle name="Currency 2 7 3" xfId="13283"/>
    <cellStyle name="Currency 2 7 3 2" xfId="13284"/>
    <cellStyle name="Currency 2 7 3 2 2" xfId="13285"/>
    <cellStyle name="Currency 2 7 3 2 2 2" xfId="13286"/>
    <cellStyle name="Currency 2 7 3 2 2 2 2" xfId="13287"/>
    <cellStyle name="Currency 2 7 3 2 2 2 3" xfId="13288"/>
    <cellStyle name="Currency 2 7 3 2 2 3" xfId="13289"/>
    <cellStyle name="Currency 2 7 3 2 2 3 2" xfId="13290"/>
    <cellStyle name="Currency 2 7 3 2 2 4" xfId="13291"/>
    <cellStyle name="Currency 2 7 3 2 3" xfId="13292"/>
    <cellStyle name="Currency 2 7 3 2 3 2" xfId="13293"/>
    <cellStyle name="Currency 2 7 3 2 3 2 2" xfId="13294"/>
    <cellStyle name="Currency 2 7 3 2 3 3" xfId="13295"/>
    <cellStyle name="Currency 2 7 3 2 4" xfId="13296"/>
    <cellStyle name="Currency 2 7 3 2 4 2" xfId="13297"/>
    <cellStyle name="Currency 2 7 3 2 4 3" xfId="13298"/>
    <cellStyle name="Currency 2 7 3 2 5" xfId="13299"/>
    <cellStyle name="Currency 2 7 3 2 5 2" xfId="13300"/>
    <cellStyle name="Currency 2 7 3 2 6" xfId="13301"/>
    <cellStyle name="Currency 2 7 3 2 6 2" xfId="36454"/>
    <cellStyle name="Currency 2 7 3 2 7" xfId="13302"/>
    <cellStyle name="Currency 2 7 3 3" xfId="13303"/>
    <cellStyle name="Currency 2 7 3 3 2" xfId="13304"/>
    <cellStyle name="Currency 2 7 3 3 2 2" xfId="13305"/>
    <cellStyle name="Currency 2 7 3 3 2 2 2" xfId="13306"/>
    <cellStyle name="Currency 2 7 3 3 2 3" xfId="13307"/>
    <cellStyle name="Currency 2 7 3 3 3" xfId="13308"/>
    <cellStyle name="Currency 2 7 3 3 3 2" xfId="13309"/>
    <cellStyle name="Currency 2 7 3 3 4" xfId="13310"/>
    <cellStyle name="Currency 2 7 3 4" xfId="13311"/>
    <cellStyle name="Currency 2 7 3 4 2" xfId="13312"/>
    <cellStyle name="Currency 2 7 3 4 2 2" xfId="13313"/>
    <cellStyle name="Currency 2 7 3 4 3" xfId="13314"/>
    <cellStyle name="Currency 2 7 3 5" xfId="13315"/>
    <cellStyle name="Currency 2 7 3 5 2" xfId="13316"/>
    <cellStyle name="Currency 2 7 3 5 2 2" xfId="13317"/>
    <cellStyle name="Currency 2 7 3 5 3" xfId="13318"/>
    <cellStyle name="Currency 2 7 3 6" xfId="13319"/>
    <cellStyle name="Currency 2 7 3 6 2" xfId="13320"/>
    <cellStyle name="Currency 2 7 3 7" xfId="13321"/>
    <cellStyle name="Currency 2 7 3 7 2" xfId="36455"/>
    <cellStyle name="Currency 2 7 3 8" xfId="13322"/>
    <cellStyle name="Currency 2 7 4" xfId="13323"/>
    <cellStyle name="Currency 2 7 4 2" xfId="13324"/>
    <cellStyle name="Currency 2 7 4 2 2" xfId="13325"/>
    <cellStyle name="Currency 2 7 4 2 2 2" xfId="13326"/>
    <cellStyle name="Currency 2 7 4 2 2 3" xfId="13327"/>
    <cellStyle name="Currency 2 7 4 2 3" xfId="13328"/>
    <cellStyle name="Currency 2 7 4 2 3 2" xfId="13329"/>
    <cellStyle name="Currency 2 7 4 2 4" xfId="13330"/>
    <cellStyle name="Currency 2 7 4 3" xfId="13331"/>
    <cellStyle name="Currency 2 7 4 3 2" xfId="13332"/>
    <cellStyle name="Currency 2 7 4 3 2 2" xfId="13333"/>
    <cellStyle name="Currency 2 7 4 3 3" xfId="13334"/>
    <cellStyle name="Currency 2 7 4 4" xfId="13335"/>
    <cellStyle name="Currency 2 7 4 4 2" xfId="13336"/>
    <cellStyle name="Currency 2 7 4 4 3" xfId="13337"/>
    <cellStyle name="Currency 2 7 4 5" xfId="13338"/>
    <cellStyle name="Currency 2 7 4 5 2" xfId="13339"/>
    <cellStyle name="Currency 2 7 4 6" xfId="13340"/>
    <cellStyle name="Currency 2 7 4 6 2" xfId="36456"/>
    <cellStyle name="Currency 2 7 4 7" xfId="13341"/>
    <cellStyle name="Currency 2 7 5" xfId="13342"/>
    <cellStyle name="Currency 2 7 5 2" xfId="13343"/>
    <cellStyle name="Currency 2 7 5 2 2" xfId="13344"/>
    <cellStyle name="Currency 2 7 5 2 2 2" xfId="13345"/>
    <cellStyle name="Currency 2 7 5 2 3" xfId="13346"/>
    <cellStyle name="Currency 2 7 5 3" xfId="13347"/>
    <cellStyle name="Currency 2 7 5 3 2" xfId="13348"/>
    <cellStyle name="Currency 2 7 5 4" xfId="13349"/>
    <cellStyle name="Currency 2 7 6" xfId="13350"/>
    <cellStyle name="Currency 2 7 6 2" xfId="13351"/>
    <cellStyle name="Currency 2 7 6 2 2" xfId="13352"/>
    <cellStyle name="Currency 2 7 6 3" xfId="13353"/>
    <cellStyle name="Currency 2 7 7" xfId="13354"/>
    <cellStyle name="Currency 2 7 7 2" xfId="13355"/>
    <cellStyle name="Currency 2 7 7 2 2" xfId="13356"/>
    <cellStyle name="Currency 2 7 7 3" xfId="13357"/>
    <cellStyle name="Currency 2 7 8" xfId="13358"/>
    <cellStyle name="Currency 2 7 8 2" xfId="13359"/>
    <cellStyle name="Currency 2 7 9" xfId="13360"/>
    <cellStyle name="Currency 2 7 9 2" xfId="36457"/>
    <cellStyle name="Currency 2 8" xfId="13361"/>
    <cellStyle name="Currency 2 8 2" xfId="13362"/>
    <cellStyle name="Currency 2 8 2 2" xfId="13363"/>
    <cellStyle name="Currency 2 8 2 2 2" xfId="13364"/>
    <cellStyle name="Currency 2 8 2 2 2 2" xfId="13365"/>
    <cellStyle name="Currency 2 8 2 2 2 2 2" xfId="13366"/>
    <cellStyle name="Currency 2 8 2 2 2 2 3" xfId="13367"/>
    <cellStyle name="Currency 2 8 2 2 2 3" xfId="13368"/>
    <cellStyle name="Currency 2 8 2 2 2 3 2" xfId="13369"/>
    <cellStyle name="Currency 2 8 2 2 2 4" xfId="13370"/>
    <cellStyle name="Currency 2 8 2 2 3" xfId="13371"/>
    <cellStyle name="Currency 2 8 2 2 3 2" xfId="13372"/>
    <cellStyle name="Currency 2 8 2 2 3 2 2" xfId="13373"/>
    <cellStyle name="Currency 2 8 2 2 3 3" xfId="13374"/>
    <cellStyle name="Currency 2 8 2 2 4" xfId="13375"/>
    <cellStyle name="Currency 2 8 2 2 4 2" xfId="13376"/>
    <cellStyle name="Currency 2 8 2 2 4 3" xfId="13377"/>
    <cellStyle name="Currency 2 8 2 2 5" xfId="13378"/>
    <cellStyle name="Currency 2 8 2 2 5 2" xfId="13379"/>
    <cellStyle name="Currency 2 8 2 2 6" xfId="13380"/>
    <cellStyle name="Currency 2 8 2 2 6 2" xfId="36458"/>
    <cellStyle name="Currency 2 8 2 2 7" xfId="13381"/>
    <cellStyle name="Currency 2 8 2 3" xfId="13382"/>
    <cellStyle name="Currency 2 8 2 3 2" xfId="13383"/>
    <cellStyle name="Currency 2 8 2 3 2 2" xfId="13384"/>
    <cellStyle name="Currency 2 8 2 3 2 2 2" xfId="13385"/>
    <cellStyle name="Currency 2 8 2 3 2 3" xfId="13386"/>
    <cellStyle name="Currency 2 8 2 3 3" xfId="13387"/>
    <cellStyle name="Currency 2 8 2 3 3 2" xfId="13388"/>
    <cellStyle name="Currency 2 8 2 3 4" xfId="13389"/>
    <cellStyle name="Currency 2 8 2 4" xfId="13390"/>
    <cellStyle name="Currency 2 8 2 4 2" xfId="13391"/>
    <cellStyle name="Currency 2 8 2 4 2 2" xfId="13392"/>
    <cellStyle name="Currency 2 8 2 4 3" xfId="13393"/>
    <cellStyle name="Currency 2 8 2 5" xfId="13394"/>
    <cellStyle name="Currency 2 8 2 5 2" xfId="13395"/>
    <cellStyle name="Currency 2 8 2 5 2 2" xfId="13396"/>
    <cellStyle name="Currency 2 8 2 5 3" xfId="13397"/>
    <cellStyle name="Currency 2 8 2 6" xfId="13398"/>
    <cellStyle name="Currency 2 8 2 6 2" xfId="13399"/>
    <cellStyle name="Currency 2 8 2 7" xfId="13400"/>
    <cellStyle name="Currency 2 8 2 7 2" xfId="36459"/>
    <cellStyle name="Currency 2 8 2 8" xfId="13401"/>
    <cellStyle name="Currency 2 8 3" xfId="13402"/>
    <cellStyle name="Currency 2 8 3 2" xfId="13403"/>
    <cellStyle name="Currency 2 8 3 2 2" xfId="13404"/>
    <cellStyle name="Currency 2 8 3 2 2 2" xfId="13405"/>
    <cellStyle name="Currency 2 8 3 2 2 3" xfId="13406"/>
    <cellStyle name="Currency 2 8 3 2 3" xfId="13407"/>
    <cellStyle name="Currency 2 8 3 2 3 2" xfId="13408"/>
    <cellStyle name="Currency 2 8 3 2 4" xfId="13409"/>
    <cellStyle name="Currency 2 8 3 3" xfId="13410"/>
    <cellStyle name="Currency 2 8 3 3 2" xfId="13411"/>
    <cellStyle name="Currency 2 8 3 3 2 2" xfId="13412"/>
    <cellStyle name="Currency 2 8 3 3 3" xfId="13413"/>
    <cellStyle name="Currency 2 8 3 4" xfId="13414"/>
    <cellStyle name="Currency 2 8 3 4 2" xfId="13415"/>
    <cellStyle name="Currency 2 8 3 4 3" xfId="13416"/>
    <cellStyle name="Currency 2 8 3 5" xfId="13417"/>
    <cellStyle name="Currency 2 8 3 5 2" xfId="13418"/>
    <cellStyle name="Currency 2 8 3 6" xfId="13419"/>
    <cellStyle name="Currency 2 8 3 6 2" xfId="36460"/>
    <cellStyle name="Currency 2 8 3 7" xfId="13420"/>
    <cellStyle name="Currency 2 8 4" xfId="13421"/>
    <cellStyle name="Currency 2 8 4 2" xfId="13422"/>
    <cellStyle name="Currency 2 8 4 2 2" xfId="13423"/>
    <cellStyle name="Currency 2 8 4 2 2 2" xfId="13424"/>
    <cellStyle name="Currency 2 8 4 2 3" xfId="13425"/>
    <cellStyle name="Currency 2 8 4 3" xfId="13426"/>
    <cellStyle name="Currency 2 8 4 3 2" xfId="13427"/>
    <cellStyle name="Currency 2 8 4 4" xfId="13428"/>
    <cellStyle name="Currency 2 8 5" xfId="13429"/>
    <cellStyle name="Currency 2 8 5 2" xfId="13430"/>
    <cellStyle name="Currency 2 8 5 2 2" xfId="13431"/>
    <cellStyle name="Currency 2 8 5 3" xfId="13432"/>
    <cellStyle name="Currency 2 8 6" xfId="13433"/>
    <cellStyle name="Currency 2 8 6 2" xfId="13434"/>
    <cellStyle name="Currency 2 8 6 2 2" xfId="13435"/>
    <cellStyle name="Currency 2 8 6 3" xfId="13436"/>
    <cellStyle name="Currency 2 8 7" xfId="13437"/>
    <cellStyle name="Currency 2 8 7 2" xfId="13438"/>
    <cellStyle name="Currency 2 8 8" xfId="13439"/>
    <cellStyle name="Currency 2 8 8 2" xfId="36461"/>
    <cellStyle name="Currency 2 8 9" xfId="13440"/>
    <cellStyle name="Currency 2 9" xfId="13441"/>
    <cellStyle name="Currency 2 9 2" xfId="13442"/>
    <cellStyle name="Currency 2 9 2 2" xfId="13443"/>
    <cellStyle name="Currency 2 9 2 2 2" xfId="13444"/>
    <cellStyle name="Currency 2 9 2 2 2 2" xfId="13445"/>
    <cellStyle name="Currency 2 9 2 2 2 2 2" xfId="13446"/>
    <cellStyle name="Currency 2 9 2 2 2 2 3" xfId="13447"/>
    <cellStyle name="Currency 2 9 2 2 2 3" xfId="13448"/>
    <cellStyle name="Currency 2 9 2 2 2 3 2" xfId="13449"/>
    <cellStyle name="Currency 2 9 2 2 2 4" xfId="13450"/>
    <cellStyle name="Currency 2 9 2 2 3" xfId="13451"/>
    <cellStyle name="Currency 2 9 2 2 3 2" xfId="13452"/>
    <cellStyle name="Currency 2 9 2 2 3 2 2" xfId="13453"/>
    <cellStyle name="Currency 2 9 2 2 3 3" xfId="13454"/>
    <cellStyle name="Currency 2 9 2 2 4" xfId="13455"/>
    <cellStyle name="Currency 2 9 2 2 4 2" xfId="13456"/>
    <cellStyle name="Currency 2 9 2 2 4 3" xfId="13457"/>
    <cellStyle name="Currency 2 9 2 2 5" xfId="13458"/>
    <cellStyle name="Currency 2 9 2 2 5 2" xfId="13459"/>
    <cellStyle name="Currency 2 9 2 2 6" xfId="13460"/>
    <cellStyle name="Currency 2 9 2 2 6 2" xfId="36462"/>
    <cellStyle name="Currency 2 9 2 2 7" xfId="13461"/>
    <cellStyle name="Currency 2 9 2 3" xfId="13462"/>
    <cellStyle name="Currency 2 9 2 3 2" xfId="13463"/>
    <cellStyle name="Currency 2 9 2 3 2 2" xfId="13464"/>
    <cellStyle name="Currency 2 9 2 3 2 2 2" xfId="13465"/>
    <cellStyle name="Currency 2 9 2 3 2 3" xfId="13466"/>
    <cellStyle name="Currency 2 9 2 3 3" xfId="13467"/>
    <cellStyle name="Currency 2 9 2 3 3 2" xfId="13468"/>
    <cellStyle name="Currency 2 9 2 3 4" xfId="13469"/>
    <cellStyle name="Currency 2 9 2 4" xfId="13470"/>
    <cellStyle name="Currency 2 9 2 4 2" xfId="13471"/>
    <cellStyle name="Currency 2 9 2 4 2 2" xfId="13472"/>
    <cellStyle name="Currency 2 9 2 4 3" xfId="13473"/>
    <cellStyle name="Currency 2 9 2 5" xfId="13474"/>
    <cellStyle name="Currency 2 9 2 5 2" xfId="13475"/>
    <cellStyle name="Currency 2 9 2 5 2 2" xfId="13476"/>
    <cellStyle name="Currency 2 9 2 5 3" xfId="13477"/>
    <cellStyle name="Currency 2 9 2 6" xfId="13478"/>
    <cellStyle name="Currency 2 9 2 6 2" xfId="13479"/>
    <cellStyle name="Currency 2 9 2 7" xfId="13480"/>
    <cellStyle name="Currency 2 9 2 7 2" xfId="36463"/>
    <cellStyle name="Currency 2 9 2 8" xfId="13481"/>
    <cellStyle name="Currency 2 9 3" xfId="13482"/>
    <cellStyle name="Currency 2 9 3 2" xfId="13483"/>
    <cellStyle name="Currency 2 9 3 2 2" xfId="13484"/>
    <cellStyle name="Currency 2 9 3 2 2 2" xfId="13485"/>
    <cellStyle name="Currency 2 9 3 2 2 3" xfId="13486"/>
    <cellStyle name="Currency 2 9 3 2 3" xfId="13487"/>
    <cellStyle name="Currency 2 9 3 2 3 2" xfId="13488"/>
    <cellStyle name="Currency 2 9 3 2 4" xfId="13489"/>
    <cellStyle name="Currency 2 9 3 3" xfId="13490"/>
    <cellStyle name="Currency 2 9 3 3 2" xfId="13491"/>
    <cellStyle name="Currency 2 9 3 3 2 2" xfId="13492"/>
    <cellStyle name="Currency 2 9 3 3 3" xfId="13493"/>
    <cellStyle name="Currency 2 9 3 4" xfId="13494"/>
    <cellStyle name="Currency 2 9 3 4 2" xfId="13495"/>
    <cellStyle name="Currency 2 9 3 4 3" xfId="13496"/>
    <cellStyle name="Currency 2 9 3 5" xfId="13497"/>
    <cellStyle name="Currency 2 9 3 5 2" xfId="13498"/>
    <cellStyle name="Currency 2 9 3 6" xfId="13499"/>
    <cellStyle name="Currency 2 9 3 6 2" xfId="36464"/>
    <cellStyle name="Currency 2 9 3 7" xfId="13500"/>
    <cellStyle name="Currency 2 9 4" xfId="13501"/>
    <cellStyle name="Currency 2 9 4 2" xfId="13502"/>
    <cellStyle name="Currency 2 9 4 2 2" xfId="13503"/>
    <cellStyle name="Currency 2 9 4 2 2 2" xfId="13504"/>
    <cellStyle name="Currency 2 9 4 2 3" xfId="13505"/>
    <cellStyle name="Currency 2 9 4 3" xfId="13506"/>
    <cellStyle name="Currency 2 9 4 3 2" xfId="13507"/>
    <cellStyle name="Currency 2 9 4 4" xfId="13508"/>
    <cellStyle name="Currency 2 9 5" xfId="13509"/>
    <cellStyle name="Currency 2 9 5 2" xfId="13510"/>
    <cellStyle name="Currency 2 9 5 2 2" xfId="13511"/>
    <cellStyle name="Currency 2 9 5 3" xfId="13512"/>
    <cellStyle name="Currency 2 9 6" xfId="13513"/>
    <cellStyle name="Currency 2 9 6 2" xfId="13514"/>
    <cellStyle name="Currency 2 9 6 2 2" xfId="13515"/>
    <cellStyle name="Currency 2 9 6 3" xfId="13516"/>
    <cellStyle name="Currency 2 9 7" xfId="13517"/>
    <cellStyle name="Currency 2 9 7 2" xfId="13518"/>
    <cellStyle name="Currency 2 9 8" xfId="13519"/>
    <cellStyle name="Currency 2 9 8 2" xfId="36465"/>
    <cellStyle name="Currency 2 9 9" xfId="13520"/>
    <cellStyle name="Currency 3" xfId="181"/>
    <cellStyle name="Currency 3 10" xfId="13521"/>
    <cellStyle name="Currency 3 10 2" xfId="13522"/>
    <cellStyle name="Currency 3 10 2 2" xfId="13523"/>
    <cellStyle name="Currency 3 10 2 2 2" xfId="13524"/>
    <cellStyle name="Currency 3 10 2 2 2 2" xfId="13525"/>
    <cellStyle name="Currency 3 10 2 2 2 3" xfId="13526"/>
    <cellStyle name="Currency 3 10 2 2 3" xfId="13527"/>
    <cellStyle name="Currency 3 10 2 2 3 2" xfId="13528"/>
    <cellStyle name="Currency 3 10 2 2 4" xfId="13529"/>
    <cellStyle name="Currency 3 10 2 3" xfId="13530"/>
    <cellStyle name="Currency 3 10 2 3 2" xfId="13531"/>
    <cellStyle name="Currency 3 10 2 3 2 2" xfId="13532"/>
    <cellStyle name="Currency 3 10 2 3 3" xfId="13533"/>
    <cellStyle name="Currency 3 10 2 4" xfId="13534"/>
    <cellStyle name="Currency 3 10 2 4 2" xfId="13535"/>
    <cellStyle name="Currency 3 10 2 4 3" xfId="13536"/>
    <cellStyle name="Currency 3 10 2 5" xfId="13537"/>
    <cellStyle name="Currency 3 10 2 5 2" xfId="13538"/>
    <cellStyle name="Currency 3 10 2 6" xfId="13539"/>
    <cellStyle name="Currency 3 10 2 6 2" xfId="36466"/>
    <cellStyle name="Currency 3 10 2 7" xfId="13540"/>
    <cellStyle name="Currency 3 10 3" xfId="13541"/>
    <cellStyle name="Currency 3 10 3 2" xfId="13542"/>
    <cellStyle name="Currency 3 10 3 2 2" xfId="13543"/>
    <cellStyle name="Currency 3 10 3 2 2 2" xfId="13544"/>
    <cellStyle name="Currency 3 10 3 2 3" xfId="13545"/>
    <cellStyle name="Currency 3 10 3 3" xfId="13546"/>
    <cellStyle name="Currency 3 10 3 3 2" xfId="13547"/>
    <cellStyle name="Currency 3 10 3 4" xfId="13548"/>
    <cellStyle name="Currency 3 10 4" xfId="13549"/>
    <cellStyle name="Currency 3 10 4 2" xfId="13550"/>
    <cellStyle name="Currency 3 10 4 2 2" xfId="13551"/>
    <cellStyle name="Currency 3 10 4 3" xfId="13552"/>
    <cellStyle name="Currency 3 10 5" xfId="13553"/>
    <cellStyle name="Currency 3 10 5 2" xfId="13554"/>
    <cellStyle name="Currency 3 10 5 2 2" xfId="13555"/>
    <cellStyle name="Currency 3 10 5 3" xfId="13556"/>
    <cellStyle name="Currency 3 10 6" xfId="13557"/>
    <cellStyle name="Currency 3 10 6 2" xfId="13558"/>
    <cellStyle name="Currency 3 10 7" xfId="13559"/>
    <cellStyle name="Currency 3 10 7 2" xfId="36467"/>
    <cellStyle name="Currency 3 10 8" xfId="13560"/>
    <cellStyle name="Currency 3 11" xfId="13561"/>
    <cellStyle name="Currency 3 11 2" xfId="13562"/>
    <cellStyle name="Currency 3 11 2 2" xfId="13563"/>
    <cellStyle name="Currency 3 11 2 2 2" xfId="13564"/>
    <cellStyle name="Currency 3 11 2 2 2 2" xfId="13565"/>
    <cellStyle name="Currency 3 11 2 2 2 3" xfId="13566"/>
    <cellStyle name="Currency 3 11 2 2 3" xfId="13567"/>
    <cellStyle name="Currency 3 11 2 2 3 2" xfId="13568"/>
    <cellStyle name="Currency 3 11 2 2 4" xfId="13569"/>
    <cellStyle name="Currency 3 11 2 3" xfId="13570"/>
    <cellStyle name="Currency 3 11 2 3 2" xfId="13571"/>
    <cellStyle name="Currency 3 11 2 3 2 2" xfId="13572"/>
    <cellStyle name="Currency 3 11 2 3 3" xfId="13573"/>
    <cellStyle name="Currency 3 11 2 4" xfId="13574"/>
    <cellStyle name="Currency 3 11 2 4 2" xfId="13575"/>
    <cellStyle name="Currency 3 11 2 4 3" xfId="13576"/>
    <cellStyle name="Currency 3 11 2 5" xfId="13577"/>
    <cellStyle name="Currency 3 11 2 5 2" xfId="13578"/>
    <cellStyle name="Currency 3 11 2 6" xfId="13579"/>
    <cellStyle name="Currency 3 11 2 6 2" xfId="36468"/>
    <cellStyle name="Currency 3 11 2 7" xfId="13580"/>
    <cellStyle name="Currency 3 11 3" xfId="13581"/>
    <cellStyle name="Currency 3 11 3 2" xfId="13582"/>
    <cellStyle name="Currency 3 11 3 2 2" xfId="13583"/>
    <cellStyle name="Currency 3 11 3 2 2 2" xfId="13584"/>
    <cellStyle name="Currency 3 11 3 2 3" xfId="13585"/>
    <cellStyle name="Currency 3 11 3 3" xfId="13586"/>
    <cellStyle name="Currency 3 11 3 3 2" xfId="13587"/>
    <cellStyle name="Currency 3 11 3 4" xfId="13588"/>
    <cellStyle name="Currency 3 11 4" xfId="13589"/>
    <cellStyle name="Currency 3 11 4 2" xfId="13590"/>
    <cellStyle name="Currency 3 11 4 2 2" xfId="13591"/>
    <cellStyle name="Currency 3 11 4 3" xfId="13592"/>
    <cellStyle name="Currency 3 11 5" xfId="13593"/>
    <cellStyle name="Currency 3 11 5 2" xfId="13594"/>
    <cellStyle name="Currency 3 11 5 2 2" xfId="13595"/>
    <cellStyle name="Currency 3 11 5 3" xfId="13596"/>
    <cellStyle name="Currency 3 11 6" xfId="13597"/>
    <cellStyle name="Currency 3 11 6 2" xfId="13598"/>
    <cellStyle name="Currency 3 11 7" xfId="13599"/>
    <cellStyle name="Currency 3 11 7 2" xfId="36469"/>
    <cellStyle name="Currency 3 11 8" xfId="13600"/>
    <cellStyle name="Currency 3 12" xfId="13601"/>
    <cellStyle name="Currency 3 12 2" xfId="13602"/>
    <cellStyle name="Currency 3 12 2 2" xfId="13603"/>
    <cellStyle name="Currency 3 12 2 2 2" xfId="13604"/>
    <cellStyle name="Currency 3 12 2 2 2 2" xfId="13605"/>
    <cellStyle name="Currency 3 12 2 2 2 3" xfId="13606"/>
    <cellStyle name="Currency 3 12 2 2 3" xfId="13607"/>
    <cellStyle name="Currency 3 12 2 2 3 2" xfId="13608"/>
    <cellStyle name="Currency 3 12 2 2 4" xfId="13609"/>
    <cellStyle name="Currency 3 12 2 3" xfId="13610"/>
    <cellStyle name="Currency 3 12 2 3 2" xfId="13611"/>
    <cellStyle name="Currency 3 12 2 3 2 2" xfId="13612"/>
    <cellStyle name="Currency 3 12 2 3 3" xfId="13613"/>
    <cellStyle name="Currency 3 12 2 4" xfId="13614"/>
    <cellStyle name="Currency 3 12 2 4 2" xfId="13615"/>
    <cellStyle name="Currency 3 12 2 4 3" xfId="13616"/>
    <cellStyle name="Currency 3 12 2 5" xfId="13617"/>
    <cellStyle name="Currency 3 12 2 5 2" xfId="13618"/>
    <cellStyle name="Currency 3 12 2 6" xfId="13619"/>
    <cellStyle name="Currency 3 12 2 6 2" xfId="36470"/>
    <cellStyle name="Currency 3 12 2 7" xfId="13620"/>
    <cellStyle name="Currency 3 12 3" xfId="13621"/>
    <cellStyle name="Currency 3 12 3 2" xfId="13622"/>
    <cellStyle name="Currency 3 12 3 2 2" xfId="13623"/>
    <cellStyle name="Currency 3 12 3 2 2 2" xfId="13624"/>
    <cellStyle name="Currency 3 12 3 2 3" xfId="13625"/>
    <cellStyle name="Currency 3 12 3 3" xfId="13626"/>
    <cellStyle name="Currency 3 12 3 3 2" xfId="13627"/>
    <cellStyle name="Currency 3 12 3 4" xfId="13628"/>
    <cellStyle name="Currency 3 12 4" xfId="13629"/>
    <cellStyle name="Currency 3 12 4 2" xfId="13630"/>
    <cellStyle name="Currency 3 12 4 2 2" xfId="13631"/>
    <cellStyle name="Currency 3 12 4 3" xfId="13632"/>
    <cellStyle name="Currency 3 12 5" xfId="13633"/>
    <cellStyle name="Currency 3 12 5 2" xfId="13634"/>
    <cellStyle name="Currency 3 12 5 2 2" xfId="13635"/>
    <cellStyle name="Currency 3 12 5 3" xfId="13636"/>
    <cellStyle name="Currency 3 12 6" xfId="13637"/>
    <cellStyle name="Currency 3 12 6 2" xfId="13638"/>
    <cellStyle name="Currency 3 12 7" xfId="13639"/>
    <cellStyle name="Currency 3 12 7 2" xfId="36471"/>
    <cellStyle name="Currency 3 12 8" xfId="13640"/>
    <cellStyle name="Currency 3 13" xfId="13641"/>
    <cellStyle name="Currency 3 13 2" xfId="13642"/>
    <cellStyle name="Currency 3 13 2 2" xfId="13643"/>
    <cellStyle name="Currency 3 13 2 2 2" xfId="13644"/>
    <cellStyle name="Currency 3 13 2 2 3" xfId="13645"/>
    <cellStyle name="Currency 3 13 2 3" xfId="13646"/>
    <cellStyle name="Currency 3 13 2 3 2" xfId="13647"/>
    <cellStyle name="Currency 3 13 2 4" xfId="13648"/>
    <cellStyle name="Currency 3 13 3" xfId="13649"/>
    <cellStyle name="Currency 3 13 3 2" xfId="13650"/>
    <cellStyle name="Currency 3 13 3 2 2" xfId="13651"/>
    <cellStyle name="Currency 3 13 3 3" xfId="13652"/>
    <cellStyle name="Currency 3 13 4" xfId="13653"/>
    <cellStyle name="Currency 3 13 4 2" xfId="13654"/>
    <cellStyle name="Currency 3 13 4 3" xfId="13655"/>
    <cellStyle name="Currency 3 13 5" xfId="13656"/>
    <cellStyle name="Currency 3 13 5 2" xfId="13657"/>
    <cellStyle name="Currency 3 13 6" xfId="13658"/>
    <cellStyle name="Currency 3 13 6 2" xfId="36472"/>
    <cellStyle name="Currency 3 13 7" xfId="13659"/>
    <cellStyle name="Currency 3 14" xfId="13660"/>
    <cellStyle name="Currency 3 14 2" xfId="13661"/>
    <cellStyle name="Currency 3 14 2 2" xfId="13662"/>
    <cellStyle name="Currency 3 14 2 2 2" xfId="13663"/>
    <cellStyle name="Currency 3 14 2 3" xfId="13664"/>
    <cellStyle name="Currency 3 14 3" xfId="13665"/>
    <cellStyle name="Currency 3 14 3 2" xfId="13666"/>
    <cellStyle name="Currency 3 14 4" xfId="13667"/>
    <cellStyle name="Currency 3 15" xfId="13668"/>
    <cellStyle name="Currency 3 15 2" xfId="13669"/>
    <cellStyle name="Currency 3 15 2 2" xfId="13670"/>
    <cellStyle name="Currency 3 15 3" xfId="13671"/>
    <cellStyle name="Currency 3 16" xfId="13672"/>
    <cellStyle name="Currency 3 16 2" xfId="13673"/>
    <cellStyle name="Currency 3 16 2 2" xfId="13674"/>
    <cellStyle name="Currency 3 16 3" xfId="13675"/>
    <cellStyle name="Currency 3 17" xfId="13676"/>
    <cellStyle name="Currency 3 17 2" xfId="13677"/>
    <cellStyle name="Currency 3 18" xfId="13678"/>
    <cellStyle name="Currency 3 18 2" xfId="36473"/>
    <cellStyle name="Currency 3 19" xfId="13679"/>
    <cellStyle name="Currency 3 2" xfId="13680"/>
    <cellStyle name="Currency 3 2 10" xfId="13681"/>
    <cellStyle name="Currency 3 2 10 2" xfId="13682"/>
    <cellStyle name="Currency 3 2 10 2 2" xfId="13683"/>
    <cellStyle name="Currency 3 2 10 2 2 2" xfId="13684"/>
    <cellStyle name="Currency 3 2 10 2 2 2 2" xfId="13685"/>
    <cellStyle name="Currency 3 2 10 2 2 2 3" xfId="13686"/>
    <cellStyle name="Currency 3 2 10 2 2 3" xfId="13687"/>
    <cellStyle name="Currency 3 2 10 2 2 3 2" xfId="13688"/>
    <cellStyle name="Currency 3 2 10 2 2 4" xfId="13689"/>
    <cellStyle name="Currency 3 2 10 2 3" xfId="13690"/>
    <cellStyle name="Currency 3 2 10 2 3 2" xfId="13691"/>
    <cellStyle name="Currency 3 2 10 2 3 2 2" xfId="13692"/>
    <cellStyle name="Currency 3 2 10 2 3 3" xfId="13693"/>
    <cellStyle name="Currency 3 2 10 2 4" xfId="13694"/>
    <cellStyle name="Currency 3 2 10 2 4 2" xfId="13695"/>
    <cellStyle name="Currency 3 2 10 2 4 3" xfId="13696"/>
    <cellStyle name="Currency 3 2 10 2 5" xfId="13697"/>
    <cellStyle name="Currency 3 2 10 2 5 2" xfId="13698"/>
    <cellStyle name="Currency 3 2 10 2 6" xfId="13699"/>
    <cellStyle name="Currency 3 2 10 2 6 2" xfId="36474"/>
    <cellStyle name="Currency 3 2 10 2 7" xfId="13700"/>
    <cellStyle name="Currency 3 2 10 3" xfId="13701"/>
    <cellStyle name="Currency 3 2 10 3 2" xfId="13702"/>
    <cellStyle name="Currency 3 2 10 3 2 2" xfId="13703"/>
    <cellStyle name="Currency 3 2 10 3 2 2 2" xfId="13704"/>
    <cellStyle name="Currency 3 2 10 3 2 3" xfId="13705"/>
    <cellStyle name="Currency 3 2 10 3 3" xfId="13706"/>
    <cellStyle name="Currency 3 2 10 3 3 2" xfId="13707"/>
    <cellStyle name="Currency 3 2 10 3 4" xfId="13708"/>
    <cellStyle name="Currency 3 2 10 4" xfId="13709"/>
    <cellStyle name="Currency 3 2 10 4 2" xfId="13710"/>
    <cellStyle name="Currency 3 2 10 4 2 2" xfId="13711"/>
    <cellStyle name="Currency 3 2 10 4 3" xfId="13712"/>
    <cellStyle name="Currency 3 2 10 5" xfId="13713"/>
    <cellStyle name="Currency 3 2 10 5 2" xfId="13714"/>
    <cellStyle name="Currency 3 2 10 5 2 2" xfId="13715"/>
    <cellStyle name="Currency 3 2 10 5 3" xfId="13716"/>
    <cellStyle name="Currency 3 2 10 6" xfId="13717"/>
    <cellStyle name="Currency 3 2 10 6 2" xfId="13718"/>
    <cellStyle name="Currency 3 2 10 7" xfId="13719"/>
    <cellStyle name="Currency 3 2 10 7 2" xfId="36475"/>
    <cellStyle name="Currency 3 2 10 8" xfId="13720"/>
    <cellStyle name="Currency 3 2 11" xfId="13721"/>
    <cellStyle name="Currency 3 2 11 2" xfId="13722"/>
    <cellStyle name="Currency 3 2 11 2 2" xfId="13723"/>
    <cellStyle name="Currency 3 2 11 2 2 2" xfId="13724"/>
    <cellStyle name="Currency 3 2 11 2 2 2 2" xfId="13725"/>
    <cellStyle name="Currency 3 2 11 2 2 2 3" xfId="13726"/>
    <cellStyle name="Currency 3 2 11 2 2 3" xfId="13727"/>
    <cellStyle name="Currency 3 2 11 2 2 3 2" xfId="13728"/>
    <cellStyle name="Currency 3 2 11 2 2 4" xfId="13729"/>
    <cellStyle name="Currency 3 2 11 2 3" xfId="13730"/>
    <cellStyle name="Currency 3 2 11 2 3 2" xfId="13731"/>
    <cellStyle name="Currency 3 2 11 2 3 2 2" xfId="13732"/>
    <cellStyle name="Currency 3 2 11 2 3 3" xfId="13733"/>
    <cellStyle name="Currency 3 2 11 2 4" xfId="13734"/>
    <cellStyle name="Currency 3 2 11 2 4 2" xfId="13735"/>
    <cellStyle name="Currency 3 2 11 2 4 3" xfId="13736"/>
    <cellStyle name="Currency 3 2 11 2 5" xfId="13737"/>
    <cellStyle name="Currency 3 2 11 2 5 2" xfId="13738"/>
    <cellStyle name="Currency 3 2 11 2 6" xfId="13739"/>
    <cellStyle name="Currency 3 2 11 2 6 2" xfId="36476"/>
    <cellStyle name="Currency 3 2 11 2 7" xfId="13740"/>
    <cellStyle name="Currency 3 2 11 3" xfId="13741"/>
    <cellStyle name="Currency 3 2 11 3 2" xfId="13742"/>
    <cellStyle name="Currency 3 2 11 3 2 2" xfId="13743"/>
    <cellStyle name="Currency 3 2 11 3 2 2 2" xfId="13744"/>
    <cellStyle name="Currency 3 2 11 3 2 3" xfId="13745"/>
    <cellStyle name="Currency 3 2 11 3 3" xfId="13746"/>
    <cellStyle name="Currency 3 2 11 3 3 2" xfId="13747"/>
    <cellStyle name="Currency 3 2 11 3 4" xfId="13748"/>
    <cellStyle name="Currency 3 2 11 4" xfId="13749"/>
    <cellStyle name="Currency 3 2 11 4 2" xfId="13750"/>
    <cellStyle name="Currency 3 2 11 4 2 2" xfId="13751"/>
    <cellStyle name="Currency 3 2 11 4 3" xfId="13752"/>
    <cellStyle name="Currency 3 2 11 5" xfId="13753"/>
    <cellStyle name="Currency 3 2 11 5 2" xfId="13754"/>
    <cellStyle name="Currency 3 2 11 5 2 2" xfId="13755"/>
    <cellStyle name="Currency 3 2 11 5 3" xfId="13756"/>
    <cellStyle name="Currency 3 2 11 6" xfId="13757"/>
    <cellStyle name="Currency 3 2 11 6 2" xfId="13758"/>
    <cellStyle name="Currency 3 2 11 7" xfId="13759"/>
    <cellStyle name="Currency 3 2 11 7 2" xfId="36477"/>
    <cellStyle name="Currency 3 2 11 8" xfId="13760"/>
    <cellStyle name="Currency 3 2 12" xfId="13761"/>
    <cellStyle name="Currency 3 2 12 2" xfId="13762"/>
    <cellStyle name="Currency 3 2 12 2 2" xfId="13763"/>
    <cellStyle name="Currency 3 2 12 2 2 2" xfId="13764"/>
    <cellStyle name="Currency 3 2 12 2 2 3" xfId="13765"/>
    <cellStyle name="Currency 3 2 12 2 3" xfId="13766"/>
    <cellStyle name="Currency 3 2 12 2 3 2" xfId="13767"/>
    <cellStyle name="Currency 3 2 12 2 4" xfId="13768"/>
    <cellStyle name="Currency 3 2 12 3" xfId="13769"/>
    <cellStyle name="Currency 3 2 12 3 2" xfId="13770"/>
    <cellStyle name="Currency 3 2 12 3 2 2" xfId="13771"/>
    <cellStyle name="Currency 3 2 12 3 3" xfId="13772"/>
    <cellStyle name="Currency 3 2 12 4" xfId="13773"/>
    <cellStyle name="Currency 3 2 12 4 2" xfId="13774"/>
    <cellStyle name="Currency 3 2 12 4 3" xfId="13775"/>
    <cellStyle name="Currency 3 2 12 5" xfId="13776"/>
    <cellStyle name="Currency 3 2 12 5 2" xfId="13777"/>
    <cellStyle name="Currency 3 2 12 6" xfId="13778"/>
    <cellStyle name="Currency 3 2 12 6 2" xfId="36478"/>
    <cellStyle name="Currency 3 2 12 7" xfId="13779"/>
    <cellStyle name="Currency 3 2 13" xfId="13780"/>
    <cellStyle name="Currency 3 2 13 2" xfId="13781"/>
    <cellStyle name="Currency 3 2 13 2 2" xfId="13782"/>
    <cellStyle name="Currency 3 2 13 2 2 2" xfId="13783"/>
    <cellStyle name="Currency 3 2 13 2 3" xfId="13784"/>
    <cellStyle name="Currency 3 2 13 3" xfId="13785"/>
    <cellStyle name="Currency 3 2 13 3 2" xfId="13786"/>
    <cellStyle name="Currency 3 2 13 4" xfId="13787"/>
    <cellStyle name="Currency 3 2 14" xfId="13788"/>
    <cellStyle name="Currency 3 2 14 2" xfId="13789"/>
    <cellStyle name="Currency 3 2 14 2 2" xfId="13790"/>
    <cellStyle name="Currency 3 2 14 3" xfId="13791"/>
    <cellStyle name="Currency 3 2 15" xfId="13792"/>
    <cellStyle name="Currency 3 2 15 2" xfId="13793"/>
    <cellStyle name="Currency 3 2 15 2 2" xfId="13794"/>
    <cellStyle name="Currency 3 2 15 3" xfId="13795"/>
    <cellStyle name="Currency 3 2 16" xfId="13796"/>
    <cellStyle name="Currency 3 2 16 2" xfId="13797"/>
    <cellStyle name="Currency 3 2 17" xfId="13798"/>
    <cellStyle name="Currency 3 2 17 2" xfId="36479"/>
    <cellStyle name="Currency 3 2 18" xfId="13799"/>
    <cellStyle name="Currency 3 2 2" xfId="13800"/>
    <cellStyle name="Currency 3 2 2 10" xfId="13801"/>
    <cellStyle name="Currency 3 2 2 10 2" xfId="13802"/>
    <cellStyle name="Currency 3 2 2 10 2 2" xfId="13803"/>
    <cellStyle name="Currency 3 2 2 10 3" xfId="13804"/>
    <cellStyle name="Currency 3 2 2 11" xfId="13805"/>
    <cellStyle name="Currency 3 2 2 11 2" xfId="13806"/>
    <cellStyle name="Currency 3 2 2 11 2 2" xfId="13807"/>
    <cellStyle name="Currency 3 2 2 11 3" xfId="13808"/>
    <cellStyle name="Currency 3 2 2 12" xfId="13809"/>
    <cellStyle name="Currency 3 2 2 12 2" xfId="13810"/>
    <cellStyle name="Currency 3 2 2 13" xfId="13811"/>
    <cellStyle name="Currency 3 2 2 13 2" xfId="36480"/>
    <cellStyle name="Currency 3 2 2 14" xfId="13812"/>
    <cellStyle name="Currency 3 2 2 2" xfId="13813"/>
    <cellStyle name="Currency 3 2 2 2 10" xfId="13814"/>
    <cellStyle name="Currency 3 2 2 2 2" xfId="13815"/>
    <cellStyle name="Currency 3 2 2 2 2 2" xfId="13816"/>
    <cellStyle name="Currency 3 2 2 2 2 2 2" xfId="13817"/>
    <cellStyle name="Currency 3 2 2 2 2 2 2 2" xfId="13818"/>
    <cellStyle name="Currency 3 2 2 2 2 2 2 2 2" xfId="13819"/>
    <cellStyle name="Currency 3 2 2 2 2 2 2 2 2 2" xfId="13820"/>
    <cellStyle name="Currency 3 2 2 2 2 2 2 2 2 3" xfId="13821"/>
    <cellStyle name="Currency 3 2 2 2 2 2 2 2 3" xfId="13822"/>
    <cellStyle name="Currency 3 2 2 2 2 2 2 2 3 2" xfId="13823"/>
    <cellStyle name="Currency 3 2 2 2 2 2 2 2 4" xfId="13824"/>
    <cellStyle name="Currency 3 2 2 2 2 2 2 3" xfId="13825"/>
    <cellStyle name="Currency 3 2 2 2 2 2 2 3 2" xfId="13826"/>
    <cellStyle name="Currency 3 2 2 2 2 2 2 3 2 2" xfId="13827"/>
    <cellStyle name="Currency 3 2 2 2 2 2 2 3 3" xfId="13828"/>
    <cellStyle name="Currency 3 2 2 2 2 2 2 4" xfId="13829"/>
    <cellStyle name="Currency 3 2 2 2 2 2 2 4 2" xfId="13830"/>
    <cellStyle name="Currency 3 2 2 2 2 2 2 4 3" xfId="13831"/>
    <cellStyle name="Currency 3 2 2 2 2 2 2 5" xfId="13832"/>
    <cellStyle name="Currency 3 2 2 2 2 2 2 5 2" xfId="13833"/>
    <cellStyle name="Currency 3 2 2 2 2 2 2 6" xfId="13834"/>
    <cellStyle name="Currency 3 2 2 2 2 2 2 6 2" xfId="36481"/>
    <cellStyle name="Currency 3 2 2 2 2 2 2 7" xfId="13835"/>
    <cellStyle name="Currency 3 2 2 2 2 2 3" xfId="13836"/>
    <cellStyle name="Currency 3 2 2 2 2 2 3 2" xfId="13837"/>
    <cellStyle name="Currency 3 2 2 2 2 2 3 2 2" xfId="13838"/>
    <cellStyle name="Currency 3 2 2 2 2 2 3 2 2 2" xfId="13839"/>
    <cellStyle name="Currency 3 2 2 2 2 2 3 2 3" xfId="13840"/>
    <cellStyle name="Currency 3 2 2 2 2 2 3 3" xfId="13841"/>
    <cellStyle name="Currency 3 2 2 2 2 2 3 3 2" xfId="13842"/>
    <cellStyle name="Currency 3 2 2 2 2 2 3 4" xfId="13843"/>
    <cellStyle name="Currency 3 2 2 2 2 2 4" xfId="13844"/>
    <cellStyle name="Currency 3 2 2 2 2 2 4 2" xfId="13845"/>
    <cellStyle name="Currency 3 2 2 2 2 2 4 2 2" xfId="13846"/>
    <cellStyle name="Currency 3 2 2 2 2 2 4 3" xfId="13847"/>
    <cellStyle name="Currency 3 2 2 2 2 2 5" xfId="13848"/>
    <cellStyle name="Currency 3 2 2 2 2 2 5 2" xfId="13849"/>
    <cellStyle name="Currency 3 2 2 2 2 2 5 2 2" xfId="13850"/>
    <cellStyle name="Currency 3 2 2 2 2 2 5 3" xfId="13851"/>
    <cellStyle name="Currency 3 2 2 2 2 2 6" xfId="13852"/>
    <cellStyle name="Currency 3 2 2 2 2 2 6 2" xfId="13853"/>
    <cellStyle name="Currency 3 2 2 2 2 2 7" xfId="13854"/>
    <cellStyle name="Currency 3 2 2 2 2 2 7 2" xfId="36482"/>
    <cellStyle name="Currency 3 2 2 2 2 2 8" xfId="13855"/>
    <cellStyle name="Currency 3 2 2 2 2 3" xfId="13856"/>
    <cellStyle name="Currency 3 2 2 2 2 3 2" xfId="13857"/>
    <cellStyle name="Currency 3 2 2 2 2 3 2 2" xfId="13858"/>
    <cellStyle name="Currency 3 2 2 2 2 3 2 2 2" xfId="13859"/>
    <cellStyle name="Currency 3 2 2 2 2 3 2 2 3" xfId="13860"/>
    <cellStyle name="Currency 3 2 2 2 2 3 2 3" xfId="13861"/>
    <cellStyle name="Currency 3 2 2 2 2 3 2 3 2" xfId="13862"/>
    <cellStyle name="Currency 3 2 2 2 2 3 2 4" xfId="13863"/>
    <cellStyle name="Currency 3 2 2 2 2 3 3" xfId="13864"/>
    <cellStyle name="Currency 3 2 2 2 2 3 3 2" xfId="13865"/>
    <cellStyle name="Currency 3 2 2 2 2 3 3 2 2" xfId="13866"/>
    <cellStyle name="Currency 3 2 2 2 2 3 3 3" xfId="13867"/>
    <cellStyle name="Currency 3 2 2 2 2 3 4" xfId="13868"/>
    <cellStyle name="Currency 3 2 2 2 2 3 4 2" xfId="13869"/>
    <cellStyle name="Currency 3 2 2 2 2 3 4 3" xfId="13870"/>
    <cellStyle name="Currency 3 2 2 2 2 3 5" xfId="13871"/>
    <cellStyle name="Currency 3 2 2 2 2 3 5 2" xfId="13872"/>
    <cellStyle name="Currency 3 2 2 2 2 3 6" xfId="13873"/>
    <cellStyle name="Currency 3 2 2 2 2 3 6 2" xfId="36483"/>
    <cellStyle name="Currency 3 2 2 2 2 3 7" xfId="13874"/>
    <cellStyle name="Currency 3 2 2 2 2 4" xfId="13875"/>
    <cellStyle name="Currency 3 2 2 2 2 4 2" xfId="13876"/>
    <cellStyle name="Currency 3 2 2 2 2 4 2 2" xfId="13877"/>
    <cellStyle name="Currency 3 2 2 2 2 4 2 2 2" xfId="13878"/>
    <cellStyle name="Currency 3 2 2 2 2 4 2 3" xfId="13879"/>
    <cellStyle name="Currency 3 2 2 2 2 4 3" xfId="13880"/>
    <cellStyle name="Currency 3 2 2 2 2 4 3 2" xfId="13881"/>
    <cellStyle name="Currency 3 2 2 2 2 4 4" xfId="13882"/>
    <cellStyle name="Currency 3 2 2 2 2 5" xfId="13883"/>
    <cellStyle name="Currency 3 2 2 2 2 5 2" xfId="13884"/>
    <cellStyle name="Currency 3 2 2 2 2 5 2 2" xfId="13885"/>
    <cellStyle name="Currency 3 2 2 2 2 5 3" xfId="13886"/>
    <cellStyle name="Currency 3 2 2 2 2 6" xfId="13887"/>
    <cellStyle name="Currency 3 2 2 2 2 6 2" xfId="13888"/>
    <cellStyle name="Currency 3 2 2 2 2 6 2 2" xfId="13889"/>
    <cellStyle name="Currency 3 2 2 2 2 6 3" xfId="13890"/>
    <cellStyle name="Currency 3 2 2 2 2 7" xfId="13891"/>
    <cellStyle name="Currency 3 2 2 2 2 7 2" xfId="13892"/>
    <cellStyle name="Currency 3 2 2 2 2 8" xfId="13893"/>
    <cellStyle name="Currency 3 2 2 2 2 8 2" xfId="36484"/>
    <cellStyle name="Currency 3 2 2 2 2 9" xfId="13894"/>
    <cellStyle name="Currency 3 2 2 2 3" xfId="13895"/>
    <cellStyle name="Currency 3 2 2 2 3 2" xfId="13896"/>
    <cellStyle name="Currency 3 2 2 2 3 2 2" xfId="13897"/>
    <cellStyle name="Currency 3 2 2 2 3 2 2 2" xfId="13898"/>
    <cellStyle name="Currency 3 2 2 2 3 2 2 2 2" xfId="13899"/>
    <cellStyle name="Currency 3 2 2 2 3 2 2 2 3" xfId="13900"/>
    <cellStyle name="Currency 3 2 2 2 3 2 2 3" xfId="13901"/>
    <cellStyle name="Currency 3 2 2 2 3 2 2 3 2" xfId="13902"/>
    <cellStyle name="Currency 3 2 2 2 3 2 2 4" xfId="13903"/>
    <cellStyle name="Currency 3 2 2 2 3 2 3" xfId="13904"/>
    <cellStyle name="Currency 3 2 2 2 3 2 3 2" xfId="13905"/>
    <cellStyle name="Currency 3 2 2 2 3 2 3 2 2" xfId="13906"/>
    <cellStyle name="Currency 3 2 2 2 3 2 3 3" xfId="13907"/>
    <cellStyle name="Currency 3 2 2 2 3 2 4" xfId="13908"/>
    <cellStyle name="Currency 3 2 2 2 3 2 4 2" xfId="13909"/>
    <cellStyle name="Currency 3 2 2 2 3 2 4 3" xfId="13910"/>
    <cellStyle name="Currency 3 2 2 2 3 2 5" xfId="13911"/>
    <cellStyle name="Currency 3 2 2 2 3 2 5 2" xfId="13912"/>
    <cellStyle name="Currency 3 2 2 2 3 2 6" xfId="13913"/>
    <cellStyle name="Currency 3 2 2 2 3 2 6 2" xfId="36485"/>
    <cellStyle name="Currency 3 2 2 2 3 2 7" xfId="13914"/>
    <cellStyle name="Currency 3 2 2 2 3 3" xfId="13915"/>
    <cellStyle name="Currency 3 2 2 2 3 3 2" xfId="13916"/>
    <cellStyle name="Currency 3 2 2 2 3 3 2 2" xfId="13917"/>
    <cellStyle name="Currency 3 2 2 2 3 3 2 2 2" xfId="13918"/>
    <cellStyle name="Currency 3 2 2 2 3 3 2 3" xfId="13919"/>
    <cellStyle name="Currency 3 2 2 2 3 3 3" xfId="13920"/>
    <cellStyle name="Currency 3 2 2 2 3 3 3 2" xfId="13921"/>
    <cellStyle name="Currency 3 2 2 2 3 3 4" xfId="13922"/>
    <cellStyle name="Currency 3 2 2 2 3 4" xfId="13923"/>
    <cellStyle name="Currency 3 2 2 2 3 4 2" xfId="13924"/>
    <cellStyle name="Currency 3 2 2 2 3 4 2 2" xfId="13925"/>
    <cellStyle name="Currency 3 2 2 2 3 4 3" xfId="13926"/>
    <cellStyle name="Currency 3 2 2 2 3 5" xfId="13927"/>
    <cellStyle name="Currency 3 2 2 2 3 5 2" xfId="13928"/>
    <cellStyle name="Currency 3 2 2 2 3 5 2 2" xfId="13929"/>
    <cellStyle name="Currency 3 2 2 2 3 5 3" xfId="13930"/>
    <cellStyle name="Currency 3 2 2 2 3 6" xfId="13931"/>
    <cellStyle name="Currency 3 2 2 2 3 6 2" xfId="13932"/>
    <cellStyle name="Currency 3 2 2 2 3 7" xfId="13933"/>
    <cellStyle name="Currency 3 2 2 2 3 7 2" xfId="36486"/>
    <cellStyle name="Currency 3 2 2 2 3 8" xfId="13934"/>
    <cellStyle name="Currency 3 2 2 2 4" xfId="13935"/>
    <cellStyle name="Currency 3 2 2 2 4 2" xfId="13936"/>
    <cellStyle name="Currency 3 2 2 2 4 2 2" xfId="13937"/>
    <cellStyle name="Currency 3 2 2 2 4 2 2 2" xfId="13938"/>
    <cellStyle name="Currency 3 2 2 2 4 2 2 3" xfId="13939"/>
    <cellStyle name="Currency 3 2 2 2 4 2 3" xfId="13940"/>
    <cellStyle name="Currency 3 2 2 2 4 2 3 2" xfId="13941"/>
    <cellStyle name="Currency 3 2 2 2 4 2 4" xfId="13942"/>
    <cellStyle name="Currency 3 2 2 2 4 3" xfId="13943"/>
    <cellStyle name="Currency 3 2 2 2 4 3 2" xfId="13944"/>
    <cellStyle name="Currency 3 2 2 2 4 3 2 2" xfId="13945"/>
    <cellStyle name="Currency 3 2 2 2 4 3 3" xfId="13946"/>
    <cellStyle name="Currency 3 2 2 2 4 4" xfId="13947"/>
    <cellStyle name="Currency 3 2 2 2 4 4 2" xfId="13948"/>
    <cellStyle name="Currency 3 2 2 2 4 4 3" xfId="13949"/>
    <cellStyle name="Currency 3 2 2 2 4 5" xfId="13950"/>
    <cellStyle name="Currency 3 2 2 2 4 5 2" xfId="13951"/>
    <cellStyle name="Currency 3 2 2 2 4 6" xfId="13952"/>
    <cellStyle name="Currency 3 2 2 2 4 6 2" xfId="36487"/>
    <cellStyle name="Currency 3 2 2 2 4 7" xfId="13953"/>
    <cellStyle name="Currency 3 2 2 2 5" xfId="13954"/>
    <cellStyle name="Currency 3 2 2 2 5 2" xfId="13955"/>
    <cellStyle name="Currency 3 2 2 2 5 2 2" xfId="13956"/>
    <cellStyle name="Currency 3 2 2 2 5 2 2 2" xfId="13957"/>
    <cellStyle name="Currency 3 2 2 2 5 2 3" xfId="13958"/>
    <cellStyle name="Currency 3 2 2 2 5 3" xfId="13959"/>
    <cellStyle name="Currency 3 2 2 2 5 3 2" xfId="13960"/>
    <cellStyle name="Currency 3 2 2 2 5 4" xfId="13961"/>
    <cellStyle name="Currency 3 2 2 2 6" xfId="13962"/>
    <cellStyle name="Currency 3 2 2 2 6 2" xfId="13963"/>
    <cellStyle name="Currency 3 2 2 2 6 2 2" xfId="13964"/>
    <cellStyle name="Currency 3 2 2 2 6 3" xfId="13965"/>
    <cellStyle name="Currency 3 2 2 2 7" xfId="13966"/>
    <cellStyle name="Currency 3 2 2 2 7 2" xfId="13967"/>
    <cellStyle name="Currency 3 2 2 2 7 2 2" xfId="13968"/>
    <cellStyle name="Currency 3 2 2 2 7 3" xfId="13969"/>
    <cellStyle name="Currency 3 2 2 2 8" xfId="13970"/>
    <cellStyle name="Currency 3 2 2 2 8 2" xfId="13971"/>
    <cellStyle name="Currency 3 2 2 2 9" xfId="13972"/>
    <cellStyle name="Currency 3 2 2 2 9 2" xfId="36488"/>
    <cellStyle name="Currency 3 2 2 3" xfId="13973"/>
    <cellStyle name="Currency 3 2 2 3 2" xfId="13974"/>
    <cellStyle name="Currency 3 2 2 3 2 2" xfId="13975"/>
    <cellStyle name="Currency 3 2 2 3 2 2 2" xfId="13976"/>
    <cellStyle name="Currency 3 2 2 3 2 2 2 2" xfId="13977"/>
    <cellStyle name="Currency 3 2 2 3 2 2 2 2 2" xfId="13978"/>
    <cellStyle name="Currency 3 2 2 3 2 2 2 2 3" xfId="13979"/>
    <cellStyle name="Currency 3 2 2 3 2 2 2 3" xfId="13980"/>
    <cellStyle name="Currency 3 2 2 3 2 2 2 3 2" xfId="13981"/>
    <cellStyle name="Currency 3 2 2 3 2 2 2 4" xfId="13982"/>
    <cellStyle name="Currency 3 2 2 3 2 2 3" xfId="13983"/>
    <cellStyle name="Currency 3 2 2 3 2 2 3 2" xfId="13984"/>
    <cellStyle name="Currency 3 2 2 3 2 2 3 2 2" xfId="13985"/>
    <cellStyle name="Currency 3 2 2 3 2 2 3 3" xfId="13986"/>
    <cellStyle name="Currency 3 2 2 3 2 2 4" xfId="13987"/>
    <cellStyle name="Currency 3 2 2 3 2 2 4 2" xfId="13988"/>
    <cellStyle name="Currency 3 2 2 3 2 2 4 3" xfId="13989"/>
    <cellStyle name="Currency 3 2 2 3 2 2 5" xfId="13990"/>
    <cellStyle name="Currency 3 2 2 3 2 2 5 2" xfId="13991"/>
    <cellStyle name="Currency 3 2 2 3 2 2 6" xfId="13992"/>
    <cellStyle name="Currency 3 2 2 3 2 2 6 2" xfId="36489"/>
    <cellStyle name="Currency 3 2 2 3 2 2 7" xfId="13993"/>
    <cellStyle name="Currency 3 2 2 3 2 3" xfId="13994"/>
    <cellStyle name="Currency 3 2 2 3 2 3 2" xfId="13995"/>
    <cellStyle name="Currency 3 2 2 3 2 3 2 2" xfId="13996"/>
    <cellStyle name="Currency 3 2 2 3 2 3 2 2 2" xfId="13997"/>
    <cellStyle name="Currency 3 2 2 3 2 3 2 3" xfId="13998"/>
    <cellStyle name="Currency 3 2 2 3 2 3 3" xfId="13999"/>
    <cellStyle name="Currency 3 2 2 3 2 3 3 2" xfId="14000"/>
    <cellStyle name="Currency 3 2 2 3 2 3 4" xfId="14001"/>
    <cellStyle name="Currency 3 2 2 3 2 4" xfId="14002"/>
    <cellStyle name="Currency 3 2 2 3 2 4 2" xfId="14003"/>
    <cellStyle name="Currency 3 2 2 3 2 4 2 2" xfId="14004"/>
    <cellStyle name="Currency 3 2 2 3 2 4 3" xfId="14005"/>
    <cellStyle name="Currency 3 2 2 3 2 5" xfId="14006"/>
    <cellStyle name="Currency 3 2 2 3 2 5 2" xfId="14007"/>
    <cellStyle name="Currency 3 2 2 3 2 5 2 2" xfId="14008"/>
    <cellStyle name="Currency 3 2 2 3 2 5 3" xfId="14009"/>
    <cellStyle name="Currency 3 2 2 3 2 6" xfId="14010"/>
    <cellStyle name="Currency 3 2 2 3 2 6 2" xfId="14011"/>
    <cellStyle name="Currency 3 2 2 3 2 7" xfId="14012"/>
    <cellStyle name="Currency 3 2 2 3 2 7 2" xfId="36490"/>
    <cellStyle name="Currency 3 2 2 3 2 8" xfId="14013"/>
    <cellStyle name="Currency 3 2 2 3 3" xfId="14014"/>
    <cellStyle name="Currency 3 2 2 3 3 2" xfId="14015"/>
    <cellStyle name="Currency 3 2 2 3 3 2 2" xfId="14016"/>
    <cellStyle name="Currency 3 2 2 3 3 2 2 2" xfId="14017"/>
    <cellStyle name="Currency 3 2 2 3 3 2 2 3" xfId="14018"/>
    <cellStyle name="Currency 3 2 2 3 3 2 3" xfId="14019"/>
    <cellStyle name="Currency 3 2 2 3 3 2 3 2" xfId="14020"/>
    <cellStyle name="Currency 3 2 2 3 3 2 4" xfId="14021"/>
    <cellStyle name="Currency 3 2 2 3 3 3" xfId="14022"/>
    <cellStyle name="Currency 3 2 2 3 3 3 2" xfId="14023"/>
    <cellStyle name="Currency 3 2 2 3 3 3 2 2" xfId="14024"/>
    <cellStyle name="Currency 3 2 2 3 3 3 3" xfId="14025"/>
    <cellStyle name="Currency 3 2 2 3 3 4" xfId="14026"/>
    <cellStyle name="Currency 3 2 2 3 3 4 2" xfId="14027"/>
    <cellStyle name="Currency 3 2 2 3 3 4 3" xfId="14028"/>
    <cellStyle name="Currency 3 2 2 3 3 5" xfId="14029"/>
    <cellStyle name="Currency 3 2 2 3 3 5 2" xfId="14030"/>
    <cellStyle name="Currency 3 2 2 3 3 6" xfId="14031"/>
    <cellStyle name="Currency 3 2 2 3 3 6 2" xfId="36491"/>
    <cellStyle name="Currency 3 2 2 3 3 7" xfId="14032"/>
    <cellStyle name="Currency 3 2 2 3 4" xfId="14033"/>
    <cellStyle name="Currency 3 2 2 3 4 2" xfId="14034"/>
    <cellStyle name="Currency 3 2 2 3 4 2 2" xfId="14035"/>
    <cellStyle name="Currency 3 2 2 3 4 2 2 2" xfId="14036"/>
    <cellStyle name="Currency 3 2 2 3 4 2 3" xfId="14037"/>
    <cellStyle name="Currency 3 2 2 3 4 3" xfId="14038"/>
    <cellStyle name="Currency 3 2 2 3 4 3 2" xfId="14039"/>
    <cellStyle name="Currency 3 2 2 3 4 4" xfId="14040"/>
    <cellStyle name="Currency 3 2 2 3 5" xfId="14041"/>
    <cellStyle name="Currency 3 2 2 3 5 2" xfId="14042"/>
    <cellStyle name="Currency 3 2 2 3 5 2 2" xfId="14043"/>
    <cellStyle name="Currency 3 2 2 3 5 3" xfId="14044"/>
    <cellStyle name="Currency 3 2 2 3 6" xfId="14045"/>
    <cellStyle name="Currency 3 2 2 3 6 2" xfId="14046"/>
    <cellStyle name="Currency 3 2 2 3 6 2 2" xfId="14047"/>
    <cellStyle name="Currency 3 2 2 3 6 3" xfId="14048"/>
    <cellStyle name="Currency 3 2 2 3 7" xfId="14049"/>
    <cellStyle name="Currency 3 2 2 3 7 2" xfId="14050"/>
    <cellStyle name="Currency 3 2 2 3 8" xfId="14051"/>
    <cellStyle name="Currency 3 2 2 3 8 2" xfId="36492"/>
    <cellStyle name="Currency 3 2 2 3 9" xfId="14052"/>
    <cellStyle name="Currency 3 2 2 4" xfId="14053"/>
    <cellStyle name="Currency 3 2 2 4 2" xfId="14054"/>
    <cellStyle name="Currency 3 2 2 4 2 2" xfId="14055"/>
    <cellStyle name="Currency 3 2 2 4 2 2 2" xfId="14056"/>
    <cellStyle name="Currency 3 2 2 4 2 2 2 2" xfId="14057"/>
    <cellStyle name="Currency 3 2 2 4 2 2 2 2 2" xfId="14058"/>
    <cellStyle name="Currency 3 2 2 4 2 2 2 2 3" xfId="14059"/>
    <cellStyle name="Currency 3 2 2 4 2 2 2 3" xfId="14060"/>
    <cellStyle name="Currency 3 2 2 4 2 2 2 3 2" xfId="14061"/>
    <cellStyle name="Currency 3 2 2 4 2 2 2 4" xfId="14062"/>
    <cellStyle name="Currency 3 2 2 4 2 2 3" xfId="14063"/>
    <cellStyle name="Currency 3 2 2 4 2 2 3 2" xfId="14064"/>
    <cellStyle name="Currency 3 2 2 4 2 2 3 2 2" xfId="14065"/>
    <cellStyle name="Currency 3 2 2 4 2 2 3 3" xfId="14066"/>
    <cellStyle name="Currency 3 2 2 4 2 2 4" xfId="14067"/>
    <cellStyle name="Currency 3 2 2 4 2 2 4 2" xfId="14068"/>
    <cellStyle name="Currency 3 2 2 4 2 2 4 3" xfId="14069"/>
    <cellStyle name="Currency 3 2 2 4 2 2 5" xfId="14070"/>
    <cellStyle name="Currency 3 2 2 4 2 2 5 2" xfId="14071"/>
    <cellStyle name="Currency 3 2 2 4 2 2 6" xfId="14072"/>
    <cellStyle name="Currency 3 2 2 4 2 2 6 2" xfId="36493"/>
    <cellStyle name="Currency 3 2 2 4 2 2 7" xfId="14073"/>
    <cellStyle name="Currency 3 2 2 4 2 3" xfId="14074"/>
    <cellStyle name="Currency 3 2 2 4 2 3 2" xfId="14075"/>
    <cellStyle name="Currency 3 2 2 4 2 3 2 2" xfId="14076"/>
    <cellStyle name="Currency 3 2 2 4 2 3 2 2 2" xfId="14077"/>
    <cellStyle name="Currency 3 2 2 4 2 3 2 3" xfId="14078"/>
    <cellStyle name="Currency 3 2 2 4 2 3 3" xfId="14079"/>
    <cellStyle name="Currency 3 2 2 4 2 3 3 2" xfId="14080"/>
    <cellStyle name="Currency 3 2 2 4 2 3 4" xfId="14081"/>
    <cellStyle name="Currency 3 2 2 4 2 4" xfId="14082"/>
    <cellStyle name="Currency 3 2 2 4 2 4 2" xfId="14083"/>
    <cellStyle name="Currency 3 2 2 4 2 4 2 2" xfId="14084"/>
    <cellStyle name="Currency 3 2 2 4 2 4 3" xfId="14085"/>
    <cellStyle name="Currency 3 2 2 4 2 5" xfId="14086"/>
    <cellStyle name="Currency 3 2 2 4 2 5 2" xfId="14087"/>
    <cellStyle name="Currency 3 2 2 4 2 5 2 2" xfId="14088"/>
    <cellStyle name="Currency 3 2 2 4 2 5 3" xfId="14089"/>
    <cellStyle name="Currency 3 2 2 4 2 6" xfId="14090"/>
    <cellStyle name="Currency 3 2 2 4 2 6 2" xfId="14091"/>
    <cellStyle name="Currency 3 2 2 4 2 7" xfId="14092"/>
    <cellStyle name="Currency 3 2 2 4 2 7 2" xfId="36494"/>
    <cellStyle name="Currency 3 2 2 4 2 8" xfId="14093"/>
    <cellStyle name="Currency 3 2 2 4 3" xfId="14094"/>
    <cellStyle name="Currency 3 2 2 4 3 2" xfId="14095"/>
    <cellStyle name="Currency 3 2 2 4 3 2 2" xfId="14096"/>
    <cellStyle name="Currency 3 2 2 4 3 2 2 2" xfId="14097"/>
    <cellStyle name="Currency 3 2 2 4 3 2 2 3" xfId="14098"/>
    <cellStyle name="Currency 3 2 2 4 3 2 3" xfId="14099"/>
    <cellStyle name="Currency 3 2 2 4 3 2 3 2" xfId="14100"/>
    <cellStyle name="Currency 3 2 2 4 3 2 4" xfId="14101"/>
    <cellStyle name="Currency 3 2 2 4 3 3" xfId="14102"/>
    <cellStyle name="Currency 3 2 2 4 3 3 2" xfId="14103"/>
    <cellStyle name="Currency 3 2 2 4 3 3 2 2" xfId="14104"/>
    <cellStyle name="Currency 3 2 2 4 3 3 3" xfId="14105"/>
    <cellStyle name="Currency 3 2 2 4 3 4" xfId="14106"/>
    <cellStyle name="Currency 3 2 2 4 3 4 2" xfId="14107"/>
    <cellStyle name="Currency 3 2 2 4 3 4 3" xfId="14108"/>
    <cellStyle name="Currency 3 2 2 4 3 5" xfId="14109"/>
    <cellStyle name="Currency 3 2 2 4 3 5 2" xfId="14110"/>
    <cellStyle name="Currency 3 2 2 4 3 6" xfId="14111"/>
    <cellStyle name="Currency 3 2 2 4 3 6 2" xfId="36495"/>
    <cellStyle name="Currency 3 2 2 4 3 7" xfId="14112"/>
    <cellStyle name="Currency 3 2 2 4 4" xfId="14113"/>
    <cellStyle name="Currency 3 2 2 4 4 2" xfId="14114"/>
    <cellStyle name="Currency 3 2 2 4 4 2 2" xfId="14115"/>
    <cellStyle name="Currency 3 2 2 4 4 2 2 2" xfId="14116"/>
    <cellStyle name="Currency 3 2 2 4 4 2 3" xfId="14117"/>
    <cellStyle name="Currency 3 2 2 4 4 3" xfId="14118"/>
    <cellStyle name="Currency 3 2 2 4 4 3 2" xfId="14119"/>
    <cellStyle name="Currency 3 2 2 4 4 4" xfId="14120"/>
    <cellStyle name="Currency 3 2 2 4 5" xfId="14121"/>
    <cellStyle name="Currency 3 2 2 4 5 2" xfId="14122"/>
    <cellStyle name="Currency 3 2 2 4 5 2 2" xfId="14123"/>
    <cellStyle name="Currency 3 2 2 4 5 3" xfId="14124"/>
    <cellStyle name="Currency 3 2 2 4 6" xfId="14125"/>
    <cellStyle name="Currency 3 2 2 4 6 2" xfId="14126"/>
    <cellStyle name="Currency 3 2 2 4 6 2 2" xfId="14127"/>
    <cellStyle name="Currency 3 2 2 4 6 3" xfId="14128"/>
    <cellStyle name="Currency 3 2 2 4 7" xfId="14129"/>
    <cellStyle name="Currency 3 2 2 4 7 2" xfId="14130"/>
    <cellStyle name="Currency 3 2 2 4 8" xfId="14131"/>
    <cellStyle name="Currency 3 2 2 4 8 2" xfId="36496"/>
    <cellStyle name="Currency 3 2 2 4 9" xfId="14132"/>
    <cellStyle name="Currency 3 2 2 5" xfId="14133"/>
    <cellStyle name="Currency 3 2 2 5 2" xfId="14134"/>
    <cellStyle name="Currency 3 2 2 5 2 2" xfId="14135"/>
    <cellStyle name="Currency 3 2 2 5 2 2 2" xfId="14136"/>
    <cellStyle name="Currency 3 2 2 5 2 2 2 2" xfId="14137"/>
    <cellStyle name="Currency 3 2 2 5 2 2 2 3" xfId="14138"/>
    <cellStyle name="Currency 3 2 2 5 2 2 3" xfId="14139"/>
    <cellStyle name="Currency 3 2 2 5 2 2 3 2" xfId="14140"/>
    <cellStyle name="Currency 3 2 2 5 2 2 4" xfId="14141"/>
    <cellStyle name="Currency 3 2 2 5 2 3" xfId="14142"/>
    <cellStyle name="Currency 3 2 2 5 2 3 2" xfId="14143"/>
    <cellStyle name="Currency 3 2 2 5 2 3 2 2" xfId="14144"/>
    <cellStyle name="Currency 3 2 2 5 2 3 3" xfId="14145"/>
    <cellStyle name="Currency 3 2 2 5 2 4" xfId="14146"/>
    <cellStyle name="Currency 3 2 2 5 2 4 2" xfId="14147"/>
    <cellStyle name="Currency 3 2 2 5 2 4 3" xfId="14148"/>
    <cellStyle name="Currency 3 2 2 5 2 5" xfId="14149"/>
    <cellStyle name="Currency 3 2 2 5 2 5 2" xfId="14150"/>
    <cellStyle name="Currency 3 2 2 5 2 6" xfId="14151"/>
    <cellStyle name="Currency 3 2 2 5 2 6 2" xfId="36497"/>
    <cellStyle name="Currency 3 2 2 5 2 7" xfId="14152"/>
    <cellStyle name="Currency 3 2 2 5 3" xfId="14153"/>
    <cellStyle name="Currency 3 2 2 5 3 2" xfId="14154"/>
    <cellStyle name="Currency 3 2 2 5 3 2 2" xfId="14155"/>
    <cellStyle name="Currency 3 2 2 5 3 2 2 2" xfId="14156"/>
    <cellStyle name="Currency 3 2 2 5 3 2 3" xfId="14157"/>
    <cellStyle name="Currency 3 2 2 5 3 3" xfId="14158"/>
    <cellStyle name="Currency 3 2 2 5 3 3 2" xfId="14159"/>
    <cellStyle name="Currency 3 2 2 5 3 4" xfId="14160"/>
    <cellStyle name="Currency 3 2 2 5 4" xfId="14161"/>
    <cellStyle name="Currency 3 2 2 5 4 2" xfId="14162"/>
    <cellStyle name="Currency 3 2 2 5 4 2 2" xfId="14163"/>
    <cellStyle name="Currency 3 2 2 5 4 3" xfId="14164"/>
    <cellStyle name="Currency 3 2 2 5 5" xfId="14165"/>
    <cellStyle name="Currency 3 2 2 5 5 2" xfId="14166"/>
    <cellStyle name="Currency 3 2 2 5 5 2 2" xfId="14167"/>
    <cellStyle name="Currency 3 2 2 5 5 3" xfId="14168"/>
    <cellStyle name="Currency 3 2 2 5 6" xfId="14169"/>
    <cellStyle name="Currency 3 2 2 5 6 2" xfId="14170"/>
    <cellStyle name="Currency 3 2 2 5 7" xfId="14171"/>
    <cellStyle name="Currency 3 2 2 5 7 2" xfId="36498"/>
    <cellStyle name="Currency 3 2 2 5 8" xfId="14172"/>
    <cellStyle name="Currency 3 2 2 6" xfId="14173"/>
    <cellStyle name="Currency 3 2 2 6 2" xfId="14174"/>
    <cellStyle name="Currency 3 2 2 6 2 2" xfId="14175"/>
    <cellStyle name="Currency 3 2 2 6 2 2 2" xfId="14176"/>
    <cellStyle name="Currency 3 2 2 6 2 2 2 2" xfId="14177"/>
    <cellStyle name="Currency 3 2 2 6 2 2 2 3" xfId="14178"/>
    <cellStyle name="Currency 3 2 2 6 2 2 3" xfId="14179"/>
    <cellStyle name="Currency 3 2 2 6 2 2 3 2" xfId="14180"/>
    <cellStyle name="Currency 3 2 2 6 2 2 4" xfId="14181"/>
    <cellStyle name="Currency 3 2 2 6 2 3" xfId="14182"/>
    <cellStyle name="Currency 3 2 2 6 2 3 2" xfId="14183"/>
    <cellStyle name="Currency 3 2 2 6 2 3 2 2" xfId="14184"/>
    <cellStyle name="Currency 3 2 2 6 2 3 3" xfId="14185"/>
    <cellStyle name="Currency 3 2 2 6 2 4" xfId="14186"/>
    <cellStyle name="Currency 3 2 2 6 2 4 2" xfId="14187"/>
    <cellStyle name="Currency 3 2 2 6 2 4 3" xfId="14188"/>
    <cellStyle name="Currency 3 2 2 6 2 5" xfId="14189"/>
    <cellStyle name="Currency 3 2 2 6 2 5 2" xfId="14190"/>
    <cellStyle name="Currency 3 2 2 6 2 6" xfId="14191"/>
    <cellStyle name="Currency 3 2 2 6 2 6 2" xfId="36499"/>
    <cellStyle name="Currency 3 2 2 6 2 7" xfId="14192"/>
    <cellStyle name="Currency 3 2 2 6 3" xfId="14193"/>
    <cellStyle name="Currency 3 2 2 6 3 2" xfId="14194"/>
    <cellStyle name="Currency 3 2 2 6 3 2 2" xfId="14195"/>
    <cellStyle name="Currency 3 2 2 6 3 2 2 2" xfId="14196"/>
    <cellStyle name="Currency 3 2 2 6 3 2 3" xfId="14197"/>
    <cellStyle name="Currency 3 2 2 6 3 3" xfId="14198"/>
    <cellStyle name="Currency 3 2 2 6 3 3 2" xfId="14199"/>
    <cellStyle name="Currency 3 2 2 6 3 4" xfId="14200"/>
    <cellStyle name="Currency 3 2 2 6 4" xfId="14201"/>
    <cellStyle name="Currency 3 2 2 6 4 2" xfId="14202"/>
    <cellStyle name="Currency 3 2 2 6 4 2 2" xfId="14203"/>
    <cellStyle name="Currency 3 2 2 6 4 3" xfId="14204"/>
    <cellStyle name="Currency 3 2 2 6 5" xfId="14205"/>
    <cellStyle name="Currency 3 2 2 6 5 2" xfId="14206"/>
    <cellStyle name="Currency 3 2 2 6 5 2 2" xfId="14207"/>
    <cellStyle name="Currency 3 2 2 6 5 3" xfId="14208"/>
    <cellStyle name="Currency 3 2 2 6 6" xfId="14209"/>
    <cellStyle name="Currency 3 2 2 6 6 2" xfId="14210"/>
    <cellStyle name="Currency 3 2 2 6 7" xfId="14211"/>
    <cellStyle name="Currency 3 2 2 6 7 2" xfId="36500"/>
    <cellStyle name="Currency 3 2 2 6 8" xfId="14212"/>
    <cellStyle name="Currency 3 2 2 7" xfId="14213"/>
    <cellStyle name="Currency 3 2 2 7 2" xfId="14214"/>
    <cellStyle name="Currency 3 2 2 7 2 2" xfId="14215"/>
    <cellStyle name="Currency 3 2 2 7 2 2 2" xfId="14216"/>
    <cellStyle name="Currency 3 2 2 7 2 2 2 2" xfId="14217"/>
    <cellStyle name="Currency 3 2 2 7 2 2 2 3" xfId="14218"/>
    <cellStyle name="Currency 3 2 2 7 2 2 3" xfId="14219"/>
    <cellStyle name="Currency 3 2 2 7 2 2 3 2" xfId="14220"/>
    <cellStyle name="Currency 3 2 2 7 2 2 4" xfId="14221"/>
    <cellStyle name="Currency 3 2 2 7 2 3" xfId="14222"/>
    <cellStyle name="Currency 3 2 2 7 2 3 2" xfId="14223"/>
    <cellStyle name="Currency 3 2 2 7 2 3 2 2" xfId="14224"/>
    <cellStyle name="Currency 3 2 2 7 2 3 3" xfId="14225"/>
    <cellStyle name="Currency 3 2 2 7 2 4" xfId="14226"/>
    <cellStyle name="Currency 3 2 2 7 2 4 2" xfId="14227"/>
    <cellStyle name="Currency 3 2 2 7 2 4 3" xfId="14228"/>
    <cellStyle name="Currency 3 2 2 7 2 5" xfId="14229"/>
    <cellStyle name="Currency 3 2 2 7 2 5 2" xfId="14230"/>
    <cellStyle name="Currency 3 2 2 7 2 6" xfId="14231"/>
    <cellStyle name="Currency 3 2 2 7 2 6 2" xfId="36501"/>
    <cellStyle name="Currency 3 2 2 7 2 7" xfId="14232"/>
    <cellStyle name="Currency 3 2 2 7 3" xfId="14233"/>
    <cellStyle name="Currency 3 2 2 7 3 2" xfId="14234"/>
    <cellStyle name="Currency 3 2 2 7 3 2 2" xfId="14235"/>
    <cellStyle name="Currency 3 2 2 7 3 2 2 2" xfId="14236"/>
    <cellStyle name="Currency 3 2 2 7 3 2 3" xfId="14237"/>
    <cellStyle name="Currency 3 2 2 7 3 3" xfId="14238"/>
    <cellStyle name="Currency 3 2 2 7 3 3 2" xfId="14239"/>
    <cellStyle name="Currency 3 2 2 7 3 4" xfId="14240"/>
    <cellStyle name="Currency 3 2 2 7 4" xfId="14241"/>
    <cellStyle name="Currency 3 2 2 7 4 2" xfId="14242"/>
    <cellStyle name="Currency 3 2 2 7 4 2 2" xfId="14243"/>
    <cellStyle name="Currency 3 2 2 7 4 3" xfId="14244"/>
    <cellStyle name="Currency 3 2 2 7 5" xfId="14245"/>
    <cellStyle name="Currency 3 2 2 7 5 2" xfId="14246"/>
    <cellStyle name="Currency 3 2 2 7 5 2 2" xfId="14247"/>
    <cellStyle name="Currency 3 2 2 7 5 3" xfId="14248"/>
    <cellStyle name="Currency 3 2 2 7 6" xfId="14249"/>
    <cellStyle name="Currency 3 2 2 7 6 2" xfId="14250"/>
    <cellStyle name="Currency 3 2 2 7 7" xfId="14251"/>
    <cellStyle name="Currency 3 2 2 7 7 2" xfId="36502"/>
    <cellStyle name="Currency 3 2 2 7 8" xfId="14252"/>
    <cellStyle name="Currency 3 2 2 8" xfId="14253"/>
    <cellStyle name="Currency 3 2 2 8 2" xfId="14254"/>
    <cellStyle name="Currency 3 2 2 8 2 2" xfId="14255"/>
    <cellStyle name="Currency 3 2 2 8 2 2 2" xfId="14256"/>
    <cellStyle name="Currency 3 2 2 8 2 2 3" xfId="14257"/>
    <cellStyle name="Currency 3 2 2 8 2 3" xfId="14258"/>
    <cellStyle name="Currency 3 2 2 8 2 3 2" xfId="14259"/>
    <cellStyle name="Currency 3 2 2 8 2 4" xfId="14260"/>
    <cellStyle name="Currency 3 2 2 8 3" xfId="14261"/>
    <cellStyle name="Currency 3 2 2 8 3 2" xfId="14262"/>
    <cellStyle name="Currency 3 2 2 8 3 2 2" xfId="14263"/>
    <cellStyle name="Currency 3 2 2 8 3 3" xfId="14264"/>
    <cellStyle name="Currency 3 2 2 8 4" xfId="14265"/>
    <cellStyle name="Currency 3 2 2 8 4 2" xfId="14266"/>
    <cellStyle name="Currency 3 2 2 8 4 3" xfId="14267"/>
    <cellStyle name="Currency 3 2 2 8 5" xfId="14268"/>
    <cellStyle name="Currency 3 2 2 8 5 2" xfId="14269"/>
    <cellStyle name="Currency 3 2 2 8 6" xfId="14270"/>
    <cellStyle name="Currency 3 2 2 8 6 2" xfId="36503"/>
    <cellStyle name="Currency 3 2 2 8 7" xfId="14271"/>
    <cellStyle name="Currency 3 2 2 9" xfId="14272"/>
    <cellStyle name="Currency 3 2 2 9 2" xfId="14273"/>
    <cellStyle name="Currency 3 2 2 9 2 2" xfId="14274"/>
    <cellStyle name="Currency 3 2 2 9 2 2 2" xfId="14275"/>
    <cellStyle name="Currency 3 2 2 9 2 3" xfId="14276"/>
    <cellStyle name="Currency 3 2 2 9 3" xfId="14277"/>
    <cellStyle name="Currency 3 2 2 9 3 2" xfId="14278"/>
    <cellStyle name="Currency 3 2 2 9 4" xfId="14279"/>
    <cellStyle name="Currency 3 2 3" xfId="14280"/>
    <cellStyle name="Currency 3 2 3 10" xfId="14281"/>
    <cellStyle name="Currency 3 2 3 10 2" xfId="14282"/>
    <cellStyle name="Currency 3 2 3 10 2 2" xfId="14283"/>
    <cellStyle name="Currency 3 2 3 10 3" xfId="14284"/>
    <cellStyle name="Currency 3 2 3 11" xfId="14285"/>
    <cellStyle name="Currency 3 2 3 11 2" xfId="14286"/>
    <cellStyle name="Currency 3 2 3 11 2 2" xfId="14287"/>
    <cellStyle name="Currency 3 2 3 11 3" xfId="14288"/>
    <cellStyle name="Currency 3 2 3 12" xfId="14289"/>
    <cellStyle name="Currency 3 2 3 12 2" xfId="14290"/>
    <cellStyle name="Currency 3 2 3 13" xfId="14291"/>
    <cellStyle name="Currency 3 2 3 13 2" xfId="36504"/>
    <cellStyle name="Currency 3 2 3 14" xfId="14292"/>
    <cellStyle name="Currency 3 2 3 2" xfId="14293"/>
    <cellStyle name="Currency 3 2 3 2 10" xfId="14294"/>
    <cellStyle name="Currency 3 2 3 2 2" xfId="14295"/>
    <cellStyle name="Currency 3 2 3 2 2 2" xfId="14296"/>
    <cellStyle name="Currency 3 2 3 2 2 2 2" xfId="14297"/>
    <cellStyle name="Currency 3 2 3 2 2 2 2 2" xfId="14298"/>
    <cellStyle name="Currency 3 2 3 2 2 2 2 2 2" xfId="14299"/>
    <cellStyle name="Currency 3 2 3 2 2 2 2 2 2 2" xfId="14300"/>
    <cellStyle name="Currency 3 2 3 2 2 2 2 2 2 3" xfId="14301"/>
    <cellStyle name="Currency 3 2 3 2 2 2 2 2 3" xfId="14302"/>
    <cellStyle name="Currency 3 2 3 2 2 2 2 2 3 2" xfId="14303"/>
    <cellStyle name="Currency 3 2 3 2 2 2 2 2 4" xfId="14304"/>
    <cellStyle name="Currency 3 2 3 2 2 2 2 3" xfId="14305"/>
    <cellStyle name="Currency 3 2 3 2 2 2 2 3 2" xfId="14306"/>
    <cellStyle name="Currency 3 2 3 2 2 2 2 3 2 2" xfId="14307"/>
    <cellStyle name="Currency 3 2 3 2 2 2 2 3 3" xfId="14308"/>
    <cellStyle name="Currency 3 2 3 2 2 2 2 4" xfId="14309"/>
    <cellStyle name="Currency 3 2 3 2 2 2 2 4 2" xfId="14310"/>
    <cellStyle name="Currency 3 2 3 2 2 2 2 4 3" xfId="14311"/>
    <cellStyle name="Currency 3 2 3 2 2 2 2 5" xfId="14312"/>
    <cellStyle name="Currency 3 2 3 2 2 2 2 5 2" xfId="14313"/>
    <cellStyle name="Currency 3 2 3 2 2 2 2 6" xfId="14314"/>
    <cellStyle name="Currency 3 2 3 2 2 2 2 6 2" xfId="36505"/>
    <cellStyle name="Currency 3 2 3 2 2 2 2 7" xfId="14315"/>
    <cellStyle name="Currency 3 2 3 2 2 2 3" xfId="14316"/>
    <cellStyle name="Currency 3 2 3 2 2 2 3 2" xfId="14317"/>
    <cellStyle name="Currency 3 2 3 2 2 2 3 2 2" xfId="14318"/>
    <cellStyle name="Currency 3 2 3 2 2 2 3 2 2 2" xfId="14319"/>
    <cellStyle name="Currency 3 2 3 2 2 2 3 2 3" xfId="14320"/>
    <cellStyle name="Currency 3 2 3 2 2 2 3 3" xfId="14321"/>
    <cellStyle name="Currency 3 2 3 2 2 2 3 3 2" xfId="14322"/>
    <cellStyle name="Currency 3 2 3 2 2 2 3 4" xfId="14323"/>
    <cellStyle name="Currency 3 2 3 2 2 2 4" xfId="14324"/>
    <cellStyle name="Currency 3 2 3 2 2 2 4 2" xfId="14325"/>
    <cellStyle name="Currency 3 2 3 2 2 2 4 2 2" xfId="14326"/>
    <cellStyle name="Currency 3 2 3 2 2 2 4 3" xfId="14327"/>
    <cellStyle name="Currency 3 2 3 2 2 2 5" xfId="14328"/>
    <cellStyle name="Currency 3 2 3 2 2 2 5 2" xfId="14329"/>
    <cellStyle name="Currency 3 2 3 2 2 2 5 2 2" xfId="14330"/>
    <cellStyle name="Currency 3 2 3 2 2 2 5 3" xfId="14331"/>
    <cellStyle name="Currency 3 2 3 2 2 2 6" xfId="14332"/>
    <cellStyle name="Currency 3 2 3 2 2 2 6 2" xfId="14333"/>
    <cellStyle name="Currency 3 2 3 2 2 2 7" xfId="14334"/>
    <cellStyle name="Currency 3 2 3 2 2 2 7 2" xfId="36506"/>
    <cellStyle name="Currency 3 2 3 2 2 2 8" xfId="14335"/>
    <cellStyle name="Currency 3 2 3 2 2 3" xfId="14336"/>
    <cellStyle name="Currency 3 2 3 2 2 3 2" xfId="14337"/>
    <cellStyle name="Currency 3 2 3 2 2 3 2 2" xfId="14338"/>
    <cellStyle name="Currency 3 2 3 2 2 3 2 2 2" xfId="14339"/>
    <cellStyle name="Currency 3 2 3 2 2 3 2 2 3" xfId="14340"/>
    <cellStyle name="Currency 3 2 3 2 2 3 2 3" xfId="14341"/>
    <cellStyle name="Currency 3 2 3 2 2 3 2 3 2" xfId="14342"/>
    <cellStyle name="Currency 3 2 3 2 2 3 2 4" xfId="14343"/>
    <cellStyle name="Currency 3 2 3 2 2 3 3" xfId="14344"/>
    <cellStyle name="Currency 3 2 3 2 2 3 3 2" xfId="14345"/>
    <cellStyle name="Currency 3 2 3 2 2 3 3 2 2" xfId="14346"/>
    <cellStyle name="Currency 3 2 3 2 2 3 3 3" xfId="14347"/>
    <cellStyle name="Currency 3 2 3 2 2 3 4" xfId="14348"/>
    <cellStyle name="Currency 3 2 3 2 2 3 4 2" xfId="14349"/>
    <cellStyle name="Currency 3 2 3 2 2 3 4 3" xfId="14350"/>
    <cellStyle name="Currency 3 2 3 2 2 3 5" xfId="14351"/>
    <cellStyle name="Currency 3 2 3 2 2 3 5 2" xfId="14352"/>
    <cellStyle name="Currency 3 2 3 2 2 3 6" xfId="14353"/>
    <cellStyle name="Currency 3 2 3 2 2 3 6 2" xfId="36507"/>
    <cellStyle name="Currency 3 2 3 2 2 3 7" xfId="14354"/>
    <cellStyle name="Currency 3 2 3 2 2 4" xfId="14355"/>
    <cellStyle name="Currency 3 2 3 2 2 4 2" xfId="14356"/>
    <cellStyle name="Currency 3 2 3 2 2 4 2 2" xfId="14357"/>
    <cellStyle name="Currency 3 2 3 2 2 4 2 2 2" xfId="14358"/>
    <cellStyle name="Currency 3 2 3 2 2 4 2 3" xfId="14359"/>
    <cellStyle name="Currency 3 2 3 2 2 4 3" xfId="14360"/>
    <cellStyle name="Currency 3 2 3 2 2 4 3 2" xfId="14361"/>
    <cellStyle name="Currency 3 2 3 2 2 4 4" xfId="14362"/>
    <cellStyle name="Currency 3 2 3 2 2 5" xfId="14363"/>
    <cellStyle name="Currency 3 2 3 2 2 5 2" xfId="14364"/>
    <cellStyle name="Currency 3 2 3 2 2 5 2 2" xfId="14365"/>
    <cellStyle name="Currency 3 2 3 2 2 5 3" xfId="14366"/>
    <cellStyle name="Currency 3 2 3 2 2 6" xfId="14367"/>
    <cellStyle name="Currency 3 2 3 2 2 6 2" xfId="14368"/>
    <cellStyle name="Currency 3 2 3 2 2 6 2 2" xfId="14369"/>
    <cellStyle name="Currency 3 2 3 2 2 6 3" xfId="14370"/>
    <cellStyle name="Currency 3 2 3 2 2 7" xfId="14371"/>
    <cellStyle name="Currency 3 2 3 2 2 7 2" xfId="14372"/>
    <cellStyle name="Currency 3 2 3 2 2 8" xfId="14373"/>
    <cellStyle name="Currency 3 2 3 2 2 8 2" xfId="36508"/>
    <cellStyle name="Currency 3 2 3 2 2 9" xfId="14374"/>
    <cellStyle name="Currency 3 2 3 2 3" xfId="14375"/>
    <cellStyle name="Currency 3 2 3 2 3 2" xfId="14376"/>
    <cellStyle name="Currency 3 2 3 2 3 2 2" xfId="14377"/>
    <cellStyle name="Currency 3 2 3 2 3 2 2 2" xfId="14378"/>
    <cellStyle name="Currency 3 2 3 2 3 2 2 2 2" xfId="14379"/>
    <cellStyle name="Currency 3 2 3 2 3 2 2 2 3" xfId="14380"/>
    <cellStyle name="Currency 3 2 3 2 3 2 2 3" xfId="14381"/>
    <cellStyle name="Currency 3 2 3 2 3 2 2 3 2" xfId="14382"/>
    <cellStyle name="Currency 3 2 3 2 3 2 2 4" xfId="14383"/>
    <cellStyle name="Currency 3 2 3 2 3 2 3" xfId="14384"/>
    <cellStyle name="Currency 3 2 3 2 3 2 3 2" xfId="14385"/>
    <cellStyle name="Currency 3 2 3 2 3 2 3 2 2" xfId="14386"/>
    <cellStyle name="Currency 3 2 3 2 3 2 3 3" xfId="14387"/>
    <cellStyle name="Currency 3 2 3 2 3 2 4" xfId="14388"/>
    <cellStyle name="Currency 3 2 3 2 3 2 4 2" xfId="14389"/>
    <cellStyle name="Currency 3 2 3 2 3 2 4 3" xfId="14390"/>
    <cellStyle name="Currency 3 2 3 2 3 2 5" xfId="14391"/>
    <cellStyle name="Currency 3 2 3 2 3 2 5 2" xfId="14392"/>
    <cellStyle name="Currency 3 2 3 2 3 2 6" xfId="14393"/>
    <cellStyle name="Currency 3 2 3 2 3 2 6 2" xfId="36509"/>
    <cellStyle name="Currency 3 2 3 2 3 2 7" xfId="14394"/>
    <cellStyle name="Currency 3 2 3 2 3 3" xfId="14395"/>
    <cellStyle name="Currency 3 2 3 2 3 3 2" xfId="14396"/>
    <cellStyle name="Currency 3 2 3 2 3 3 2 2" xfId="14397"/>
    <cellStyle name="Currency 3 2 3 2 3 3 2 2 2" xfId="14398"/>
    <cellStyle name="Currency 3 2 3 2 3 3 2 3" xfId="14399"/>
    <cellStyle name="Currency 3 2 3 2 3 3 3" xfId="14400"/>
    <cellStyle name="Currency 3 2 3 2 3 3 3 2" xfId="14401"/>
    <cellStyle name="Currency 3 2 3 2 3 3 4" xfId="14402"/>
    <cellStyle name="Currency 3 2 3 2 3 4" xfId="14403"/>
    <cellStyle name="Currency 3 2 3 2 3 4 2" xfId="14404"/>
    <cellStyle name="Currency 3 2 3 2 3 4 2 2" xfId="14405"/>
    <cellStyle name="Currency 3 2 3 2 3 4 3" xfId="14406"/>
    <cellStyle name="Currency 3 2 3 2 3 5" xfId="14407"/>
    <cellStyle name="Currency 3 2 3 2 3 5 2" xfId="14408"/>
    <cellStyle name="Currency 3 2 3 2 3 5 2 2" xfId="14409"/>
    <cellStyle name="Currency 3 2 3 2 3 5 3" xfId="14410"/>
    <cellStyle name="Currency 3 2 3 2 3 6" xfId="14411"/>
    <cellStyle name="Currency 3 2 3 2 3 6 2" xfId="14412"/>
    <cellStyle name="Currency 3 2 3 2 3 7" xfId="14413"/>
    <cellStyle name="Currency 3 2 3 2 3 7 2" xfId="36510"/>
    <cellStyle name="Currency 3 2 3 2 3 8" xfId="14414"/>
    <cellStyle name="Currency 3 2 3 2 4" xfId="14415"/>
    <cellStyle name="Currency 3 2 3 2 4 2" xfId="14416"/>
    <cellStyle name="Currency 3 2 3 2 4 2 2" xfId="14417"/>
    <cellStyle name="Currency 3 2 3 2 4 2 2 2" xfId="14418"/>
    <cellStyle name="Currency 3 2 3 2 4 2 2 3" xfId="14419"/>
    <cellStyle name="Currency 3 2 3 2 4 2 3" xfId="14420"/>
    <cellStyle name="Currency 3 2 3 2 4 2 3 2" xfId="14421"/>
    <cellStyle name="Currency 3 2 3 2 4 2 4" xfId="14422"/>
    <cellStyle name="Currency 3 2 3 2 4 3" xfId="14423"/>
    <cellStyle name="Currency 3 2 3 2 4 3 2" xfId="14424"/>
    <cellStyle name="Currency 3 2 3 2 4 3 2 2" xfId="14425"/>
    <cellStyle name="Currency 3 2 3 2 4 3 3" xfId="14426"/>
    <cellStyle name="Currency 3 2 3 2 4 4" xfId="14427"/>
    <cellStyle name="Currency 3 2 3 2 4 4 2" xfId="14428"/>
    <cellStyle name="Currency 3 2 3 2 4 4 3" xfId="14429"/>
    <cellStyle name="Currency 3 2 3 2 4 5" xfId="14430"/>
    <cellStyle name="Currency 3 2 3 2 4 5 2" xfId="14431"/>
    <cellStyle name="Currency 3 2 3 2 4 6" xfId="14432"/>
    <cellStyle name="Currency 3 2 3 2 4 6 2" xfId="36511"/>
    <cellStyle name="Currency 3 2 3 2 4 7" xfId="14433"/>
    <cellStyle name="Currency 3 2 3 2 5" xfId="14434"/>
    <cellStyle name="Currency 3 2 3 2 5 2" xfId="14435"/>
    <cellStyle name="Currency 3 2 3 2 5 2 2" xfId="14436"/>
    <cellStyle name="Currency 3 2 3 2 5 2 2 2" xfId="14437"/>
    <cellStyle name="Currency 3 2 3 2 5 2 3" xfId="14438"/>
    <cellStyle name="Currency 3 2 3 2 5 3" xfId="14439"/>
    <cellStyle name="Currency 3 2 3 2 5 3 2" xfId="14440"/>
    <cellStyle name="Currency 3 2 3 2 5 4" xfId="14441"/>
    <cellStyle name="Currency 3 2 3 2 6" xfId="14442"/>
    <cellStyle name="Currency 3 2 3 2 6 2" xfId="14443"/>
    <cellStyle name="Currency 3 2 3 2 6 2 2" xfId="14444"/>
    <cellStyle name="Currency 3 2 3 2 6 3" xfId="14445"/>
    <cellStyle name="Currency 3 2 3 2 7" xfId="14446"/>
    <cellStyle name="Currency 3 2 3 2 7 2" xfId="14447"/>
    <cellStyle name="Currency 3 2 3 2 7 2 2" xfId="14448"/>
    <cellStyle name="Currency 3 2 3 2 7 3" xfId="14449"/>
    <cellStyle name="Currency 3 2 3 2 8" xfId="14450"/>
    <cellStyle name="Currency 3 2 3 2 8 2" xfId="14451"/>
    <cellStyle name="Currency 3 2 3 2 9" xfId="14452"/>
    <cellStyle name="Currency 3 2 3 2 9 2" xfId="36512"/>
    <cellStyle name="Currency 3 2 3 3" xfId="14453"/>
    <cellStyle name="Currency 3 2 3 3 2" xfId="14454"/>
    <cellStyle name="Currency 3 2 3 3 2 2" xfId="14455"/>
    <cellStyle name="Currency 3 2 3 3 2 2 2" xfId="14456"/>
    <cellStyle name="Currency 3 2 3 3 2 2 2 2" xfId="14457"/>
    <cellStyle name="Currency 3 2 3 3 2 2 2 2 2" xfId="14458"/>
    <cellStyle name="Currency 3 2 3 3 2 2 2 2 3" xfId="14459"/>
    <cellStyle name="Currency 3 2 3 3 2 2 2 3" xfId="14460"/>
    <cellStyle name="Currency 3 2 3 3 2 2 2 3 2" xfId="14461"/>
    <cellStyle name="Currency 3 2 3 3 2 2 2 4" xfId="14462"/>
    <cellStyle name="Currency 3 2 3 3 2 2 3" xfId="14463"/>
    <cellStyle name="Currency 3 2 3 3 2 2 3 2" xfId="14464"/>
    <cellStyle name="Currency 3 2 3 3 2 2 3 2 2" xfId="14465"/>
    <cellStyle name="Currency 3 2 3 3 2 2 3 3" xfId="14466"/>
    <cellStyle name="Currency 3 2 3 3 2 2 4" xfId="14467"/>
    <cellStyle name="Currency 3 2 3 3 2 2 4 2" xfId="14468"/>
    <cellStyle name="Currency 3 2 3 3 2 2 4 3" xfId="14469"/>
    <cellStyle name="Currency 3 2 3 3 2 2 5" xfId="14470"/>
    <cellStyle name="Currency 3 2 3 3 2 2 5 2" xfId="14471"/>
    <cellStyle name="Currency 3 2 3 3 2 2 6" xfId="14472"/>
    <cellStyle name="Currency 3 2 3 3 2 2 6 2" xfId="36513"/>
    <cellStyle name="Currency 3 2 3 3 2 2 7" xfId="14473"/>
    <cellStyle name="Currency 3 2 3 3 2 3" xfId="14474"/>
    <cellStyle name="Currency 3 2 3 3 2 3 2" xfId="14475"/>
    <cellStyle name="Currency 3 2 3 3 2 3 2 2" xfId="14476"/>
    <cellStyle name="Currency 3 2 3 3 2 3 2 2 2" xfId="14477"/>
    <cellStyle name="Currency 3 2 3 3 2 3 2 3" xfId="14478"/>
    <cellStyle name="Currency 3 2 3 3 2 3 3" xfId="14479"/>
    <cellStyle name="Currency 3 2 3 3 2 3 3 2" xfId="14480"/>
    <cellStyle name="Currency 3 2 3 3 2 3 4" xfId="14481"/>
    <cellStyle name="Currency 3 2 3 3 2 4" xfId="14482"/>
    <cellStyle name="Currency 3 2 3 3 2 4 2" xfId="14483"/>
    <cellStyle name="Currency 3 2 3 3 2 4 2 2" xfId="14484"/>
    <cellStyle name="Currency 3 2 3 3 2 4 3" xfId="14485"/>
    <cellStyle name="Currency 3 2 3 3 2 5" xfId="14486"/>
    <cellStyle name="Currency 3 2 3 3 2 5 2" xfId="14487"/>
    <cellStyle name="Currency 3 2 3 3 2 5 2 2" xfId="14488"/>
    <cellStyle name="Currency 3 2 3 3 2 5 3" xfId="14489"/>
    <cellStyle name="Currency 3 2 3 3 2 6" xfId="14490"/>
    <cellStyle name="Currency 3 2 3 3 2 6 2" xfId="14491"/>
    <cellStyle name="Currency 3 2 3 3 2 7" xfId="14492"/>
    <cellStyle name="Currency 3 2 3 3 2 7 2" xfId="36514"/>
    <cellStyle name="Currency 3 2 3 3 2 8" xfId="14493"/>
    <cellStyle name="Currency 3 2 3 3 3" xfId="14494"/>
    <cellStyle name="Currency 3 2 3 3 3 2" xfId="14495"/>
    <cellStyle name="Currency 3 2 3 3 3 2 2" xfId="14496"/>
    <cellStyle name="Currency 3 2 3 3 3 2 2 2" xfId="14497"/>
    <cellStyle name="Currency 3 2 3 3 3 2 2 3" xfId="14498"/>
    <cellStyle name="Currency 3 2 3 3 3 2 3" xfId="14499"/>
    <cellStyle name="Currency 3 2 3 3 3 2 3 2" xfId="14500"/>
    <cellStyle name="Currency 3 2 3 3 3 2 4" xfId="14501"/>
    <cellStyle name="Currency 3 2 3 3 3 3" xfId="14502"/>
    <cellStyle name="Currency 3 2 3 3 3 3 2" xfId="14503"/>
    <cellStyle name="Currency 3 2 3 3 3 3 2 2" xfId="14504"/>
    <cellStyle name="Currency 3 2 3 3 3 3 3" xfId="14505"/>
    <cellStyle name="Currency 3 2 3 3 3 4" xfId="14506"/>
    <cellStyle name="Currency 3 2 3 3 3 4 2" xfId="14507"/>
    <cellStyle name="Currency 3 2 3 3 3 4 3" xfId="14508"/>
    <cellStyle name="Currency 3 2 3 3 3 5" xfId="14509"/>
    <cellStyle name="Currency 3 2 3 3 3 5 2" xfId="14510"/>
    <cellStyle name="Currency 3 2 3 3 3 6" xfId="14511"/>
    <cellStyle name="Currency 3 2 3 3 3 6 2" xfId="36515"/>
    <cellStyle name="Currency 3 2 3 3 3 7" xfId="14512"/>
    <cellStyle name="Currency 3 2 3 3 4" xfId="14513"/>
    <cellStyle name="Currency 3 2 3 3 4 2" xfId="14514"/>
    <cellStyle name="Currency 3 2 3 3 4 2 2" xfId="14515"/>
    <cellStyle name="Currency 3 2 3 3 4 2 2 2" xfId="14516"/>
    <cellStyle name="Currency 3 2 3 3 4 2 3" xfId="14517"/>
    <cellStyle name="Currency 3 2 3 3 4 3" xfId="14518"/>
    <cellStyle name="Currency 3 2 3 3 4 3 2" xfId="14519"/>
    <cellStyle name="Currency 3 2 3 3 4 4" xfId="14520"/>
    <cellStyle name="Currency 3 2 3 3 5" xfId="14521"/>
    <cellStyle name="Currency 3 2 3 3 5 2" xfId="14522"/>
    <cellStyle name="Currency 3 2 3 3 5 2 2" xfId="14523"/>
    <cellStyle name="Currency 3 2 3 3 5 3" xfId="14524"/>
    <cellStyle name="Currency 3 2 3 3 6" xfId="14525"/>
    <cellStyle name="Currency 3 2 3 3 6 2" xfId="14526"/>
    <cellStyle name="Currency 3 2 3 3 6 2 2" xfId="14527"/>
    <cellStyle name="Currency 3 2 3 3 6 3" xfId="14528"/>
    <cellStyle name="Currency 3 2 3 3 7" xfId="14529"/>
    <cellStyle name="Currency 3 2 3 3 7 2" xfId="14530"/>
    <cellStyle name="Currency 3 2 3 3 8" xfId="14531"/>
    <cellStyle name="Currency 3 2 3 3 8 2" xfId="36516"/>
    <cellStyle name="Currency 3 2 3 3 9" xfId="14532"/>
    <cellStyle name="Currency 3 2 3 4" xfId="14533"/>
    <cellStyle name="Currency 3 2 3 4 2" xfId="14534"/>
    <cellStyle name="Currency 3 2 3 4 2 2" xfId="14535"/>
    <cellStyle name="Currency 3 2 3 4 2 2 2" xfId="14536"/>
    <cellStyle name="Currency 3 2 3 4 2 2 2 2" xfId="14537"/>
    <cellStyle name="Currency 3 2 3 4 2 2 2 2 2" xfId="14538"/>
    <cellStyle name="Currency 3 2 3 4 2 2 2 2 3" xfId="14539"/>
    <cellStyle name="Currency 3 2 3 4 2 2 2 3" xfId="14540"/>
    <cellStyle name="Currency 3 2 3 4 2 2 2 3 2" xfId="14541"/>
    <cellStyle name="Currency 3 2 3 4 2 2 2 4" xfId="14542"/>
    <cellStyle name="Currency 3 2 3 4 2 2 3" xfId="14543"/>
    <cellStyle name="Currency 3 2 3 4 2 2 3 2" xfId="14544"/>
    <cellStyle name="Currency 3 2 3 4 2 2 3 2 2" xfId="14545"/>
    <cellStyle name="Currency 3 2 3 4 2 2 3 3" xfId="14546"/>
    <cellStyle name="Currency 3 2 3 4 2 2 4" xfId="14547"/>
    <cellStyle name="Currency 3 2 3 4 2 2 4 2" xfId="14548"/>
    <cellStyle name="Currency 3 2 3 4 2 2 4 3" xfId="14549"/>
    <cellStyle name="Currency 3 2 3 4 2 2 5" xfId="14550"/>
    <cellStyle name="Currency 3 2 3 4 2 2 5 2" xfId="14551"/>
    <cellStyle name="Currency 3 2 3 4 2 2 6" xfId="14552"/>
    <cellStyle name="Currency 3 2 3 4 2 2 6 2" xfId="36517"/>
    <cellStyle name="Currency 3 2 3 4 2 2 7" xfId="14553"/>
    <cellStyle name="Currency 3 2 3 4 2 3" xfId="14554"/>
    <cellStyle name="Currency 3 2 3 4 2 3 2" xfId="14555"/>
    <cellStyle name="Currency 3 2 3 4 2 3 2 2" xfId="14556"/>
    <cellStyle name="Currency 3 2 3 4 2 3 2 2 2" xfId="14557"/>
    <cellStyle name="Currency 3 2 3 4 2 3 2 3" xfId="14558"/>
    <cellStyle name="Currency 3 2 3 4 2 3 3" xfId="14559"/>
    <cellStyle name="Currency 3 2 3 4 2 3 3 2" xfId="14560"/>
    <cellStyle name="Currency 3 2 3 4 2 3 4" xfId="14561"/>
    <cellStyle name="Currency 3 2 3 4 2 4" xfId="14562"/>
    <cellStyle name="Currency 3 2 3 4 2 4 2" xfId="14563"/>
    <cellStyle name="Currency 3 2 3 4 2 4 2 2" xfId="14564"/>
    <cellStyle name="Currency 3 2 3 4 2 4 3" xfId="14565"/>
    <cellStyle name="Currency 3 2 3 4 2 5" xfId="14566"/>
    <cellStyle name="Currency 3 2 3 4 2 5 2" xfId="14567"/>
    <cellStyle name="Currency 3 2 3 4 2 5 2 2" xfId="14568"/>
    <cellStyle name="Currency 3 2 3 4 2 5 3" xfId="14569"/>
    <cellStyle name="Currency 3 2 3 4 2 6" xfId="14570"/>
    <cellStyle name="Currency 3 2 3 4 2 6 2" xfId="14571"/>
    <cellStyle name="Currency 3 2 3 4 2 7" xfId="14572"/>
    <cellStyle name="Currency 3 2 3 4 2 7 2" xfId="36518"/>
    <cellStyle name="Currency 3 2 3 4 2 8" xfId="14573"/>
    <cellStyle name="Currency 3 2 3 4 3" xfId="14574"/>
    <cellStyle name="Currency 3 2 3 4 3 2" xfId="14575"/>
    <cellStyle name="Currency 3 2 3 4 3 2 2" xfId="14576"/>
    <cellStyle name="Currency 3 2 3 4 3 2 2 2" xfId="14577"/>
    <cellStyle name="Currency 3 2 3 4 3 2 2 3" xfId="14578"/>
    <cellStyle name="Currency 3 2 3 4 3 2 3" xfId="14579"/>
    <cellStyle name="Currency 3 2 3 4 3 2 3 2" xfId="14580"/>
    <cellStyle name="Currency 3 2 3 4 3 2 4" xfId="14581"/>
    <cellStyle name="Currency 3 2 3 4 3 3" xfId="14582"/>
    <cellStyle name="Currency 3 2 3 4 3 3 2" xfId="14583"/>
    <cellStyle name="Currency 3 2 3 4 3 3 2 2" xfId="14584"/>
    <cellStyle name="Currency 3 2 3 4 3 3 3" xfId="14585"/>
    <cellStyle name="Currency 3 2 3 4 3 4" xfId="14586"/>
    <cellStyle name="Currency 3 2 3 4 3 4 2" xfId="14587"/>
    <cellStyle name="Currency 3 2 3 4 3 4 3" xfId="14588"/>
    <cellStyle name="Currency 3 2 3 4 3 5" xfId="14589"/>
    <cellStyle name="Currency 3 2 3 4 3 5 2" xfId="14590"/>
    <cellStyle name="Currency 3 2 3 4 3 6" xfId="14591"/>
    <cellStyle name="Currency 3 2 3 4 3 6 2" xfId="36519"/>
    <cellStyle name="Currency 3 2 3 4 3 7" xfId="14592"/>
    <cellStyle name="Currency 3 2 3 4 4" xfId="14593"/>
    <cellStyle name="Currency 3 2 3 4 4 2" xfId="14594"/>
    <cellStyle name="Currency 3 2 3 4 4 2 2" xfId="14595"/>
    <cellStyle name="Currency 3 2 3 4 4 2 2 2" xfId="14596"/>
    <cellStyle name="Currency 3 2 3 4 4 2 3" xfId="14597"/>
    <cellStyle name="Currency 3 2 3 4 4 3" xfId="14598"/>
    <cellStyle name="Currency 3 2 3 4 4 3 2" xfId="14599"/>
    <cellStyle name="Currency 3 2 3 4 4 4" xfId="14600"/>
    <cellStyle name="Currency 3 2 3 4 5" xfId="14601"/>
    <cellStyle name="Currency 3 2 3 4 5 2" xfId="14602"/>
    <cellStyle name="Currency 3 2 3 4 5 2 2" xfId="14603"/>
    <cellStyle name="Currency 3 2 3 4 5 3" xfId="14604"/>
    <cellStyle name="Currency 3 2 3 4 6" xfId="14605"/>
    <cellStyle name="Currency 3 2 3 4 6 2" xfId="14606"/>
    <cellStyle name="Currency 3 2 3 4 6 2 2" xfId="14607"/>
    <cellStyle name="Currency 3 2 3 4 6 3" xfId="14608"/>
    <cellStyle name="Currency 3 2 3 4 7" xfId="14609"/>
    <cellStyle name="Currency 3 2 3 4 7 2" xfId="14610"/>
    <cellStyle name="Currency 3 2 3 4 8" xfId="14611"/>
    <cellStyle name="Currency 3 2 3 4 8 2" xfId="36520"/>
    <cellStyle name="Currency 3 2 3 4 9" xfId="14612"/>
    <cellStyle name="Currency 3 2 3 5" xfId="14613"/>
    <cellStyle name="Currency 3 2 3 5 2" xfId="14614"/>
    <cellStyle name="Currency 3 2 3 5 2 2" xfId="14615"/>
    <cellStyle name="Currency 3 2 3 5 2 2 2" xfId="14616"/>
    <cellStyle name="Currency 3 2 3 5 2 2 2 2" xfId="14617"/>
    <cellStyle name="Currency 3 2 3 5 2 2 2 3" xfId="14618"/>
    <cellStyle name="Currency 3 2 3 5 2 2 3" xfId="14619"/>
    <cellStyle name="Currency 3 2 3 5 2 2 3 2" xfId="14620"/>
    <cellStyle name="Currency 3 2 3 5 2 2 4" xfId="14621"/>
    <cellStyle name="Currency 3 2 3 5 2 3" xfId="14622"/>
    <cellStyle name="Currency 3 2 3 5 2 3 2" xfId="14623"/>
    <cellStyle name="Currency 3 2 3 5 2 3 2 2" xfId="14624"/>
    <cellStyle name="Currency 3 2 3 5 2 3 3" xfId="14625"/>
    <cellStyle name="Currency 3 2 3 5 2 4" xfId="14626"/>
    <cellStyle name="Currency 3 2 3 5 2 4 2" xfId="14627"/>
    <cellStyle name="Currency 3 2 3 5 2 4 3" xfId="14628"/>
    <cellStyle name="Currency 3 2 3 5 2 5" xfId="14629"/>
    <cellStyle name="Currency 3 2 3 5 2 5 2" xfId="14630"/>
    <cellStyle name="Currency 3 2 3 5 2 6" xfId="14631"/>
    <cellStyle name="Currency 3 2 3 5 2 6 2" xfId="36521"/>
    <cellStyle name="Currency 3 2 3 5 2 7" xfId="14632"/>
    <cellStyle name="Currency 3 2 3 5 3" xfId="14633"/>
    <cellStyle name="Currency 3 2 3 5 3 2" xfId="14634"/>
    <cellStyle name="Currency 3 2 3 5 3 2 2" xfId="14635"/>
    <cellStyle name="Currency 3 2 3 5 3 2 2 2" xfId="14636"/>
    <cellStyle name="Currency 3 2 3 5 3 2 3" xfId="14637"/>
    <cellStyle name="Currency 3 2 3 5 3 3" xfId="14638"/>
    <cellStyle name="Currency 3 2 3 5 3 3 2" xfId="14639"/>
    <cellStyle name="Currency 3 2 3 5 3 4" xfId="14640"/>
    <cellStyle name="Currency 3 2 3 5 4" xfId="14641"/>
    <cellStyle name="Currency 3 2 3 5 4 2" xfId="14642"/>
    <cellStyle name="Currency 3 2 3 5 4 2 2" xfId="14643"/>
    <cellStyle name="Currency 3 2 3 5 4 3" xfId="14644"/>
    <cellStyle name="Currency 3 2 3 5 5" xfId="14645"/>
    <cellStyle name="Currency 3 2 3 5 5 2" xfId="14646"/>
    <cellStyle name="Currency 3 2 3 5 5 2 2" xfId="14647"/>
    <cellStyle name="Currency 3 2 3 5 5 3" xfId="14648"/>
    <cellStyle name="Currency 3 2 3 5 6" xfId="14649"/>
    <cellStyle name="Currency 3 2 3 5 6 2" xfId="14650"/>
    <cellStyle name="Currency 3 2 3 5 7" xfId="14651"/>
    <cellStyle name="Currency 3 2 3 5 7 2" xfId="36522"/>
    <cellStyle name="Currency 3 2 3 5 8" xfId="14652"/>
    <cellStyle name="Currency 3 2 3 6" xfId="14653"/>
    <cellStyle name="Currency 3 2 3 6 2" xfId="14654"/>
    <cellStyle name="Currency 3 2 3 6 2 2" xfId="14655"/>
    <cellStyle name="Currency 3 2 3 6 2 2 2" xfId="14656"/>
    <cellStyle name="Currency 3 2 3 6 2 2 2 2" xfId="14657"/>
    <cellStyle name="Currency 3 2 3 6 2 2 2 3" xfId="14658"/>
    <cellStyle name="Currency 3 2 3 6 2 2 3" xfId="14659"/>
    <cellStyle name="Currency 3 2 3 6 2 2 3 2" xfId="14660"/>
    <cellStyle name="Currency 3 2 3 6 2 2 4" xfId="14661"/>
    <cellStyle name="Currency 3 2 3 6 2 3" xfId="14662"/>
    <cellStyle name="Currency 3 2 3 6 2 3 2" xfId="14663"/>
    <cellStyle name="Currency 3 2 3 6 2 3 2 2" xfId="14664"/>
    <cellStyle name="Currency 3 2 3 6 2 3 3" xfId="14665"/>
    <cellStyle name="Currency 3 2 3 6 2 4" xfId="14666"/>
    <cellStyle name="Currency 3 2 3 6 2 4 2" xfId="14667"/>
    <cellStyle name="Currency 3 2 3 6 2 4 3" xfId="14668"/>
    <cellStyle name="Currency 3 2 3 6 2 5" xfId="14669"/>
    <cellStyle name="Currency 3 2 3 6 2 5 2" xfId="14670"/>
    <cellStyle name="Currency 3 2 3 6 2 6" xfId="14671"/>
    <cellStyle name="Currency 3 2 3 6 2 6 2" xfId="36523"/>
    <cellStyle name="Currency 3 2 3 6 2 7" xfId="14672"/>
    <cellStyle name="Currency 3 2 3 6 3" xfId="14673"/>
    <cellStyle name="Currency 3 2 3 6 3 2" xfId="14674"/>
    <cellStyle name="Currency 3 2 3 6 3 2 2" xfId="14675"/>
    <cellStyle name="Currency 3 2 3 6 3 2 2 2" xfId="14676"/>
    <cellStyle name="Currency 3 2 3 6 3 2 3" xfId="14677"/>
    <cellStyle name="Currency 3 2 3 6 3 3" xfId="14678"/>
    <cellStyle name="Currency 3 2 3 6 3 3 2" xfId="14679"/>
    <cellStyle name="Currency 3 2 3 6 3 4" xfId="14680"/>
    <cellStyle name="Currency 3 2 3 6 4" xfId="14681"/>
    <cellStyle name="Currency 3 2 3 6 4 2" xfId="14682"/>
    <cellStyle name="Currency 3 2 3 6 4 2 2" xfId="14683"/>
    <cellStyle name="Currency 3 2 3 6 4 3" xfId="14684"/>
    <cellStyle name="Currency 3 2 3 6 5" xfId="14685"/>
    <cellStyle name="Currency 3 2 3 6 5 2" xfId="14686"/>
    <cellStyle name="Currency 3 2 3 6 5 2 2" xfId="14687"/>
    <cellStyle name="Currency 3 2 3 6 5 3" xfId="14688"/>
    <cellStyle name="Currency 3 2 3 6 6" xfId="14689"/>
    <cellStyle name="Currency 3 2 3 6 6 2" xfId="14690"/>
    <cellStyle name="Currency 3 2 3 6 7" xfId="14691"/>
    <cellStyle name="Currency 3 2 3 6 7 2" xfId="36524"/>
    <cellStyle name="Currency 3 2 3 6 8" xfId="14692"/>
    <cellStyle name="Currency 3 2 3 7" xfId="14693"/>
    <cellStyle name="Currency 3 2 3 7 2" xfId="14694"/>
    <cellStyle name="Currency 3 2 3 7 2 2" xfId="14695"/>
    <cellStyle name="Currency 3 2 3 7 2 2 2" xfId="14696"/>
    <cellStyle name="Currency 3 2 3 7 2 2 2 2" xfId="14697"/>
    <cellStyle name="Currency 3 2 3 7 2 2 2 3" xfId="14698"/>
    <cellStyle name="Currency 3 2 3 7 2 2 3" xfId="14699"/>
    <cellStyle name="Currency 3 2 3 7 2 2 3 2" xfId="14700"/>
    <cellStyle name="Currency 3 2 3 7 2 2 4" xfId="14701"/>
    <cellStyle name="Currency 3 2 3 7 2 3" xfId="14702"/>
    <cellStyle name="Currency 3 2 3 7 2 3 2" xfId="14703"/>
    <cellStyle name="Currency 3 2 3 7 2 3 2 2" xfId="14704"/>
    <cellStyle name="Currency 3 2 3 7 2 3 3" xfId="14705"/>
    <cellStyle name="Currency 3 2 3 7 2 4" xfId="14706"/>
    <cellStyle name="Currency 3 2 3 7 2 4 2" xfId="14707"/>
    <cellStyle name="Currency 3 2 3 7 2 4 3" xfId="14708"/>
    <cellStyle name="Currency 3 2 3 7 2 5" xfId="14709"/>
    <cellStyle name="Currency 3 2 3 7 2 5 2" xfId="14710"/>
    <cellStyle name="Currency 3 2 3 7 2 6" xfId="14711"/>
    <cellStyle name="Currency 3 2 3 7 2 6 2" xfId="36525"/>
    <cellStyle name="Currency 3 2 3 7 2 7" xfId="14712"/>
    <cellStyle name="Currency 3 2 3 7 3" xfId="14713"/>
    <cellStyle name="Currency 3 2 3 7 3 2" xfId="14714"/>
    <cellStyle name="Currency 3 2 3 7 3 2 2" xfId="14715"/>
    <cellStyle name="Currency 3 2 3 7 3 2 2 2" xfId="14716"/>
    <cellStyle name="Currency 3 2 3 7 3 2 3" xfId="14717"/>
    <cellStyle name="Currency 3 2 3 7 3 3" xfId="14718"/>
    <cellStyle name="Currency 3 2 3 7 3 3 2" xfId="14719"/>
    <cellStyle name="Currency 3 2 3 7 3 4" xfId="14720"/>
    <cellStyle name="Currency 3 2 3 7 4" xfId="14721"/>
    <cellStyle name="Currency 3 2 3 7 4 2" xfId="14722"/>
    <cellStyle name="Currency 3 2 3 7 4 2 2" xfId="14723"/>
    <cellStyle name="Currency 3 2 3 7 4 3" xfId="14724"/>
    <cellStyle name="Currency 3 2 3 7 5" xfId="14725"/>
    <cellStyle name="Currency 3 2 3 7 5 2" xfId="14726"/>
    <cellStyle name="Currency 3 2 3 7 5 2 2" xfId="14727"/>
    <cellStyle name="Currency 3 2 3 7 5 3" xfId="14728"/>
    <cellStyle name="Currency 3 2 3 7 6" xfId="14729"/>
    <cellStyle name="Currency 3 2 3 7 6 2" xfId="14730"/>
    <cellStyle name="Currency 3 2 3 7 7" xfId="14731"/>
    <cellStyle name="Currency 3 2 3 7 7 2" xfId="36526"/>
    <cellStyle name="Currency 3 2 3 7 8" xfId="14732"/>
    <cellStyle name="Currency 3 2 3 8" xfId="14733"/>
    <cellStyle name="Currency 3 2 3 8 2" xfId="14734"/>
    <cellStyle name="Currency 3 2 3 8 2 2" xfId="14735"/>
    <cellStyle name="Currency 3 2 3 8 2 2 2" xfId="14736"/>
    <cellStyle name="Currency 3 2 3 8 2 2 3" xfId="14737"/>
    <cellStyle name="Currency 3 2 3 8 2 3" xfId="14738"/>
    <cellStyle name="Currency 3 2 3 8 2 3 2" xfId="14739"/>
    <cellStyle name="Currency 3 2 3 8 2 4" xfId="14740"/>
    <cellStyle name="Currency 3 2 3 8 3" xfId="14741"/>
    <cellStyle name="Currency 3 2 3 8 3 2" xfId="14742"/>
    <cellStyle name="Currency 3 2 3 8 3 2 2" xfId="14743"/>
    <cellStyle name="Currency 3 2 3 8 3 3" xfId="14744"/>
    <cellStyle name="Currency 3 2 3 8 4" xfId="14745"/>
    <cellStyle name="Currency 3 2 3 8 4 2" xfId="14746"/>
    <cellStyle name="Currency 3 2 3 8 4 3" xfId="14747"/>
    <cellStyle name="Currency 3 2 3 8 5" xfId="14748"/>
    <cellStyle name="Currency 3 2 3 8 5 2" xfId="14749"/>
    <cellStyle name="Currency 3 2 3 8 6" xfId="14750"/>
    <cellStyle name="Currency 3 2 3 8 6 2" xfId="36527"/>
    <cellStyle name="Currency 3 2 3 8 7" xfId="14751"/>
    <cellStyle name="Currency 3 2 3 9" xfId="14752"/>
    <cellStyle name="Currency 3 2 3 9 2" xfId="14753"/>
    <cellStyle name="Currency 3 2 3 9 2 2" xfId="14754"/>
    <cellStyle name="Currency 3 2 3 9 2 2 2" xfId="14755"/>
    <cellStyle name="Currency 3 2 3 9 2 3" xfId="14756"/>
    <cellStyle name="Currency 3 2 3 9 3" xfId="14757"/>
    <cellStyle name="Currency 3 2 3 9 3 2" xfId="14758"/>
    <cellStyle name="Currency 3 2 3 9 4" xfId="14759"/>
    <cellStyle name="Currency 3 2 4" xfId="14760"/>
    <cellStyle name="Currency 3 2 4 10" xfId="14761"/>
    <cellStyle name="Currency 3 2 4 10 2" xfId="14762"/>
    <cellStyle name="Currency 3 2 4 11" xfId="14763"/>
    <cellStyle name="Currency 3 2 4 11 2" xfId="36528"/>
    <cellStyle name="Currency 3 2 4 12" xfId="14764"/>
    <cellStyle name="Currency 3 2 4 2" xfId="14765"/>
    <cellStyle name="Currency 3 2 4 2 10" xfId="14766"/>
    <cellStyle name="Currency 3 2 4 2 2" xfId="14767"/>
    <cellStyle name="Currency 3 2 4 2 2 2" xfId="14768"/>
    <cellStyle name="Currency 3 2 4 2 2 2 2" xfId="14769"/>
    <cellStyle name="Currency 3 2 4 2 2 2 2 2" xfId="14770"/>
    <cellStyle name="Currency 3 2 4 2 2 2 2 2 2" xfId="14771"/>
    <cellStyle name="Currency 3 2 4 2 2 2 2 2 2 2" xfId="14772"/>
    <cellStyle name="Currency 3 2 4 2 2 2 2 2 2 3" xfId="14773"/>
    <cellStyle name="Currency 3 2 4 2 2 2 2 2 3" xfId="14774"/>
    <cellStyle name="Currency 3 2 4 2 2 2 2 2 3 2" xfId="14775"/>
    <cellStyle name="Currency 3 2 4 2 2 2 2 2 4" xfId="14776"/>
    <cellStyle name="Currency 3 2 4 2 2 2 2 3" xfId="14777"/>
    <cellStyle name="Currency 3 2 4 2 2 2 2 3 2" xfId="14778"/>
    <cellStyle name="Currency 3 2 4 2 2 2 2 3 2 2" xfId="14779"/>
    <cellStyle name="Currency 3 2 4 2 2 2 2 3 3" xfId="14780"/>
    <cellStyle name="Currency 3 2 4 2 2 2 2 4" xfId="14781"/>
    <cellStyle name="Currency 3 2 4 2 2 2 2 4 2" xfId="14782"/>
    <cellStyle name="Currency 3 2 4 2 2 2 2 4 3" xfId="14783"/>
    <cellStyle name="Currency 3 2 4 2 2 2 2 5" xfId="14784"/>
    <cellStyle name="Currency 3 2 4 2 2 2 2 5 2" xfId="14785"/>
    <cellStyle name="Currency 3 2 4 2 2 2 2 6" xfId="14786"/>
    <cellStyle name="Currency 3 2 4 2 2 2 2 6 2" xfId="36529"/>
    <cellStyle name="Currency 3 2 4 2 2 2 2 7" xfId="14787"/>
    <cellStyle name="Currency 3 2 4 2 2 2 3" xfId="14788"/>
    <cellStyle name="Currency 3 2 4 2 2 2 3 2" xfId="14789"/>
    <cellStyle name="Currency 3 2 4 2 2 2 3 2 2" xfId="14790"/>
    <cellStyle name="Currency 3 2 4 2 2 2 3 2 2 2" xfId="14791"/>
    <cellStyle name="Currency 3 2 4 2 2 2 3 2 3" xfId="14792"/>
    <cellStyle name="Currency 3 2 4 2 2 2 3 3" xfId="14793"/>
    <cellStyle name="Currency 3 2 4 2 2 2 3 3 2" xfId="14794"/>
    <cellStyle name="Currency 3 2 4 2 2 2 3 4" xfId="14795"/>
    <cellStyle name="Currency 3 2 4 2 2 2 4" xfId="14796"/>
    <cellStyle name="Currency 3 2 4 2 2 2 4 2" xfId="14797"/>
    <cellStyle name="Currency 3 2 4 2 2 2 4 2 2" xfId="14798"/>
    <cellStyle name="Currency 3 2 4 2 2 2 4 3" xfId="14799"/>
    <cellStyle name="Currency 3 2 4 2 2 2 5" xfId="14800"/>
    <cellStyle name="Currency 3 2 4 2 2 2 5 2" xfId="14801"/>
    <cellStyle name="Currency 3 2 4 2 2 2 5 2 2" xfId="14802"/>
    <cellStyle name="Currency 3 2 4 2 2 2 5 3" xfId="14803"/>
    <cellStyle name="Currency 3 2 4 2 2 2 6" xfId="14804"/>
    <cellStyle name="Currency 3 2 4 2 2 2 6 2" xfId="14805"/>
    <cellStyle name="Currency 3 2 4 2 2 2 7" xfId="14806"/>
    <cellStyle name="Currency 3 2 4 2 2 2 7 2" xfId="36530"/>
    <cellStyle name="Currency 3 2 4 2 2 2 8" xfId="14807"/>
    <cellStyle name="Currency 3 2 4 2 2 3" xfId="14808"/>
    <cellStyle name="Currency 3 2 4 2 2 3 2" xfId="14809"/>
    <cellStyle name="Currency 3 2 4 2 2 3 2 2" xfId="14810"/>
    <cellStyle name="Currency 3 2 4 2 2 3 2 2 2" xfId="14811"/>
    <cellStyle name="Currency 3 2 4 2 2 3 2 2 3" xfId="14812"/>
    <cellStyle name="Currency 3 2 4 2 2 3 2 3" xfId="14813"/>
    <cellStyle name="Currency 3 2 4 2 2 3 2 3 2" xfId="14814"/>
    <cellStyle name="Currency 3 2 4 2 2 3 2 4" xfId="14815"/>
    <cellStyle name="Currency 3 2 4 2 2 3 3" xfId="14816"/>
    <cellStyle name="Currency 3 2 4 2 2 3 3 2" xfId="14817"/>
    <cellStyle name="Currency 3 2 4 2 2 3 3 2 2" xfId="14818"/>
    <cellStyle name="Currency 3 2 4 2 2 3 3 3" xfId="14819"/>
    <cellStyle name="Currency 3 2 4 2 2 3 4" xfId="14820"/>
    <cellStyle name="Currency 3 2 4 2 2 3 4 2" xfId="14821"/>
    <cellStyle name="Currency 3 2 4 2 2 3 4 3" xfId="14822"/>
    <cellStyle name="Currency 3 2 4 2 2 3 5" xfId="14823"/>
    <cellStyle name="Currency 3 2 4 2 2 3 5 2" xfId="14824"/>
    <cellStyle name="Currency 3 2 4 2 2 3 6" xfId="14825"/>
    <cellStyle name="Currency 3 2 4 2 2 3 6 2" xfId="36531"/>
    <cellStyle name="Currency 3 2 4 2 2 3 7" xfId="14826"/>
    <cellStyle name="Currency 3 2 4 2 2 4" xfId="14827"/>
    <cellStyle name="Currency 3 2 4 2 2 4 2" xfId="14828"/>
    <cellStyle name="Currency 3 2 4 2 2 4 2 2" xfId="14829"/>
    <cellStyle name="Currency 3 2 4 2 2 4 2 2 2" xfId="14830"/>
    <cellStyle name="Currency 3 2 4 2 2 4 2 3" xfId="14831"/>
    <cellStyle name="Currency 3 2 4 2 2 4 3" xfId="14832"/>
    <cellStyle name="Currency 3 2 4 2 2 4 3 2" xfId="14833"/>
    <cellStyle name="Currency 3 2 4 2 2 4 4" xfId="14834"/>
    <cellStyle name="Currency 3 2 4 2 2 5" xfId="14835"/>
    <cellStyle name="Currency 3 2 4 2 2 5 2" xfId="14836"/>
    <cellStyle name="Currency 3 2 4 2 2 5 2 2" xfId="14837"/>
    <cellStyle name="Currency 3 2 4 2 2 5 3" xfId="14838"/>
    <cellStyle name="Currency 3 2 4 2 2 6" xfId="14839"/>
    <cellStyle name="Currency 3 2 4 2 2 6 2" xfId="14840"/>
    <cellStyle name="Currency 3 2 4 2 2 6 2 2" xfId="14841"/>
    <cellStyle name="Currency 3 2 4 2 2 6 3" xfId="14842"/>
    <cellStyle name="Currency 3 2 4 2 2 7" xfId="14843"/>
    <cellStyle name="Currency 3 2 4 2 2 7 2" xfId="14844"/>
    <cellStyle name="Currency 3 2 4 2 2 8" xfId="14845"/>
    <cellStyle name="Currency 3 2 4 2 2 8 2" xfId="36532"/>
    <cellStyle name="Currency 3 2 4 2 2 9" xfId="14846"/>
    <cellStyle name="Currency 3 2 4 2 3" xfId="14847"/>
    <cellStyle name="Currency 3 2 4 2 3 2" xfId="14848"/>
    <cellStyle name="Currency 3 2 4 2 3 2 2" xfId="14849"/>
    <cellStyle name="Currency 3 2 4 2 3 2 2 2" xfId="14850"/>
    <cellStyle name="Currency 3 2 4 2 3 2 2 2 2" xfId="14851"/>
    <cellStyle name="Currency 3 2 4 2 3 2 2 2 3" xfId="14852"/>
    <cellStyle name="Currency 3 2 4 2 3 2 2 3" xfId="14853"/>
    <cellStyle name="Currency 3 2 4 2 3 2 2 3 2" xfId="14854"/>
    <cellStyle name="Currency 3 2 4 2 3 2 2 4" xfId="14855"/>
    <cellStyle name="Currency 3 2 4 2 3 2 3" xfId="14856"/>
    <cellStyle name="Currency 3 2 4 2 3 2 3 2" xfId="14857"/>
    <cellStyle name="Currency 3 2 4 2 3 2 3 2 2" xfId="14858"/>
    <cellStyle name="Currency 3 2 4 2 3 2 3 3" xfId="14859"/>
    <cellStyle name="Currency 3 2 4 2 3 2 4" xfId="14860"/>
    <cellStyle name="Currency 3 2 4 2 3 2 4 2" xfId="14861"/>
    <cellStyle name="Currency 3 2 4 2 3 2 4 3" xfId="14862"/>
    <cellStyle name="Currency 3 2 4 2 3 2 5" xfId="14863"/>
    <cellStyle name="Currency 3 2 4 2 3 2 5 2" xfId="14864"/>
    <cellStyle name="Currency 3 2 4 2 3 2 6" xfId="14865"/>
    <cellStyle name="Currency 3 2 4 2 3 2 6 2" xfId="36533"/>
    <cellStyle name="Currency 3 2 4 2 3 2 7" xfId="14866"/>
    <cellStyle name="Currency 3 2 4 2 3 3" xfId="14867"/>
    <cellStyle name="Currency 3 2 4 2 3 3 2" xfId="14868"/>
    <cellStyle name="Currency 3 2 4 2 3 3 2 2" xfId="14869"/>
    <cellStyle name="Currency 3 2 4 2 3 3 2 2 2" xfId="14870"/>
    <cellStyle name="Currency 3 2 4 2 3 3 2 3" xfId="14871"/>
    <cellStyle name="Currency 3 2 4 2 3 3 3" xfId="14872"/>
    <cellStyle name="Currency 3 2 4 2 3 3 3 2" xfId="14873"/>
    <cellStyle name="Currency 3 2 4 2 3 3 4" xfId="14874"/>
    <cellStyle name="Currency 3 2 4 2 3 4" xfId="14875"/>
    <cellStyle name="Currency 3 2 4 2 3 4 2" xfId="14876"/>
    <cellStyle name="Currency 3 2 4 2 3 4 2 2" xfId="14877"/>
    <cellStyle name="Currency 3 2 4 2 3 4 3" xfId="14878"/>
    <cellStyle name="Currency 3 2 4 2 3 5" xfId="14879"/>
    <cellStyle name="Currency 3 2 4 2 3 5 2" xfId="14880"/>
    <cellStyle name="Currency 3 2 4 2 3 5 2 2" xfId="14881"/>
    <cellStyle name="Currency 3 2 4 2 3 5 3" xfId="14882"/>
    <cellStyle name="Currency 3 2 4 2 3 6" xfId="14883"/>
    <cellStyle name="Currency 3 2 4 2 3 6 2" xfId="14884"/>
    <cellStyle name="Currency 3 2 4 2 3 7" xfId="14885"/>
    <cellStyle name="Currency 3 2 4 2 3 7 2" xfId="36534"/>
    <cellStyle name="Currency 3 2 4 2 3 8" xfId="14886"/>
    <cellStyle name="Currency 3 2 4 2 4" xfId="14887"/>
    <cellStyle name="Currency 3 2 4 2 4 2" xfId="14888"/>
    <cellStyle name="Currency 3 2 4 2 4 2 2" xfId="14889"/>
    <cellStyle name="Currency 3 2 4 2 4 2 2 2" xfId="14890"/>
    <cellStyle name="Currency 3 2 4 2 4 2 2 3" xfId="14891"/>
    <cellStyle name="Currency 3 2 4 2 4 2 3" xfId="14892"/>
    <cellStyle name="Currency 3 2 4 2 4 2 3 2" xfId="14893"/>
    <cellStyle name="Currency 3 2 4 2 4 2 4" xfId="14894"/>
    <cellStyle name="Currency 3 2 4 2 4 3" xfId="14895"/>
    <cellStyle name="Currency 3 2 4 2 4 3 2" xfId="14896"/>
    <cellStyle name="Currency 3 2 4 2 4 3 2 2" xfId="14897"/>
    <cellStyle name="Currency 3 2 4 2 4 3 3" xfId="14898"/>
    <cellStyle name="Currency 3 2 4 2 4 4" xfId="14899"/>
    <cellStyle name="Currency 3 2 4 2 4 4 2" xfId="14900"/>
    <cellStyle name="Currency 3 2 4 2 4 4 3" xfId="14901"/>
    <cellStyle name="Currency 3 2 4 2 4 5" xfId="14902"/>
    <cellStyle name="Currency 3 2 4 2 4 5 2" xfId="14903"/>
    <cellStyle name="Currency 3 2 4 2 4 6" xfId="14904"/>
    <cellStyle name="Currency 3 2 4 2 4 6 2" xfId="36535"/>
    <cellStyle name="Currency 3 2 4 2 4 7" xfId="14905"/>
    <cellStyle name="Currency 3 2 4 2 5" xfId="14906"/>
    <cellStyle name="Currency 3 2 4 2 5 2" xfId="14907"/>
    <cellStyle name="Currency 3 2 4 2 5 2 2" xfId="14908"/>
    <cellStyle name="Currency 3 2 4 2 5 2 2 2" xfId="14909"/>
    <cellStyle name="Currency 3 2 4 2 5 2 3" xfId="14910"/>
    <cellStyle name="Currency 3 2 4 2 5 3" xfId="14911"/>
    <cellStyle name="Currency 3 2 4 2 5 3 2" xfId="14912"/>
    <cellStyle name="Currency 3 2 4 2 5 4" xfId="14913"/>
    <cellStyle name="Currency 3 2 4 2 6" xfId="14914"/>
    <cellStyle name="Currency 3 2 4 2 6 2" xfId="14915"/>
    <cellStyle name="Currency 3 2 4 2 6 2 2" xfId="14916"/>
    <cellStyle name="Currency 3 2 4 2 6 3" xfId="14917"/>
    <cellStyle name="Currency 3 2 4 2 7" xfId="14918"/>
    <cellStyle name="Currency 3 2 4 2 7 2" xfId="14919"/>
    <cellStyle name="Currency 3 2 4 2 7 2 2" xfId="14920"/>
    <cellStyle name="Currency 3 2 4 2 7 3" xfId="14921"/>
    <cellStyle name="Currency 3 2 4 2 8" xfId="14922"/>
    <cellStyle name="Currency 3 2 4 2 8 2" xfId="14923"/>
    <cellStyle name="Currency 3 2 4 2 9" xfId="14924"/>
    <cellStyle name="Currency 3 2 4 2 9 2" xfId="36536"/>
    <cellStyle name="Currency 3 2 4 3" xfId="14925"/>
    <cellStyle name="Currency 3 2 4 3 2" xfId="14926"/>
    <cellStyle name="Currency 3 2 4 3 2 2" xfId="14927"/>
    <cellStyle name="Currency 3 2 4 3 2 2 2" xfId="14928"/>
    <cellStyle name="Currency 3 2 4 3 2 2 2 2" xfId="14929"/>
    <cellStyle name="Currency 3 2 4 3 2 2 2 2 2" xfId="14930"/>
    <cellStyle name="Currency 3 2 4 3 2 2 2 2 3" xfId="14931"/>
    <cellStyle name="Currency 3 2 4 3 2 2 2 3" xfId="14932"/>
    <cellStyle name="Currency 3 2 4 3 2 2 2 3 2" xfId="14933"/>
    <cellStyle name="Currency 3 2 4 3 2 2 2 4" xfId="14934"/>
    <cellStyle name="Currency 3 2 4 3 2 2 3" xfId="14935"/>
    <cellStyle name="Currency 3 2 4 3 2 2 3 2" xfId="14936"/>
    <cellStyle name="Currency 3 2 4 3 2 2 3 2 2" xfId="14937"/>
    <cellStyle name="Currency 3 2 4 3 2 2 3 3" xfId="14938"/>
    <cellStyle name="Currency 3 2 4 3 2 2 4" xfId="14939"/>
    <cellStyle name="Currency 3 2 4 3 2 2 4 2" xfId="14940"/>
    <cellStyle name="Currency 3 2 4 3 2 2 4 3" xfId="14941"/>
    <cellStyle name="Currency 3 2 4 3 2 2 5" xfId="14942"/>
    <cellStyle name="Currency 3 2 4 3 2 2 5 2" xfId="14943"/>
    <cellStyle name="Currency 3 2 4 3 2 2 6" xfId="14944"/>
    <cellStyle name="Currency 3 2 4 3 2 2 6 2" xfId="36537"/>
    <cellStyle name="Currency 3 2 4 3 2 2 7" xfId="14945"/>
    <cellStyle name="Currency 3 2 4 3 2 3" xfId="14946"/>
    <cellStyle name="Currency 3 2 4 3 2 3 2" xfId="14947"/>
    <cellStyle name="Currency 3 2 4 3 2 3 2 2" xfId="14948"/>
    <cellStyle name="Currency 3 2 4 3 2 3 2 2 2" xfId="14949"/>
    <cellStyle name="Currency 3 2 4 3 2 3 2 3" xfId="14950"/>
    <cellStyle name="Currency 3 2 4 3 2 3 3" xfId="14951"/>
    <cellStyle name="Currency 3 2 4 3 2 3 3 2" xfId="14952"/>
    <cellStyle name="Currency 3 2 4 3 2 3 4" xfId="14953"/>
    <cellStyle name="Currency 3 2 4 3 2 4" xfId="14954"/>
    <cellStyle name="Currency 3 2 4 3 2 4 2" xfId="14955"/>
    <cellStyle name="Currency 3 2 4 3 2 4 2 2" xfId="14956"/>
    <cellStyle name="Currency 3 2 4 3 2 4 3" xfId="14957"/>
    <cellStyle name="Currency 3 2 4 3 2 5" xfId="14958"/>
    <cellStyle name="Currency 3 2 4 3 2 5 2" xfId="14959"/>
    <cellStyle name="Currency 3 2 4 3 2 5 2 2" xfId="14960"/>
    <cellStyle name="Currency 3 2 4 3 2 5 3" xfId="14961"/>
    <cellStyle name="Currency 3 2 4 3 2 6" xfId="14962"/>
    <cellStyle name="Currency 3 2 4 3 2 6 2" xfId="14963"/>
    <cellStyle name="Currency 3 2 4 3 2 7" xfId="14964"/>
    <cellStyle name="Currency 3 2 4 3 2 7 2" xfId="36538"/>
    <cellStyle name="Currency 3 2 4 3 2 8" xfId="14965"/>
    <cellStyle name="Currency 3 2 4 3 3" xfId="14966"/>
    <cellStyle name="Currency 3 2 4 3 3 2" xfId="14967"/>
    <cellStyle name="Currency 3 2 4 3 3 2 2" xfId="14968"/>
    <cellStyle name="Currency 3 2 4 3 3 2 2 2" xfId="14969"/>
    <cellStyle name="Currency 3 2 4 3 3 2 2 3" xfId="14970"/>
    <cellStyle name="Currency 3 2 4 3 3 2 3" xfId="14971"/>
    <cellStyle name="Currency 3 2 4 3 3 2 3 2" xfId="14972"/>
    <cellStyle name="Currency 3 2 4 3 3 2 4" xfId="14973"/>
    <cellStyle name="Currency 3 2 4 3 3 3" xfId="14974"/>
    <cellStyle name="Currency 3 2 4 3 3 3 2" xfId="14975"/>
    <cellStyle name="Currency 3 2 4 3 3 3 2 2" xfId="14976"/>
    <cellStyle name="Currency 3 2 4 3 3 3 3" xfId="14977"/>
    <cellStyle name="Currency 3 2 4 3 3 4" xfId="14978"/>
    <cellStyle name="Currency 3 2 4 3 3 4 2" xfId="14979"/>
    <cellStyle name="Currency 3 2 4 3 3 4 3" xfId="14980"/>
    <cellStyle name="Currency 3 2 4 3 3 5" xfId="14981"/>
    <cellStyle name="Currency 3 2 4 3 3 5 2" xfId="14982"/>
    <cellStyle name="Currency 3 2 4 3 3 6" xfId="14983"/>
    <cellStyle name="Currency 3 2 4 3 3 6 2" xfId="36539"/>
    <cellStyle name="Currency 3 2 4 3 3 7" xfId="14984"/>
    <cellStyle name="Currency 3 2 4 3 4" xfId="14985"/>
    <cellStyle name="Currency 3 2 4 3 4 2" xfId="14986"/>
    <cellStyle name="Currency 3 2 4 3 4 2 2" xfId="14987"/>
    <cellStyle name="Currency 3 2 4 3 4 2 2 2" xfId="14988"/>
    <cellStyle name="Currency 3 2 4 3 4 2 3" xfId="14989"/>
    <cellStyle name="Currency 3 2 4 3 4 3" xfId="14990"/>
    <cellStyle name="Currency 3 2 4 3 4 3 2" xfId="14991"/>
    <cellStyle name="Currency 3 2 4 3 4 4" xfId="14992"/>
    <cellStyle name="Currency 3 2 4 3 5" xfId="14993"/>
    <cellStyle name="Currency 3 2 4 3 5 2" xfId="14994"/>
    <cellStyle name="Currency 3 2 4 3 5 2 2" xfId="14995"/>
    <cellStyle name="Currency 3 2 4 3 5 3" xfId="14996"/>
    <cellStyle name="Currency 3 2 4 3 6" xfId="14997"/>
    <cellStyle name="Currency 3 2 4 3 6 2" xfId="14998"/>
    <cellStyle name="Currency 3 2 4 3 6 2 2" xfId="14999"/>
    <cellStyle name="Currency 3 2 4 3 6 3" xfId="15000"/>
    <cellStyle name="Currency 3 2 4 3 7" xfId="15001"/>
    <cellStyle name="Currency 3 2 4 3 7 2" xfId="15002"/>
    <cellStyle name="Currency 3 2 4 3 8" xfId="15003"/>
    <cellStyle name="Currency 3 2 4 3 8 2" xfId="36540"/>
    <cellStyle name="Currency 3 2 4 3 9" xfId="15004"/>
    <cellStyle name="Currency 3 2 4 4" xfId="15005"/>
    <cellStyle name="Currency 3 2 4 4 2" xfId="15006"/>
    <cellStyle name="Currency 3 2 4 4 2 2" xfId="15007"/>
    <cellStyle name="Currency 3 2 4 4 2 2 2" xfId="15008"/>
    <cellStyle name="Currency 3 2 4 4 2 2 2 2" xfId="15009"/>
    <cellStyle name="Currency 3 2 4 4 2 2 2 3" xfId="15010"/>
    <cellStyle name="Currency 3 2 4 4 2 2 3" xfId="15011"/>
    <cellStyle name="Currency 3 2 4 4 2 2 3 2" xfId="15012"/>
    <cellStyle name="Currency 3 2 4 4 2 2 4" xfId="15013"/>
    <cellStyle name="Currency 3 2 4 4 2 3" xfId="15014"/>
    <cellStyle name="Currency 3 2 4 4 2 3 2" xfId="15015"/>
    <cellStyle name="Currency 3 2 4 4 2 3 2 2" xfId="15016"/>
    <cellStyle name="Currency 3 2 4 4 2 3 3" xfId="15017"/>
    <cellStyle name="Currency 3 2 4 4 2 4" xfId="15018"/>
    <cellStyle name="Currency 3 2 4 4 2 4 2" xfId="15019"/>
    <cellStyle name="Currency 3 2 4 4 2 4 3" xfId="15020"/>
    <cellStyle name="Currency 3 2 4 4 2 5" xfId="15021"/>
    <cellStyle name="Currency 3 2 4 4 2 5 2" xfId="15022"/>
    <cellStyle name="Currency 3 2 4 4 2 6" xfId="15023"/>
    <cellStyle name="Currency 3 2 4 4 2 6 2" xfId="36541"/>
    <cellStyle name="Currency 3 2 4 4 2 7" xfId="15024"/>
    <cellStyle name="Currency 3 2 4 4 3" xfId="15025"/>
    <cellStyle name="Currency 3 2 4 4 3 2" xfId="15026"/>
    <cellStyle name="Currency 3 2 4 4 3 2 2" xfId="15027"/>
    <cellStyle name="Currency 3 2 4 4 3 2 2 2" xfId="15028"/>
    <cellStyle name="Currency 3 2 4 4 3 2 3" xfId="15029"/>
    <cellStyle name="Currency 3 2 4 4 3 3" xfId="15030"/>
    <cellStyle name="Currency 3 2 4 4 3 3 2" xfId="15031"/>
    <cellStyle name="Currency 3 2 4 4 3 4" xfId="15032"/>
    <cellStyle name="Currency 3 2 4 4 4" xfId="15033"/>
    <cellStyle name="Currency 3 2 4 4 4 2" xfId="15034"/>
    <cellStyle name="Currency 3 2 4 4 4 2 2" xfId="15035"/>
    <cellStyle name="Currency 3 2 4 4 4 3" xfId="15036"/>
    <cellStyle name="Currency 3 2 4 4 5" xfId="15037"/>
    <cellStyle name="Currency 3 2 4 4 5 2" xfId="15038"/>
    <cellStyle name="Currency 3 2 4 4 5 2 2" xfId="15039"/>
    <cellStyle name="Currency 3 2 4 4 5 3" xfId="15040"/>
    <cellStyle name="Currency 3 2 4 4 6" xfId="15041"/>
    <cellStyle name="Currency 3 2 4 4 6 2" xfId="15042"/>
    <cellStyle name="Currency 3 2 4 4 7" xfId="15043"/>
    <cellStyle name="Currency 3 2 4 4 7 2" xfId="36542"/>
    <cellStyle name="Currency 3 2 4 4 8" xfId="15044"/>
    <cellStyle name="Currency 3 2 4 5" xfId="15045"/>
    <cellStyle name="Currency 3 2 4 5 2" xfId="15046"/>
    <cellStyle name="Currency 3 2 4 5 2 2" xfId="15047"/>
    <cellStyle name="Currency 3 2 4 5 2 2 2" xfId="15048"/>
    <cellStyle name="Currency 3 2 4 5 2 2 2 2" xfId="15049"/>
    <cellStyle name="Currency 3 2 4 5 2 2 2 3" xfId="15050"/>
    <cellStyle name="Currency 3 2 4 5 2 2 3" xfId="15051"/>
    <cellStyle name="Currency 3 2 4 5 2 2 3 2" xfId="15052"/>
    <cellStyle name="Currency 3 2 4 5 2 2 4" xfId="15053"/>
    <cellStyle name="Currency 3 2 4 5 2 3" xfId="15054"/>
    <cellStyle name="Currency 3 2 4 5 2 3 2" xfId="15055"/>
    <cellStyle name="Currency 3 2 4 5 2 3 2 2" xfId="15056"/>
    <cellStyle name="Currency 3 2 4 5 2 3 3" xfId="15057"/>
    <cellStyle name="Currency 3 2 4 5 2 4" xfId="15058"/>
    <cellStyle name="Currency 3 2 4 5 2 4 2" xfId="15059"/>
    <cellStyle name="Currency 3 2 4 5 2 4 3" xfId="15060"/>
    <cellStyle name="Currency 3 2 4 5 2 5" xfId="15061"/>
    <cellStyle name="Currency 3 2 4 5 2 5 2" xfId="15062"/>
    <cellStyle name="Currency 3 2 4 5 2 6" xfId="15063"/>
    <cellStyle name="Currency 3 2 4 5 2 6 2" xfId="36543"/>
    <cellStyle name="Currency 3 2 4 5 2 7" xfId="15064"/>
    <cellStyle name="Currency 3 2 4 5 3" xfId="15065"/>
    <cellStyle name="Currency 3 2 4 5 3 2" xfId="15066"/>
    <cellStyle name="Currency 3 2 4 5 3 2 2" xfId="15067"/>
    <cellStyle name="Currency 3 2 4 5 3 2 2 2" xfId="15068"/>
    <cellStyle name="Currency 3 2 4 5 3 2 3" xfId="15069"/>
    <cellStyle name="Currency 3 2 4 5 3 3" xfId="15070"/>
    <cellStyle name="Currency 3 2 4 5 3 3 2" xfId="15071"/>
    <cellStyle name="Currency 3 2 4 5 3 4" xfId="15072"/>
    <cellStyle name="Currency 3 2 4 5 4" xfId="15073"/>
    <cellStyle name="Currency 3 2 4 5 4 2" xfId="15074"/>
    <cellStyle name="Currency 3 2 4 5 4 2 2" xfId="15075"/>
    <cellStyle name="Currency 3 2 4 5 4 3" xfId="15076"/>
    <cellStyle name="Currency 3 2 4 5 5" xfId="15077"/>
    <cellStyle name="Currency 3 2 4 5 5 2" xfId="15078"/>
    <cellStyle name="Currency 3 2 4 5 5 2 2" xfId="15079"/>
    <cellStyle name="Currency 3 2 4 5 5 3" xfId="15080"/>
    <cellStyle name="Currency 3 2 4 5 6" xfId="15081"/>
    <cellStyle name="Currency 3 2 4 5 6 2" xfId="15082"/>
    <cellStyle name="Currency 3 2 4 5 7" xfId="15083"/>
    <cellStyle name="Currency 3 2 4 5 7 2" xfId="36544"/>
    <cellStyle name="Currency 3 2 4 5 8" xfId="15084"/>
    <cellStyle name="Currency 3 2 4 6" xfId="15085"/>
    <cellStyle name="Currency 3 2 4 6 2" xfId="15086"/>
    <cellStyle name="Currency 3 2 4 6 2 2" xfId="15087"/>
    <cellStyle name="Currency 3 2 4 6 2 2 2" xfId="15088"/>
    <cellStyle name="Currency 3 2 4 6 2 2 3" xfId="15089"/>
    <cellStyle name="Currency 3 2 4 6 2 3" xfId="15090"/>
    <cellStyle name="Currency 3 2 4 6 2 3 2" xfId="15091"/>
    <cellStyle name="Currency 3 2 4 6 2 4" xfId="15092"/>
    <cellStyle name="Currency 3 2 4 6 3" xfId="15093"/>
    <cellStyle name="Currency 3 2 4 6 3 2" xfId="15094"/>
    <cellStyle name="Currency 3 2 4 6 3 2 2" xfId="15095"/>
    <cellStyle name="Currency 3 2 4 6 3 3" xfId="15096"/>
    <cellStyle name="Currency 3 2 4 6 4" xfId="15097"/>
    <cellStyle name="Currency 3 2 4 6 4 2" xfId="15098"/>
    <cellStyle name="Currency 3 2 4 6 4 3" xfId="15099"/>
    <cellStyle name="Currency 3 2 4 6 5" xfId="15100"/>
    <cellStyle name="Currency 3 2 4 6 5 2" xfId="15101"/>
    <cellStyle name="Currency 3 2 4 6 6" xfId="15102"/>
    <cellStyle name="Currency 3 2 4 6 6 2" xfId="36545"/>
    <cellStyle name="Currency 3 2 4 6 7" xfId="15103"/>
    <cellStyle name="Currency 3 2 4 7" xfId="15104"/>
    <cellStyle name="Currency 3 2 4 7 2" xfId="15105"/>
    <cellStyle name="Currency 3 2 4 7 2 2" xfId="15106"/>
    <cellStyle name="Currency 3 2 4 7 2 2 2" xfId="15107"/>
    <cellStyle name="Currency 3 2 4 7 2 3" xfId="15108"/>
    <cellStyle name="Currency 3 2 4 7 3" xfId="15109"/>
    <cellStyle name="Currency 3 2 4 7 3 2" xfId="15110"/>
    <cellStyle name="Currency 3 2 4 7 4" xfId="15111"/>
    <cellStyle name="Currency 3 2 4 8" xfId="15112"/>
    <cellStyle name="Currency 3 2 4 8 2" xfId="15113"/>
    <cellStyle name="Currency 3 2 4 8 2 2" xfId="15114"/>
    <cellStyle name="Currency 3 2 4 8 3" xfId="15115"/>
    <cellStyle name="Currency 3 2 4 9" xfId="15116"/>
    <cellStyle name="Currency 3 2 4 9 2" xfId="15117"/>
    <cellStyle name="Currency 3 2 4 9 2 2" xfId="15118"/>
    <cellStyle name="Currency 3 2 4 9 3" xfId="15119"/>
    <cellStyle name="Currency 3 2 5" xfId="15120"/>
    <cellStyle name="Currency 3 2 5 10" xfId="15121"/>
    <cellStyle name="Currency 3 2 5 10 2" xfId="15122"/>
    <cellStyle name="Currency 3 2 5 11" xfId="15123"/>
    <cellStyle name="Currency 3 2 5 11 2" xfId="36546"/>
    <cellStyle name="Currency 3 2 5 12" xfId="15124"/>
    <cellStyle name="Currency 3 2 5 2" xfId="15125"/>
    <cellStyle name="Currency 3 2 5 2 10" xfId="15126"/>
    <cellStyle name="Currency 3 2 5 2 2" xfId="15127"/>
    <cellStyle name="Currency 3 2 5 2 2 2" xfId="15128"/>
    <cellStyle name="Currency 3 2 5 2 2 2 2" xfId="15129"/>
    <cellStyle name="Currency 3 2 5 2 2 2 2 2" xfId="15130"/>
    <cellStyle name="Currency 3 2 5 2 2 2 2 2 2" xfId="15131"/>
    <cellStyle name="Currency 3 2 5 2 2 2 2 2 2 2" xfId="15132"/>
    <cellStyle name="Currency 3 2 5 2 2 2 2 2 2 3" xfId="15133"/>
    <cellStyle name="Currency 3 2 5 2 2 2 2 2 3" xfId="15134"/>
    <cellStyle name="Currency 3 2 5 2 2 2 2 2 3 2" xfId="15135"/>
    <cellStyle name="Currency 3 2 5 2 2 2 2 2 4" xfId="15136"/>
    <cellStyle name="Currency 3 2 5 2 2 2 2 3" xfId="15137"/>
    <cellStyle name="Currency 3 2 5 2 2 2 2 3 2" xfId="15138"/>
    <cellStyle name="Currency 3 2 5 2 2 2 2 3 2 2" xfId="15139"/>
    <cellStyle name="Currency 3 2 5 2 2 2 2 3 3" xfId="15140"/>
    <cellStyle name="Currency 3 2 5 2 2 2 2 4" xfId="15141"/>
    <cellStyle name="Currency 3 2 5 2 2 2 2 4 2" xfId="15142"/>
    <cellStyle name="Currency 3 2 5 2 2 2 2 4 3" xfId="15143"/>
    <cellStyle name="Currency 3 2 5 2 2 2 2 5" xfId="15144"/>
    <cellStyle name="Currency 3 2 5 2 2 2 2 5 2" xfId="15145"/>
    <cellStyle name="Currency 3 2 5 2 2 2 2 6" xfId="15146"/>
    <cellStyle name="Currency 3 2 5 2 2 2 2 6 2" xfId="36547"/>
    <cellStyle name="Currency 3 2 5 2 2 2 2 7" xfId="15147"/>
    <cellStyle name="Currency 3 2 5 2 2 2 3" xfId="15148"/>
    <cellStyle name="Currency 3 2 5 2 2 2 3 2" xfId="15149"/>
    <cellStyle name="Currency 3 2 5 2 2 2 3 2 2" xfId="15150"/>
    <cellStyle name="Currency 3 2 5 2 2 2 3 2 2 2" xfId="15151"/>
    <cellStyle name="Currency 3 2 5 2 2 2 3 2 3" xfId="15152"/>
    <cellStyle name="Currency 3 2 5 2 2 2 3 3" xfId="15153"/>
    <cellStyle name="Currency 3 2 5 2 2 2 3 3 2" xfId="15154"/>
    <cellStyle name="Currency 3 2 5 2 2 2 3 4" xfId="15155"/>
    <cellStyle name="Currency 3 2 5 2 2 2 4" xfId="15156"/>
    <cellStyle name="Currency 3 2 5 2 2 2 4 2" xfId="15157"/>
    <cellStyle name="Currency 3 2 5 2 2 2 4 2 2" xfId="15158"/>
    <cellStyle name="Currency 3 2 5 2 2 2 4 3" xfId="15159"/>
    <cellStyle name="Currency 3 2 5 2 2 2 5" xfId="15160"/>
    <cellStyle name="Currency 3 2 5 2 2 2 5 2" xfId="15161"/>
    <cellStyle name="Currency 3 2 5 2 2 2 5 2 2" xfId="15162"/>
    <cellStyle name="Currency 3 2 5 2 2 2 5 3" xfId="15163"/>
    <cellStyle name="Currency 3 2 5 2 2 2 6" xfId="15164"/>
    <cellStyle name="Currency 3 2 5 2 2 2 6 2" xfId="15165"/>
    <cellStyle name="Currency 3 2 5 2 2 2 7" xfId="15166"/>
    <cellStyle name="Currency 3 2 5 2 2 2 7 2" xfId="36548"/>
    <cellStyle name="Currency 3 2 5 2 2 2 8" xfId="15167"/>
    <cellStyle name="Currency 3 2 5 2 2 3" xfId="15168"/>
    <cellStyle name="Currency 3 2 5 2 2 3 2" xfId="15169"/>
    <cellStyle name="Currency 3 2 5 2 2 3 2 2" xfId="15170"/>
    <cellStyle name="Currency 3 2 5 2 2 3 2 2 2" xfId="15171"/>
    <cellStyle name="Currency 3 2 5 2 2 3 2 2 3" xfId="15172"/>
    <cellStyle name="Currency 3 2 5 2 2 3 2 3" xfId="15173"/>
    <cellStyle name="Currency 3 2 5 2 2 3 2 3 2" xfId="15174"/>
    <cellStyle name="Currency 3 2 5 2 2 3 2 4" xfId="15175"/>
    <cellStyle name="Currency 3 2 5 2 2 3 3" xfId="15176"/>
    <cellStyle name="Currency 3 2 5 2 2 3 3 2" xfId="15177"/>
    <cellStyle name="Currency 3 2 5 2 2 3 3 2 2" xfId="15178"/>
    <cellStyle name="Currency 3 2 5 2 2 3 3 3" xfId="15179"/>
    <cellStyle name="Currency 3 2 5 2 2 3 4" xfId="15180"/>
    <cellStyle name="Currency 3 2 5 2 2 3 4 2" xfId="15181"/>
    <cellStyle name="Currency 3 2 5 2 2 3 4 3" xfId="15182"/>
    <cellStyle name="Currency 3 2 5 2 2 3 5" xfId="15183"/>
    <cellStyle name="Currency 3 2 5 2 2 3 5 2" xfId="15184"/>
    <cellStyle name="Currency 3 2 5 2 2 3 6" xfId="15185"/>
    <cellStyle name="Currency 3 2 5 2 2 3 6 2" xfId="36549"/>
    <cellStyle name="Currency 3 2 5 2 2 3 7" xfId="15186"/>
    <cellStyle name="Currency 3 2 5 2 2 4" xfId="15187"/>
    <cellStyle name="Currency 3 2 5 2 2 4 2" xfId="15188"/>
    <cellStyle name="Currency 3 2 5 2 2 4 2 2" xfId="15189"/>
    <cellStyle name="Currency 3 2 5 2 2 4 2 2 2" xfId="15190"/>
    <cellStyle name="Currency 3 2 5 2 2 4 2 3" xfId="15191"/>
    <cellStyle name="Currency 3 2 5 2 2 4 3" xfId="15192"/>
    <cellStyle name="Currency 3 2 5 2 2 4 3 2" xfId="15193"/>
    <cellStyle name="Currency 3 2 5 2 2 4 4" xfId="15194"/>
    <cellStyle name="Currency 3 2 5 2 2 5" xfId="15195"/>
    <cellStyle name="Currency 3 2 5 2 2 5 2" xfId="15196"/>
    <cellStyle name="Currency 3 2 5 2 2 5 2 2" xfId="15197"/>
    <cellStyle name="Currency 3 2 5 2 2 5 3" xfId="15198"/>
    <cellStyle name="Currency 3 2 5 2 2 6" xfId="15199"/>
    <cellStyle name="Currency 3 2 5 2 2 6 2" xfId="15200"/>
    <cellStyle name="Currency 3 2 5 2 2 6 2 2" xfId="15201"/>
    <cellStyle name="Currency 3 2 5 2 2 6 3" xfId="15202"/>
    <cellStyle name="Currency 3 2 5 2 2 7" xfId="15203"/>
    <cellStyle name="Currency 3 2 5 2 2 7 2" xfId="15204"/>
    <cellStyle name="Currency 3 2 5 2 2 8" xfId="15205"/>
    <cellStyle name="Currency 3 2 5 2 2 8 2" xfId="36550"/>
    <cellStyle name="Currency 3 2 5 2 2 9" xfId="15206"/>
    <cellStyle name="Currency 3 2 5 2 3" xfId="15207"/>
    <cellStyle name="Currency 3 2 5 2 3 2" xfId="15208"/>
    <cellStyle name="Currency 3 2 5 2 3 2 2" xfId="15209"/>
    <cellStyle name="Currency 3 2 5 2 3 2 2 2" xfId="15210"/>
    <cellStyle name="Currency 3 2 5 2 3 2 2 2 2" xfId="15211"/>
    <cellStyle name="Currency 3 2 5 2 3 2 2 2 3" xfId="15212"/>
    <cellStyle name="Currency 3 2 5 2 3 2 2 3" xfId="15213"/>
    <cellStyle name="Currency 3 2 5 2 3 2 2 3 2" xfId="15214"/>
    <cellStyle name="Currency 3 2 5 2 3 2 2 4" xfId="15215"/>
    <cellStyle name="Currency 3 2 5 2 3 2 3" xfId="15216"/>
    <cellStyle name="Currency 3 2 5 2 3 2 3 2" xfId="15217"/>
    <cellStyle name="Currency 3 2 5 2 3 2 3 2 2" xfId="15218"/>
    <cellStyle name="Currency 3 2 5 2 3 2 3 3" xfId="15219"/>
    <cellStyle name="Currency 3 2 5 2 3 2 4" xfId="15220"/>
    <cellStyle name="Currency 3 2 5 2 3 2 4 2" xfId="15221"/>
    <cellStyle name="Currency 3 2 5 2 3 2 4 3" xfId="15222"/>
    <cellStyle name="Currency 3 2 5 2 3 2 5" xfId="15223"/>
    <cellStyle name="Currency 3 2 5 2 3 2 5 2" xfId="15224"/>
    <cellStyle name="Currency 3 2 5 2 3 2 6" xfId="15225"/>
    <cellStyle name="Currency 3 2 5 2 3 2 6 2" xfId="36551"/>
    <cellStyle name="Currency 3 2 5 2 3 2 7" xfId="15226"/>
    <cellStyle name="Currency 3 2 5 2 3 3" xfId="15227"/>
    <cellStyle name="Currency 3 2 5 2 3 3 2" xfId="15228"/>
    <cellStyle name="Currency 3 2 5 2 3 3 2 2" xfId="15229"/>
    <cellStyle name="Currency 3 2 5 2 3 3 2 2 2" xfId="15230"/>
    <cellStyle name="Currency 3 2 5 2 3 3 2 3" xfId="15231"/>
    <cellStyle name="Currency 3 2 5 2 3 3 3" xfId="15232"/>
    <cellStyle name="Currency 3 2 5 2 3 3 3 2" xfId="15233"/>
    <cellStyle name="Currency 3 2 5 2 3 3 4" xfId="15234"/>
    <cellStyle name="Currency 3 2 5 2 3 4" xfId="15235"/>
    <cellStyle name="Currency 3 2 5 2 3 4 2" xfId="15236"/>
    <cellStyle name="Currency 3 2 5 2 3 4 2 2" xfId="15237"/>
    <cellStyle name="Currency 3 2 5 2 3 4 3" xfId="15238"/>
    <cellStyle name="Currency 3 2 5 2 3 5" xfId="15239"/>
    <cellStyle name="Currency 3 2 5 2 3 5 2" xfId="15240"/>
    <cellStyle name="Currency 3 2 5 2 3 5 2 2" xfId="15241"/>
    <cellStyle name="Currency 3 2 5 2 3 5 3" xfId="15242"/>
    <cellStyle name="Currency 3 2 5 2 3 6" xfId="15243"/>
    <cellStyle name="Currency 3 2 5 2 3 6 2" xfId="15244"/>
    <cellStyle name="Currency 3 2 5 2 3 7" xfId="15245"/>
    <cellStyle name="Currency 3 2 5 2 3 7 2" xfId="36552"/>
    <cellStyle name="Currency 3 2 5 2 3 8" xfId="15246"/>
    <cellStyle name="Currency 3 2 5 2 4" xfId="15247"/>
    <cellStyle name="Currency 3 2 5 2 4 2" xfId="15248"/>
    <cellStyle name="Currency 3 2 5 2 4 2 2" xfId="15249"/>
    <cellStyle name="Currency 3 2 5 2 4 2 2 2" xfId="15250"/>
    <cellStyle name="Currency 3 2 5 2 4 2 2 3" xfId="15251"/>
    <cellStyle name="Currency 3 2 5 2 4 2 3" xfId="15252"/>
    <cellStyle name="Currency 3 2 5 2 4 2 3 2" xfId="15253"/>
    <cellStyle name="Currency 3 2 5 2 4 2 4" xfId="15254"/>
    <cellStyle name="Currency 3 2 5 2 4 3" xfId="15255"/>
    <cellStyle name="Currency 3 2 5 2 4 3 2" xfId="15256"/>
    <cellStyle name="Currency 3 2 5 2 4 3 2 2" xfId="15257"/>
    <cellStyle name="Currency 3 2 5 2 4 3 3" xfId="15258"/>
    <cellStyle name="Currency 3 2 5 2 4 4" xfId="15259"/>
    <cellStyle name="Currency 3 2 5 2 4 4 2" xfId="15260"/>
    <cellStyle name="Currency 3 2 5 2 4 4 3" xfId="15261"/>
    <cellStyle name="Currency 3 2 5 2 4 5" xfId="15262"/>
    <cellStyle name="Currency 3 2 5 2 4 5 2" xfId="15263"/>
    <cellStyle name="Currency 3 2 5 2 4 6" xfId="15264"/>
    <cellStyle name="Currency 3 2 5 2 4 6 2" xfId="36553"/>
    <cellStyle name="Currency 3 2 5 2 4 7" xfId="15265"/>
    <cellStyle name="Currency 3 2 5 2 5" xfId="15266"/>
    <cellStyle name="Currency 3 2 5 2 5 2" xfId="15267"/>
    <cellStyle name="Currency 3 2 5 2 5 2 2" xfId="15268"/>
    <cellStyle name="Currency 3 2 5 2 5 2 2 2" xfId="15269"/>
    <cellStyle name="Currency 3 2 5 2 5 2 3" xfId="15270"/>
    <cellStyle name="Currency 3 2 5 2 5 3" xfId="15271"/>
    <cellStyle name="Currency 3 2 5 2 5 3 2" xfId="15272"/>
    <cellStyle name="Currency 3 2 5 2 5 4" xfId="15273"/>
    <cellStyle name="Currency 3 2 5 2 6" xfId="15274"/>
    <cellStyle name="Currency 3 2 5 2 6 2" xfId="15275"/>
    <cellStyle name="Currency 3 2 5 2 6 2 2" xfId="15276"/>
    <cellStyle name="Currency 3 2 5 2 6 3" xfId="15277"/>
    <cellStyle name="Currency 3 2 5 2 7" xfId="15278"/>
    <cellStyle name="Currency 3 2 5 2 7 2" xfId="15279"/>
    <cellStyle name="Currency 3 2 5 2 7 2 2" xfId="15280"/>
    <cellStyle name="Currency 3 2 5 2 7 3" xfId="15281"/>
    <cellStyle name="Currency 3 2 5 2 8" xfId="15282"/>
    <cellStyle name="Currency 3 2 5 2 8 2" xfId="15283"/>
    <cellStyle name="Currency 3 2 5 2 9" xfId="15284"/>
    <cellStyle name="Currency 3 2 5 2 9 2" xfId="36554"/>
    <cellStyle name="Currency 3 2 5 3" xfId="15285"/>
    <cellStyle name="Currency 3 2 5 3 2" xfId="15286"/>
    <cellStyle name="Currency 3 2 5 3 2 2" xfId="15287"/>
    <cellStyle name="Currency 3 2 5 3 2 2 2" xfId="15288"/>
    <cellStyle name="Currency 3 2 5 3 2 2 2 2" xfId="15289"/>
    <cellStyle name="Currency 3 2 5 3 2 2 2 2 2" xfId="15290"/>
    <cellStyle name="Currency 3 2 5 3 2 2 2 2 3" xfId="15291"/>
    <cellStyle name="Currency 3 2 5 3 2 2 2 3" xfId="15292"/>
    <cellStyle name="Currency 3 2 5 3 2 2 2 3 2" xfId="15293"/>
    <cellStyle name="Currency 3 2 5 3 2 2 2 4" xfId="15294"/>
    <cellStyle name="Currency 3 2 5 3 2 2 3" xfId="15295"/>
    <cellStyle name="Currency 3 2 5 3 2 2 3 2" xfId="15296"/>
    <cellStyle name="Currency 3 2 5 3 2 2 3 2 2" xfId="15297"/>
    <cellStyle name="Currency 3 2 5 3 2 2 3 3" xfId="15298"/>
    <cellStyle name="Currency 3 2 5 3 2 2 4" xfId="15299"/>
    <cellStyle name="Currency 3 2 5 3 2 2 4 2" xfId="15300"/>
    <cellStyle name="Currency 3 2 5 3 2 2 4 3" xfId="15301"/>
    <cellStyle name="Currency 3 2 5 3 2 2 5" xfId="15302"/>
    <cellStyle name="Currency 3 2 5 3 2 2 5 2" xfId="15303"/>
    <cellStyle name="Currency 3 2 5 3 2 2 6" xfId="15304"/>
    <cellStyle name="Currency 3 2 5 3 2 2 6 2" xfId="36555"/>
    <cellStyle name="Currency 3 2 5 3 2 2 7" xfId="15305"/>
    <cellStyle name="Currency 3 2 5 3 2 3" xfId="15306"/>
    <cellStyle name="Currency 3 2 5 3 2 3 2" xfId="15307"/>
    <cellStyle name="Currency 3 2 5 3 2 3 2 2" xfId="15308"/>
    <cellStyle name="Currency 3 2 5 3 2 3 2 2 2" xfId="15309"/>
    <cellStyle name="Currency 3 2 5 3 2 3 2 3" xfId="15310"/>
    <cellStyle name="Currency 3 2 5 3 2 3 3" xfId="15311"/>
    <cellStyle name="Currency 3 2 5 3 2 3 3 2" xfId="15312"/>
    <cellStyle name="Currency 3 2 5 3 2 3 4" xfId="15313"/>
    <cellStyle name="Currency 3 2 5 3 2 4" xfId="15314"/>
    <cellStyle name="Currency 3 2 5 3 2 4 2" xfId="15315"/>
    <cellStyle name="Currency 3 2 5 3 2 4 2 2" xfId="15316"/>
    <cellStyle name="Currency 3 2 5 3 2 4 3" xfId="15317"/>
    <cellStyle name="Currency 3 2 5 3 2 5" xfId="15318"/>
    <cellStyle name="Currency 3 2 5 3 2 5 2" xfId="15319"/>
    <cellStyle name="Currency 3 2 5 3 2 5 2 2" xfId="15320"/>
    <cellStyle name="Currency 3 2 5 3 2 5 3" xfId="15321"/>
    <cellStyle name="Currency 3 2 5 3 2 6" xfId="15322"/>
    <cellStyle name="Currency 3 2 5 3 2 6 2" xfId="15323"/>
    <cellStyle name="Currency 3 2 5 3 2 7" xfId="15324"/>
    <cellStyle name="Currency 3 2 5 3 2 7 2" xfId="36556"/>
    <cellStyle name="Currency 3 2 5 3 2 8" xfId="15325"/>
    <cellStyle name="Currency 3 2 5 3 3" xfId="15326"/>
    <cellStyle name="Currency 3 2 5 3 3 2" xfId="15327"/>
    <cellStyle name="Currency 3 2 5 3 3 2 2" xfId="15328"/>
    <cellStyle name="Currency 3 2 5 3 3 2 2 2" xfId="15329"/>
    <cellStyle name="Currency 3 2 5 3 3 2 2 3" xfId="15330"/>
    <cellStyle name="Currency 3 2 5 3 3 2 3" xfId="15331"/>
    <cellStyle name="Currency 3 2 5 3 3 2 3 2" xfId="15332"/>
    <cellStyle name="Currency 3 2 5 3 3 2 4" xfId="15333"/>
    <cellStyle name="Currency 3 2 5 3 3 3" xfId="15334"/>
    <cellStyle name="Currency 3 2 5 3 3 3 2" xfId="15335"/>
    <cellStyle name="Currency 3 2 5 3 3 3 2 2" xfId="15336"/>
    <cellStyle name="Currency 3 2 5 3 3 3 3" xfId="15337"/>
    <cellStyle name="Currency 3 2 5 3 3 4" xfId="15338"/>
    <cellStyle name="Currency 3 2 5 3 3 4 2" xfId="15339"/>
    <cellStyle name="Currency 3 2 5 3 3 4 3" xfId="15340"/>
    <cellStyle name="Currency 3 2 5 3 3 5" xfId="15341"/>
    <cellStyle name="Currency 3 2 5 3 3 5 2" xfId="15342"/>
    <cellStyle name="Currency 3 2 5 3 3 6" xfId="15343"/>
    <cellStyle name="Currency 3 2 5 3 3 6 2" xfId="36557"/>
    <cellStyle name="Currency 3 2 5 3 3 7" xfId="15344"/>
    <cellStyle name="Currency 3 2 5 3 4" xfId="15345"/>
    <cellStyle name="Currency 3 2 5 3 4 2" xfId="15346"/>
    <cellStyle name="Currency 3 2 5 3 4 2 2" xfId="15347"/>
    <cellStyle name="Currency 3 2 5 3 4 2 2 2" xfId="15348"/>
    <cellStyle name="Currency 3 2 5 3 4 2 3" xfId="15349"/>
    <cellStyle name="Currency 3 2 5 3 4 3" xfId="15350"/>
    <cellStyle name="Currency 3 2 5 3 4 3 2" xfId="15351"/>
    <cellStyle name="Currency 3 2 5 3 4 4" xfId="15352"/>
    <cellStyle name="Currency 3 2 5 3 5" xfId="15353"/>
    <cellStyle name="Currency 3 2 5 3 5 2" xfId="15354"/>
    <cellStyle name="Currency 3 2 5 3 5 2 2" xfId="15355"/>
    <cellStyle name="Currency 3 2 5 3 5 3" xfId="15356"/>
    <cellStyle name="Currency 3 2 5 3 6" xfId="15357"/>
    <cellStyle name="Currency 3 2 5 3 6 2" xfId="15358"/>
    <cellStyle name="Currency 3 2 5 3 6 2 2" xfId="15359"/>
    <cellStyle name="Currency 3 2 5 3 6 3" xfId="15360"/>
    <cellStyle name="Currency 3 2 5 3 7" xfId="15361"/>
    <cellStyle name="Currency 3 2 5 3 7 2" xfId="15362"/>
    <cellStyle name="Currency 3 2 5 3 8" xfId="15363"/>
    <cellStyle name="Currency 3 2 5 3 8 2" xfId="36558"/>
    <cellStyle name="Currency 3 2 5 3 9" xfId="15364"/>
    <cellStyle name="Currency 3 2 5 4" xfId="15365"/>
    <cellStyle name="Currency 3 2 5 4 2" xfId="15366"/>
    <cellStyle name="Currency 3 2 5 4 2 2" xfId="15367"/>
    <cellStyle name="Currency 3 2 5 4 2 2 2" xfId="15368"/>
    <cellStyle name="Currency 3 2 5 4 2 2 2 2" xfId="15369"/>
    <cellStyle name="Currency 3 2 5 4 2 2 2 3" xfId="15370"/>
    <cellStyle name="Currency 3 2 5 4 2 2 3" xfId="15371"/>
    <cellStyle name="Currency 3 2 5 4 2 2 3 2" xfId="15372"/>
    <cellStyle name="Currency 3 2 5 4 2 2 4" xfId="15373"/>
    <cellStyle name="Currency 3 2 5 4 2 3" xfId="15374"/>
    <cellStyle name="Currency 3 2 5 4 2 3 2" xfId="15375"/>
    <cellStyle name="Currency 3 2 5 4 2 3 2 2" xfId="15376"/>
    <cellStyle name="Currency 3 2 5 4 2 3 3" xfId="15377"/>
    <cellStyle name="Currency 3 2 5 4 2 4" xfId="15378"/>
    <cellStyle name="Currency 3 2 5 4 2 4 2" xfId="15379"/>
    <cellStyle name="Currency 3 2 5 4 2 4 3" xfId="15380"/>
    <cellStyle name="Currency 3 2 5 4 2 5" xfId="15381"/>
    <cellStyle name="Currency 3 2 5 4 2 5 2" xfId="15382"/>
    <cellStyle name="Currency 3 2 5 4 2 6" xfId="15383"/>
    <cellStyle name="Currency 3 2 5 4 2 6 2" xfId="36559"/>
    <cellStyle name="Currency 3 2 5 4 2 7" xfId="15384"/>
    <cellStyle name="Currency 3 2 5 4 3" xfId="15385"/>
    <cellStyle name="Currency 3 2 5 4 3 2" xfId="15386"/>
    <cellStyle name="Currency 3 2 5 4 3 2 2" xfId="15387"/>
    <cellStyle name="Currency 3 2 5 4 3 2 2 2" xfId="15388"/>
    <cellStyle name="Currency 3 2 5 4 3 2 3" xfId="15389"/>
    <cellStyle name="Currency 3 2 5 4 3 3" xfId="15390"/>
    <cellStyle name="Currency 3 2 5 4 3 3 2" xfId="15391"/>
    <cellStyle name="Currency 3 2 5 4 3 4" xfId="15392"/>
    <cellStyle name="Currency 3 2 5 4 4" xfId="15393"/>
    <cellStyle name="Currency 3 2 5 4 4 2" xfId="15394"/>
    <cellStyle name="Currency 3 2 5 4 4 2 2" xfId="15395"/>
    <cellStyle name="Currency 3 2 5 4 4 3" xfId="15396"/>
    <cellStyle name="Currency 3 2 5 4 5" xfId="15397"/>
    <cellStyle name="Currency 3 2 5 4 5 2" xfId="15398"/>
    <cellStyle name="Currency 3 2 5 4 5 2 2" xfId="15399"/>
    <cellStyle name="Currency 3 2 5 4 5 3" xfId="15400"/>
    <cellStyle name="Currency 3 2 5 4 6" xfId="15401"/>
    <cellStyle name="Currency 3 2 5 4 6 2" xfId="15402"/>
    <cellStyle name="Currency 3 2 5 4 7" xfId="15403"/>
    <cellStyle name="Currency 3 2 5 4 7 2" xfId="36560"/>
    <cellStyle name="Currency 3 2 5 4 8" xfId="15404"/>
    <cellStyle name="Currency 3 2 5 5" xfId="15405"/>
    <cellStyle name="Currency 3 2 5 5 2" xfId="15406"/>
    <cellStyle name="Currency 3 2 5 5 2 2" xfId="15407"/>
    <cellStyle name="Currency 3 2 5 5 2 2 2" xfId="15408"/>
    <cellStyle name="Currency 3 2 5 5 2 2 2 2" xfId="15409"/>
    <cellStyle name="Currency 3 2 5 5 2 2 2 3" xfId="15410"/>
    <cellStyle name="Currency 3 2 5 5 2 2 3" xfId="15411"/>
    <cellStyle name="Currency 3 2 5 5 2 2 3 2" xfId="15412"/>
    <cellStyle name="Currency 3 2 5 5 2 2 4" xfId="15413"/>
    <cellStyle name="Currency 3 2 5 5 2 3" xfId="15414"/>
    <cellStyle name="Currency 3 2 5 5 2 3 2" xfId="15415"/>
    <cellStyle name="Currency 3 2 5 5 2 3 2 2" xfId="15416"/>
    <cellStyle name="Currency 3 2 5 5 2 3 3" xfId="15417"/>
    <cellStyle name="Currency 3 2 5 5 2 4" xfId="15418"/>
    <cellStyle name="Currency 3 2 5 5 2 4 2" xfId="15419"/>
    <cellStyle name="Currency 3 2 5 5 2 4 3" xfId="15420"/>
    <cellStyle name="Currency 3 2 5 5 2 5" xfId="15421"/>
    <cellStyle name="Currency 3 2 5 5 2 5 2" xfId="15422"/>
    <cellStyle name="Currency 3 2 5 5 2 6" xfId="15423"/>
    <cellStyle name="Currency 3 2 5 5 2 6 2" xfId="36561"/>
    <cellStyle name="Currency 3 2 5 5 2 7" xfId="15424"/>
    <cellStyle name="Currency 3 2 5 5 3" xfId="15425"/>
    <cellStyle name="Currency 3 2 5 5 3 2" xfId="15426"/>
    <cellStyle name="Currency 3 2 5 5 3 2 2" xfId="15427"/>
    <cellStyle name="Currency 3 2 5 5 3 2 2 2" xfId="15428"/>
    <cellStyle name="Currency 3 2 5 5 3 2 3" xfId="15429"/>
    <cellStyle name="Currency 3 2 5 5 3 3" xfId="15430"/>
    <cellStyle name="Currency 3 2 5 5 3 3 2" xfId="15431"/>
    <cellStyle name="Currency 3 2 5 5 3 4" xfId="15432"/>
    <cellStyle name="Currency 3 2 5 5 4" xfId="15433"/>
    <cellStyle name="Currency 3 2 5 5 4 2" xfId="15434"/>
    <cellStyle name="Currency 3 2 5 5 4 2 2" xfId="15435"/>
    <cellStyle name="Currency 3 2 5 5 4 3" xfId="15436"/>
    <cellStyle name="Currency 3 2 5 5 5" xfId="15437"/>
    <cellStyle name="Currency 3 2 5 5 5 2" xfId="15438"/>
    <cellStyle name="Currency 3 2 5 5 5 2 2" xfId="15439"/>
    <cellStyle name="Currency 3 2 5 5 5 3" xfId="15440"/>
    <cellStyle name="Currency 3 2 5 5 6" xfId="15441"/>
    <cellStyle name="Currency 3 2 5 5 6 2" xfId="15442"/>
    <cellStyle name="Currency 3 2 5 5 7" xfId="15443"/>
    <cellStyle name="Currency 3 2 5 5 7 2" xfId="36562"/>
    <cellStyle name="Currency 3 2 5 5 8" xfId="15444"/>
    <cellStyle name="Currency 3 2 5 6" xfId="15445"/>
    <cellStyle name="Currency 3 2 5 6 2" xfId="15446"/>
    <cellStyle name="Currency 3 2 5 6 2 2" xfId="15447"/>
    <cellStyle name="Currency 3 2 5 6 2 2 2" xfId="15448"/>
    <cellStyle name="Currency 3 2 5 6 2 2 3" xfId="15449"/>
    <cellStyle name="Currency 3 2 5 6 2 3" xfId="15450"/>
    <cellStyle name="Currency 3 2 5 6 2 3 2" xfId="15451"/>
    <cellStyle name="Currency 3 2 5 6 2 4" xfId="15452"/>
    <cellStyle name="Currency 3 2 5 6 3" xfId="15453"/>
    <cellStyle name="Currency 3 2 5 6 3 2" xfId="15454"/>
    <cellStyle name="Currency 3 2 5 6 3 2 2" xfId="15455"/>
    <cellStyle name="Currency 3 2 5 6 3 3" xfId="15456"/>
    <cellStyle name="Currency 3 2 5 6 4" xfId="15457"/>
    <cellStyle name="Currency 3 2 5 6 4 2" xfId="15458"/>
    <cellStyle name="Currency 3 2 5 6 4 3" xfId="15459"/>
    <cellStyle name="Currency 3 2 5 6 5" xfId="15460"/>
    <cellStyle name="Currency 3 2 5 6 5 2" xfId="15461"/>
    <cellStyle name="Currency 3 2 5 6 6" xfId="15462"/>
    <cellStyle name="Currency 3 2 5 6 6 2" xfId="36563"/>
    <cellStyle name="Currency 3 2 5 6 7" xfId="15463"/>
    <cellStyle name="Currency 3 2 5 7" xfId="15464"/>
    <cellStyle name="Currency 3 2 5 7 2" xfId="15465"/>
    <cellStyle name="Currency 3 2 5 7 2 2" xfId="15466"/>
    <cellStyle name="Currency 3 2 5 7 2 2 2" xfId="15467"/>
    <cellStyle name="Currency 3 2 5 7 2 3" xfId="15468"/>
    <cellStyle name="Currency 3 2 5 7 3" xfId="15469"/>
    <cellStyle name="Currency 3 2 5 7 3 2" xfId="15470"/>
    <cellStyle name="Currency 3 2 5 7 4" xfId="15471"/>
    <cellStyle name="Currency 3 2 5 8" xfId="15472"/>
    <cellStyle name="Currency 3 2 5 8 2" xfId="15473"/>
    <cellStyle name="Currency 3 2 5 8 2 2" xfId="15474"/>
    <cellStyle name="Currency 3 2 5 8 3" xfId="15475"/>
    <cellStyle name="Currency 3 2 5 9" xfId="15476"/>
    <cellStyle name="Currency 3 2 5 9 2" xfId="15477"/>
    <cellStyle name="Currency 3 2 5 9 2 2" xfId="15478"/>
    <cellStyle name="Currency 3 2 5 9 3" xfId="15479"/>
    <cellStyle name="Currency 3 2 6" xfId="15480"/>
    <cellStyle name="Currency 3 2 6 10" xfId="15481"/>
    <cellStyle name="Currency 3 2 6 2" xfId="15482"/>
    <cellStyle name="Currency 3 2 6 2 2" xfId="15483"/>
    <cellStyle name="Currency 3 2 6 2 2 2" xfId="15484"/>
    <cellStyle name="Currency 3 2 6 2 2 2 2" xfId="15485"/>
    <cellStyle name="Currency 3 2 6 2 2 2 2 2" xfId="15486"/>
    <cellStyle name="Currency 3 2 6 2 2 2 2 2 2" xfId="15487"/>
    <cellStyle name="Currency 3 2 6 2 2 2 2 2 3" xfId="15488"/>
    <cellStyle name="Currency 3 2 6 2 2 2 2 3" xfId="15489"/>
    <cellStyle name="Currency 3 2 6 2 2 2 2 3 2" xfId="15490"/>
    <cellStyle name="Currency 3 2 6 2 2 2 2 4" xfId="15491"/>
    <cellStyle name="Currency 3 2 6 2 2 2 3" xfId="15492"/>
    <cellStyle name="Currency 3 2 6 2 2 2 3 2" xfId="15493"/>
    <cellStyle name="Currency 3 2 6 2 2 2 3 2 2" xfId="15494"/>
    <cellStyle name="Currency 3 2 6 2 2 2 3 3" xfId="15495"/>
    <cellStyle name="Currency 3 2 6 2 2 2 4" xfId="15496"/>
    <cellStyle name="Currency 3 2 6 2 2 2 4 2" xfId="15497"/>
    <cellStyle name="Currency 3 2 6 2 2 2 4 3" xfId="15498"/>
    <cellStyle name="Currency 3 2 6 2 2 2 5" xfId="15499"/>
    <cellStyle name="Currency 3 2 6 2 2 2 5 2" xfId="15500"/>
    <cellStyle name="Currency 3 2 6 2 2 2 6" xfId="15501"/>
    <cellStyle name="Currency 3 2 6 2 2 2 6 2" xfId="36564"/>
    <cellStyle name="Currency 3 2 6 2 2 2 7" xfId="15502"/>
    <cellStyle name="Currency 3 2 6 2 2 3" xfId="15503"/>
    <cellStyle name="Currency 3 2 6 2 2 3 2" xfId="15504"/>
    <cellStyle name="Currency 3 2 6 2 2 3 2 2" xfId="15505"/>
    <cellStyle name="Currency 3 2 6 2 2 3 2 2 2" xfId="15506"/>
    <cellStyle name="Currency 3 2 6 2 2 3 2 3" xfId="15507"/>
    <cellStyle name="Currency 3 2 6 2 2 3 3" xfId="15508"/>
    <cellStyle name="Currency 3 2 6 2 2 3 3 2" xfId="15509"/>
    <cellStyle name="Currency 3 2 6 2 2 3 4" xfId="15510"/>
    <cellStyle name="Currency 3 2 6 2 2 4" xfId="15511"/>
    <cellStyle name="Currency 3 2 6 2 2 4 2" xfId="15512"/>
    <cellStyle name="Currency 3 2 6 2 2 4 2 2" xfId="15513"/>
    <cellStyle name="Currency 3 2 6 2 2 4 3" xfId="15514"/>
    <cellStyle name="Currency 3 2 6 2 2 5" xfId="15515"/>
    <cellStyle name="Currency 3 2 6 2 2 5 2" xfId="15516"/>
    <cellStyle name="Currency 3 2 6 2 2 5 2 2" xfId="15517"/>
    <cellStyle name="Currency 3 2 6 2 2 5 3" xfId="15518"/>
    <cellStyle name="Currency 3 2 6 2 2 6" xfId="15519"/>
    <cellStyle name="Currency 3 2 6 2 2 6 2" xfId="15520"/>
    <cellStyle name="Currency 3 2 6 2 2 7" xfId="15521"/>
    <cellStyle name="Currency 3 2 6 2 2 7 2" xfId="36565"/>
    <cellStyle name="Currency 3 2 6 2 2 8" xfId="15522"/>
    <cellStyle name="Currency 3 2 6 2 3" xfId="15523"/>
    <cellStyle name="Currency 3 2 6 2 3 2" xfId="15524"/>
    <cellStyle name="Currency 3 2 6 2 3 2 2" xfId="15525"/>
    <cellStyle name="Currency 3 2 6 2 3 2 2 2" xfId="15526"/>
    <cellStyle name="Currency 3 2 6 2 3 2 2 3" xfId="15527"/>
    <cellStyle name="Currency 3 2 6 2 3 2 3" xfId="15528"/>
    <cellStyle name="Currency 3 2 6 2 3 2 3 2" xfId="15529"/>
    <cellStyle name="Currency 3 2 6 2 3 2 4" xfId="15530"/>
    <cellStyle name="Currency 3 2 6 2 3 3" xfId="15531"/>
    <cellStyle name="Currency 3 2 6 2 3 3 2" xfId="15532"/>
    <cellStyle name="Currency 3 2 6 2 3 3 2 2" xfId="15533"/>
    <cellStyle name="Currency 3 2 6 2 3 3 3" xfId="15534"/>
    <cellStyle name="Currency 3 2 6 2 3 4" xfId="15535"/>
    <cellStyle name="Currency 3 2 6 2 3 4 2" xfId="15536"/>
    <cellStyle name="Currency 3 2 6 2 3 4 3" xfId="15537"/>
    <cellStyle name="Currency 3 2 6 2 3 5" xfId="15538"/>
    <cellStyle name="Currency 3 2 6 2 3 5 2" xfId="15539"/>
    <cellStyle name="Currency 3 2 6 2 3 6" xfId="15540"/>
    <cellStyle name="Currency 3 2 6 2 3 6 2" xfId="36566"/>
    <cellStyle name="Currency 3 2 6 2 3 7" xfId="15541"/>
    <cellStyle name="Currency 3 2 6 2 4" xfId="15542"/>
    <cellStyle name="Currency 3 2 6 2 4 2" xfId="15543"/>
    <cellStyle name="Currency 3 2 6 2 4 2 2" xfId="15544"/>
    <cellStyle name="Currency 3 2 6 2 4 2 2 2" xfId="15545"/>
    <cellStyle name="Currency 3 2 6 2 4 2 3" xfId="15546"/>
    <cellStyle name="Currency 3 2 6 2 4 3" xfId="15547"/>
    <cellStyle name="Currency 3 2 6 2 4 3 2" xfId="15548"/>
    <cellStyle name="Currency 3 2 6 2 4 4" xfId="15549"/>
    <cellStyle name="Currency 3 2 6 2 5" xfId="15550"/>
    <cellStyle name="Currency 3 2 6 2 5 2" xfId="15551"/>
    <cellStyle name="Currency 3 2 6 2 5 2 2" xfId="15552"/>
    <cellStyle name="Currency 3 2 6 2 5 3" xfId="15553"/>
    <cellStyle name="Currency 3 2 6 2 6" xfId="15554"/>
    <cellStyle name="Currency 3 2 6 2 6 2" xfId="15555"/>
    <cellStyle name="Currency 3 2 6 2 6 2 2" xfId="15556"/>
    <cellStyle name="Currency 3 2 6 2 6 3" xfId="15557"/>
    <cellStyle name="Currency 3 2 6 2 7" xfId="15558"/>
    <cellStyle name="Currency 3 2 6 2 7 2" xfId="15559"/>
    <cellStyle name="Currency 3 2 6 2 8" xfId="15560"/>
    <cellStyle name="Currency 3 2 6 2 8 2" xfId="36567"/>
    <cellStyle name="Currency 3 2 6 2 9" xfId="15561"/>
    <cellStyle name="Currency 3 2 6 3" xfId="15562"/>
    <cellStyle name="Currency 3 2 6 3 2" xfId="15563"/>
    <cellStyle name="Currency 3 2 6 3 2 2" xfId="15564"/>
    <cellStyle name="Currency 3 2 6 3 2 2 2" xfId="15565"/>
    <cellStyle name="Currency 3 2 6 3 2 2 2 2" xfId="15566"/>
    <cellStyle name="Currency 3 2 6 3 2 2 2 3" xfId="15567"/>
    <cellStyle name="Currency 3 2 6 3 2 2 3" xfId="15568"/>
    <cellStyle name="Currency 3 2 6 3 2 2 3 2" xfId="15569"/>
    <cellStyle name="Currency 3 2 6 3 2 2 4" xfId="15570"/>
    <cellStyle name="Currency 3 2 6 3 2 3" xfId="15571"/>
    <cellStyle name="Currency 3 2 6 3 2 3 2" xfId="15572"/>
    <cellStyle name="Currency 3 2 6 3 2 3 2 2" xfId="15573"/>
    <cellStyle name="Currency 3 2 6 3 2 3 3" xfId="15574"/>
    <cellStyle name="Currency 3 2 6 3 2 4" xfId="15575"/>
    <cellStyle name="Currency 3 2 6 3 2 4 2" xfId="15576"/>
    <cellStyle name="Currency 3 2 6 3 2 4 3" xfId="15577"/>
    <cellStyle name="Currency 3 2 6 3 2 5" xfId="15578"/>
    <cellStyle name="Currency 3 2 6 3 2 5 2" xfId="15579"/>
    <cellStyle name="Currency 3 2 6 3 2 6" xfId="15580"/>
    <cellStyle name="Currency 3 2 6 3 2 6 2" xfId="36568"/>
    <cellStyle name="Currency 3 2 6 3 2 7" xfId="15581"/>
    <cellStyle name="Currency 3 2 6 3 3" xfId="15582"/>
    <cellStyle name="Currency 3 2 6 3 3 2" xfId="15583"/>
    <cellStyle name="Currency 3 2 6 3 3 2 2" xfId="15584"/>
    <cellStyle name="Currency 3 2 6 3 3 2 2 2" xfId="15585"/>
    <cellStyle name="Currency 3 2 6 3 3 2 3" xfId="15586"/>
    <cellStyle name="Currency 3 2 6 3 3 3" xfId="15587"/>
    <cellStyle name="Currency 3 2 6 3 3 3 2" xfId="15588"/>
    <cellStyle name="Currency 3 2 6 3 3 4" xfId="15589"/>
    <cellStyle name="Currency 3 2 6 3 4" xfId="15590"/>
    <cellStyle name="Currency 3 2 6 3 4 2" xfId="15591"/>
    <cellStyle name="Currency 3 2 6 3 4 2 2" xfId="15592"/>
    <cellStyle name="Currency 3 2 6 3 4 3" xfId="15593"/>
    <cellStyle name="Currency 3 2 6 3 5" xfId="15594"/>
    <cellStyle name="Currency 3 2 6 3 5 2" xfId="15595"/>
    <cellStyle name="Currency 3 2 6 3 5 2 2" xfId="15596"/>
    <cellStyle name="Currency 3 2 6 3 5 3" xfId="15597"/>
    <cellStyle name="Currency 3 2 6 3 6" xfId="15598"/>
    <cellStyle name="Currency 3 2 6 3 6 2" xfId="15599"/>
    <cellStyle name="Currency 3 2 6 3 7" xfId="15600"/>
    <cellStyle name="Currency 3 2 6 3 7 2" xfId="36569"/>
    <cellStyle name="Currency 3 2 6 3 8" xfId="15601"/>
    <cellStyle name="Currency 3 2 6 4" xfId="15602"/>
    <cellStyle name="Currency 3 2 6 4 2" xfId="15603"/>
    <cellStyle name="Currency 3 2 6 4 2 2" xfId="15604"/>
    <cellStyle name="Currency 3 2 6 4 2 2 2" xfId="15605"/>
    <cellStyle name="Currency 3 2 6 4 2 2 3" xfId="15606"/>
    <cellStyle name="Currency 3 2 6 4 2 3" xfId="15607"/>
    <cellStyle name="Currency 3 2 6 4 2 3 2" xfId="15608"/>
    <cellStyle name="Currency 3 2 6 4 2 4" xfId="15609"/>
    <cellStyle name="Currency 3 2 6 4 3" xfId="15610"/>
    <cellStyle name="Currency 3 2 6 4 3 2" xfId="15611"/>
    <cellStyle name="Currency 3 2 6 4 3 2 2" xfId="15612"/>
    <cellStyle name="Currency 3 2 6 4 3 3" xfId="15613"/>
    <cellStyle name="Currency 3 2 6 4 4" xfId="15614"/>
    <cellStyle name="Currency 3 2 6 4 4 2" xfId="15615"/>
    <cellStyle name="Currency 3 2 6 4 4 3" xfId="15616"/>
    <cellStyle name="Currency 3 2 6 4 5" xfId="15617"/>
    <cellStyle name="Currency 3 2 6 4 5 2" xfId="15618"/>
    <cellStyle name="Currency 3 2 6 4 6" xfId="15619"/>
    <cellStyle name="Currency 3 2 6 4 6 2" xfId="36570"/>
    <cellStyle name="Currency 3 2 6 4 7" xfId="15620"/>
    <cellStyle name="Currency 3 2 6 5" xfId="15621"/>
    <cellStyle name="Currency 3 2 6 5 2" xfId="15622"/>
    <cellStyle name="Currency 3 2 6 5 2 2" xfId="15623"/>
    <cellStyle name="Currency 3 2 6 5 2 2 2" xfId="15624"/>
    <cellStyle name="Currency 3 2 6 5 2 3" xfId="15625"/>
    <cellStyle name="Currency 3 2 6 5 3" xfId="15626"/>
    <cellStyle name="Currency 3 2 6 5 3 2" xfId="15627"/>
    <cellStyle name="Currency 3 2 6 5 4" xfId="15628"/>
    <cellStyle name="Currency 3 2 6 6" xfId="15629"/>
    <cellStyle name="Currency 3 2 6 6 2" xfId="15630"/>
    <cellStyle name="Currency 3 2 6 6 2 2" xfId="15631"/>
    <cellStyle name="Currency 3 2 6 6 3" xfId="15632"/>
    <cellStyle name="Currency 3 2 6 7" xfId="15633"/>
    <cellStyle name="Currency 3 2 6 7 2" xfId="15634"/>
    <cellStyle name="Currency 3 2 6 7 2 2" xfId="15635"/>
    <cellStyle name="Currency 3 2 6 7 3" xfId="15636"/>
    <cellStyle name="Currency 3 2 6 8" xfId="15637"/>
    <cellStyle name="Currency 3 2 6 8 2" xfId="15638"/>
    <cellStyle name="Currency 3 2 6 9" xfId="15639"/>
    <cellStyle name="Currency 3 2 6 9 2" xfId="36571"/>
    <cellStyle name="Currency 3 2 7" xfId="15640"/>
    <cellStyle name="Currency 3 2 7 2" xfId="15641"/>
    <cellStyle name="Currency 3 2 7 2 2" xfId="15642"/>
    <cellStyle name="Currency 3 2 7 2 2 2" xfId="15643"/>
    <cellStyle name="Currency 3 2 7 2 2 2 2" xfId="15644"/>
    <cellStyle name="Currency 3 2 7 2 2 2 2 2" xfId="15645"/>
    <cellStyle name="Currency 3 2 7 2 2 2 2 3" xfId="15646"/>
    <cellStyle name="Currency 3 2 7 2 2 2 3" xfId="15647"/>
    <cellStyle name="Currency 3 2 7 2 2 2 3 2" xfId="15648"/>
    <cellStyle name="Currency 3 2 7 2 2 2 4" xfId="15649"/>
    <cellStyle name="Currency 3 2 7 2 2 3" xfId="15650"/>
    <cellStyle name="Currency 3 2 7 2 2 3 2" xfId="15651"/>
    <cellStyle name="Currency 3 2 7 2 2 3 2 2" xfId="15652"/>
    <cellStyle name="Currency 3 2 7 2 2 3 3" xfId="15653"/>
    <cellStyle name="Currency 3 2 7 2 2 4" xfId="15654"/>
    <cellStyle name="Currency 3 2 7 2 2 4 2" xfId="15655"/>
    <cellStyle name="Currency 3 2 7 2 2 4 3" xfId="15656"/>
    <cellStyle name="Currency 3 2 7 2 2 5" xfId="15657"/>
    <cellStyle name="Currency 3 2 7 2 2 5 2" xfId="15658"/>
    <cellStyle name="Currency 3 2 7 2 2 6" xfId="15659"/>
    <cellStyle name="Currency 3 2 7 2 2 6 2" xfId="36572"/>
    <cellStyle name="Currency 3 2 7 2 2 7" xfId="15660"/>
    <cellStyle name="Currency 3 2 7 2 3" xfId="15661"/>
    <cellStyle name="Currency 3 2 7 2 3 2" xfId="15662"/>
    <cellStyle name="Currency 3 2 7 2 3 2 2" xfId="15663"/>
    <cellStyle name="Currency 3 2 7 2 3 2 2 2" xfId="15664"/>
    <cellStyle name="Currency 3 2 7 2 3 2 3" xfId="15665"/>
    <cellStyle name="Currency 3 2 7 2 3 3" xfId="15666"/>
    <cellStyle name="Currency 3 2 7 2 3 3 2" xfId="15667"/>
    <cellStyle name="Currency 3 2 7 2 3 4" xfId="15668"/>
    <cellStyle name="Currency 3 2 7 2 4" xfId="15669"/>
    <cellStyle name="Currency 3 2 7 2 4 2" xfId="15670"/>
    <cellStyle name="Currency 3 2 7 2 4 2 2" xfId="15671"/>
    <cellStyle name="Currency 3 2 7 2 4 3" xfId="15672"/>
    <cellStyle name="Currency 3 2 7 2 5" xfId="15673"/>
    <cellStyle name="Currency 3 2 7 2 5 2" xfId="15674"/>
    <cellStyle name="Currency 3 2 7 2 5 2 2" xfId="15675"/>
    <cellStyle name="Currency 3 2 7 2 5 3" xfId="15676"/>
    <cellStyle name="Currency 3 2 7 2 6" xfId="15677"/>
    <cellStyle name="Currency 3 2 7 2 6 2" xfId="15678"/>
    <cellStyle name="Currency 3 2 7 2 7" xfId="15679"/>
    <cellStyle name="Currency 3 2 7 2 7 2" xfId="36573"/>
    <cellStyle name="Currency 3 2 7 2 8" xfId="15680"/>
    <cellStyle name="Currency 3 2 7 3" xfId="15681"/>
    <cellStyle name="Currency 3 2 7 3 2" xfId="15682"/>
    <cellStyle name="Currency 3 2 7 3 2 2" xfId="15683"/>
    <cellStyle name="Currency 3 2 7 3 2 2 2" xfId="15684"/>
    <cellStyle name="Currency 3 2 7 3 2 2 3" xfId="15685"/>
    <cellStyle name="Currency 3 2 7 3 2 3" xfId="15686"/>
    <cellStyle name="Currency 3 2 7 3 2 3 2" xfId="15687"/>
    <cellStyle name="Currency 3 2 7 3 2 4" xfId="15688"/>
    <cellStyle name="Currency 3 2 7 3 3" xfId="15689"/>
    <cellStyle name="Currency 3 2 7 3 3 2" xfId="15690"/>
    <cellStyle name="Currency 3 2 7 3 3 2 2" xfId="15691"/>
    <cellStyle name="Currency 3 2 7 3 3 3" xfId="15692"/>
    <cellStyle name="Currency 3 2 7 3 4" xfId="15693"/>
    <cellStyle name="Currency 3 2 7 3 4 2" xfId="15694"/>
    <cellStyle name="Currency 3 2 7 3 4 3" xfId="15695"/>
    <cellStyle name="Currency 3 2 7 3 5" xfId="15696"/>
    <cellStyle name="Currency 3 2 7 3 5 2" xfId="15697"/>
    <cellStyle name="Currency 3 2 7 3 6" xfId="15698"/>
    <cellStyle name="Currency 3 2 7 3 6 2" xfId="36574"/>
    <cellStyle name="Currency 3 2 7 3 7" xfId="15699"/>
    <cellStyle name="Currency 3 2 7 4" xfId="15700"/>
    <cellStyle name="Currency 3 2 7 4 2" xfId="15701"/>
    <cellStyle name="Currency 3 2 7 4 2 2" xfId="15702"/>
    <cellStyle name="Currency 3 2 7 4 2 2 2" xfId="15703"/>
    <cellStyle name="Currency 3 2 7 4 2 3" xfId="15704"/>
    <cellStyle name="Currency 3 2 7 4 3" xfId="15705"/>
    <cellStyle name="Currency 3 2 7 4 3 2" xfId="15706"/>
    <cellStyle name="Currency 3 2 7 4 4" xfId="15707"/>
    <cellStyle name="Currency 3 2 7 5" xfId="15708"/>
    <cellStyle name="Currency 3 2 7 5 2" xfId="15709"/>
    <cellStyle name="Currency 3 2 7 5 2 2" xfId="15710"/>
    <cellStyle name="Currency 3 2 7 5 3" xfId="15711"/>
    <cellStyle name="Currency 3 2 7 6" xfId="15712"/>
    <cellStyle name="Currency 3 2 7 6 2" xfId="15713"/>
    <cellStyle name="Currency 3 2 7 6 2 2" xfId="15714"/>
    <cellStyle name="Currency 3 2 7 6 3" xfId="15715"/>
    <cellStyle name="Currency 3 2 7 7" xfId="15716"/>
    <cellStyle name="Currency 3 2 7 7 2" xfId="15717"/>
    <cellStyle name="Currency 3 2 7 8" xfId="15718"/>
    <cellStyle name="Currency 3 2 7 8 2" xfId="36575"/>
    <cellStyle name="Currency 3 2 7 9" xfId="15719"/>
    <cellStyle name="Currency 3 2 8" xfId="15720"/>
    <cellStyle name="Currency 3 2 8 2" xfId="15721"/>
    <cellStyle name="Currency 3 2 8 2 2" xfId="15722"/>
    <cellStyle name="Currency 3 2 8 2 2 2" xfId="15723"/>
    <cellStyle name="Currency 3 2 8 2 2 2 2" xfId="15724"/>
    <cellStyle name="Currency 3 2 8 2 2 2 2 2" xfId="15725"/>
    <cellStyle name="Currency 3 2 8 2 2 2 2 3" xfId="15726"/>
    <cellStyle name="Currency 3 2 8 2 2 2 3" xfId="15727"/>
    <cellStyle name="Currency 3 2 8 2 2 2 3 2" xfId="15728"/>
    <cellStyle name="Currency 3 2 8 2 2 2 4" xfId="15729"/>
    <cellStyle name="Currency 3 2 8 2 2 3" xfId="15730"/>
    <cellStyle name="Currency 3 2 8 2 2 3 2" xfId="15731"/>
    <cellStyle name="Currency 3 2 8 2 2 3 2 2" xfId="15732"/>
    <cellStyle name="Currency 3 2 8 2 2 3 3" xfId="15733"/>
    <cellStyle name="Currency 3 2 8 2 2 4" xfId="15734"/>
    <cellStyle name="Currency 3 2 8 2 2 4 2" xfId="15735"/>
    <cellStyle name="Currency 3 2 8 2 2 4 3" xfId="15736"/>
    <cellStyle name="Currency 3 2 8 2 2 5" xfId="15737"/>
    <cellStyle name="Currency 3 2 8 2 2 5 2" xfId="15738"/>
    <cellStyle name="Currency 3 2 8 2 2 6" xfId="15739"/>
    <cellStyle name="Currency 3 2 8 2 2 6 2" xfId="36576"/>
    <cellStyle name="Currency 3 2 8 2 2 7" xfId="15740"/>
    <cellStyle name="Currency 3 2 8 2 3" xfId="15741"/>
    <cellStyle name="Currency 3 2 8 2 3 2" xfId="15742"/>
    <cellStyle name="Currency 3 2 8 2 3 2 2" xfId="15743"/>
    <cellStyle name="Currency 3 2 8 2 3 2 2 2" xfId="15744"/>
    <cellStyle name="Currency 3 2 8 2 3 2 3" xfId="15745"/>
    <cellStyle name="Currency 3 2 8 2 3 3" xfId="15746"/>
    <cellStyle name="Currency 3 2 8 2 3 3 2" xfId="15747"/>
    <cellStyle name="Currency 3 2 8 2 3 4" xfId="15748"/>
    <cellStyle name="Currency 3 2 8 2 4" xfId="15749"/>
    <cellStyle name="Currency 3 2 8 2 4 2" xfId="15750"/>
    <cellStyle name="Currency 3 2 8 2 4 2 2" xfId="15751"/>
    <cellStyle name="Currency 3 2 8 2 4 3" xfId="15752"/>
    <cellStyle name="Currency 3 2 8 2 5" xfId="15753"/>
    <cellStyle name="Currency 3 2 8 2 5 2" xfId="15754"/>
    <cellStyle name="Currency 3 2 8 2 5 2 2" xfId="15755"/>
    <cellStyle name="Currency 3 2 8 2 5 3" xfId="15756"/>
    <cellStyle name="Currency 3 2 8 2 6" xfId="15757"/>
    <cellStyle name="Currency 3 2 8 2 6 2" xfId="15758"/>
    <cellStyle name="Currency 3 2 8 2 7" xfId="15759"/>
    <cellStyle name="Currency 3 2 8 2 7 2" xfId="36577"/>
    <cellStyle name="Currency 3 2 8 2 8" xfId="15760"/>
    <cellStyle name="Currency 3 2 8 3" xfId="15761"/>
    <cellStyle name="Currency 3 2 8 3 2" xfId="15762"/>
    <cellStyle name="Currency 3 2 8 3 2 2" xfId="15763"/>
    <cellStyle name="Currency 3 2 8 3 2 2 2" xfId="15764"/>
    <cellStyle name="Currency 3 2 8 3 2 2 3" xfId="15765"/>
    <cellStyle name="Currency 3 2 8 3 2 3" xfId="15766"/>
    <cellStyle name="Currency 3 2 8 3 2 3 2" xfId="15767"/>
    <cellStyle name="Currency 3 2 8 3 2 4" xfId="15768"/>
    <cellStyle name="Currency 3 2 8 3 3" xfId="15769"/>
    <cellStyle name="Currency 3 2 8 3 3 2" xfId="15770"/>
    <cellStyle name="Currency 3 2 8 3 3 2 2" xfId="15771"/>
    <cellStyle name="Currency 3 2 8 3 3 3" xfId="15772"/>
    <cellStyle name="Currency 3 2 8 3 4" xfId="15773"/>
    <cellStyle name="Currency 3 2 8 3 4 2" xfId="15774"/>
    <cellStyle name="Currency 3 2 8 3 4 3" xfId="15775"/>
    <cellStyle name="Currency 3 2 8 3 5" xfId="15776"/>
    <cellStyle name="Currency 3 2 8 3 5 2" xfId="15777"/>
    <cellStyle name="Currency 3 2 8 3 6" xfId="15778"/>
    <cellStyle name="Currency 3 2 8 3 6 2" xfId="36578"/>
    <cellStyle name="Currency 3 2 8 3 7" xfId="15779"/>
    <cellStyle name="Currency 3 2 8 4" xfId="15780"/>
    <cellStyle name="Currency 3 2 8 4 2" xfId="15781"/>
    <cellStyle name="Currency 3 2 8 4 2 2" xfId="15782"/>
    <cellStyle name="Currency 3 2 8 4 2 2 2" xfId="15783"/>
    <cellStyle name="Currency 3 2 8 4 2 3" xfId="15784"/>
    <cellStyle name="Currency 3 2 8 4 3" xfId="15785"/>
    <cellStyle name="Currency 3 2 8 4 3 2" xfId="15786"/>
    <cellStyle name="Currency 3 2 8 4 4" xfId="15787"/>
    <cellStyle name="Currency 3 2 8 5" xfId="15788"/>
    <cellStyle name="Currency 3 2 8 5 2" xfId="15789"/>
    <cellStyle name="Currency 3 2 8 5 2 2" xfId="15790"/>
    <cellStyle name="Currency 3 2 8 5 3" xfId="15791"/>
    <cellStyle name="Currency 3 2 8 6" xfId="15792"/>
    <cellStyle name="Currency 3 2 8 6 2" xfId="15793"/>
    <cellStyle name="Currency 3 2 8 6 2 2" xfId="15794"/>
    <cellStyle name="Currency 3 2 8 6 3" xfId="15795"/>
    <cellStyle name="Currency 3 2 8 7" xfId="15796"/>
    <cellStyle name="Currency 3 2 8 7 2" xfId="15797"/>
    <cellStyle name="Currency 3 2 8 8" xfId="15798"/>
    <cellStyle name="Currency 3 2 8 8 2" xfId="36579"/>
    <cellStyle name="Currency 3 2 8 9" xfId="15799"/>
    <cellStyle name="Currency 3 2 9" xfId="15800"/>
    <cellStyle name="Currency 3 2 9 2" xfId="15801"/>
    <cellStyle name="Currency 3 2 9 2 2" xfId="15802"/>
    <cellStyle name="Currency 3 2 9 2 2 2" xfId="15803"/>
    <cellStyle name="Currency 3 2 9 2 2 2 2" xfId="15804"/>
    <cellStyle name="Currency 3 2 9 2 2 2 3" xfId="15805"/>
    <cellStyle name="Currency 3 2 9 2 2 3" xfId="15806"/>
    <cellStyle name="Currency 3 2 9 2 2 3 2" xfId="15807"/>
    <cellStyle name="Currency 3 2 9 2 2 4" xfId="15808"/>
    <cellStyle name="Currency 3 2 9 2 3" xfId="15809"/>
    <cellStyle name="Currency 3 2 9 2 3 2" xfId="15810"/>
    <cellStyle name="Currency 3 2 9 2 3 2 2" xfId="15811"/>
    <cellStyle name="Currency 3 2 9 2 3 3" xfId="15812"/>
    <cellStyle name="Currency 3 2 9 2 4" xfId="15813"/>
    <cellStyle name="Currency 3 2 9 2 4 2" xfId="15814"/>
    <cellStyle name="Currency 3 2 9 2 4 3" xfId="15815"/>
    <cellStyle name="Currency 3 2 9 2 5" xfId="15816"/>
    <cellStyle name="Currency 3 2 9 2 5 2" xfId="15817"/>
    <cellStyle name="Currency 3 2 9 2 6" xfId="15818"/>
    <cellStyle name="Currency 3 2 9 2 6 2" xfId="36580"/>
    <cellStyle name="Currency 3 2 9 2 7" xfId="15819"/>
    <cellStyle name="Currency 3 2 9 3" xfId="15820"/>
    <cellStyle name="Currency 3 2 9 3 2" xfId="15821"/>
    <cellStyle name="Currency 3 2 9 3 2 2" xfId="15822"/>
    <cellStyle name="Currency 3 2 9 3 2 2 2" xfId="15823"/>
    <cellStyle name="Currency 3 2 9 3 2 3" xfId="15824"/>
    <cellStyle name="Currency 3 2 9 3 3" xfId="15825"/>
    <cellStyle name="Currency 3 2 9 3 3 2" xfId="15826"/>
    <cellStyle name="Currency 3 2 9 3 4" xfId="15827"/>
    <cellStyle name="Currency 3 2 9 4" xfId="15828"/>
    <cellStyle name="Currency 3 2 9 4 2" xfId="15829"/>
    <cellStyle name="Currency 3 2 9 4 2 2" xfId="15830"/>
    <cellStyle name="Currency 3 2 9 4 3" xfId="15831"/>
    <cellStyle name="Currency 3 2 9 5" xfId="15832"/>
    <cellStyle name="Currency 3 2 9 5 2" xfId="15833"/>
    <cellStyle name="Currency 3 2 9 5 2 2" xfId="15834"/>
    <cellStyle name="Currency 3 2 9 5 3" xfId="15835"/>
    <cellStyle name="Currency 3 2 9 6" xfId="15836"/>
    <cellStyle name="Currency 3 2 9 6 2" xfId="15837"/>
    <cellStyle name="Currency 3 2 9 7" xfId="15838"/>
    <cellStyle name="Currency 3 2 9 7 2" xfId="36581"/>
    <cellStyle name="Currency 3 2 9 8" xfId="15839"/>
    <cellStyle name="Currency 3 20" xfId="35799"/>
    <cellStyle name="Currency 3 3" xfId="15840"/>
    <cellStyle name="Currency 3 3 10" xfId="15841"/>
    <cellStyle name="Currency 3 3 10 2" xfId="15842"/>
    <cellStyle name="Currency 3 3 10 2 2" xfId="15843"/>
    <cellStyle name="Currency 3 3 10 3" xfId="15844"/>
    <cellStyle name="Currency 3 3 11" xfId="15845"/>
    <cellStyle name="Currency 3 3 11 2" xfId="15846"/>
    <cellStyle name="Currency 3 3 11 2 2" xfId="15847"/>
    <cellStyle name="Currency 3 3 11 3" xfId="15848"/>
    <cellStyle name="Currency 3 3 12" xfId="15849"/>
    <cellStyle name="Currency 3 3 12 2" xfId="15850"/>
    <cellStyle name="Currency 3 3 13" xfId="15851"/>
    <cellStyle name="Currency 3 3 13 2" xfId="36582"/>
    <cellStyle name="Currency 3 3 14" xfId="15852"/>
    <cellStyle name="Currency 3 3 2" xfId="15853"/>
    <cellStyle name="Currency 3 3 2 10" xfId="15854"/>
    <cellStyle name="Currency 3 3 2 2" xfId="15855"/>
    <cellStyle name="Currency 3 3 2 2 2" xfId="15856"/>
    <cellStyle name="Currency 3 3 2 2 2 2" xfId="15857"/>
    <cellStyle name="Currency 3 3 2 2 2 2 2" xfId="15858"/>
    <cellStyle name="Currency 3 3 2 2 2 2 2 2" xfId="15859"/>
    <cellStyle name="Currency 3 3 2 2 2 2 2 2 2" xfId="15860"/>
    <cellStyle name="Currency 3 3 2 2 2 2 2 2 3" xfId="15861"/>
    <cellStyle name="Currency 3 3 2 2 2 2 2 3" xfId="15862"/>
    <cellStyle name="Currency 3 3 2 2 2 2 2 3 2" xfId="15863"/>
    <cellStyle name="Currency 3 3 2 2 2 2 2 4" xfId="15864"/>
    <cellStyle name="Currency 3 3 2 2 2 2 3" xfId="15865"/>
    <cellStyle name="Currency 3 3 2 2 2 2 3 2" xfId="15866"/>
    <cellStyle name="Currency 3 3 2 2 2 2 3 2 2" xfId="15867"/>
    <cellStyle name="Currency 3 3 2 2 2 2 3 3" xfId="15868"/>
    <cellStyle name="Currency 3 3 2 2 2 2 4" xfId="15869"/>
    <cellStyle name="Currency 3 3 2 2 2 2 4 2" xfId="15870"/>
    <cellStyle name="Currency 3 3 2 2 2 2 4 3" xfId="15871"/>
    <cellStyle name="Currency 3 3 2 2 2 2 5" xfId="15872"/>
    <cellStyle name="Currency 3 3 2 2 2 2 5 2" xfId="15873"/>
    <cellStyle name="Currency 3 3 2 2 2 2 6" xfId="15874"/>
    <cellStyle name="Currency 3 3 2 2 2 2 6 2" xfId="36583"/>
    <cellStyle name="Currency 3 3 2 2 2 2 7" xfId="15875"/>
    <cellStyle name="Currency 3 3 2 2 2 3" xfId="15876"/>
    <cellStyle name="Currency 3 3 2 2 2 3 2" xfId="15877"/>
    <cellStyle name="Currency 3 3 2 2 2 3 2 2" xfId="15878"/>
    <cellStyle name="Currency 3 3 2 2 2 3 2 2 2" xfId="15879"/>
    <cellStyle name="Currency 3 3 2 2 2 3 2 3" xfId="15880"/>
    <cellStyle name="Currency 3 3 2 2 2 3 3" xfId="15881"/>
    <cellStyle name="Currency 3 3 2 2 2 3 3 2" xfId="15882"/>
    <cellStyle name="Currency 3 3 2 2 2 3 4" xfId="15883"/>
    <cellStyle name="Currency 3 3 2 2 2 4" xfId="15884"/>
    <cellStyle name="Currency 3 3 2 2 2 4 2" xfId="15885"/>
    <cellStyle name="Currency 3 3 2 2 2 4 2 2" xfId="15886"/>
    <cellStyle name="Currency 3 3 2 2 2 4 3" xfId="15887"/>
    <cellStyle name="Currency 3 3 2 2 2 5" xfId="15888"/>
    <cellStyle name="Currency 3 3 2 2 2 5 2" xfId="15889"/>
    <cellStyle name="Currency 3 3 2 2 2 5 2 2" xfId="15890"/>
    <cellStyle name="Currency 3 3 2 2 2 5 3" xfId="15891"/>
    <cellStyle name="Currency 3 3 2 2 2 6" xfId="15892"/>
    <cellStyle name="Currency 3 3 2 2 2 6 2" xfId="15893"/>
    <cellStyle name="Currency 3 3 2 2 2 7" xfId="15894"/>
    <cellStyle name="Currency 3 3 2 2 2 7 2" xfId="36584"/>
    <cellStyle name="Currency 3 3 2 2 2 8" xfId="15895"/>
    <cellStyle name="Currency 3 3 2 2 3" xfId="15896"/>
    <cellStyle name="Currency 3 3 2 2 3 2" xfId="15897"/>
    <cellStyle name="Currency 3 3 2 2 3 2 2" xfId="15898"/>
    <cellStyle name="Currency 3 3 2 2 3 2 2 2" xfId="15899"/>
    <cellStyle name="Currency 3 3 2 2 3 2 2 3" xfId="15900"/>
    <cellStyle name="Currency 3 3 2 2 3 2 3" xfId="15901"/>
    <cellStyle name="Currency 3 3 2 2 3 2 3 2" xfId="15902"/>
    <cellStyle name="Currency 3 3 2 2 3 2 4" xfId="15903"/>
    <cellStyle name="Currency 3 3 2 2 3 3" xfId="15904"/>
    <cellStyle name="Currency 3 3 2 2 3 3 2" xfId="15905"/>
    <cellStyle name="Currency 3 3 2 2 3 3 2 2" xfId="15906"/>
    <cellStyle name="Currency 3 3 2 2 3 3 3" xfId="15907"/>
    <cellStyle name="Currency 3 3 2 2 3 4" xfId="15908"/>
    <cellStyle name="Currency 3 3 2 2 3 4 2" xfId="15909"/>
    <cellStyle name="Currency 3 3 2 2 3 4 3" xfId="15910"/>
    <cellStyle name="Currency 3 3 2 2 3 5" xfId="15911"/>
    <cellStyle name="Currency 3 3 2 2 3 5 2" xfId="15912"/>
    <cellStyle name="Currency 3 3 2 2 3 6" xfId="15913"/>
    <cellStyle name="Currency 3 3 2 2 3 6 2" xfId="36585"/>
    <cellStyle name="Currency 3 3 2 2 3 7" xfId="15914"/>
    <cellStyle name="Currency 3 3 2 2 4" xfId="15915"/>
    <cellStyle name="Currency 3 3 2 2 4 2" xfId="15916"/>
    <cellStyle name="Currency 3 3 2 2 4 2 2" xfId="15917"/>
    <cellStyle name="Currency 3 3 2 2 4 2 2 2" xfId="15918"/>
    <cellStyle name="Currency 3 3 2 2 4 2 3" xfId="15919"/>
    <cellStyle name="Currency 3 3 2 2 4 3" xfId="15920"/>
    <cellStyle name="Currency 3 3 2 2 4 3 2" xfId="15921"/>
    <cellStyle name="Currency 3 3 2 2 4 4" xfId="15922"/>
    <cellStyle name="Currency 3 3 2 2 5" xfId="15923"/>
    <cellStyle name="Currency 3 3 2 2 5 2" xfId="15924"/>
    <cellStyle name="Currency 3 3 2 2 5 2 2" xfId="15925"/>
    <cellStyle name="Currency 3 3 2 2 5 3" xfId="15926"/>
    <cellStyle name="Currency 3 3 2 2 6" xfId="15927"/>
    <cellStyle name="Currency 3 3 2 2 6 2" xfId="15928"/>
    <cellStyle name="Currency 3 3 2 2 6 2 2" xfId="15929"/>
    <cellStyle name="Currency 3 3 2 2 6 3" xfId="15930"/>
    <cellStyle name="Currency 3 3 2 2 7" xfId="15931"/>
    <cellStyle name="Currency 3 3 2 2 7 2" xfId="15932"/>
    <cellStyle name="Currency 3 3 2 2 8" xfId="15933"/>
    <cellStyle name="Currency 3 3 2 2 8 2" xfId="36586"/>
    <cellStyle name="Currency 3 3 2 2 9" xfId="15934"/>
    <cellStyle name="Currency 3 3 2 3" xfId="15935"/>
    <cellStyle name="Currency 3 3 2 3 2" xfId="15936"/>
    <cellStyle name="Currency 3 3 2 3 2 2" xfId="15937"/>
    <cellStyle name="Currency 3 3 2 3 2 2 2" xfId="15938"/>
    <cellStyle name="Currency 3 3 2 3 2 2 2 2" xfId="15939"/>
    <cellStyle name="Currency 3 3 2 3 2 2 2 3" xfId="15940"/>
    <cellStyle name="Currency 3 3 2 3 2 2 3" xfId="15941"/>
    <cellStyle name="Currency 3 3 2 3 2 2 3 2" xfId="15942"/>
    <cellStyle name="Currency 3 3 2 3 2 2 4" xfId="15943"/>
    <cellStyle name="Currency 3 3 2 3 2 3" xfId="15944"/>
    <cellStyle name="Currency 3 3 2 3 2 3 2" xfId="15945"/>
    <cellStyle name="Currency 3 3 2 3 2 3 2 2" xfId="15946"/>
    <cellStyle name="Currency 3 3 2 3 2 3 3" xfId="15947"/>
    <cellStyle name="Currency 3 3 2 3 2 4" xfId="15948"/>
    <cellStyle name="Currency 3 3 2 3 2 4 2" xfId="15949"/>
    <cellStyle name="Currency 3 3 2 3 2 4 3" xfId="15950"/>
    <cellStyle name="Currency 3 3 2 3 2 5" xfId="15951"/>
    <cellStyle name="Currency 3 3 2 3 2 5 2" xfId="15952"/>
    <cellStyle name="Currency 3 3 2 3 2 6" xfId="15953"/>
    <cellStyle name="Currency 3 3 2 3 2 6 2" xfId="36587"/>
    <cellStyle name="Currency 3 3 2 3 2 7" xfId="15954"/>
    <cellStyle name="Currency 3 3 2 3 3" xfId="15955"/>
    <cellStyle name="Currency 3 3 2 3 3 2" xfId="15956"/>
    <cellStyle name="Currency 3 3 2 3 3 2 2" xfId="15957"/>
    <cellStyle name="Currency 3 3 2 3 3 2 2 2" xfId="15958"/>
    <cellStyle name="Currency 3 3 2 3 3 2 3" xfId="15959"/>
    <cellStyle name="Currency 3 3 2 3 3 3" xfId="15960"/>
    <cellStyle name="Currency 3 3 2 3 3 3 2" xfId="15961"/>
    <cellStyle name="Currency 3 3 2 3 3 4" xfId="15962"/>
    <cellStyle name="Currency 3 3 2 3 4" xfId="15963"/>
    <cellStyle name="Currency 3 3 2 3 4 2" xfId="15964"/>
    <cellStyle name="Currency 3 3 2 3 4 2 2" xfId="15965"/>
    <cellStyle name="Currency 3 3 2 3 4 3" xfId="15966"/>
    <cellStyle name="Currency 3 3 2 3 5" xfId="15967"/>
    <cellStyle name="Currency 3 3 2 3 5 2" xfId="15968"/>
    <cellStyle name="Currency 3 3 2 3 5 2 2" xfId="15969"/>
    <cellStyle name="Currency 3 3 2 3 5 3" xfId="15970"/>
    <cellStyle name="Currency 3 3 2 3 6" xfId="15971"/>
    <cellStyle name="Currency 3 3 2 3 6 2" xfId="15972"/>
    <cellStyle name="Currency 3 3 2 3 7" xfId="15973"/>
    <cellStyle name="Currency 3 3 2 3 7 2" xfId="36588"/>
    <cellStyle name="Currency 3 3 2 3 8" xfId="15974"/>
    <cellStyle name="Currency 3 3 2 4" xfId="15975"/>
    <cellStyle name="Currency 3 3 2 4 2" xfId="15976"/>
    <cellStyle name="Currency 3 3 2 4 2 2" xfId="15977"/>
    <cellStyle name="Currency 3 3 2 4 2 2 2" xfId="15978"/>
    <cellStyle name="Currency 3 3 2 4 2 2 3" xfId="15979"/>
    <cellStyle name="Currency 3 3 2 4 2 3" xfId="15980"/>
    <cellStyle name="Currency 3 3 2 4 2 3 2" xfId="15981"/>
    <cellStyle name="Currency 3 3 2 4 2 4" xfId="15982"/>
    <cellStyle name="Currency 3 3 2 4 3" xfId="15983"/>
    <cellStyle name="Currency 3 3 2 4 3 2" xfId="15984"/>
    <cellStyle name="Currency 3 3 2 4 3 2 2" xfId="15985"/>
    <cellStyle name="Currency 3 3 2 4 3 3" xfId="15986"/>
    <cellStyle name="Currency 3 3 2 4 4" xfId="15987"/>
    <cellStyle name="Currency 3 3 2 4 4 2" xfId="15988"/>
    <cellStyle name="Currency 3 3 2 4 4 3" xfId="15989"/>
    <cellStyle name="Currency 3 3 2 4 5" xfId="15990"/>
    <cellStyle name="Currency 3 3 2 4 5 2" xfId="15991"/>
    <cellStyle name="Currency 3 3 2 4 6" xfId="15992"/>
    <cellStyle name="Currency 3 3 2 4 6 2" xfId="36589"/>
    <cellStyle name="Currency 3 3 2 4 7" xfId="15993"/>
    <cellStyle name="Currency 3 3 2 5" xfId="15994"/>
    <cellStyle name="Currency 3 3 2 5 2" xfId="15995"/>
    <cellStyle name="Currency 3 3 2 5 2 2" xfId="15996"/>
    <cellStyle name="Currency 3 3 2 5 2 2 2" xfId="15997"/>
    <cellStyle name="Currency 3 3 2 5 2 3" xfId="15998"/>
    <cellStyle name="Currency 3 3 2 5 3" xfId="15999"/>
    <cellStyle name="Currency 3 3 2 5 3 2" xfId="16000"/>
    <cellStyle name="Currency 3 3 2 5 4" xfId="16001"/>
    <cellStyle name="Currency 3 3 2 6" xfId="16002"/>
    <cellStyle name="Currency 3 3 2 6 2" xfId="16003"/>
    <cellStyle name="Currency 3 3 2 6 2 2" xfId="16004"/>
    <cellStyle name="Currency 3 3 2 6 3" xfId="16005"/>
    <cellStyle name="Currency 3 3 2 7" xfId="16006"/>
    <cellStyle name="Currency 3 3 2 7 2" xfId="16007"/>
    <cellStyle name="Currency 3 3 2 7 2 2" xfId="16008"/>
    <cellStyle name="Currency 3 3 2 7 3" xfId="16009"/>
    <cellStyle name="Currency 3 3 2 8" xfId="16010"/>
    <cellStyle name="Currency 3 3 2 8 2" xfId="16011"/>
    <cellStyle name="Currency 3 3 2 9" xfId="16012"/>
    <cellStyle name="Currency 3 3 2 9 2" xfId="36590"/>
    <cellStyle name="Currency 3 3 3" xfId="16013"/>
    <cellStyle name="Currency 3 3 3 2" xfId="16014"/>
    <cellStyle name="Currency 3 3 3 2 2" xfId="16015"/>
    <cellStyle name="Currency 3 3 3 2 2 2" xfId="16016"/>
    <cellStyle name="Currency 3 3 3 2 2 2 2" xfId="16017"/>
    <cellStyle name="Currency 3 3 3 2 2 2 2 2" xfId="16018"/>
    <cellStyle name="Currency 3 3 3 2 2 2 2 3" xfId="16019"/>
    <cellStyle name="Currency 3 3 3 2 2 2 3" xfId="16020"/>
    <cellStyle name="Currency 3 3 3 2 2 2 3 2" xfId="16021"/>
    <cellStyle name="Currency 3 3 3 2 2 2 4" xfId="16022"/>
    <cellStyle name="Currency 3 3 3 2 2 3" xfId="16023"/>
    <cellStyle name="Currency 3 3 3 2 2 3 2" xfId="16024"/>
    <cellStyle name="Currency 3 3 3 2 2 3 2 2" xfId="16025"/>
    <cellStyle name="Currency 3 3 3 2 2 3 3" xfId="16026"/>
    <cellStyle name="Currency 3 3 3 2 2 4" xfId="16027"/>
    <cellStyle name="Currency 3 3 3 2 2 4 2" xfId="16028"/>
    <cellStyle name="Currency 3 3 3 2 2 4 3" xfId="16029"/>
    <cellStyle name="Currency 3 3 3 2 2 5" xfId="16030"/>
    <cellStyle name="Currency 3 3 3 2 2 5 2" xfId="16031"/>
    <cellStyle name="Currency 3 3 3 2 2 6" xfId="16032"/>
    <cellStyle name="Currency 3 3 3 2 2 6 2" xfId="36591"/>
    <cellStyle name="Currency 3 3 3 2 2 7" xfId="16033"/>
    <cellStyle name="Currency 3 3 3 2 3" xfId="16034"/>
    <cellStyle name="Currency 3 3 3 2 3 2" xfId="16035"/>
    <cellStyle name="Currency 3 3 3 2 3 2 2" xfId="16036"/>
    <cellStyle name="Currency 3 3 3 2 3 2 2 2" xfId="16037"/>
    <cellStyle name="Currency 3 3 3 2 3 2 3" xfId="16038"/>
    <cellStyle name="Currency 3 3 3 2 3 3" xfId="16039"/>
    <cellStyle name="Currency 3 3 3 2 3 3 2" xfId="16040"/>
    <cellStyle name="Currency 3 3 3 2 3 4" xfId="16041"/>
    <cellStyle name="Currency 3 3 3 2 4" xfId="16042"/>
    <cellStyle name="Currency 3 3 3 2 4 2" xfId="16043"/>
    <cellStyle name="Currency 3 3 3 2 4 2 2" xfId="16044"/>
    <cellStyle name="Currency 3 3 3 2 4 3" xfId="16045"/>
    <cellStyle name="Currency 3 3 3 2 5" xfId="16046"/>
    <cellStyle name="Currency 3 3 3 2 5 2" xfId="16047"/>
    <cellStyle name="Currency 3 3 3 2 5 2 2" xfId="16048"/>
    <cellStyle name="Currency 3 3 3 2 5 3" xfId="16049"/>
    <cellStyle name="Currency 3 3 3 2 6" xfId="16050"/>
    <cellStyle name="Currency 3 3 3 2 6 2" xfId="16051"/>
    <cellStyle name="Currency 3 3 3 2 7" xfId="16052"/>
    <cellStyle name="Currency 3 3 3 2 7 2" xfId="36592"/>
    <cellStyle name="Currency 3 3 3 2 8" xfId="16053"/>
    <cellStyle name="Currency 3 3 3 3" xfId="16054"/>
    <cellStyle name="Currency 3 3 3 3 2" xfId="16055"/>
    <cellStyle name="Currency 3 3 3 3 2 2" xfId="16056"/>
    <cellStyle name="Currency 3 3 3 3 2 2 2" xfId="16057"/>
    <cellStyle name="Currency 3 3 3 3 2 2 3" xfId="16058"/>
    <cellStyle name="Currency 3 3 3 3 2 3" xfId="16059"/>
    <cellStyle name="Currency 3 3 3 3 2 3 2" xfId="16060"/>
    <cellStyle name="Currency 3 3 3 3 2 4" xfId="16061"/>
    <cellStyle name="Currency 3 3 3 3 3" xfId="16062"/>
    <cellStyle name="Currency 3 3 3 3 3 2" xfId="16063"/>
    <cellStyle name="Currency 3 3 3 3 3 2 2" xfId="16064"/>
    <cellStyle name="Currency 3 3 3 3 3 3" xfId="16065"/>
    <cellStyle name="Currency 3 3 3 3 4" xfId="16066"/>
    <cellStyle name="Currency 3 3 3 3 4 2" xfId="16067"/>
    <cellStyle name="Currency 3 3 3 3 4 3" xfId="16068"/>
    <cellStyle name="Currency 3 3 3 3 5" xfId="16069"/>
    <cellStyle name="Currency 3 3 3 3 5 2" xfId="16070"/>
    <cellStyle name="Currency 3 3 3 3 6" xfId="16071"/>
    <cellStyle name="Currency 3 3 3 3 6 2" xfId="36593"/>
    <cellStyle name="Currency 3 3 3 3 7" xfId="16072"/>
    <cellStyle name="Currency 3 3 3 4" xfId="16073"/>
    <cellStyle name="Currency 3 3 3 4 2" xfId="16074"/>
    <cellStyle name="Currency 3 3 3 4 2 2" xfId="16075"/>
    <cellStyle name="Currency 3 3 3 4 2 2 2" xfId="16076"/>
    <cellStyle name="Currency 3 3 3 4 2 3" xfId="16077"/>
    <cellStyle name="Currency 3 3 3 4 3" xfId="16078"/>
    <cellStyle name="Currency 3 3 3 4 3 2" xfId="16079"/>
    <cellStyle name="Currency 3 3 3 4 4" xfId="16080"/>
    <cellStyle name="Currency 3 3 3 5" xfId="16081"/>
    <cellStyle name="Currency 3 3 3 5 2" xfId="16082"/>
    <cellStyle name="Currency 3 3 3 5 2 2" xfId="16083"/>
    <cellStyle name="Currency 3 3 3 5 3" xfId="16084"/>
    <cellStyle name="Currency 3 3 3 6" xfId="16085"/>
    <cellStyle name="Currency 3 3 3 6 2" xfId="16086"/>
    <cellStyle name="Currency 3 3 3 6 2 2" xfId="16087"/>
    <cellStyle name="Currency 3 3 3 6 3" xfId="16088"/>
    <cellStyle name="Currency 3 3 3 7" xfId="16089"/>
    <cellStyle name="Currency 3 3 3 7 2" xfId="16090"/>
    <cellStyle name="Currency 3 3 3 8" xfId="16091"/>
    <cellStyle name="Currency 3 3 3 8 2" xfId="36594"/>
    <cellStyle name="Currency 3 3 3 9" xfId="16092"/>
    <cellStyle name="Currency 3 3 4" xfId="16093"/>
    <cellStyle name="Currency 3 3 4 2" xfId="16094"/>
    <cellStyle name="Currency 3 3 4 2 2" xfId="16095"/>
    <cellStyle name="Currency 3 3 4 2 2 2" xfId="16096"/>
    <cellStyle name="Currency 3 3 4 2 2 2 2" xfId="16097"/>
    <cellStyle name="Currency 3 3 4 2 2 2 2 2" xfId="16098"/>
    <cellStyle name="Currency 3 3 4 2 2 2 2 3" xfId="16099"/>
    <cellStyle name="Currency 3 3 4 2 2 2 3" xfId="16100"/>
    <cellStyle name="Currency 3 3 4 2 2 2 3 2" xfId="16101"/>
    <cellStyle name="Currency 3 3 4 2 2 2 4" xfId="16102"/>
    <cellStyle name="Currency 3 3 4 2 2 3" xfId="16103"/>
    <cellStyle name="Currency 3 3 4 2 2 3 2" xfId="16104"/>
    <cellStyle name="Currency 3 3 4 2 2 3 2 2" xfId="16105"/>
    <cellStyle name="Currency 3 3 4 2 2 3 3" xfId="16106"/>
    <cellStyle name="Currency 3 3 4 2 2 4" xfId="16107"/>
    <cellStyle name="Currency 3 3 4 2 2 4 2" xfId="16108"/>
    <cellStyle name="Currency 3 3 4 2 2 4 3" xfId="16109"/>
    <cellStyle name="Currency 3 3 4 2 2 5" xfId="16110"/>
    <cellStyle name="Currency 3 3 4 2 2 5 2" xfId="16111"/>
    <cellStyle name="Currency 3 3 4 2 2 6" xfId="16112"/>
    <cellStyle name="Currency 3 3 4 2 2 6 2" xfId="36595"/>
    <cellStyle name="Currency 3 3 4 2 2 7" xfId="16113"/>
    <cellStyle name="Currency 3 3 4 2 3" xfId="16114"/>
    <cellStyle name="Currency 3 3 4 2 3 2" xfId="16115"/>
    <cellStyle name="Currency 3 3 4 2 3 2 2" xfId="16116"/>
    <cellStyle name="Currency 3 3 4 2 3 2 2 2" xfId="16117"/>
    <cellStyle name="Currency 3 3 4 2 3 2 3" xfId="16118"/>
    <cellStyle name="Currency 3 3 4 2 3 3" xfId="16119"/>
    <cellStyle name="Currency 3 3 4 2 3 3 2" xfId="16120"/>
    <cellStyle name="Currency 3 3 4 2 3 4" xfId="16121"/>
    <cellStyle name="Currency 3 3 4 2 4" xfId="16122"/>
    <cellStyle name="Currency 3 3 4 2 4 2" xfId="16123"/>
    <cellStyle name="Currency 3 3 4 2 4 2 2" xfId="16124"/>
    <cellStyle name="Currency 3 3 4 2 4 3" xfId="16125"/>
    <cellStyle name="Currency 3 3 4 2 5" xfId="16126"/>
    <cellStyle name="Currency 3 3 4 2 5 2" xfId="16127"/>
    <cellStyle name="Currency 3 3 4 2 5 2 2" xfId="16128"/>
    <cellStyle name="Currency 3 3 4 2 5 3" xfId="16129"/>
    <cellStyle name="Currency 3 3 4 2 6" xfId="16130"/>
    <cellStyle name="Currency 3 3 4 2 6 2" xfId="16131"/>
    <cellStyle name="Currency 3 3 4 2 7" xfId="16132"/>
    <cellStyle name="Currency 3 3 4 2 7 2" xfId="36596"/>
    <cellStyle name="Currency 3 3 4 2 8" xfId="16133"/>
    <cellStyle name="Currency 3 3 4 3" xfId="16134"/>
    <cellStyle name="Currency 3 3 4 3 2" xfId="16135"/>
    <cellStyle name="Currency 3 3 4 3 2 2" xfId="16136"/>
    <cellStyle name="Currency 3 3 4 3 2 2 2" xfId="16137"/>
    <cellStyle name="Currency 3 3 4 3 2 2 3" xfId="16138"/>
    <cellStyle name="Currency 3 3 4 3 2 3" xfId="16139"/>
    <cellStyle name="Currency 3 3 4 3 2 3 2" xfId="16140"/>
    <cellStyle name="Currency 3 3 4 3 2 4" xfId="16141"/>
    <cellStyle name="Currency 3 3 4 3 3" xfId="16142"/>
    <cellStyle name="Currency 3 3 4 3 3 2" xfId="16143"/>
    <cellStyle name="Currency 3 3 4 3 3 2 2" xfId="16144"/>
    <cellStyle name="Currency 3 3 4 3 3 3" xfId="16145"/>
    <cellStyle name="Currency 3 3 4 3 4" xfId="16146"/>
    <cellStyle name="Currency 3 3 4 3 4 2" xfId="16147"/>
    <cellStyle name="Currency 3 3 4 3 4 3" xfId="16148"/>
    <cellStyle name="Currency 3 3 4 3 5" xfId="16149"/>
    <cellStyle name="Currency 3 3 4 3 5 2" xfId="16150"/>
    <cellStyle name="Currency 3 3 4 3 6" xfId="16151"/>
    <cellStyle name="Currency 3 3 4 3 6 2" xfId="36597"/>
    <cellStyle name="Currency 3 3 4 3 7" xfId="16152"/>
    <cellStyle name="Currency 3 3 4 4" xfId="16153"/>
    <cellStyle name="Currency 3 3 4 4 2" xfId="16154"/>
    <cellStyle name="Currency 3 3 4 4 2 2" xfId="16155"/>
    <cellStyle name="Currency 3 3 4 4 2 2 2" xfId="16156"/>
    <cellStyle name="Currency 3 3 4 4 2 3" xfId="16157"/>
    <cellStyle name="Currency 3 3 4 4 3" xfId="16158"/>
    <cellStyle name="Currency 3 3 4 4 3 2" xfId="16159"/>
    <cellStyle name="Currency 3 3 4 4 4" xfId="16160"/>
    <cellStyle name="Currency 3 3 4 5" xfId="16161"/>
    <cellStyle name="Currency 3 3 4 5 2" xfId="16162"/>
    <cellStyle name="Currency 3 3 4 5 2 2" xfId="16163"/>
    <cellStyle name="Currency 3 3 4 5 3" xfId="16164"/>
    <cellStyle name="Currency 3 3 4 6" xfId="16165"/>
    <cellStyle name="Currency 3 3 4 6 2" xfId="16166"/>
    <cellStyle name="Currency 3 3 4 6 2 2" xfId="16167"/>
    <cellStyle name="Currency 3 3 4 6 3" xfId="16168"/>
    <cellStyle name="Currency 3 3 4 7" xfId="16169"/>
    <cellStyle name="Currency 3 3 4 7 2" xfId="16170"/>
    <cellStyle name="Currency 3 3 4 8" xfId="16171"/>
    <cellStyle name="Currency 3 3 4 8 2" xfId="36598"/>
    <cellStyle name="Currency 3 3 4 9" xfId="16172"/>
    <cellStyle name="Currency 3 3 5" xfId="16173"/>
    <cellStyle name="Currency 3 3 5 2" xfId="16174"/>
    <cellStyle name="Currency 3 3 5 2 2" xfId="16175"/>
    <cellStyle name="Currency 3 3 5 2 2 2" xfId="16176"/>
    <cellStyle name="Currency 3 3 5 2 2 2 2" xfId="16177"/>
    <cellStyle name="Currency 3 3 5 2 2 2 3" xfId="16178"/>
    <cellStyle name="Currency 3 3 5 2 2 3" xfId="16179"/>
    <cellStyle name="Currency 3 3 5 2 2 3 2" xfId="16180"/>
    <cellStyle name="Currency 3 3 5 2 2 4" xfId="16181"/>
    <cellStyle name="Currency 3 3 5 2 3" xfId="16182"/>
    <cellStyle name="Currency 3 3 5 2 3 2" xfId="16183"/>
    <cellStyle name="Currency 3 3 5 2 3 2 2" xfId="16184"/>
    <cellStyle name="Currency 3 3 5 2 3 3" xfId="16185"/>
    <cellStyle name="Currency 3 3 5 2 4" xfId="16186"/>
    <cellStyle name="Currency 3 3 5 2 4 2" xfId="16187"/>
    <cellStyle name="Currency 3 3 5 2 4 3" xfId="16188"/>
    <cellStyle name="Currency 3 3 5 2 5" xfId="16189"/>
    <cellStyle name="Currency 3 3 5 2 5 2" xfId="16190"/>
    <cellStyle name="Currency 3 3 5 2 6" xfId="16191"/>
    <cellStyle name="Currency 3 3 5 2 6 2" xfId="36599"/>
    <cellStyle name="Currency 3 3 5 2 7" xfId="16192"/>
    <cellStyle name="Currency 3 3 5 3" xfId="16193"/>
    <cellStyle name="Currency 3 3 5 3 2" xfId="16194"/>
    <cellStyle name="Currency 3 3 5 3 2 2" xfId="16195"/>
    <cellStyle name="Currency 3 3 5 3 2 2 2" xfId="16196"/>
    <cellStyle name="Currency 3 3 5 3 2 3" xfId="16197"/>
    <cellStyle name="Currency 3 3 5 3 3" xfId="16198"/>
    <cellStyle name="Currency 3 3 5 3 3 2" xfId="16199"/>
    <cellStyle name="Currency 3 3 5 3 4" xfId="16200"/>
    <cellStyle name="Currency 3 3 5 4" xfId="16201"/>
    <cellStyle name="Currency 3 3 5 4 2" xfId="16202"/>
    <cellStyle name="Currency 3 3 5 4 2 2" xfId="16203"/>
    <cellStyle name="Currency 3 3 5 4 3" xfId="16204"/>
    <cellStyle name="Currency 3 3 5 5" xfId="16205"/>
    <cellStyle name="Currency 3 3 5 5 2" xfId="16206"/>
    <cellStyle name="Currency 3 3 5 5 2 2" xfId="16207"/>
    <cellStyle name="Currency 3 3 5 5 3" xfId="16208"/>
    <cellStyle name="Currency 3 3 5 6" xfId="16209"/>
    <cellStyle name="Currency 3 3 5 6 2" xfId="16210"/>
    <cellStyle name="Currency 3 3 5 7" xfId="16211"/>
    <cellStyle name="Currency 3 3 5 7 2" xfId="36600"/>
    <cellStyle name="Currency 3 3 5 8" xfId="16212"/>
    <cellStyle name="Currency 3 3 6" xfId="16213"/>
    <cellStyle name="Currency 3 3 6 2" xfId="16214"/>
    <cellStyle name="Currency 3 3 6 2 2" xfId="16215"/>
    <cellStyle name="Currency 3 3 6 2 2 2" xfId="16216"/>
    <cellStyle name="Currency 3 3 6 2 2 2 2" xfId="16217"/>
    <cellStyle name="Currency 3 3 6 2 2 2 3" xfId="16218"/>
    <cellStyle name="Currency 3 3 6 2 2 3" xfId="16219"/>
    <cellStyle name="Currency 3 3 6 2 2 3 2" xfId="16220"/>
    <cellStyle name="Currency 3 3 6 2 2 4" xfId="16221"/>
    <cellStyle name="Currency 3 3 6 2 3" xfId="16222"/>
    <cellStyle name="Currency 3 3 6 2 3 2" xfId="16223"/>
    <cellStyle name="Currency 3 3 6 2 3 2 2" xfId="16224"/>
    <cellStyle name="Currency 3 3 6 2 3 3" xfId="16225"/>
    <cellStyle name="Currency 3 3 6 2 4" xfId="16226"/>
    <cellStyle name="Currency 3 3 6 2 4 2" xfId="16227"/>
    <cellStyle name="Currency 3 3 6 2 4 3" xfId="16228"/>
    <cellStyle name="Currency 3 3 6 2 5" xfId="16229"/>
    <cellStyle name="Currency 3 3 6 2 5 2" xfId="16230"/>
    <cellStyle name="Currency 3 3 6 2 6" xfId="16231"/>
    <cellStyle name="Currency 3 3 6 2 6 2" xfId="36601"/>
    <cellStyle name="Currency 3 3 6 2 7" xfId="16232"/>
    <cellStyle name="Currency 3 3 6 3" xfId="16233"/>
    <cellStyle name="Currency 3 3 6 3 2" xfId="16234"/>
    <cellStyle name="Currency 3 3 6 3 2 2" xfId="16235"/>
    <cellStyle name="Currency 3 3 6 3 2 2 2" xfId="16236"/>
    <cellStyle name="Currency 3 3 6 3 2 3" xfId="16237"/>
    <cellStyle name="Currency 3 3 6 3 3" xfId="16238"/>
    <cellStyle name="Currency 3 3 6 3 3 2" xfId="16239"/>
    <cellStyle name="Currency 3 3 6 3 4" xfId="16240"/>
    <cellStyle name="Currency 3 3 6 4" xfId="16241"/>
    <cellStyle name="Currency 3 3 6 4 2" xfId="16242"/>
    <cellStyle name="Currency 3 3 6 4 2 2" xfId="16243"/>
    <cellStyle name="Currency 3 3 6 4 3" xfId="16244"/>
    <cellStyle name="Currency 3 3 6 5" xfId="16245"/>
    <cellStyle name="Currency 3 3 6 5 2" xfId="16246"/>
    <cellStyle name="Currency 3 3 6 5 2 2" xfId="16247"/>
    <cellStyle name="Currency 3 3 6 5 3" xfId="16248"/>
    <cellStyle name="Currency 3 3 6 6" xfId="16249"/>
    <cellStyle name="Currency 3 3 6 6 2" xfId="16250"/>
    <cellStyle name="Currency 3 3 6 7" xfId="16251"/>
    <cellStyle name="Currency 3 3 6 7 2" xfId="36602"/>
    <cellStyle name="Currency 3 3 6 8" xfId="16252"/>
    <cellStyle name="Currency 3 3 7" xfId="16253"/>
    <cellStyle name="Currency 3 3 7 2" xfId="16254"/>
    <cellStyle name="Currency 3 3 7 2 2" xfId="16255"/>
    <cellStyle name="Currency 3 3 7 2 2 2" xfId="16256"/>
    <cellStyle name="Currency 3 3 7 2 2 2 2" xfId="16257"/>
    <cellStyle name="Currency 3 3 7 2 2 2 3" xfId="16258"/>
    <cellStyle name="Currency 3 3 7 2 2 3" xfId="16259"/>
    <cellStyle name="Currency 3 3 7 2 2 3 2" xfId="16260"/>
    <cellStyle name="Currency 3 3 7 2 2 4" xfId="16261"/>
    <cellStyle name="Currency 3 3 7 2 3" xfId="16262"/>
    <cellStyle name="Currency 3 3 7 2 3 2" xfId="16263"/>
    <cellStyle name="Currency 3 3 7 2 3 2 2" xfId="16264"/>
    <cellStyle name="Currency 3 3 7 2 3 3" xfId="16265"/>
    <cellStyle name="Currency 3 3 7 2 4" xfId="16266"/>
    <cellStyle name="Currency 3 3 7 2 4 2" xfId="16267"/>
    <cellStyle name="Currency 3 3 7 2 4 3" xfId="16268"/>
    <cellStyle name="Currency 3 3 7 2 5" xfId="16269"/>
    <cellStyle name="Currency 3 3 7 2 5 2" xfId="16270"/>
    <cellStyle name="Currency 3 3 7 2 6" xfId="16271"/>
    <cellStyle name="Currency 3 3 7 2 6 2" xfId="36603"/>
    <cellStyle name="Currency 3 3 7 2 7" xfId="16272"/>
    <cellStyle name="Currency 3 3 7 3" xfId="16273"/>
    <cellStyle name="Currency 3 3 7 3 2" xfId="16274"/>
    <cellStyle name="Currency 3 3 7 3 2 2" xfId="16275"/>
    <cellStyle name="Currency 3 3 7 3 2 2 2" xfId="16276"/>
    <cellStyle name="Currency 3 3 7 3 2 3" xfId="16277"/>
    <cellStyle name="Currency 3 3 7 3 3" xfId="16278"/>
    <cellStyle name="Currency 3 3 7 3 3 2" xfId="16279"/>
    <cellStyle name="Currency 3 3 7 3 4" xfId="16280"/>
    <cellStyle name="Currency 3 3 7 4" xfId="16281"/>
    <cellStyle name="Currency 3 3 7 4 2" xfId="16282"/>
    <cellStyle name="Currency 3 3 7 4 2 2" xfId="16283"/>
    <cellStyle name="Currency 3 3 7 4 3" xfId="16284"/>
    <cellStyle name="Currency 3 3 7 5" xfId="16285"/>
    <cellStyle name="Currency 3 3 7 5 2" xfId="16286"/>
    <cellStyle name="Currency 3 3 7 5 2 2" xfId="16287"/>
    <cellStyle name="Currency 3 3 7 5 3" xfId="16288"/>
    <cellStyle name="Currency 3 3 7 6" xfId="16289"/>
    <cellStyle name="Currency 3 3 7 6 2" xfId="16290"/>
    <cellStyle name="Currency 3 3 7 7" xfId="16291"/>
    <cellStyle name="Currency 3 3 7 7 2" xfId="36604"/>
    <cellStyle name="Currency 3 3 7 8" xfId="16292"/>
    <cellStyle name="Currency 3 3 8" xfId="16293"/>
    <cellStyle name="Currency 3 3 8 2" xfId="16294"/>
    <cellStyle name="Currency 3 3 8 2 2" xfId="16295"/>
    <cellStyle name="Currency 3 3 8 2 2 2" xfId="16296"/>
    <cellStyle name="Currency 3 3 8 2 2 3" xfId="16297"/>
    <cellStyle name="Currency 3 3 8 2 3" xfId="16298"/>
    <cellStyle name="Currency 3 3 8 2 3 2" xfId="16299"/>
    <cellStyle name="Currency 3 3 8 2 4" xfId="16300"/>
    <cellStyle name="Currency 3 3 8 3" xfId="16301"/>
    <cellStyle name="Currency 3 3 8 3 2" xfId="16302"/>
    <cellStyle name="Currency 3 3 8 3 2 2" xfId="16303"/>
    <cellStyle name="Currency 3 3 8 3 3" xfId="16304"/>
    <cellStyle name="Currency 3 3 8 4" xfId="16305"/>
    <cellStyle name="Currency 3 3 8 4 2" xfId="16306"/>
    <cellStyle name="Currency 3 3 8 4 3" xfId="16307"/>
    <cellStyle name="Currency 3 3 8 5" xfId="16308"/>
    <cellStyle name="Currency 3 3 8 5 2" xfId="16309"/>
    <cellStyle name="Currency 3 3 8 6" xfId="16310"/>
    <cellStyle name="Currency 3 3 8 6 2" xfId="36605"/>
    <cellStyle name="Currency 3 3 8 7" xfId="16311"/>
    <cellStyle name="Currency 3 3 9" xfId="16312"/>
    <cellStyle name="Currency 3 3 9 2" xfId="16313"/>
    <cellStyle name="Currency 3 3 9 2 2" xfId="16314"/>
    <cellStyle name="Currency 3 3 9 2 2 2" xfId="16315"/>
    <cellStyle name="Currency 3 3 9 2 3" xfId="16316"/>
    <cellStyle name="Currency 3 3 9 3" xfId="16317"/>
    <cellStyle name="Currency 3 3 9 3 2" xfId="16318"/>
    <cellStyle name="Currency 3 3 9 4" xfId="16319"/>
    <cellStyle name="Currency 3 4" xfId="16320"/>
    <cellStyle name="Currency 3 4 10" xfId="16321"/>
    <cellStyle name="Currency 3 4 10 2" xfId="16322"/>
    <cellStyle name="Currency 3 4 10 2 2" xfId="16323"/>
    <cellStyle name="Currency 3 4 10 3" xfId="16324"/>
    <cellStyle name="Currency 3 4 11" xfId="16325"/>
    <cellStyle name="Currency 3 4 11 2" xfId="16326"/>
    <cellStyle name="Currency 3 4 11 2 2" xfId="16327"/>
    <cellStyle name="Currency 3 4 11 3" xfId="16328"/>
    <cellStyle name="Currency 3 4 12" xfId="16329"/>
    <cellStyle name="Currency 3 4 12 2" xfId="16330"/>
    <cellStyle name="Currency 3 4 13" xfId="16331"/>
    <cellStyle name="Currency 3 4 13 2" xfId="36606"/>
    <cellStyle name="Currency 3 4 14" xfId="16332"/>
    <cellStyle name="Currency 3 4 2" xfId="16333"/>
    <cellStyle name="Currency 3 4 2 10" xfId="16334"/>
    <cellStyle name="Currency 3 4 2 2" xfId="16335"/>
    <cellStyle name="Currency 3 4 2 2 2" xfId="16336"/>
    <cellStyle name="Currency 3 4 2 2 2 2" xfId="16337"/>
    <cellStyle name="Currency 3 4 2 2 2 2 2" xfId="16338"/>
    <cellStyle name="Currency 3 4 2 2 2 2 2 2" xfId="16339"/>
    <cellStyle name="Currency 3 4 2 2 2 2 2 2 2" xfId="16340"/>
    <cellStyle name="Currency 3 4 2 2 2 2 2 2 3" xfId="16341"/>
    <cellStyle name="Currency 3 4 2 2 2 2 2 3" xfId="16342"/>
    <cellStyle name="Currency 3 4 2 2 2 2 2 3 2" xfId="16343"/>
    <cellStyle name="Currency 3 4 2 2 2 2 2 4" xfId="16344"/>
    <cellStyle name="Currency 3 4 2 2 2 2 3" xfId="16345"/>
    <cellStyle name="Currency 3 4 2 2 2 2 3 2" xfId="16346"/>
    <cellStyle name="Currency 3 4 2 2 2 2 3 2 2" xfId="16347"/>
    <cellStyle name="Currency 3 4 2 2 2 2 3 3" xfId="16348"/>
    <cellStyle name="Currency 3 4 2 2 2 2 4" xfId="16349"/>
    <cellStyle name="Currency 3 4 2 2 2 2 4 2" xfId="16350"/>
    <cellStyle name="Currency 3 4 2 2 2 2 4 3" xfId="16351"/>
    <cellStyle name="Currency 3 4 2 2 2 2 5" xfId="16352"/>
    <cellStyle name="Currency 3 4 2 2 2 2 5 2" xfId="16353"/>
    <cellStyle name="Currency 3 4 2 2 2 2 6" xfId="16354"/>
    <cellStyle name="Currency 3 4 2 2 2 2 6 2" xfId="36607"/>
    <cellStyle name="Currency 3 4 2 2 2 2 7" xfId="16355"/>
    <cellStyle name="Currency 3 4 2 2 2 3" xfId="16356"/>
    <cellStyle name="Currency 3 4 2 2 2 3 2" xfId="16357"/>
    <cellStyle name="Currency 3 4 2 2 2 3 2 2" xfId="16358"/>
    <cellStyle name="Currency 3 4 2 2 2 3 2 2 2" xfId="16359"/>
    <cellStyle name="Currency 3 4 2 2 2 3 2 3" xfId="16360"/>
    <cellStyle name="Currency 3 4 2 2 2 3 3" xfId="16361"/>
    <cellStyle name="Currency 3 4 2 2 2 3 3 2" xfId="16362"/>
    <cellStyle name="Currency 3 4 2 2 2 3 4" xfId="16363"/>
    <cellStyle name="Currency 3 4 2 2 2 4" xfId="16364"/>
    <cellStyle name="Currency 3 4 2 2 2 4 2" xfId="16365"/>
    <cellStyle name="Currency 3 4 2 2 2 4 2 2" xfId="16366"/>
    <cellStyle name="Currency 3 4 2 2 2 4 3" xfId="16367"/>
    <cellStyle name="Currency 3 4 2 2 2 5" xfId="16368"/>
    <cellStyle name="Currency 3 4 2 2 2 5 2" xfId="16369"/>
    <cellStyle name="Currency 3 4 2 2 2 5 2 2" xfId="16370"/>
    <cellStyle name="Currency 3 4 2 2 2 5 3" xfId="16371"/>
    <cellStyle name="Currency 3 4 2 2 2 6" xfId="16372"/>
    <cellStyle name="Currency 3 4 2 2 2 6 2" xfId="16373"/>
    <cellStyle name="Currency 3 4 2 2 2 7" xfId="16374"/>
    <cellStyle name="Currency 3 4 2 2 2 7 2" xfId="36608"/>
    <cellStyle name="Currency 3 4 2 2 2 8" xfId="16375"/>
    <cellStyle name="Currency 3 4 2 2 3" xfId="16376"/>
    <cellStyle name="Currency 3 4 2 2 3 2" xfId="16377"/>
    <cellStyle name="Currency 3 4 2 2 3 2 2" xfId="16378"/>
    <cellStyle name="Currency 3 4 2 2 3 2 2 2" xfId="16379"/>
    <cellStyle name="Currency 3 4 2 2 3 2 2 3" xfId="16380"/>
    <cellStyle name="Currency 3 4 2 2 3 2 3" xfId="16381"/>
    <cellStyle name="Currency 3 4 2 2 3 2 3 2" xfId="16382"/>
    <cellStyle name="Currency 3 4 2 2 3 2 4" xfId="16383"/>
    <cellStyle name="Currency 3 4 2 2 3 3" xfId="16384"/>
    <cellStyle name="Currency 3 4 2 2 3 3 2" xfId="16385"/>
    <cellStyle name="Currency 3 4 2 2 3 3 2 2" xfId="16386"/>
    <cellStyle name="Currency 3 4 2 2 3 3 3" xfId="16387"/>
    <cellStyle name="Currency 3 4 2 2 3 4" xfId="16388"/>
    <cellStyle name="Currency 3 4 2 2 3 4 2" xfId="16389"/>
    <cellStyle name="Currency 3 4 2 2 3 4 3" xfId="16390"/>
    <cellStyle name="Currency 3 4 2 2 3 5" xfId="16391"/>
    <cellStyle name="Currency 3 4 2 2 3 5 2" xfId="16392"/>
    <cellStyle name="Currency 3 4 2 2 3 6" xfId="16393"/>
    <cellStyle name="Currency 3 4 2 2 3 6 2" xfId="36609"/>
    <cellStyle name="Currency 3 4 2 2 3 7" xfId="16394"/>
    <cellStyle name="Currency 3 4 2 2 4" xfId="16395"/>
    <cellStyle name="Currency 3 4 2 2 4 2" xfId="16396"/>
    <cellStyle name="Currency 3 4 2 2 4 2 2" xfId="16397"/>
    <cellStyle name="Currency 3 4 2 2 4 2 2 2" xfId="16398"/>
    <cellStyle name="Currency 3 4 2 2 4 2 3" xfId="16399"/>
    <cellStyle name="Currency 3 4 2 2 4 3" xfId="16400"/>
    <cellStyle name="Currency 3 4 2 2 4 3 2" xfId="16401"/>
    <cellStyle name="Currency 3 4 2 2 4 4" xfId="16402"/>
    <cellStyle name="Currency 3 4 2 2 5" xfId="16403"/>
    <cellStyle name="Currency 3 4 2 2 5 2" xfId="16404"/>
    <cellStyle name="Currency 3 4 2 2 5 2 2" xfId="16405"/>
    <cellStyle name="Currency 3 4 2 2 5 3" xfId="16406"/>
    <cellStyle name="Currency 3 4 2 2 6" xfId="16407"/>
    <cellStyle name="Currency 3 4 2 2 6 2" xfId="16408"/>
    <cellStyle name="Currency 3 4 2 2 6 2 2" xfId="16409"/>
    <cellStyle name="Currency 3 4 2 2 6 3" xfId="16410"/>
    <cellStyle name="Currency 3 4 2 2 7" xfId="16411"/>
    <cellStyle name="Currency 3 4 2 2 7 2" xfId="16412"/>
    <cellStyle name="Currency 3 4 2 2 8" xfId="16413"/>
    <cellStyle name="Currency 3 4 2 2 8 2" xfId="36610"/>
    <cellStyle name="Currency 3 4 2 2 9" xfId="16414"/>
    <cellStyle name="Currency 3 4 2 3" xfId="16415"/>
    <cellStyle name="Currency 3 4 2 3 2" xfId="16416"/>
    <cellStyle name="Currency 3 4 2 3 2 2" xfId="16417"/>
    <cellStyle name="Currency 3 4 2 3 2 2 2" xfId="16418"/>
    <cellStyle name="Currency 3 4 2 3 2 2 2 2" xfId="16419"/>
    <cellStyle name="Currency 3 4 2 3 2 2 2 3" xfId="16420"/>
    <cellStyle name="Currency 3 4 2 3 2 2 3" xfId="16421"/>
    <cellStyle name="Currency 3 4 2 3 2 2 3 2" xfId="16422"/>
    <cellStyle name="Currency 3 4 2 3 2 2 4" xfId="16423"/>
    <cellStyle name="Currency 3 4 2 3 2 3" xfId="16424"/>
    <cellStyle name="Currency 3 4 2 3 2 3 2" xfId="16425"/>
    <cellStyle name="Currency 3 4 2 3 2 3 2 2" xfId="16426"/>
    <cellStyle name="Currency 3 4 2 3 2 3 3" xfId="16427"/>
    <cellStyle name="Currency 3 4 2 3 2 4" xfId="16428"/>
    <cellStyle name="Currency 3 4 2 3 2 4 2" xfId="16429"/>
    <cellStyle name="Currency 3 4 2 3 2 4 3" xfId="16430"/>
    <cellStyle name="Currency 3 4 2 3 2 5" xfId="16431"/>
    <cellStyle name="Currency 3 4 2 3 2 5 2" xfId="16432"/>
    <cellStyle name="Currency 3 4 2 3 2 6" xfId="16433"/>
    <cellStyle name="Currency 3 4 2 3 2 6 2" xfId="36611"/>
    <cellStyle name="Currency 3 4 2 3 2 7" xfId="16434"/>
    <cellStyle name="Currency 3 4 2 3 3" xfId="16435"/>
    <cellStyle name="Currency 3 4 2 3 3 2" xfId="16436"/>
    <cellStyle name="Currency 3 4 2 3 3 2 2" xfId="16437"/>
    <cellStyle name="Currency 3 4 2 3 3 2 2 2" xfId="16438"/>
    <cellStyle name="Currency 3 4 2 3 3 2 3" xfId="16439"/>
    <cellStyle name="Currency 3 4 2 3 3 3" xfId="16440"/>
    <cellStyle name="Currency 3 4 2 3 3 3 2" xfId="16441"/>
    <cellStyle name="Currency 3 4 2 3 3 4" xfId="16442"/>
    <cellStyle name="Currency 3 4 2 3 4" xfId="16443"/>
    <cellStyle name="Currency 3 4 2 3 4 2" xfId="16444"/>
    <cellStyle name="Currency 3 4 2 3 4 2 2" xfId="16445"/>
    <cellStyle name="Currency 3 4 2 3 4 3" xfId="16446"/>
    <cellStyle name="Currency 3 4 2 3 5" xfId="16447"/>
    <cellStyle name="Currency 3 4 2 3 5 2" xfId="16448"/>
    <cellStyle name="Currency 3 4 2 3 5 2 2" xfId="16449"/>
    <cellStyle name="Currency 3 4 2 3 5 3" xfId="16450"/>
    <cellStyle name="Currency 3 4 2 3 6" xfId="16451"/>
    <cellStyle name="Currency 3 4 2 3 6 2" xfId="16452"/>
    <cellStyle name="Currency 3 4 2 3 7" xfId="16453"/>
    <cellStyle name="Currency 3 4 2 3 7 2" xfId="36612"/>
    <cellStyle name="Currency 3 4 2 3 8" xfId="16454"/>
    <cellStyle name="Currency 3 4 2 4" xfId="16455"/>
    <cellStyle name="Currency 3 4 2 4 2" xfId="16456"/>
    <cellStyle name="Currency 3 4 2 4 2 2" xfId="16457"/>
    <cellStyle name="Currency 3 4 2 4 2 2 2" xfId="16458"/>
    <cellStyle name="Currency 3 4 2 4 2 2 3" xfId="16459"/>
    <cellStyle name="Currency 3 4 2 4 2 3" xfId="16460"/>
    <cellStyle name="Currency 3 4 2 4 2 3 2" xfId="16461"/>
    <cellStyle name="Currency 3 4 2 4 2 4" xfId="16462"/>
    <cellStyle name="Currency 3 4 2 4 3" xfId="16463"/>
    <cellStyle name="Currency 3 4 2 4 3 2" xfId="16464"/>
    <cellStyle name="Currency 3 4 2 4 3 2 2" xfId="16465"/>
    <cellStyle name="Currency 3 4 2 4 3 3" xfId="16466"/>
    <cellStyle name="Currency 3 4 2 4 4" xfId="16467"/>
    <cellStyle name="Currency 3 4 2 4 4 2" xfId="16468"/>
    <cellStyle name="Currency 3 4 2 4 4 3" xfId="16469"/>
    <cellStyle name="Currency 3 4 2 4 5" xfId="16470"/>
    <cellStyle name="Currency 3 4 2 4 5 2" xfId="16471"/>
    <cellStyle name="Currency 3 4 2 4 6" xfId="16472"/>
    <cellStyle name="Currency 3 4 2 4 6 2" xfId="36613"/>
    <cellStyle name="Currency 3 4 2 4 7" xfId="16473"/>
    <cellStyle name="Currency 3 4 2 5" xfId="16474"/>
    <cellStyle name="Currency 3 4 2 5 2" xfId="16475"/>
    <cellStyle name="Currency 3 4 2 5 2 2" xfId="16476"/>
    <cellStyle name="Currency 3 4 2 5 2 2 2" xfId="16477"/>
    <cellStyle name="Currency 3 4 2 5 2 3" xfId="16478"/>
    <cellStyle name="Currency 3 4 2 5 3" xfId="16479"/>
    <cellStyle name="Currency 3 4 2 5 3 2" xfId="16480"/>
    <cellStyle name="Currency 3 4 2 5 4" xfId="16481"/>
    <cellStyle name="Currency 3 4 2 6" xfId="16482"/>
    <cellStyle name="Currency 3 4 2 6 2" xfId="16483"/>
    <cellStyle name="Currency 3 4 2 6 2 2" xfId="16484"/>
    <cellStyle name="Currency 3 4 2 6 3" xfId="16485"/>
    <cellStyle name="Currency 3 4 2 7" xfId="16486"/>
    <cellStyle name="Currency 3 4 2 7 2" xfId="16487"/>
    <cellStyle name="Currency 3 4 2 7 2 2" xfId="16488"/>
    <cellStyle name="Currency 3 4 2 7 3" xfId="16489"/>
    <cellStyle name="Currency 3 4 2 8" xfId="16490"/>
    <cellStyle name="Currency 3 4 2 8 2" xfId="16491"/>
    <cellStyle name="Currency 3 4 2 9" xfId="16492"/>
    <cellStyle name="Currency 3 4 2 9 2" xfId="36614"/>
    <cellStyle name="Currency 3 4 3" xfId="16493"/>
    <cellStyle name="Currency 3 4 3 2" xfId="16494"/>
    <cellStyle name="Currency 3 4 3 2 2" xfId="16495"/>
    <cellStyle name="Currency 3 4 3 2 2 2" xfId="16496"/>
    <cellStyle name="Currency 3 4 3 2 2 2 2" xfId="16497"/>
    <cellStyle name="Currency 3 4 3 2 2 2 2 2" xfId="16498"/>
    <cellStyle name="Currency 3 4 3 2 2 2 2 3" xfId="16499"/>
    <cellStyle name="Currency 3 4 3 2 2 2 3" xfId="16500"/>
    <cellStyle name="Currency 3 4 3 2 2 2 3 2" xfId="16501"/>
    <cellStyle name="Currency 3 4 3 2 2 2 4" xfId="16502"/>
    <cellStyle name="Currency 3 4 3 2 2 3" xfId="16503"/>
    <cellStyle name="Currency 3 4 3 2 2 3 2" xfId="16504"/>
    <cellStyle name="Currency 3 4 3 2 2 3 2 2" xfId="16505"/>
    <cellStyle name="Currency 3 4 3 2 2 3 3" xfId="16506"/>
    <cellStyle name="Currency 3 4 3 2 2 4" xfId="16507"/>
    <cellStyle name="Currency 3 4 3 2 2 4 2" xfId="16508"/>
    <cellStyle name="Currency 3 4 3 2 2 4 3" xfId="16509"/>
    <cellStyle name="Currency 3 4 3 2 2 5" xfId="16510"/>
    <cellStyle name="Currency 3 4 3 2 2 5 2" xfId="16511"/>
    <cellStyle name="Currency 3 4 3 2 2 6" xfId="16512"/>
    <cellStyle name="Currency 3 4 3 2 2 6 2" xfId="36615"/>
    <cellStyle name="Currency 3 4 3 2 2 7" xfId="16513"/>
    <cellStyle name="Currency 3 4 3 2 3" xfId="16514"/>
    <cellStyle name="Currency 3 4 3 2 3 2" xfId="16515"/>
    <cellStyle name="Currency 3 4 3 2 3 2 2" xfId="16516"/>
    <cellStyle name="Currency 3 4 3 2 3 2 2 2" xfId="16517"/>
    <cellStyle name="Currency 3 4 3 2 3 2 3" xfId="16518"/>
    <cellStyle name="Currency 3 4 3 2 3 3" xfId="16519"/>
    <cellStyle name="Currency 3 4 3 2 3 3 2" xfId="16520"/>
    <cellStyle name="Currency 3 4 3 2 3 4" xfId="16521"/>
    <cellStyle name="Currency 3 4 3 2 4" xfId="16522"/>
    <cellStyle name="Currency 3 4 3 2 4 2" xfId="16523"/>
    <cellStyle name="Currency 3 4 3 2 4 2 2" xfId="16524"/>
    <cellStyle name="Currency 3 4 3 2 4 3" xfId="16525"/>
    <cellStyle name="Currency 3 4 3 2 5" xfId="16526"/>
    <cellStyle name="Currency 3 4 3 2 5 2" xfId="16527"/>
    <cellStyle name="Currency 3 4 3 2 5 2 2" xfId="16528"/>
    <cellStyle name="Currency 3 4 3 2 5 3" xfId="16529"/>
    <cellStyle name="Currency 3 4 3 2 6" xfId="16530"/>
    <cellStyle name="Currency 3 4 3 2 6 2" xfId="16531"/>
    <cellStyle name="Currency 3 4 3 2 7" xfId="16532"/>
    <cellStyle name="Currency 3 4 3 2 7 2" xfId="36616"/>
    <cellStyle name="Currency 3 4 3 2 8" xfId="16533"/>
    <cellStyle name="Currency 3 4 3 3" xfId="16534"/>
    <cellStyle name="Currency 3 4 3 3 2" xfId="16535"/>
    <cellStyle name="Currency 3 4 3 3 2 2" xfId="16536"/>
    <cellStyle name="Currency 3 4 3 3 2 2 2" xfId="16537"/>
    <cellStyle name="Currency 3 4 3 3 2 2 3" xfId="16538"/>
    <cellStyle name="Currency 3 4 3 3 2 3" xfId="16539"/>
    <cellStyle name="Currency 3 4 3 3 2 3 2" xfId="16540"/>
    <cellStyle name="Currency 3 4 3 3 2 4" xfId="16541"/>
    <cellStyle name="Currency 3 4 3 3 3" xfId="16542"/>
    <cellStyle name="Currency 3 4 3 3 3 2" xfId="16543"/>
    <cellStyle name="Currency 3 4 3 3 3 2 2" xfId="16544"/>
    <cellStyle name="Currency 3 4 3 3 3 3" xfId="16545"/>
    <cellStyle name="Currency 3 4 3 3 4" xfId="16546"/>
    <cellStyle name="Currency 3 4 3 3 4 2" xfId="16547"/>
    <cellStyle name="Currency 3 4 3 3 4 3" xfId="16548"/>
    <cellStyle name="Currency 3 4 3 3 5" xfId="16549"/>
    <cellStyle name="Currency 3 4 3 3 5 2" xfId="16550"/>
    <cellStyle name="Currency 3 4 3 3 6" xfId="16551"/>
    <cellStyle name="Currency 3 4 3 3 6 2" xfId="36617"/>
    <cellStyle name="Currency 3 4 3 3 7" xfId="16552"/>
    <cellStyle name="Currency 3 4 3 4" xfId="16553"/>
    <cellStyle name="Currency 3 4 3 4 2" xfId="16554"/>
    <cellStyle name="Currency 3 4 3 4 2 2" xfId="16555"/>
    <cellStyle name="Currency 3 4 3 4 2 2 2" xfId="16556"/>
    <cellStyle name="Currency 3 4 3 4 2 3" xfId="16557"/>
    <cellStyle name="Currency 3 4 3 4 3" xfId="16558"/>
    <cellStyle name="Currency 3 4 3 4 3 2" xfId="16559"/>
    <cellStyle name="Currency 3 4 3 4 4" xfId="16560"/>
    <cellStyle name="Currency 3 4 3 5" xfId="16561"/>
    <cellStyle name="Currency 3 4 3 5 2" xfId="16562"/>
    <cellStyle name="Currency 3 4 3 5 2 2" xfId="16563"/>
    <cellStyle name="Currency 3 4 3 5 3" xfId="16564"/>
    <cellStyle name="Currency 3 4 3 6" xfId="16565"/>
    <cellStyle name="Currency 3 4 3 6 2" xfId="16566"/>
    <cellStyle name="Currency 3 4 3 6 2 2" xfId="16567"/>
    <cellStyle name="Currency 3 4 3 6 3" xfId="16568"/>
    <cellStyle name="Currency 3 4 3 7" xfId="16569"/>
    <cellStyle name="Currency 3 4 3 7 2" xfId="16570"/>
    <cellStyle name="Currency 3 4 3 8" xfId="16571"/>
    <cellStyle name="Currency 3 4 3 8 2" xfId="36618"/>
    <cellStyle name="Currency 3 4 3 9" xfId="16572"/>
    <cellStyle name="Currency 3 4 4" xfId="16573"/>
    <cellStyle name="Currency 3 4 4 2" xfId="16574"/>
    <cellStyle name="Currency 3 4 4 2 2" xfId="16575"/>
    <cellStyle name="Currency 3 4 4 2 2 2" xfId="16576"/>
    <cellStyle name="Currency 3 4 4 2 2 2 2" xfId="16577"/>
    <cellStyle name="Currency 3 4 4 2 2 2 2 2" xfId="16578"/>
    <cellStyle name="Currency 3 4 4 2 2 2 2 3" xfId="16579"/>
    <cellStyle name="Currency 3 4 4 2 2 2 3" xfId="16580"/>
    <cellStyle name="Currency 3 4 4 2 2 2 3 2" xfId="16581"/>
    <cellStyle name="Currency 3 4 4 2 2 2 4" xfId="16582"/>
    <cellStyle name="Currency 3 4 4 2 2 3" xfId="16583"/>
    <cellStyle name="Currency 3 4 4 2 2 3 2" xfId="16584"/>
    <cellStyle name="Currency 3 4 4 2 2 3 2 2" xfId="16585"/>
    <cellStyle name="Currency 3 4 4 2 2 3 3" xfId="16586"/>
    <cellStyle name="Currency 3 4 4 2 2 4" xfId="16587"/>
    <cellStyle name="Currency 3 4 4 2 2 4 2" xfId="16588"/>
    <cellStyle name="Currency 3 4 4 2 2 4 3" xfId="16589"/>
    <cellStyle name="Currency 3 4 4 2 2 5" xfId="16590"/>
    <cellStyle name="Currency 3 4 4 2 2 5 2" xfId="16591"/>
    <cellStyle name="Currency 3 4 4 2 2 6" xfId="16592"/>
    <cellStyle name="Currency 3 4 4 2 2 6 2" xfId="36619"/>
    <cellStyle name="Currency 3 4 4 2 2 7" xfId="16593"/>
    <cellStyle name="Currency 3 4 4 2 3" xfId="16594"/>
    <cellStyle name="Currency 3 4 4 2 3 2" xfId="16595"/>
    <cellStyle name="Currency 3 4 4 2 3 2 2" xfId="16596"/>
    <cellStyle name="Currency 3 4 4 2 3 2 2 2" xfId="16597"/>
    <cellStyle name="Currency 3 4 4 2 3 2 3" xfId="16598"/>
    <cellStyle name="Currency 3 4 4 2 3 3" xfId="16599"/>
    <cellStyle name="Currency 3 4 4 2 3 3 2" xfId="16600"/>
    <cellStyle name="Currency 3 4 4 2 3 4" xfId="16601"/>
    <cellStyle name="Currency 3 4 4 2 4" xfId="16602"/>
    <cellStyle name="Currency 3 4 4 2 4 2" xfId="16603"/>
    <cellStyle name="Currency 3 4 4 2 4 2 2" xfId="16604"/>
    <cellStyle name="Currency 3 4 4 2 4 3" xfId="16605"/>
    <cellStyle name="Currency 3 4 4 2 5" xfId="16606"/>
    <cellStyle name="Currency 3 4 4 2 5 2" xfId="16607"/>
    <cellStyle name="Currency 3 4 4 2 5 2 2" xfId="16608"/>
    <cellStyle name="Currency 3 4 4 2 5 3" xfId="16609"/>
    <cellStyle name="Currency 3 4 4 2 6" xfId="16610"/>
    <cellStyle name="Currency 3 4 4 2 6 2" xfId="16611"/>
    <cellStyle name="Currency 3 4 4 2 7" xfId="16612"/>
    <cellStyle name="Currency 3 4 4 2 7 2" xfId="36620"/>
    <cellStyle name="Currency 3 4 4 2 8" xfId="16613"/>
    <cellStyle name="Currency 3 4 4 3" xfId="16614"/>
    <cellStyle name="Currency 3 4 4 3 2" xfId="16615"/>
    <cellStyle name="Currency 3 4 4 3 2 2" xfId="16616"/>
    <cellStyle name="Currency 3 4 4 3 2 2 2" xfId="16617"/>
    <cellStyle name="Currency 3 4 4 3 2 2 3" xfId="16618"/>
    <cellStyle name="Currency 3 4 4 3 2 3" xfId="16619"/>
    <cellStyle name="Currency 3 4 4 3 2 3 2" xfId="16620"/>
    <cellStyle name="Currency 3 4 4 3 2 4" xfId="16621"/>
    <cellStyle name="Currency 3 4 4 3 3" xfId="16622"/>
    <cellStyle name="Currency 3 4 4 3 3 2" xfId="16623"/>
    <cellStyle name="Currency 3 4 4 3 3 2 2" xfId="16624"/>
    <cellStyle name="Currency 3 4 4 3 3 3" xfId="16625"/>
    <cellStyle name="Currency 3 4 4 3 4" xfId="16626"/>
    <cellStyle name="Currency 3 4 4 3 4 2" xfId="16627"/>
    <cellStyle name="Currency 3 4 4 3 4 3" xfId="16628"/>
    <cellStyle name="Currency 3 4 4 3 5" xfId="16629"/>
    <cellStyle name="Currency 3 4 4 3 5 2" xfId="16630"/>
    <cellStyle name="Currency 3 4 4 3 6" xfId="16631"/>
    <cellStyle name="Currency 3 4 4 3 6 2" xfId="36621"/>
    <cellStyle name="Currency 3 4 4 3 7" xfId="16632"/>
    <cellStyle name="Currency 3 4 4 4" xfId="16633"/>
    <cellStyle name="Currency 3 4 4 4 2" xfId="16634"/>
    <cellStyle name="Currency 3 4 4 4 2 2" xfId="16635"/>
    <cellStyle name="Currency 3 4 4 4 2 2 2" xfId="16636"/>
    <cellStyle name="Currency 3 4 4 4 2 3" xfId="16637"/>
    <cellStyle name="Currency 3 4 4 4 3" xfId="16638"/>
    <cellStyle name="Currency 3 4 4 4 3 2" xfId="16639"/>
    <cellStyle name="Currency 3 4 4 4 4" xfId="16640"/>
    <cellStyle name="Currency 3 4 4 5" xfId="16641"/>
    <cellStyle name="Currency 3 4 4 5 2" xfId="16642"/>
    <cellStyle name="Currency 3 4 4 5 2 2" xfId="16643"/>
    <cellStyle name="Currency 3 4 4 5 3" xfId="16644"/>
    <cellStyle name="Currency 3 4 4 6" xfId="16645"/>
    <cellStyle name="Currency 3 4 4 6 2" xfId="16646"/>
    <cellStyle name="Currency 3 4 4 6 2 2" xfId="16647"/>
    <cellStyle name="Currency 3 4 4 6 3" xfId="16648"/>
    <cellStyle name="Currency 3 4 4 7" xfId="16649"/>
    <cellStyle name="Currency 3 4 4 7 2" xfId="16650"/>
    <cellStyle name="Currency 3 4 4 8" xfId="16651"/>
    <cellStyle name="Currency 3 4 4 8 2" xfId="36622"/>
    <cellStyle name="Currency 3 4 4 9" xfId="16652"/>
    <cellStyle name="Currency 3 4 5" xfId="16653"/>
    <cellStyle name="Currency 3 4 5 2" xfId="16654"/>
    <cellStyle name="Currency 3 4 5 2 2" xfId="16655"/>
    <cellStyle name="Currency 3 4 5 2 2 2" xfId="16656"/>
    <cellStyle name="Currency 3 4 5 2 2 2 2" xfId="16657"/>
    <cellStyle name="Currency 3 4 5 2 2 2 3" xfId="16658"/>
    <cellStyle name="Currency 3 4 5 2 2 3" xfId="16659"/>
    <cellStyle name="Currency 3 4 5 2 2 3 2" xfId="16660"/>
    <cellStyle name="Currency 3 4 5 2 2 4" xfId="16661"/>
    <cellStyle name="Currency 3 4 5 2 3" xfId="16662"/>
    <cellStyle name="Currency 3 4 5 2 3 2" xfId="16663"/>
    <cellStyle name="Currency 3 4 5 2 3 2 2" xfId="16664"/>
    <cellStyle name="Currency 3 4 5 2 3 3" xfId="16665"/>
    <cellStyle name="Currency 3 4 5 2 4" xfId="16666"/>
    <cellStyle name="Currency 3 4 5 2 4 2" xfId="16667"/>
    <cellStyle name="Currency 3 4 5 2 4 3" xfId="16668"/>
    <cellStyle name="Currency 3 4 5 2 5" xfId="16669"/>
    <cellStyle name="Currency 3 4 5 2 5 2" xfId="16670"/>
    <cellStyle name="Currency 3 4 5 2 6" xfId="16671"/>
    <cellStyle name="Currency 3 4 5 2 6 2" xfId="36623"/>
    <cellStyle name="Currency 3 4 5 2 7" xfId="16672"/>
    <cellStyle name="Currency 3 4 5 3" xfId="16673"/>
    <cellStyle name="Currency 3 4 5 3 2" xfId="16674"/>
    <cellStyle name="Currency 3 4 5 3 2 2" xfId="16675"/>
    <cellStyle name="Currency 3 4 5 3 2 2 2" xfId="16676"/>
    <cellStyle name="Currency 3 4 5 3 2 3" xfId="16677"/>
    <cellStyle name="Currency 3 4 5 3 3" xfId="16678"/>
    <cellStyle name="Currency 3 4 5 3 3 2" xfId="16679"/>
    <cellStyle name="Currency 3 4 5 3 4" xfId="16680"/>
    <cellStyle name="Currency 3 4 5 4" xfId="16681"/>
    <cellStyle name="Currency 3 4 5 4 2" xfId="16682"/>
    <cellStyle name="Currency 3 4 5 4 2 2" xfId="16683"/>
    <cellStyle name="Currency 3 4 5 4 3" xfId="16684"/>
    <cellStyle name="Currency 3 4 5 5" xfId="16685"/>
    <cellStyle name="Currency 3 4 5 5 2" xfId="16686"/>
    <cellStyle name="Currency 3 4 5 5 2 2" xfId="16687"/>
    <cellStyle name="Currency 3 4 5 5 3" xfId="16688"/>
    <cellStyle name="Currency 3 4 5 6" xfId="16689"/>
    <cellStyle name="Currency 3 4 5 6 2" xfId="16690"/>
    <cellStyle name="Currency 3 4 5 7" xfId="16691"/>
    <cellStyle name="Currency 3 4 5 7 2" xfId="36624"/>
    <cellStyle name="Currency 3 4 5 8" xfId="16692"/>
    <cellStyle name="Currency 3 4 6" xfId="16693"/>
    <cellStyle name="Currency 3 4 6 2" xfId="16694"/>
    <cellStyle name="Currency 3 4 6 2 2" xfId="16695"/>
    <cellStyle name="Currency 3 4 6 2 2 2" xfId="16696"/>
    <cellStyle name="Currency 3 4 6 2 2 2 2" xfId="16697"/>
    <cellStyle name="Currency 3 4 6 2 2 2 3" xfId="16698"/>
    <cellStyle name="Currency 3 4 6 2 2 3" xfId="16699"/>
    <cellStyle name="Currency 3 4 6 2 2 3 2" xfId="16700"/>
    <cellStyle name="Currency 3 4 6 2 2 4" xfId="16701"/>
    <cellStyle name="Currency 3 4 6 2 3" xfId="16702"/>
    <cellStyle name="Currency 3 4 6 2 3 2" xfId="16703"/>
    <cellStyle name="Currency 3 4 6 2 3 2 2" xfId="16704"/>
    <cellStyle name="Currency 3 4 6 2 3 3" xfId="16705"/>
    <cellStyle name="Currency 3 4 6 2 4" xfId="16706"/>
    <cellStyle name="Currency 3 4 6 2 4 2" xfId="16707"/>
    <cellStyle name="Currency 3 4 6 2 4 3" xfId="16708"/>
    <cellStyle name="Currency 3 4 6 2 5" xfId="16709"/>
    <cellStyle name="Currency 3 4 6 2 5 2" xfId="16710"/>
    <cellStyle name="Currency 3 4 6 2 6" xfId="16711"/>
    <cellStyle name="Currency 3 4 6 2 6 2" xfId="36625"/>
    <cellStyle name="Currency 3 4 6 2 7" xfId="16712"/>
    <cellStyle name="Currency 3 4 6 3" xfId="16713"/>
    <cellStyle name="Currency 3 4 6 3 2" xfId="16714"/>
    <cellStyle name="Currency 3 4 6 3 2 2" xfId="16715"/>
    <cellStyle name="Currency 3 4 6 3 2 2 2" xfId="16716"/>
    <cellStyle name="Currency 3 4 6 3 2 3" xfId="16717"/>
    <cellStyle name="Currency 3 4 6 3 3" xfId="16718"/>
    <cellStyle name="Currency 3 4 6 3 3 2" xfId="16719"/>
    <cellStyle name="Currency 3 4 6 3 4" xfId="16720"/>
    <cellStyle name="Currency 3 4 6 4" xfId="16721"/>
    <cellStyle name="Currency 3 4 6 4 2" xfId="16722"/>
    <cellStyle name="Currency 3 4 6 4 2 2" xfId="16723"/>
    <cellStyle name="Currency 3 4 6 4 3" xfId="16724"/>
    <cellStyle name="Currency 3 4 6 5" xfId="16725"/>
    <cellStyle name="Currency 3 4 6 5 2" xfId="16726"/>
    <cellStyle name="Currency 3 4 6 5 2 2" xfId="16727"/>
    <cellStyle name="Currency 3 4 6 5 3" xfId="16728"/>
    <cellStyle name="Currency 3 4 6 6" xfId="16729"/>
    <cellStyle name="Currency 3 4 6 6 2" xfId="16730"/>
    <cellStyle name="Currency 3 4 6 7" xfId="16731"/>
    <cellStyle name="Currency 3 4 6 7 2" xfId="36626"/>
    <cellStyle name="Currency 3 4 6 8" xfId="16732"/>
    <cellStyle name="Currency 3 4 7" xfId="16733"/>
    <cellStyle name="Currency 3 4 7 2" xfId="16734"/>
    <cellStyle name="Currency 3 4 7 2 2" xfId="16735"/>
    <cellStyle name="Currency 3 4 7 2 2 2" xfId="16736"/>
    <cellStyle name="Currency 3 4 7 2 2 2 2" xfId="16737"/>
    <cellStyle name="Currency 3 4 7 2 2 2 3" xfId="16738"/>
    <cellStyle name="Currency 3 4 7 2 2 3" xfId="16739"/>
    <cellStyle name="Currency 3 4 7 2 2 3 2" xfId="16740"/>
    <cellStyle name="Currency 3 4 7 2 2 4" xfId="16741"/>
    <cellStyle name="Currency 3 4 7 2 3" xfId="16742"/>
    <cellStyle name="Currency 3 4 7 2 3 2" xfId="16743"/>
    <cellStyle name="Currency 3 4 7 2 3 2 2" xfId="16744"/>
    <cellStyle name="Currency 3 4 7 2 3 3" xfId="16745"/>
    <cellStyle name="Currency 3 4 7 2 4" xfId="16746"/>
    <cellStyle name="Currency 3 4 7 2 4 2" xfId="16747"/>
    <cellStyle name="Currency 3 4 7 2 4 3" xfId="16748"/>
    <cellStyle name="Currency 3 4 7 2 5" xfId="16749"/>
    <cellStyle name="Currency 3 4 7 2 5 2" xfId="16750"/>
    <cellStyle name="Currency 3 4 7 2 6" xfId="16751"/>
    <cellStyle name="Currency 3 4 7 2 6 2" xfId="36627"/>
    <cellStyle name="Currency 3 4 7 2 7" xfId="16752"/>
    <cellStyle name="Currency 3 4 7 3" xfId="16753"/>
    <cellStyle name="Currency 3 4 7 3 2" xfId="16754"/>
    <cellStyle name="Currency 3 4 7 3 2 2" xfId="16755"/>
    <cellStyle name="Currency 3 4 7 3 2 2 2" xfId="16756"/>
    <cellStyle name="Currency 3 4 7 3 2 3" xfId="16757"/>
    <cellStyle name="Currency 3 4 7 3 3" xfId="16758"/>
    <cellStyle name="Currency 3 4 7 3 3 2" xfId="16759"/>
    <cellStyle name="Currency 3 4 7 3 4" xfId="16760"/>
    <cellStyle name="Currency 3 4 7 4" xfId="16761"/>
    <cellStyle name="Currency 3 4 7 4 2" xfId="16762"/>
    <cellStyle name="Currency 3 4 7 4 2 2" xfId="16763"/>
    <cellStyle name="Currency 3 4 7 4 3" xfId="16764"/>
    <cellStyle name="Currency 3 4 7 5" xfId="16765"/>
    <cellStyle name="Currency 3 4 7 5 2" xfId="16766"/>
    <cellStyle name="Currency 3 4 7 5 2 2" xfId="16767"/>
    <cellStyle name="Currency 3 4 7 5 3" xfId="16768"/>
    <cellStyle name="Currency 3 4 7 6" xfId="16769"/>
    <cellStyle name="Currency 3 4 7 6 2" xfId="16770"/>
    <cellStyle name="Currency 3 4 7 7" xfId="16771"/>
    <cellStyle name="Currency 3 4 7 7 2" xfId="36628"/>
    <cellStyle name="Currency 3 4 7 8" xfId="16772"/>
    <cellStyle name="Currency 3 4 8" xfId="16773"/>
    <cellStyle name="Currency 3 4 8 2" xfId="16774"/>
    <cellStyle name="Currency 3 4 8 2 2" xfId="16775"/>
    <cellStyle name="Currency 3 4 8 2 2 2" xfId="16776"/>
    <cellStyle name="Currency 3 4 8 2 2 3" xfId="16777"/>
    <cellStyle name="Currency 3 4 8 2 3" xfId="16778"/>
    <cellStyle name="Currency 3 4 8 2 3 2" xfId="16779"/>
    <cellStyle name="Currency 3 4 8 2 4" xfId="16780"/>
    <cellStyle name="Currency 3 4 8 3" xfId="16781"/>
    <cellStyle name="Currency 3 4 8 3 2" xfId="16782"/>
    <cellStyle name="Currency 3 4 8 3 2 2" xfId="16783"/>
    <cellStyle name="Currency 3 4 8 3 3" xfId="16784"/>
    <cellStyle name="Currency 3 4 8 4" xfId="16785"/>
    <cellStyle name="Currency 3 4 8 4 2" xfId="16786"/>
    <cellStyle name="Currency 3 4 8 4 3" xfId="16787"/>
    <cellStyle name="Currency 3 4 8 5" xfId="16788"/>
    <cellStyle name="Currency 3 4 8 5 2" xfId="16789"/>
    <cellStyle name="Currency 3 4 8 6" xfId="16790"/>
    <cellStyle name="Currency 3 4 8 6 2" xfId="36629"/>
    <cellStyle name="Currency 3 4 8 7" xfId="16791"/>
    <cellStyle name="Currency 3 4 9" xfId="16792"/>
    <cellStyle name="Currency 3 4 9 2" xfId="16793"/>
    <cellStyle name="Currency 3 4 9 2 2" xfId="16794"/>
    <cellStyle name="Currency 3 4 9 2 2 2" xfId="16795"/>
    <cellStyle name="Currency 3 4 9 2 3" xfId="16796"/>
    <cellStyle name="Currency 3 4 9 3" xfId="16797"/>
    <cellStyle name="Currency 3 4 9 3 2" xfId="16798"/>
    <cellStyle name="Currency 3 4 9 4" xfId="16799"/>
    <cellStyle name="Currency 3 5" xfId="16800"/>
    <cellStyle name="Currency 3 5 10" xfId="16801"/>
    <cellStyle name="Currency 3 5 10 2" xfId="16802"/>
    <cellStyle name="Currency 3 5 10 2 2" xfId="16803"/>
    <cellStyle name="Currency 3 5 10 3" xfId="16804"/>
    <cellStyle name="Currency 3 5 11" xfId="16805"/>
    <cellStyle name="Currency 3 5 11 2" xfId="16806"/>
    <cellStyle name="Currency 3 5 11 2 2" xfId="16807"/>
    <cellStyle name="Currency 3 5 11 3" xfId="16808"/>
    <cellStyle name="Currency 3 5 12" xfId="16809"/>
    <cellStyle name="Currency 3 5 12 2" xfId="16810"/>
    <cellStyle name="Currency 3 5 13" xfId="16811"/>
    <cellStyle name="Currency 3 5 13 2" xfId="36630"/>
    <cellStyle name="Currency 3 5 14" xfId="16812"/>
    <cellStyle name="Currency 3 5 2" xfId="16813"/>
    <cellStyle name="Currency 3 5 2 10" xfId="16814"/>
    <cellStyle name="Currency 3 5 2 2" xfId="16815"/>
    <cellStyle name="Currency 3 5 2 2 2" xfId="16816"/>
    <cellStyle name="Currency 3 5 2 2 2 2" xfId="16817"/>
    <cellStyle name="Currency 3 5 2 2 2 2 2" xfId="16818"/>
    <cellStyle name="Currency 3 5 2 2 2 2 2 2" xfId="16819"/>
    <cellStyle name="Currency 3 5 2 2 2 2 2 2 2" xfId="16820"/>
    <cellStyle name="Currency 3 5 2 2 2 2 2 2 3" xfId="16821"/>
    <cellStyle name="Currency 3 5 2 2 2 2 2 3" xfId="16822"/>
    <cellStyle name="Currency 3 5 2 2 2 2 2 3 2" xfId="16823"/>
    <cellStyle name="Currency 3 5 2 2 2 2 2 4" xfId="16824"/>
    <cellStyle name="Currency 3 5 2 2 2 2 3" xfId="16825"/>
    <cellStyle name="Currency 3 5 2 2 2 2 3 2" xfId="16826"/>
    <cellStyle name="Currency 3 5 2 2 2 2 3 2 2" xfId="16827"/>
    <cellStyle name="Currency 3 5 2 2 2 2 3 3" xfId="16828"/>
    <cellStyle name="Currency 3 5 2 2 2 2 4" xfId="16829"/>
    <cellStyle name="Currency 3 5 2 2 2 2 4 2" xfId="16830"/>
    <cellStyle name="Currency 3 5 2 2 2 2 4 3" xfId="16831"/>
    <cellStyle name="Currency 3 5 2 2 2 2 5" xfId="16832"/>
    <cellStyle name="Currency 3 5 2 2 2 2 5 2" xfId="16833"/>
    <cellStyle name="Currency 3 5 2 2 2 2 6" xfId="16834"/>
    <cellStyle name="Currency 3 5 2 2 2 2 6 2" xfId="36631"/>
    <cellStyle name="Currency 3 5 2 2 2 2 7" xfId="16835"/>
    <cellStyle name="Currency 3 5 2 2 2 3" xfId="16836"/>
    <cellStyle name="Currency 3 5 2 2 2 3 2" xfId="16837"/>
    <cellStyle name="Currency 3 5 2 2 2 3 2 2" xfId="16838"/>
    <cellStyle name="Currency 3 5 2 2 2 3 2 2 2" xfId="16839"/>
    <cellStyle name="Currency 3 5 2 2 2 3 2 3" xfId="16840"/>
    <cellStyle name="Currency 3 5 2 2 2 3 3" xfId="16841"/>
    <cellStyle name="Currency 3 5 2 2 2 3 3 2" xfId="16842"/>
    <cellStyle name="Currency 3 5 2 2 2 3 4" xfId="16843"/>
    <cellStyle name="Currency 3 5 2 2 2 4" xfId="16844"/>
    <cellStyle name="Currency 3 5 2 2 2 4 2" xfId="16845"/>
    <cellStyle name="Currency 3 5 2 2 2 4 2 2" xfId="16846"/>
    <cellStyle name="Currency 3 5 2 2 2 4 3" xfId="16847"/>
    <cellStyle name="Currency 3 5 2 2 2 5" xfId="16848"/>
    <cellStyle name="Currency 3 5 2 2 2 5 2" xfId="16849"/>
    <cellStyle name="Currency 3 5 2 2 2 5 2 2" xfId="16850"/>
    <cellStyle name="Currency 3 5 2 2 2 5 3" xfId="16851"/>
    <cellStyle name="Currency 3 5 2 2 2 6" xfId="16852"/>
    <cellStyle name="Currency 3 5 2 2 2 6 2" xfId="16853"/>
    <cellStyle name="Currency 3 5 2 2 2 7" xfId="16854"/>
    <cellStyle name="Currency 3 5 2 2 2 7 2" xfId="36632"/>
    <cellStyle name="Currency 3 5 2 2 2 8" xfId="16855"/>
    <cellStyle name="Currency 3 5 2 2 3" xfId="16856"/>
    <cellStyle name="Currency 3 5 2 2 3 2" xfId="16857"/>
    <cellStyle name="Currency 3 5 2 2 3 2 2" xfId="16858"/>
    <cellStyle name="Currency 3 5 2 2 3 2 2 2" xfId="16859"/>
    <cellStyle name="Currency 3 5 2 2 3 2 2 3" xfId="16860"/>
    <cellStyle name="Currency 3 5 2 2 3 2 3" xfId="16861"/>
    <cellStyle name="Currency 3 5 2 2 3 2 3 2" xfId="16862"/>
    <cellStyle name="Currency 3 5 2 2 3 2 4" xfId="16863"/>
    <cellStyle name="Currency 3 5 2 2 3 3" xfId="16864"/>
    <cellStyle name="Currency 3 5 2 2 3 3 2" xfId="16865"/>
    <cellStyle name="Currency 3 5 2 2 3 3 2 2" xfId="16866"/>
    <cellStyle name="Currency 3 5 2 2 3 3 3" xfId="16867"/>
    <cellStyle name="Currency 3 5 2 2 3 4" xfId="16868"/>
    <cellStyle name="Currency 3 5 2 2 3 4 2" xfId="16869"/>
    <cellStyle name="Currency 3 5 2 2 3 4 3" xfId="16870"/>
    <cellStyle name="Currency 3 5 2 2 3 5" xfId="16871"/>
    <cellStyle name="Currency 3 5 2 2 3 5 2" xfId="16872"/>
    <cellStyle name="Currency 3 5 2 2 3 6" xfId="16873"/>
    <cellStyle name="Currency 3 5 2 2 3 6 2" xfId="36633"/>
    <cellStyle name="Currency 3 5 2 2 3 7" xfId="16874"/>
    <cellStyle name="Currency 3 5 2 2 4" xfId="16875"/>
    <cellStyle name="Currency 3 5 2 2 4 2" xfId="16876"/>
    <cellStyle name="Currency 3 5 2 2 4 2 2" xfId="16877"/>
    <cellStyle name="Currency 3 5 2 2 4 2 2 2" xfId="16878"/>
    <cellStyle name="Currency 3 5 2 2 4 2 3" xfId="16879"/>
    <cellStyle name="Currency 3 5 2 2 4 3" xfId="16880"/>
    <cellStyle name="Currency 3 5 2 2 4 3 2" xfId="16881"/>
    <cellStyle name="Currency 3 5 2 2 4 4" xfId="16882"/>
    <cellStyle name="Currency 3 5 2 2 5" xfId="16883"/>
    <cellStyle name="Currency 3 5 2 2 5 2" xfId="16884"/>
    <cellStyle name="Currency 3 5 2 2 5 2 2" xfId="16885"/>
    <cellStyle name="Currency 3 5 2 2 5 3" xfId="16886"/>
    <cellStyle name="Currency 3 5 2 2 6" xfId="16887"/>
    <cellStyle name="Currency 3 5 2 2 6 2" xfId="16888"/>
    <cellStyle name="Currency 3 5 2 2 6 2 2" xfId="16889"/>
    <cellStyle name="Currency 3 5 2 2 6 3" xfId="16890"/>
    <cellStyle name="Currency 3 5 2 2 7" xfId="16891"/>
    <cellStyle name="Currency 3 5 2 2 7 2" xfId="16892"/>
    <cellStyle name="Currency 3 5 2 2 8" xfId="16893"/>
    <cellStyle name="Currency 3 5 2 2 8 2" xfId="36634"/>
    <cellStyle name="Currency 3 5 2 2 9" xfId="16894"/>
    <cellStyle name="Currency 3 5 2 3" xfId="16895"/>
    <cellStyle name="Currency 3 5 2 3 2" xfId="16896"/>
    <cellStyle name="Currency 3 5 2 3 2 2" xfId="16897"/>
    <cellStyle name="Currency 3 5 2 3 2 2 2" xfId="16898"/>
    <cellStyle name="Currency 3 5 2 3 2 2 2 2" xfId="16899"/>
    <cellStyle name="Currency 3 5 2 3 2 2 2 3" xfId="16900"/>
    <cellStyle name="Currency 3 5 2 3 2 2 3" xfId="16901"/>
    <cellStyle name="Currency 3 5 2 3 2 2 3 2" xfId="16902"/>
    <cellStyle name="Currency 3 5 2 3 2 2 4" xfId="16903"/>
    <cellStyle name="Currency 3 5 2 3 2 3" xfId="16904"/>
    <cellStyle name="Currency 3 5 2 3 2 3 2" xfId="16905"/>
    <cellStyle name="Currency 3 5 2 3 2 3 2 2" xfId="16906"/>
    <cellStyle name="Currency 3 5 2 3 2 3 3" xfId="16907"/>
    <cellStyle name="Currency 3 5 2 3 2 4" xfId="16908"/>
    <cellStyle name="Currency 3 5 2 3 2 4 2" xfId="16909"/>
    <cellStyle name="Currency 3 5 2 3 2 4 3" xfId="16910"/>
    <cellStyle name="Currency 3 5 2 3 2 5" xfId="16911"/>
    <cellStyle name="Currency 3 5 2 3 2 5 2" xfId="16912"/>
    <cellStyle name="Currency 3 5 2 3 2 6" xfId="16913"/>
    <cellStyle name="Currency 3 5 2 3 2 6 2" xfId="36635"/>
    <cellStyle name="Currency 3 5 2 3 2 7" xfId="16914"/>
    <cellStyle name="Currency 3 5 2 3 3" xfId="16915"/>
    <cellStyle name="Currency 3 5 2 3 3 2" xfId="16916"/>
    <cellStyle name="Currency 3 5 2 3 3 2 2" xfId="16917"/>
    <cellStyle name="Currency 3 5 2 3 3 2 2 2" xfId="16918"/>
    <cellStyle name="Currency 3 5 2 3 3 2 3" xfId="16919"/>
    <cellStyle name="Currency 3 5 2 3 3 3" xfId="16920"/>
    <cellStyle name="Currency 3 5 2 3 3 3 2" xfId="16921"/>
    <cellStyle name="Currency 3 5 2 3 3 4" xfId="16922"/>
    <cellStyle name="Currency 3 5 2 3 4" xfId="16923"/>
    <cellStyle name="Currency 3 5 2 3 4 2" xfId="16924"/>
    <cellStyle name="Currency 3 5 2 3 4 2 2" xfId="16925"/>
    <cellStyle name="Currency 3 5 2 3 4 3" xfId="16926"/>
    <cellStyle name="Currency 3 5 2 3 5" xfId="16927"/>
    <cellStyle name="Currency 3 5 2 3 5 2" xfId="16928"/>
    <cellStyle name="Currency 3 5 2 3 5 2 2" xfId="16929"/>
    <cellStyle name="Currency 3 5 2 3 5 3" xfId="16930"/>
    <cellStyle name="Currency 3 5 2 3 6" xfId="16931"/>
    <cellStyle name="Currency 3 5 2 3 6 2" xfId="16932"/>
    <cellStyle name="Currency 3 5 2 3 7" xfId="16933"/>
    <cellStyle name="Currency 3 5 2 3 7 2" xfId="36636"/>
    <cellStyle name="Currency 3 5 2 3 8" xfId="16934"/>
    <cellStyle name="Currency 3 5 2 4" xfId="16935"/>
    <cellStyle name="Currency 3 5 2 4 2" xfId="16936"/>
    <cellStyle name="Currency 3 5 2 4 2 2" xfId="16937"/>
    <cellStyle name="Currency 3 5 2 4 2 2 2" xfId="16938"/>
    <cellStyle name="Currency 3 5 2 4 2 2 3" xfId="16939"/>
    <cellStyle name="Currency 3 5 2 4 2 3" xfId="16940"/>
    <cellStyle name="Currency 3 5 2 4 2 3 2" xfId="16941"/>
    <cellStyle name="Currency 3 5 2 4 2 4" xfId="16942"/>
    <cellStyle name="Currency 3 5 2 4 3" xfId="16943"/>
    <cellStyle name="Currency 3 5 2 4 3 2" xfId="16944"/>
    <cellStyle name="Currency 3 5 2 4 3 2 2" xfId="16945"/>
    <cellStyle name="Currency 3 5 2 4 3 3" xfId="16946"/>
    <cellStyle name="Currency 3 5 2 4 4" xfId="16947"/>
    <cellStyle name="Currency 3 5 2 4 4 2" xfId="16948"/>
    <cellStyle name="Currency 3 5 2 4 4 3" xfId="16949"/>
    <cellStyle name="Currency 3 5 2 4 5" xfId="16950"/>
    <cellStyle name="Currency 3 5 2 4 5 2" xfId="16951"/>
    <cellStyle name="Currency 3 5 2 4 6" xfId="16952"/>
    <cellStyle name="Currency 3 5 2 4 6 2" xfId="36637"/>
    <cellStyle name="Currency 3 5 2 4 7" xfId="16953"/>
    <cellStyle name="Currency 3 5 2 5" xfId="16954"/>
    <cellStyle name="Currency 3 5 2 5 2" xfId="16955"/>
    <cellStyle name="Currency 3 5 2 5 2 2" xfId="16956"/>
    <cellStyle name="Currency 3 5 2 5 2 2 2" xfId="16957"/>
    <cellStyle name="Currency 3 5 2 5 2 3" xfId="16958"/>
    <cellStyle name="Currency 3 5 2 5 3" xfId="16959"/>
    <cellStyle name="Currency 3 5 2 5 3 2" xfId="16960"/>
    <cellStyle name="Currency 3 5 2 5 4" xfId="16961"/>
    <cellStyle name="Currency 3 5 2 6" xfId="16962"/>
    <cellStyle name="Currency 3 5 2 6 2" xfId="16963"/>
    <cellStyle name="Currency 3 5 2 6 2 2" xfId="16964"/>
    <cellStyle name="Currency 3 5 2 6 3" xfId="16965"/>
    <cellStyle name="Currency 3 5 2 7" xfId="16966"/>
    <cellStyle name="Currency 3 5 2 7 2" xfId="16967"/>
    <cellStyle name="Currency 3 5 2 7 2 2" xfId="16968"/>
    <cellStyle name="Currency 3 5 2 7 3" xfId="16969"/>
    <cellStyle name="Currency 3 5 2 8" xfId="16970"/>
    <cellStyle name="Currency 3 5 2 8 2" xfId="16971"/>
    <cellStyle name="Currency 3 5 2 9" xfId="16972"/>
    <cellStyle name="Currency 3 5 2 9 2" xfId="36638"/>
    <cellStyle name="Currency 3 5 3" xfId="16973"/>
    <cellStyle name="Currency 3 5 3 2" xfId="16974"/>
    <cellStyle name="Currency 3 5 3 2 2" xfId="16975"/>
    <cellStyle name="Currency 3 5 3 2 2 2" xfId="16976"/>
    <cellStyle name="Currency 3 5 3 2 2 2 2" xfId="16977"/>
    <cellStyle name="Currency 3 5 3 2 2 2 2 2" xfId="16978"/>
    <cellStyle name="Currency 3 5 3 2 2 2 2 3" xfId="16979"/>
    <cellStyle name="Currency 3 5 3 2 2 2 3" xfId="16980"/>
    <cellStyle name="Currency 3 5 3 2 2 2 3 2" xfId="16981"/>
    <cellStyle name="Currency 3 5 3 2 2 2 4" xfId="16982"/>
    <cellStyle name="Currency 3 5 3 2 2 3" xfId="16983"/>
    <cellStyle name="Currency 3 5 3 2 2 3 2" xfId="16984"/>
    <cellStyle name="Currency 3 5 3 2 2 3 2 2" xfId="16985"/>
    <cellStyle name="Currency 3 5 3 2 2 3 3" xfId="16986"/>
    <cellStyle name="Currency 3 5 3 2 2 4" xfId="16987"/>
    <cellStyle name="Currency 3 5 3 2 2 4 2" xfId="16988"/>
    <cellStyle name="Currency 3 5 3 2 2 4 3" xfId="16989"/>
    <cellStyle name="Currency 3 5 3 2 2 5" xfId="16990"/>
    <cellStyle name="Currency 3 5 3 2 2 5 2" xfId="16991"/>
    <cellStyle name="Currency 3 5 3 2 2 6" xfId="16992"/>
    <cellStyle name="Currency 3 5 3 2 2 6 2" xfId="36639"/>
    <cellStyle name="Currency 3 5 3 2 2 7" xfId="16993"/>
    <cellStyle name="Currency 3 5 3 2 3" xfId="16994"/>
    <cellStyle name="Currency 3 5 3 2 3 2" xfId="16995"/>
    <cellStyle name="Currency 3 5 3 2 3 2 2" xfId="16996"/>
    <cellStyle name="Currency 3 5 3 2 3 2 2 2" xfId="16997"/>
    <cellStyle name="Currency 3 5 3 2 3 2 3" xfId="16998"/>
    <cellStyle name="Currency 3 5 3 2 3 3" xfId="16999"/>
    <cellStyle name="Currency 3 5 3 2 3 3 2" xfId="17000"/>
    <cellStyle name="Currency 3 5 3 2 3 4" xfId="17001"/>
    <cellStyle name="Currency 3 5 3 2 4" xfId="17002"/>
    <cellStyle name="Currency 3 5 3 2 4 2" xfId="17003"/>
    <cellStyle name="Currency 3 5 3 2 4 2 2" xfId="17004"/>
    <cellStyle name="Currency 3 5 3 2 4 3" xfId="17005"/>
    <cellStyle name="Currency 3 5 3 2 5" xfId="17006"/>
    <cellStyle name="Currency 3 5 3 2 5 2" xfId="17007"/>
    <cellStyle name="Currency 3 5 3 2 5 2 2" xfId="17008"/>
    <cellStyle name="Currency 3 5 3 2 5 3" xfId="17009"/>
    <cellStyle name="Currency 3 5 3 2 6" xfId="17010"/>
    <cellStyle name="Currency 3 5 3 2 6 2" xfId="17011"/>
    <cellStyle name="Currency 3 5 3 2 7" xfId="17012"/>
    <cellStyle name="Currency 3 5 3 2 7 2" xfId="36640"/>
    <cellStyle name="Currency 3 5 3 2 8" xfId="17013"/>
    <cellStyle name="Currency 3 5 3 3" xfId="17014"/>
    <cellStyle name="Currency 3 5 3 3 2" xfId="17015"/>
    <cellStyle name="Currency 3 5 3 3 2 2" xfId="17016"/>
    <cellStyle name="Currency 3 5 3 3 2 2 2" xfId="17017"/>
    <cellStyle name="Currency 3 5 3 3 2 2 3" xfId="17018"/>
    <cellStyle name="Currency 3 5 3 3 2 3" xfId="17019"/>
    <cellStyle name="Currency 3 5 3 3 2 3 2" xfId="17020"/>
    <cellStyle name="Currency 3 5 3 3 2 4" xfId="17021"/>
    <cellStyle name="Currency 3 5 3 3 3" xfId="17022"/>
    <cellStyle name="Currency 3 5 3 3 3 2" xfId="17023"/>
    <cellStyle name="Currency 3 5 3 3 3 2 2" xfId="17024"/>
    <cellStyle name="Currency 3 5 3 3 3 3" xfId="17025"/>
    <cellStyle name="Currency 3 5 3 3 4" xfId="17026"/>
    <cellStyle name="Currency 3 5 3 3 4 2" xfId="17027"/>
    <cellStyle name="Currency 3 5 3 3 4 3" xfId="17028"/>
    <cellStyle name="Currency 3 5 3 3 5" xfId="17029"/>
    <cellStyle name="Currency 3 5 3 3 5 2" xfId="17030"/>
    <cellStyle name="Currency 3 5 3 3 6" xfId="17031"/>
    <cellStyle name="Currency 3 5 3 3 6 2" xfId="36641"/>
    <cellStyle name="Currency 3 5 3 3 7" xfId="17032"/>
    <cellStyle name="Currency 3 5 3 4" xfId="17033"/>
    <cellStyle name="Currency 3 5 3 4 2" xfId="17034"/>
    <cellStyle name="Currency 3 5 3 4 2 2" xfId="17035"/>
    <cellStyle name="Currency 3 5 3 4 2 2 2" xfId="17036"/>
    <cellStyle name="Currency 3 5 3 4 2 3" xfId="17037"/>
    <cellStyle name="Currency 3 5 3 4 3" xfId="17038"/>
    <cellStyle name="Currency 3 5 3 4 3 2" xfId="17039"/>
    <cellStyle name="Currency 3 5 3 4 4" xfId="17040"/>
    <cellStyle name="Currency 3 5 3 5" xfId="17041"/>
    <cellStyle name="Currency 3 5 3 5 2" xfId="17042"/>
    <cellStyle name="Currency 3 5 3 5 2 2" xfId="17043"/>
    <cellStyle name="Currency 3 5 3 5 3" xfId="17044"/>
    <cellStyle name="Currency 3 5 3 6" xfId="17045"/>
    <cellStyle name="Currency 3 5 3 6 2" xfId="17046"/>
    <cellStyle name="Currency 3 5 3 6 2 2" xfId="17047"/>
    <cellStyle name="Currency 3 5 3 6 3" xfId="17048"/>
    <cellStyle name="Currency 3 5 3 7" xfId="17049"/>
    <cellStyle name="Currency 3 5 3 7 2" xfId="17050"/>
    <cellStyle name="Currency 3 5 3 8" xfId="17051"/>
    <cellStyle name="Currency 3 5 3 8 2" xfId="36642"/>
    <cellStyle name="Currency 3 5 3 9" xfId="17052"/>
    <cellStyle name="Currency 3 5 4" xfId="17053"/>
    <cellStyle name="Currency 3 5 4 2" xfId="17054"/>
    <cellStyle name="Currency 3 5 4 2 2" xfId="17055"/>
    <cellStyle name="Currency 3 5 4 2 2 2" xfId="17056"/>
    <cellStyle name="Currency 3 5 4 2 2 2 2" xfId="17057"/>
    <cellStyle name="Currency 3 5 4 2 2 2 2 2" xfId="17058"/>
    <cellStyle name="Currency 3 5 4 2 2 2 2 3" xfId="17059"/>
    <cellStyle name="Currency 3 5 4 2 2 2 3" xfId="17060"/>
    <cellStyle name="Currency 3 5 4 2 2 2 3 2" xfId="17061"/>
    <cellStyle name="Currency 3 5 4 2 2 2 4" xfId="17062"/>
    <cellStyle name="Currency 3 5 4 2 2 3" xfId="17063"/>
    <cellStyle name="Currency 3 5 4 2 2 3 2" xfId="17064"/>
    <cellStyle name="Currency 3 5 4 2 2 3 2 2" xfId="17065"/>
    <cellStyle name="Currency 3 5 4 2 2 3 3" xfId="17066"/>
    <cellStyle name="Currency 3 5 4 2 2 4" xfId="17067"/>
    <cellStyle name="Currency 3 5 4 2 2 4 2" xfId="17068"/>
    <cellStyle name="Currency 3 5 4 2 2 4 3" xfId="17069"/>
    <cellStyle name="Currency 3 5 4 2 2 5" xfId="17070"/>
    <cellStyle name="Currency 3 5 4 2 2 5 2" xfId="17071"/>
    <cellStyle name="Currency 3 5 4 2 2 6" xfId="17072"/>
    <cellStyle name="Currency 3 5 4 2 2 6 2" xfId="36643"/>
    <cellStyle name="Currency 3 5 4 2 2 7" xfId="17073"/>
    <cellStyle name="Currency 3 5 4 2 3" xfId="17074"/>
    <cellStyle name="Currency 3 5 4 2 3 2" xfId="17075"/>
    <cellStyle name="Currency 3 5 4 2 3 2 2" xfId="17076"/>
    <cellStyle name="Currency 3 5 4 2 3 2 2 2" xfId="17077"/>
    <cellStyle name="Currency 3 5 4 2 3 2 3" xfId="17078"/>
    <cellStyle name="Currency 3 5 4 2 3 3" xfId="17079"/>
    <cellStyle name="Currency 3 5 4 2 3 3 2" xfId="17080"/>
    <cellStyle name="Currency 3 5 4 2 3 4" xfId="17081"/>
    <cellStyle name="Currency 3 5 4 2 4" xfId="17082"/>
    <cellStyle name="Currency 3 5 4 2 4 2" xfId="17083"/>
    <cellStyle name="Currency 3 5 4 2 4 2 2" xfId="17084"/>
    <cellStyle name="Currency 3 5 4 2 4 3" xfId="17085"/>
    <cellStyle name="Currency 3 5 4 2 5" xfId="17086"/>
    <cellStyle name="Currency 3 5 4 2 5 2" xfId="17087"/>
    <cellStyle name="Currency 3 5 4 2 5 2 2" xfId="17088"/>
    <cellStyle name="Currency 3 5 4 2 5 3" xfId="17089"/>
    <cellStyle name="Currency 3 5 4 2 6" xfId="17090"/>
    <cellStyle name="Currency 3 5 4 2 6 2" xfId="17091"/>
    <cellStyle name="Currency 3 5 4 2 7" xfId="17092"/>
    <cellStyle name="Currency 3 5 4 2 7 2" xfId="36644"/>
    <cellStyle name="Currency 3 5 4 2 8" xfId="17093"/>
    <cellStyle name="Currency 3 5 4 3" xfId="17094"/>
    <cellStyle name="Currency 3 5 4 3 2" xfId="17095"/>
    <cellStyle name="Currency 3 5 4 3 2 2" xfId="17096"/>
    <cellStyle name="Currency 3 5 4 3 2 2 2" xfId="17097"/>
    <cellStyle name="Currency 3 5 4 3 2 2 3" xfId="17098"/>
    <cellStyle name="Currency 3 5 4 3 2 3" xfId="17099"/>
    <cellStyle name="Currency 3 5 4 3 2 3 2" xfId="17100"/>
    <cellStyle name="Currency 3 5 4 3 2 4" xfId="17101"/>
    <cellStyle name="Currency 3 5 4 3 3" xfId="17102"/>
    <cellStyle name="Currency 3 5 4 3 3 2" xfId="17103"/>
    <cellStyle name="Currency 3 5 4 3 3 2 2" xfId="17104"/>
    <cellStyle name="Currency 3 5 4 3 3 3" xfId="17105"/>
    <cellStyle name="Currency 3 5 4 3 4" xfId="17106"/>
    <cellStyle name="Currency 3 5 4 3 4 2" xfId="17107"/>
    <cellStyle name="Currency 3 5 4 3 4 3" xfId="17108"/>
    <cellStyle name="Currency 3 5 4 3 5" xfId="17109"/>
    <cellStyle name="Currency 3 5 4 3 5 2" xfId="17110"/>
    <cellStyle name="Currency 3 5 4 3 6" xfId="17111"/>
    <cellStyle name="Currency 3 5 4 3 6 2" xfId="36645"/>
    <cellStyle name="Currency 3 5 4 3 7" xfId="17112"/>
    <cellStyle name="Currency 3 5 4 4" xfId="17113"/>
    <cellStyle name="Currency 3 5 4 4 2" xfId="17114"/>
    <cellStyle name="Currency 3 5 4 4 2 2" xfId="17115"/>
    <cellStyle name="Currency 3 5 4 4 2 2 2" xfId="17116"/>
    <cellStyle name="Currency 3 5 4 4 2 3" xfId="17117"/>
    <cellStyle name="Currency 3 5 4 4 3" xfId="17118"/>
    <cellStyle name="Currency 3 5 4 4 3 2" xfId="17119"/>
    <cellStyle name="Currency 3 5 4 4 4" xfId="17120"/>
    <cellStyle name="Currency 3 5 4 5" xfId="17121"/>
    <cellStyle name="Currency 3 5 4 5 2" xfId="17122"/>
    <cellStyle name="Currency 3 5 4 5 2 2" xfId="17123"/>
    <cellStyle name="Currency 3 5 4 5 3" xfId="17124"/>
    <cellStyle name="Currency 3 5 4 6" xfId="17125"/>
    <cellStyle name="Currency 3 5 4 6 2" xfId="17126"/>
    <cellStyle name="Currency 3 5 4 6 2 2" xfId="17127"/>
    <cellStyle name="Currency 3 5 4 6 3" xfId="17128"/>
    <cellStyle name="Currency 3 5 4 7" xfId="17129"/>
    <cellStyle name="Currency 3 5 4 7 2" xfId="17130"/>
    <cellStyle name="Currency 3 5 4 8" xfId="17131"/>
    <cellStyle name="Currency 3 5 4 8 2" xfId="36646"/>
    <cellStyle name="Currency 3 5 4 9" xfId="17132"/>
    <cellStyle name="Currency 3 5 5" xfId="17133"/>
    <cellStyle name="Currency 3 5 5 2" xfId="17134"/>
    <cellStyle name="Currency 3 5 5 2 2" xfId="17135"/>
    <cellStyle name="Currency 3 5 5 2 2 2" xfId="17136"/>
    <cellStyle name="Currency 3 5 5 2 2 2 2" xfId="17137"/>
    <cellStyle name="Currency 3 5 5 2 2 2 3" xfId="17138"/>
    <cellStyle name="Currency 3 5 5 2 2 3" xfId="17139"/>
    <cellStyle name="Currency 3 5 5 2 2 3 2" xfId="17140"/>
    <cellStyle name="Currency 3 5 5 2 2 4" xfId="17141"/>
    <cellStyle name="Currency 3 5 5 2 3" xfId="17142"/>
    <cellStyle name="Currency 3 5 5 2 3 2" xfId="17143"/>
    <cellStyle name="Currency 3 5 5 2 3 2 2" xfId="17144"/>
    <cellStyle name="Currency 3 5 5 2 3 3" xfId="17145"/>
    <cellStyle name="Currency 3 5 5 2 4" xfId="17146"/>
    <cellStyle name="Currency 3 5 5 2 4 2" xfId="17147"/>
    <cellStyle name="Currency 3 5 5 2 4 3" xfId="17148"/>
    <cellStyle name="Currency 3 5 5 2 5" xfId="17149"/>
    <cellStyle name="Currency 3 5 5 2 5 2" xfId="17150"/>
    <cellStyle name="Currency 3 5 5 2 6" xfId="17151"/>
    <cellStyle name="Currency 3 5 5 2 6 2" xfId="36647"/>
    <cellStyle name="Currency 3 5 5 2 7" xfId="17152"/>
    <cellStyle name="Currency 3 5 5 3" xfId="17153"/>
    <cellStyle name="Currency 3 5 5 3 2" xfId="17154"/>
    <cellStyle name="Currency 3 5 5 3 2 2" xfId="17155"/>
    <cellStyle name="Currency 3 5 5 3 2 2 2" xfId="17156"/>
    <cellStyle name="Currency 3 5 5 3 2 3" xfId="17157"/>
    <cellStyle name="Currency 3 5 5 3 3" xfId="17158"/>
    <cellStyle name="Currency 3 5 5 3 3 2" xfId="17159"/>
    <cellStyle name="Currency 3 5 5 3 4" xfId="17160"/>
    <cellStyle name="Currency 3 5 5 4" xfId="17161"/>
    <cellStyle name="Currency 3 5 5 4 2" xfId="17162"/>
    <cellStyle name="Currency 3 5 5 4 2 2" xfId="17163"/>
    <cellStyle name="Currency 3 5 5 4 3" xfId="17164"/>
    <cellStyle name="Currency 3 5 5 5" xfId="17165"/>
    <cellStyle name="Currency 3 5 5 5 2" xfId="17166"/>
    <cellStyle name="Currency 3 5 5 5 2 2" xfId="17167"/>
    <cellStyle name="Currency 3 5 5 5 3" xfId="17168"/>
    <cellStyle name="Currency 3 5 5 6" xfId="17169"/>
    <cellStyle name="Currency 3 5 5 6 2" xfId="17170"/>
    <cellStyle name="Currency 3 5 5 7" xfId="17171"/>
    <cellStyle name="Currency 3 5 5 7 2" xfId="36648"/>
    <cellStyle name="Currency 3 5 5 8" xfId="17172"/>
    <cellStyle name="Currency 3 5 6" xfId="17173"/>
    <cellStyle name="Currency 3 5 6 2" xfId="17174"/>
    <cellStyle name="Currency 3 5 6 2 2" xfId="17175"/>
    <cellStyle name="Currency 3 5 6 2 2 2" xfId="17176"/>
    <cellStyle name="Currency 3 5 6 2 2 2 2" xfId="17177"/>
    <cellStyle name="Currency 3 5 6 2 2 2 3" xfId="17178"/>
    <cellStyle name="Currency 3 5 6 2 2 3" xfId="17179"/>
    <cellStyle name="Currency 3 5 6 2 2 3 2" xfId="17180"/>
    <cellStyle name="Currency 3 5 6 2 2 4" xfId="17181"/>
    <cellStyle name="Currency 3 5 6 2 3" xfId="17182"/>
    <cellStyle name="Currency 3 5 6 2 3 2" xfId="17183"/>
    <cellStyle name="Currency 3 5 6 2 3 2 2" xfId="17184"/>
    <cellStyle name="Currency 3 5 6 2 3 3" xfId="17185"/>
    <cellStyle name="Currency 3 5 6 2 4" xfId="17186"/>
    <cellStyle name="Currency 3 5 6 2 4 2" xfId="17187"/>
    <cellStyle name="Currency 3 5 6 2 4 3" xfId="17188"/>
    <cellStyle name="Currency 3 5 6 2 5" xfId="17189"/>
    <cellStyle name="Currency 3 5 6 2 5 2" xfId="17190"/>
    <cellStyle name="Currency 3 5 6 2 6" xfId="17191"/>
    <cellStyle name="Currency 3 5 6 2 6 2" xfId="36649"/>
    <cellStyle name="Currency 3 5 6 2 7" xfId="17192"/>
    <cellStyle name="Currency 3 5 6 3" xfId="17193"/>
    <cellStyle name="Currency 3 5 6 3 2" xfId="17194"/>
    <cellStyle name="Currency 3 5 6 3 2 2" xfId="17195"/>
    <cellStyle name="Currency 3 5 6 3 2 2 2" xfId="17196"/>
    <cellStyle name="Currency 3 5 6 3 2 3" xfId="17197"/>
    <cellStyle name="Currency 3 5 6 3 3" xfId="17198"/>
    <cellStyle name="Currency 3 5 6 3 3 2" xfId="17199"/>
    <cellStyle name="Currency 3 5 6 3 4" xfId="17200"/>
    <cellStyle name="Currency 3 5 6 4" xfId="17201"/>
    <cellStyle name="Currency 3 5 6 4 2" xfId="17202"/>
    <cellStyle name="Currency 3 5 6 4 2 2" xfId="17203"/>
    <cellStyle name="Currency 3 5 6 4 3" xfId="17204"/>
    <cellStyle name="Currency 3 5 6 5" xfId="17205"/>
    <cellStyle name="Currency 3 5 6 5 2" xfId="17206"/>
    <cellStyle name="Currency 3 5 6 5 2 2" xfId="17207"/>
    <cellStyle name="Currency 3 5 6 5 3" xfId="17208"/>
    <cellStyle name="Currency 3 5 6 6" xfId="17209"/>
    <cellStyle name="Currency 3 5 6 6 2" xfId="17210"/>
    <cellStyle name="Currency 3 5 6 7" xfId="17211"/>
    <cellStyle name="Currency 3 5 6 7 2" xfId="36650"/>
    <cellStyle name="Currency 3 5 6 8" xfId="17212"/>
    <cellStyle name="Currency 3 5 7" xfId="17213"/>
    <cellStyle name="Currency 3 5 7 2" xfId="17214"/>
    <cellStyle name="Currency 3 5 7 2 2" xfId="17215"/>
    <cellStyle name="Currency 3 5 7 2 2 2" xfId="17216"/>
    <cellStyle name="Currency 3 5 7 2 2 2 2" xfId="17217"/>
    <cellStyle name="Currency 3 5 7 2 2 2 3" xfId="17218"/>
    <cellStyle name="Currency 3 5 7 2 2 3" xfId="17219"/>
    <cellStyle name="Currency 3 5 7 2 2 3 2" xfId="17220"/>
    <cellStyle name="Currency 3 5 7 2 2 4" xfId="17221"/>
    <cellStyle name="Currency 3 5 7 2 3" xfId="17222"/>
    <cellStyle name="Currency 3 5 7 2 3 2" xfId="17223"/>
    <cellStyle name="Currency 3 5 7 2 3 2 2" xfId="17224"/>
    <cellStyle name="Currency 3 5 7 2 3 3" xfId="17225"/>
    <cellStyle name="Currency 3 5 7 2 4" xfId="17226"/>
    <cellStyle name="Currency 3 5 7 2 4 2" xfId="17227"/>
    <cellStyle name="Currency 3 5 7 2 4 3" xfId="17228"/>
    <cellStyle name="Currency 3 5 7 2 5" xfId="17229"/>
    <cellStyle name="Currency 3 5 7 2 5 2" xfId="17230"/>
    <cellStyle name="Currency 3 5 7 2 6" xfId="17231"/>
    <cellStyle name="Currency 3 5 7 2 6 2" xfId="36651"/>
    <cellStyle name="Currency 3 5 7 2 7" xfId="17232"/>
    <cellStyle name="Currency 3 5 7 3" xfId="17233"/>
    <cellStyle name="Currency 3 5 7 3 2" xfId="17234"/>
    <cellStyle name="Currency 3 5 7 3 2 2" xfId="17235"/>
    <cellStyle name="Currency 3 5 7 3 2 2 2" xfId="17236"/>
    <cellStyle name="Currency 3 5 7 3 2 3" xfId="17237"/>
    <cellStyle name="Currency 3 5 7 3 3" xfId="17238"/>
    <cellStyle name="Currency 3 5 7 3 3 2" xfId="17239"/>
    <cellStyle name="Currency 3 5 7 3 4" xfId="17240"/>
    <cellStyle name="Currency 3 5 7 4" xfId="17241"/>
    <cellStyle name="Currency 3 5 7 4 2" xfId="17242"/>
    <cellStyle name="Currency 3 5 7 4 2 2" xfId="17243"/>
    <cellStyle name="Currency 3 5 7 4 3" xfId="17244"/>
    <cellStyle name="Currency 3 5 7 5" xfId="17245"/>
    <cellStyle name="Currency 3 5 7 5 2" xfId="17246"/>
    <cellStyle name="Currency 3 5 7 5 2 2" xfId="17247"/>
    <cellStyle name="Currency 3 5 7 5 3" xfId="17248"/>
    <cellStyle name="Currency 3 5 7 6" xfId="17249"/>
    <cellStyle name="Currency 3 5 7 6 2" xfId="17250"/>
    <cellStyle name="Currency 3 5 7 7" xfId="17251"/>
    <cellStyle name="Currency 3 5 7 7 2" xfId="36652"/>
    <cellStyle name="Currency 3 5 7 8" xfId="17252"/>
    <cellStyle name="Currency 3 5 8" xfId="17253"/>
    <cellStyle name="Currency 3 5 8 2" xfId="17254"/>
    <cellStyle name="Currency 3 5 8 2 2" xfId="17255"/>
    <cellStyle name="Currency 3 5 8 2 2 2" xfId="17256"/>
    <cellStyle name="Currency 3 5 8 2 2 3" xfId="17257"/>
    <cellStyle name="Currency 3 5 8 2 3" xfId="17258"/>
    <cellStyle name="Currency 3 5 8 2 3 2" xfId="17259"/>
    <cellStyle name="Currency 3 5 8 2 4" xfId="17260"/>
    <cellStyle name="Currency 3 5 8 3" xfId="17261"/>
    <cellStyle name="Currency 3 5 8 3 2" xfId="17262"/>
    <cellStyle name="Currency 3 5 8 3 2 2" xfId="17263"/>
    <cellStyle name="Currency 3 5 8 3 3" xfId="17264"/>
    <cellStyle name="Currency 3 5 8 4" xfId="17265"/>
    <cellStyle name="Currency 3 5 8 4 2" xfId="17266"/>
    <cellStyle name="Currency 3 5 8 4 3" xfId="17267"/>
    <cellStyle name="Currency 3 5 8 5" xfId="17268"/>
    <cellStyle name="Currency 3 5 8 5 2" xfId="17269"/>
    <cellStyle name="Currency 3 5 8 6" xfId="17270"/>
    <cellStyle name="Currency 3 5 8 6 2" xfId="36653"/>
    <cellStyle name="Currency 3 5 8 7" xfId="17271"/>
    <cellStyle name="Currency 3 5 9" xfId="17272"/>
    <cellStyle name="Currency 3 5 9 2" xfId="17273"/>
    <cellStyle name="Currency 3 5 9 2 2" xfId="17274"/>
    <cellStyle name="Currency 3 5 9 2 2 2" xfId="17275"/>
    <cellStyle name="Currency 3 5 9 2 3" xfId="17276"/>
    <cellStyle name="Currency 3 5 9 3" xfId="17277"/>
    <cellStyle name="Currency 3 5 9 3 2" xfId="17278"/>
    <cellStyle name="Currency 3 5 9 4" xfId="17279"/>
    <cellStyle name="Currency 3 6" xfId="17280"/>
    <cellStyle name="Currency 3 6 10" xfId="17281"/>
    <cellStyle name="Currency 3 6 10 2" xfId="17282"/>
    <cellStyle name="Currency 3 6 10 2 2" xfId="17283"/>
    <cellStyle name="Currency 3 6 10 3" xfId="17284"/>
    <cellStyle name="Currency 3 6 11" xfId="17285"/>
    <cellStyle name="Currency 3 6 11 2" xfId="17286"/>
    <cellStyle name="Currency 3 6 12" xfId="17287"/>
    <cellStyle name="Currency 3 6 12 2" xfId="36654"/>
    <cellStyle name="Currency 3 6 13" xfId="17288"/>
    <cellStyle name="Currency 3 6 2" xfId="17289"/>
    <cellStyle name="Currency 3 6 2 10" xfId="17290"/>
    <cellStyle name="Currency 3 6 2 2" xfId="17291"/>
    <cellStyle name="Currency 3 6 2 2 2" xfId="17292"/>
    <cellStyle name="Currency 3 6 2 2 2 2" xfId="17293"/>
    <cellStyle name="Currency 3 6 2 2 2 2 2" xfId="17294"/>
    <cellStyle name="Currency 3 6 2 2 2 2 2 2" xfId="17295"/>
    <cellStyle name="Currency 3 6 2 2 2 2 2 2 2" xfId="17296"/>
    <cellStyle name="Currency 3 6 2 2 2 2 2 2 3" xfId="17297"/>
    <cellStyle name="Currency 3 6 2 2 2 2 2 3" xfId="17298"/>
    <cellStyle name="Currency 3 6 2 2 2 2 2 3 2" xfId="17299"/>
    <cellStyle name="Currency 3 6 2 2 2 2 2 4" xfId="17300"/>
    <cellStyle name="Currency 3 6 2 2 2 2 3" xfId="17301"/>
    <cellStyle name="Currency 3 6 2 2 2 2 3 2" xfId="17302"/>
    <cellStyle name="Currency 3 6 2 2 2 2 3 2 2" xfId="17303"/>
    <cellStyle name="Currency 3 6 2 2 2 2 3 3" xfId="17304"/>
    <cellStyle name="Currency 3 6 2 2 2 2 4" xfId="17305"/>
    <cellStyle name="Currency 3 6 2 2 2 2 4 2" xfId="17306"/>
    <cellStyle name="Currency 3 6 2 2 2 2 4 3" xfId="17307"/>
    <cellStyle name="Currency 3 6 2 2 2 2 5" xfId="17308"/>
    <cellStyle name="Currency 3 6 2 2 2 2 5 2" xfId="17309"/>
    <cellStyle name="Currency 3 6 2 2 2 2 6" xfId="17310"/>
    <cellStyle name="Currency 3 6 2 2 2 2 6 2" xfId="36655"/>
    <cellStyle name="Currency 3 6 2 2 2 2 7" xfId="17311"/>
    <cellStyle name="Currency 3 6 2 2 2 3" xfId="17312"/>
    <cellStyle name="Currency 3 6 2 2 2 3 2" xfId="17313"/>
    <cellStyle name="Currency 3 6 2 2 2 3 2 2" xfId="17314"/>
    <cellStyle name="Currency 3 6 2 2 2 3 2 2 2" xfId="17315"/>
    <cellStyle name="Currency 3 6 2 2 2 3 2 3" xfId="17316"/>
    <cellStyle name="Currency 3 6 2 2 2 3 3" xfId="17317"/>
    <cellStyle name="Currency 3 6 2 2 2 3 3 2" xfId="17318"/>
    <cellStyle name="Currency 3 6 2 2 2 3 4" xfId="17319"/>
    <cellStyle name="Currency 3 6 2 2 2 4" xfId="17320"/>
    <cellStyle name="Currency 3 6 2 2 2 4 2" xfId="17321"/>
    <cellStyle name="Currency 3 6 2 2 2 4 2 2" xfId="17322"/>
    <cellStyle name="Currency 3 6 2 2 2 4 3" xfId="17323"/>
    <cellStyle name="Currency 3 6 2 2 2 5" xfId="17324"/>
    <cellStyle name="Currency 3 6 2 2 2 5 2" xfId="17325"/>
    <cellStyle name="Currency 3 6 2 2 2 5 2 2" xfId="17326"/>
    <cellStyle name="Currency 3 6 2 2 2 5 3" xfId="17327"/>
    <cellStyle name="Currency 3 6 2 2 2 6" xfId="17328"/>
    <cellStyle name="Currency 3 6 2 2 2 6 2" xfId="17329"/>
    <cellStyle name="Currency 3 6 2 2 2 7" xfId="17330"/>
    <cellStyle name="Currency 3 6 2 2 2 7 2" xfId="36656"/>
    <cellStyle name="Currency 3 6 2 2 2 8" xfId="17331"/>
    <cellStyle name="Currency 3 6 2 2 3" xfId="17332"/>
    <cellStyle name="Currency 3 6 2 2 3 2" xfId="17333"/>
    <cellStyle name="Currency 3 6 2 2 3 2 2" xfId="17334"/>
    <cellStyle name="Currency 3 6 2 2 3 2 2 2" xfId="17335"/>
    <cellStyle name="Currency 3 6 2 2 3 2 2 3" xfId="17336"/>
    <cellStyle name="Currency 3 6 2 2 3 2 3" xfId="17337"/>
    <cellStyle name="Currency 3 6 2 2 3 2 3 2" xfId="17338"/>
    <cellStyle name="Currency 3 6 2 2 3 2 4" xfId="17339"/>
    <cellStyle name="Currency 3 6 2 2 3 3" xfId="17340"/>
    <cellStyle name="Currency 3 6 2 2 3 3 2" xfId="17341"/>
    <cellStyle name="Currency 3 6 2 2 3 3 2 2" xfId="17342"/>
    <cellStyle name="Currency 3 6 2 2 3 3 3" xfId="17343"/>
    <cellStyle name="Currency 3 6 2 2 3 4" xfId="17344"/>
    <cellStyle name="Currency 3 6 2 2 3 4 2" xfId="17345"/>
    <cellStyle name="Currency 3 6 2 2 3 4 3" xfId="17346"/>
    <cellStyle name="Currency 3 6 2 2 3 5" xfId="17347"/>
    <cellStyle name="Currency 3 6 2 2 3 5 2" xfId="17348"/>
    <cellStyle name="Currency 3 6 2 2 3 6" xfId="17349"/>
    <cellStyle name="Currency 3 6 2 2 3 6 2" xfId="36657"/>
    <cellStyle name="Currency 3 6 2 2 3 7" xfId="17350"/>
    <cellStyle name="Currency 3 6 2 2 4" xfId="17351"/>
    <cellStyle name="Currency 3 6 2 2 4 2" xfId="17352"/>
    <cellStyle name="Currency 3 6 2 2 4 2 2" xfId="17353"/>
    <cellStyle name="Currency 3 6 2 2 4 2 2 2" xfId="17354"/>
    <cellStyle name="Currency 3 6 2 2 4 2 3" xfId="17355"/>
    <cellStyle name="Currency 3 6 2 2 4 3" xfId="17356"/>
    <cellStyle name="Currency 3 6 2 2 4 3 2" xfId="17357"/>
    <cellStyle name="Currency 3 6 2 2 4 4" xfId="17358"/>
    <cellStyle name="Currency 3 6 2 2 5" xfId="17359"/>
    <cellStyle name="Currency 3 6 2 2 5 2" xfId="17360"/>
    <cellStyle name="Currency 3 6 2 2 5 2 2" xfId="17361"/>
    <cellStyle name="Currency 3 6 2 2 5 3" xfId="17362"/>
    <cellStyle name="Currency 3 6 2 2 6" xfId="17363"/>
    <cellStyle name="Currency 3 6 2 2 6 2" xfId="17364"/>
    <cellStyle name="Currency 3 6 2 2 6 2 2" xfId="17365"/>
    <cellStyle name="Currency 3 6 2 2 6 3" xfId="17366"/>
    <cellStyle name="Currency 3 6 2 2 7" xfId="17367"/>
    <cellStyle name="Currency 3 6 2 2 7 2" xfId="17368"/>
    <cellStyle name="Currency 3 6 2 2 8" xfId="17369"/>
    <cellStyle name="Currency 3 6 2 2 8 2" xfId="36658"/>
    <cellStyle name="Currency 3 6 2 2 9" xfId="17370"/>
    <cellStyle name="Currency 3 6 2 3" xfId="17371"/>
    <cellStyle name="Currency 3 6 2 3 2" xfId="17372"/>
    <cellStyle name="Currency 3 6 2 3 2 2" xfId="17373"/>
    <cellStyle name="Currency 3 6 2 3 2 2 2" xfId="17374"/>
    <cellStyle name="Currency 3 6 2 3 2 2 2 2" xfId="17375"/>
    <cellStyle name="Currency 3 6 2 3 2 2 2 3" xfId="17376"/>
    <cellStyle name="Currency 3 6 2 3 2 2 3" xfId="17377"/>
    <cellStyle name="Currency 3 6 2 3 2 2 3 2" xfId="17378"/>
    <cellStyle name="Currency 3 6 2 3 2 2 4" xfId="17379"/>
    <cellStyle name="Currency 3 6 2 3 2 3" xfId="17380"/>
    <cellStyle name="Currency 3 6 2 3 2 3 2" xfId="17381"/>
    <cellStyle name="Currency 3 6 2 3 2 3 2 2" xfId="17382"/>
    <cellStyle name="Currency 3 6 2 3 2 3 3" xfId="17383"/>
    <cellStyle name="Currency 3 6 2 3 2 4" xfId="17384"/>
    <cellStyle name="Currency 3 6 2 3 2 4 2" xfId="17385"/>
    <cellStyle name="Currency 3 6 2 3 2 4 3" xfId="17386"/>
    <cellStyle name="Currency 3 6 2 3 2 5" xfId="17387"/>
    <cellStyle name="Currency 3 6 2 3 2 5 2" xfId="17388"/>
    <cellStyle name="Currency 3 6 2 3 2 6" xfId="17389"/>
    <cellStyle name="Currency 3 6 2 3 2 6 2" xfId="36659"/>
    <cellStyle name="Currency 3 6 2 3 2 7" xfId="17390"/>
    <cellStyle name="Currency 3 6 2 3 3" xfId="17391"/>
    <cellStyle name="Currency 3 6 2 3 3 2" xfId="17392"/>
    <cellStyle name="Currency 3 6 2 3 3 2 2" xfId="17393"/>
    <cellStyle name="Currency 3 6 2 3 3 2 2 2" xfId="17394"/>
    <cellStyle name="Currency 3 6 2 3 3 2 3" xfId="17395"/>
    <cellStyle name="Currency 3 6 2 3 3 3" xfId="17396"/>
    <cellStyle name="Currency 3 6 2 3 3 3 2" xfId="17397"/>
    <cellStyle name="Currency 3 6 2 3 3 4" xfId="17398"/>
    <cellStyle name="Currency 3 6 2 3 4" xfId="17399"/>
    <cellStyle name="Currency 3 6 2 3 4 2" xfId="17400"/>
    <cellStyle name="Currency 3 6 2 3 4 2 2" xfId="17401"/>
    <cellStyle name="Currency 3 6 2 3 4 3" xfId="17402"/>
    <cellStyle name="Currency 3 6 2 3 5" xfId="17403"/>
    <cellStyle name="Currency 3 6 2 3 5 2" xfId="17404"/>
    <cellStyle name="Currency 3 6 2 3 5 2 2" xfId="17405"/>
    <cellStyle name="Currency 3 6 2 3 5 3" xfId="17406"/>
    <cellStyle name="Currency 3 6 2 3 6" xfId="17407"/>
    <cellStyle name="Currency 3 6 2 3 6 2" xfId="17408"/>
    <cellStyle name="Currency 3 6 2 3 7" xfId="17409"/>
    <cellStyle name="Currency 3 6 2 3 7 2" xfId="36660"/>
    <cellStyle name="Currency 3 6 2 3 8" xfId="17410"/>
    <cellStyle name="Currency 3 6 2 4" xfId="17411"/>
    <cellStyle name="Currency 3 6 2 4 2" xfId="17412"/>
    <cellStyle name="Currency 3 6 2 4 2 2" xfId="17413"/>
    <cellStyle name="Currency 3 6 2 4 2 2 2" xfId="17414"/>
    <cellStyle name="Currency 3 6 2 4 2 2 3" xfId="17415"/>
    <cellStyle name="Currency 3 6 2 4 2 3" xfId="17416"/>
    <cellStyle name="Currency 3 6 2 4 2 3 2" xfId="17417"/>
    <cellStyle name="Currency 3 6 2 4 2 4" xfId="17418"/>
    <cellStyle name="Currency 3 6 2 4 3" xfId="17419"/>
    <cellStyle name="Currency 3 6 2 4 3 2" xfId="17420"/>
    <cellStyle name="Currency 3 6 2 4 3 2 2" xfId="17421"/>
    <cellStyle name="Currency 3 6 2 4 3 3" xfId="17422"/>
    <cellStyle name="Currency 3 6 2 4 4" xfId="17423"/>
    <cellStyle name="Currency 3 6 2 4 4 2" xfId="17424"/>
    <cellStyle name="Currency 3 6 2 4 4 3" xfId="17425"/>
    <cellStyle name="Currency 3 6 2 4 5" xfId="17426"/>
    <cellStyle name="Currency 3 6 2 4 5 2" xfId="17427"/>
    <cellStyle name="Currency 3 6 2 4 6" xfId="17428"/>
    <cellStyle name="Currency 3 6 2 4 6 2" xfId="36661"/>
    <cellStyle name="Currency 3 6 2 4 7" xfId="17429"/>
    <cellStyle name="Currency 3 6 2 5" xfId="17430"/>
    <cellStyle name="Currency 3 6 2 5 2" xfId="17431"/>
    <cellStyle name="Currency 3 6 2 5 2 2" xfId="17432"/>
    <cellStyle name="Currency 3 6 2 5 2 2 2" xfId="17433"/>
    <cellStyle name="Currency 3 6 2 5 2 3" xfId="17434"/>
    <cellStyle name="Currency 3 6 2 5 3" xfId="17435"/>
    <cellStyle name="Currency 3 6 2 5 3 2" xfId="17436"/>
    <cellStyle name="Currency 3 6 2 5 4" xfId="17437"/>
    <cellStyle name="Currency 3 6 2 6" xfId="17438"/>
    <cellStyle name="Currency 3 6 2 6 2" xfId="17439"/>
    <cellStyle name="Currency 3 6 2 6 2 2" xfId="17440"/>
    <cellStyle name="Currency 3 6 2 6 3" xfId="17441"/>
    <cellStyle name="Currency 3 6 2 7" xfId="17442"/>
    <cellStyle name="Currency 3 6 2 7 2" xfId="17443"/>
    <cellStyle name="Currency 3 6 2 7 2 2" xfId="17444"/>
    <cellStyle name="Currency 3 6 2 7 3" xfId="17445"/>
    <cellStyle name="Currency 3 6 2 8" xfId="17446"/>
    <cellStyle name="Currency 3 6 2 8 2" xfId="17447"/>
    <cellStyle name="Currency 3 6 2 9" xfId="17448"/>
    <cellStyle name="Currency 3 6 2 9 2" xfId="36662"/>
    <cellStyle name="Currency 3 6 3" xfId="17449"/>
    <cellStyle name="Currency 3 6 3 2" xfId="17450"/>
    <cellStyle name="Currency 3 6 3 2 2" xfId="17451"/>
    <cellStyle name="Currency 3 6 3 2 2 2" xfId="17452"/>
    <cellStyle name="Currency 3 6 3 2 2 2 2" xfId="17453"/>
    <cellStyle name="Currency 3 6 3 2 2 2 2 2" xfId="17454"/>
    <cellStyle name="Currency 3 6 3 2 2 2 2 3" xfId="17455"/>
    <cellStyle name="Currency 3 6 3 2 2 2 3" xfId="17456"/>
    <cellStyle name="Currency 3 6 3 2 2 2 3 2" xfId="17457"/>
    <cellStyle name="Currency 3 6 3 2 2 2 4" xfId="17458"/>
    <cellStyle name="Currency 3 6 3 2 2 3" xfId="17459"/>
    <cellStyle name="Currency 3 6 3 2 2 3 2" xfId="17460"/>
    <cellStyle name="Currency 3 6 3 2 2 3 2 2" xfId="17461"/>
    <cellStyle name="Currency 3 6 3 2 2 3 3" xfId="17462"/>
    <cellStyle name="Currency 3 6 3 2 2 4" xfId="17463"/>
    <cellStyle name="Currency 3 6 3 2 2 4 2" xfId="17464"/>
    <cellStyle name="Currency 3 6 3 2 2 4 3" xfId="17465"/>
    <cellStyle name="Currency 3 6 3 2 2 5" xfId="17466"/>
    <cellStyle name="Currency 3 6 3 2 2 5 2" xfId="17467"/>
    <cellStyle name="Currency 3 6 3 2 2 6" xfId="17468"/>
    <cellStyle name="Currency 3 6 3 2 2 6 2" xfId="36663"/>
    <cellStyle name="Currency 3 6 3 2 2 7" xfId="17469"/>
    <cellStyle name="Currency 3 6 3 2 3" xfId="17470"/>
    <cellStyle name="Currency 3 6 3 2 3 2" xfId="17471"/>
    <cellStyle name="Currency 3 6 3 2 3 2 2" xfId="17472"/>
    <cellStyle name="Currency 3 6 3 2 3 2 2 2" xfId="17473"/>
    <cellStyle name="Currency 3 6 3 2 3 2 3" xfId="17474"/>
    <cellStyle name="Currency 3 6 3 2 3 3" xfId="17475"/>
    <cellStyle name="Currency 3 6 3 2 3 3 2" xfId="17476"/>
    <cellStyle name="Currency 3 6 3 2 3 4" xfId="17477"/>
    <cellStyle name="Currency 3 6 3 2 4" xfId="17478"/>
    <cellStyle name="Currency 3 6 3 2 4 2" xfId="17479"/>
    <cellStyle name="Currency 3 6 3 2 4 2 2" xfId="17480"/>
    <cellStyle name="Currency 3 6 3 2 4 3" xfId="17481"/>
    <cellStyle name="Currency 3 6 3 2 5" xfId="17482"/>
    <cellStyle name="Currency 3 6 3 2 5 2" xfId="17483"/>
    <cellStyle name="Currency 3 6 3 2 5 2 2" xfId="17484"/>
    <cellStyle name="Currency 3 6 3 2 5 3" xfId="17485"/>
    <cellStyle name="Currency 3 6 3 2 6" xfId="17486"/>
    <cellStyle name="Currency 3 6 3 2 6 2" xfId="17487"/>
    <cellStyle name="Currency 3 6 3 2 7" xfId="17488"/>
    <cellStyle name="Currency 3 6 3 2 7 2" xfId="36664"/>
    <cellStyle name="Currency 3 6 3 2 8" xfId="17489"/>
    <cellStyle name="Currency 3 6 3 3" xfId="17490"/>
    <cellStyle name="Currency 3 6 3 3 2" xfId="17491"/>
    <cellStyle name="Currency 3 6 3 3 2 2" xfId="17492"/>
    <cellStyle name="Currency 3 6 3 3 2 2 2" xfId="17493"/>
    <cellStyle name="Currency 3 6 3 3 2 2 3" xfId="17494"/>
    <cellStyle name="Currency 3 6 3 3 2 3" xfId="17495"/>
    <cellStyle name="Currency 3 6 3 3 2 3 2" xfId="17496"/>
    <cellStyle name="Currency 3 6 3 3 2 4" xfId="17497"/>
    <cellStyle name="Currency 3 6 3 3 3" xfId="17498"/>
    <cellStyle name="Currency 3 6 3 3 3 2" xfId="17499"/>
    <cellStyle name="Currency 3 6 3 3 3 2 2" xfId="17500"/>
    <cellStyle name="Currency 3 6 3 3 3 3" xfId="17501"/>
    <cellStyle name="Currency 3 6 3 3 4" xfId="17502"/>
    <cellStyle name="Currency 3 6 3 3 4 2" xfId="17503"/>
    <cellStyle name="Currency 3 6 3 3 4 3" xfId="17504"/>
    <cellStyle name="Currency 3 6 3 3 5" xfId="17505"/>
    <cellStyle name="Currency 3 6 3 3 5 2" xfId="17506"/>
    <cellStyle name="Currency 3 6 3 3 6" xfId="17507"/>
    <cellStyle name="Currency 3 6 3 3 6 2" xfId="36665"/>
    <cellStyle name="Currency 3 6 3 3 7" xfId="17508"/>
    <cellStyle name="Currency 3 6 3 4" xfId="17509"/>
    <cellStyle name="Currency 3 6 3 4 2" xfId="17510"/>
    <cellStyle name="Currency 3 6 3 4 2 2" xfId="17511"/>
    <cellStyle name="Currency 3 6 3 4 2 2 2" xfId="17512"/>
    <cellStyle name="Currency 3 6 3 4 2 3" xfId="17513"/>
    <cellStyle name="Currency 3 6 3 4 3" xfId="17514"/>
    <cellStyle name="Currency 3 6 3 4 3 2" xfId="17515"/>
    <cellStyle name="Currency 3 6 3 4 4" xfId="17516"/>
    <cellStyle name="Currency 3 6 3 5" xfId="17517"/>
    <cellStyle name="Currency 3 6 3 5 2" xfId="17518"/>
    <cellStyle name="Currency 3 6 3 5 2 2" xfId="17519"/>
    <cellStyle name="Currency 3 6 3 5 3" xfId="17520"/>
    <cellStyle name="Currency 3 6 3 6" xfId="17521"/>
    <cellStyle name="Currency 3 6 3 6 2" xfId="17522"/>
    <cellStyle name="Currency 3 6 3 6 2 2" xfId="17523"/>
    <cellStyle name="Currency 3 6 3 6 3" xfId="17524"/>
    <cellStyle name="Currency 3 6 3 7" xfId="17525"/>
    <cellStyle name="Currency 3 6 3 7 2" xfId="17526"/>
    <cellStyle name="Currency 3 6 3 8" xfId="17527"/>
    <cellStyle name="Currency 3 6 3 8 2" xfId="36666"/>
    <cellStyle name="Currency 3 6 3 9" xfId="17528"/>
    <cellStyle name="Currency 3 6 4" xfId="17529"/>
    <cellStyle name="Currency 3 6 4 2" xfId="17530"/>
    <cellStyle name="Currency 3 6 4 2 2" xfId="17531"/>
    <cellStyle name="Currency 3 6 4 2 2 2" xfId="17532"/>
    <cellStyle name="Currency 3 6 4 2 2 2 2" xfId="17533"/>
    <cellStyle name="Currency 3 6 4 2 2 2 3" xfId="17534"/>
    <cellStyle name="Currency 3 6 4 2 2 3" xfId="17535"/>
    <cellStyle name="Currency 3 6 4 2 2 3 2" xfId="17536"/>
    <cellStyle name="Currency 3 6 4 2 2 4" xfId="17537"/>
    <cellStyle name="Currency 3 6 4 2 3" xfId="17538"/>
    <cellStyle name="Currency 3 6 4 2 3 2" xfId="17539"/>
    <cellStyle name="Currency 3 6 4 2 3 2 2" xfId="17540"/>
    <cellStyle name="Currency 3 6 4 2 3 3" xfId="17541"/>
    <cellStyle name="Currency 3 6 4 2 4" xfId="17542"/>
    <cellStyle name="Currency 3 6 4 2 4 2" xfId="17543"/>
    <cellStyle name="Currency 3 6 4 2 4 3" xfId="17544"/>
    <cellStyle name="Currency 3 6 4 2 5" xfId="17545"/>
    <cellStyle name="Currency 3 6 4 2 5 2" xfId="17546"/>
    <cellStyle name="Currency 3 6 4 2 6" xfId="17547"/>
    <cellStyle name="Currency 3 6 4 2 6 2" xfId="36667"/>
    <cellStyle name="Currency 3 6 4 2 7" xfId="17548"/>
    <cellStyle name="Currency 3 6 4 3" xfId="17549"/>
    <cellStyle name="Currency 3 6 4 3 2" xfId="17550"/>
    <cellStyle name="Currency 3 6 4 3 2 2" xfId="17551"/>
    <cellStyle name="Currency 3 6 4 3 2 2 2" xfId="17552"/>
    <cellStyle name="Currency 3 6 4 3 2 3" xfId="17553"/>
    <cellStyle name="Currency 3 6 4 3 3" xfId="17554"/>
    <cellStyle name="Currency 3 6 4 3 3 2" xfId="17555"/>
    <cellStyle name="Currency 3 6 4 3 4" xfId="17556"/>
    <cellStyle name="Currency 3 6 4 4" xfId="17557"/>
    <cellStyle name="Currency 3 6 4 4 2" xfId="17558"/>
    <cellStyle name="Currency 3 6 4 4 2 2" xfId="17559"/>
    <cellStyle name="Currency 3 6 4 4 3" xfId="17560"/>
    <cellStyle name="Currency 3 6 4 5" xfId="17561"/>
    <cellStyle name="Currency 3 6 4 5 2" xfId="17562"/>
    <cellStyle name="Currency 3 6 4 5 2 2" xfId="17563"/>
    <cellStyle name="Currency 3 6 4 5 3" xfId="17564"/>
    <cellStyle name="Currency 3 6 4 6" xfId="17565"/>
    <cellStyle name="Currency 3 6 4 6 2" xfId="17566"/>
    <cellStyle name="Currency 3 6 4 7" xfId="17567"/>
    <cellStyle name="Currency 3 6 4 7 2" xfId="36668"/>
    <cellStyle name="Currency 3 6 4 8" xfId="17568"/>
    <cellStyle name="Currency 3 6 5" xfId="17569"/>
    <cellStyle name="Currency 3 6 5 2" xfId="17570"/>
    <cellStyle name="Currency 3 6 5 2 2" xfId="17571"/>
    <cellStyle name="Currency 3 6 5 2 2 2" xfId="17572"/>
    <cellStyle name="Currency 3 6 5 2 2 2 2" xfId="17573"/>
    <cellStyle name="Currency 3 6 5 2 2 2 3" xfId="17574"/>
    <cellStyle name="Currency 3 6 5 2 2 3" xfId="17575"/>
    <cellStyle name="Currency 3 6 5 2 2 3 2" xfId="17576"/>
    <cellStyle name="Currency 3 6 5 2 2 4" xfId="17577"/>
    <cellStyle name="Currency 3 6 5 2 3" xfId="17578"/>
    <cellStyle name="Currency 3 6 5 2 3 2" xfId="17579"/>
    <cellStyle name="Currency 3 6 5 2 3 2 2" xfId="17580"/>
    <cellStyle name="Currency 3 6 5 2 3 3" xfId="17581"/>
    <cellStyle name="Currency 3 6 5 2 4" xfId="17582"/>
    <cellStyle name="Currency 3 6 5 2 4 2" xfId="17583"/>
    <cellStyle name="Currency 3 6 5 2 4 3" xfId="17584"/>
    <cellStyle name="Currency 3 6 5 2 5" xfId="17585"/>
    <cellStyle name="Currency 3 6 5 2 5 2" xfId="17586"/>
    <cellStyle name="Currency 3 6 5 2 6" xfId="17587"/>
    <cellStyle name="Currency 3 6 5 2 6 2" xfId="36669"/>
    <cellStyle name="Currency 3 6 5 2 7" xfId="17588"/>
    <cellStyle name="Currency 3 6 5 3" xfId="17589"/>
    <cellStyle name="Currency 3 6 5 3 2" xfId="17590"/>
    <cellStyle name="Currency 3 6 5 3 2 2" xfId="17591"/>
    <cellStyle name="Currency 3 6 5 3 2 2 2" xfId="17592"/>
    <cellStyle name="Currency 3 6 5 3 2 3" xfId="17593"/>
    <cellStyle name="Currency 3 6 5 3 3" xfId="17594"/>
    <cellStyle name="Currency 3 6 5 3 3 2" xfId="17595"/>
    <cellStyle name="Currency 3 6 5 3 4" xfId="17596"/>
    <cellStyle name="Currency 3 6 5 4" xfId="17597"/>
    <cellStyle name="Currency 3 6 5 4 2" xfId="17598"/>
    <cellStyle name="Currency 3 6 5 4 2 2" xfId="17599"/>
    <cellStyle name="Currency 3 6 5 4 3" xfId="17600"/>
    <cellStyle name="Currency 3 6 5 5" xfId="17601"/>
    <cellStyle name="Currency 3 6 5 5 2" xfId="17602"/>
    <cellStyle name="Currency 3 6 5 5 2 2" xfId="17603"/>
    <cellStyle name="Currency 3 6 5 5 3" xfId="17604"/>
    <cellStyle name="Currency 3 6 5 6" xfId="17605"/>
    <cellStyle name="Currency 3 6 5 6 2" xfId="17606"/>
    <cellStyle name="Currency 3 6 5 7" xfId="17607"/>
    <cellStyle name="Currency 3 6 5 7 2" xfId="36670"/>
    <cellStyle name="Currency 3 6 5 8" xfId="17608"/>
    <cellStyle name="Currency 3 6 6" xfId="17609"/>
    <cellStyle name="Currency 3 6 7" xfId="17610"/>
    <cellStyle name="Currency 3 6 7 2" xfId="17611"/>
    <cellStyle name="Currency 3 6 7 2 2" xfId="17612"/>
    <cellStyle name="Currency 3 6 7 2 2 2" xfId="17613"/>
    <cellStyle name="Currency 3 6 7 2 2 3" xfId="17614"/>
    <cellStyle name="Currency 3 6 7 2 3" xfId="17615"/>
    <cellStyle name="Currency 3 6 7 2 3 2" xfId="17616"/>
    <cellStyle name="Currency 3 6 7 2 4" xfId="17617"/>
    <cellStyle name="Currency 3 6 7 3" xfId="17618"/>
    <cellStyle name="Currency 3 6 7 3 2" xfId="17619"/>
    <cellStyle name="Currency 3 6 7 3 2 2" xfId="17620"/>
    <cellStyle name="Currency 3 6 7 3 3" xfId="17621"/>
    <cellStyle name="Currency 3 6 7 4" xfId="17622"/>
    <cellStyle name="Currency 3 6 7 4 2" xfId="17623"/>
    <cellStyle name="Currency 3 6 7 4 3" xfId="17624"/>
    <cellStyle name="Currency 3 6 7 5" xfId="17625"/>
    <cellStyle name="Currency 3 6 7 5 2" xfId="17626"/>
    <cellStyle name="Currency 3 6 7 6" xfId="17627"/>
    <cellStyle name="Currency 3 6 7 6 2" xfId="36671"/>
    <cellStyle name="Currency 3 6 7 7" xfId="17628"/>
    <cellStyle name="Currency 3 6 8" xfId="17629"/>
    <cellStyle name="Currency 3 6 8 2" xfId="17630"/>
    <cellStyle name="Currency 3 6 8 2 2" xfId="17631"/>
    <cellStyle name="Currency 3 6 8 2 2 2" xfId="17632"/>
    <cellStyle name="Currency 3 6 8 2 3" xfId="17633"/>
    <cellStyle name="Currency 3 6 8 3" xfId="17634"/>
    <cellStyle name="Currency 3 6 8 3 2" xfId="17635"/>
    <cellStyle name="Currency 3 6 8 4" xfId="17636"/>
    <cellStyle name="Currency 3 6 9" xfId="17637"/>
    <cellStyle name="Currency 3 6 9 2" xfId="17638"/>
    <cellStyle name="Currency 3 6 9 2 2" xfId="17639"/>
    <cellStyle name="Currency 3 6 9 3" xfId="17640"/>
    <cellStyle name="Currency 3 7" xfId="17641"/>
    <cellStyle name="Currency 3 7 10" xfId="17642"/>
    <cellStyle name="Currency 3 7 2" xfId="17643"/>
    <cellStyle name="Currency 3 7 2 2" xfId="17644"/>
    <cellStyle name="Currency 3 7 2 2 2" xfId="17645"/>
    <cellStyle name="Currency 3 7 2 2 2 2" xfId="17646"/>
    <cellStyle name="Currency 3 7 2 2 2 2 2" xfId="17647"/>
    <cellStyle name="Currency 3 7 2 2 2 2 2 2" xfId="17648"/>
    <cellStyle name="Currency 3 7 2 2 2 2 2 3" xfId="17649"/>
    <cellStyle name="Currency 3 7 2 2 2 2 3" xfId="17650"/>
    <cellStyle name="Currency 3 7 2 2 2 2 3 2" xfId="17651"/>
    <cellStyle name="Currency 3 7 2 2 2 2 4" xfId="17652"/>
    <cellStyle name="Currency 3 7 2 2 2 3" xfId="17653"/>
    <cellStyle name="Currency 3 7 2 2 2 3 2" xfId="17654"/>
    <cellStyle name="Currency 3 7 2 2 2 3 2 2" xfId="17655"/>
    <cellStyle name="Currency 3 7 2 2 2 3 3" xfId="17656"/>
    <cellStyle name="Currency 3 7 2 2 2 4" xfId="17657"/>
    <cellStyle name="Currency 3 7 2 2 2 4 2" xfId="17658"/>
    <cellStyle name="Currency 3 7 2 2 2 4 3" xfId="17659"/>
    <cellStyle name="Currency 3 7 2 2 2 5" xfId="17660"/>
    <cellStyle name="Currency 3 7 2 2 2 5 2" xfId="17661"/>
    <cellStyle name="Currency 3 7 2 2 2 6" xfId="17662"/>
    <cellStyle name="Currency 3 7 2 2 2 6 2" xfId="36672"/>
    <cellStyle name="Currency 3 7 2 2 2 7" xfId="17663"/>
    <cellStyle name="Currency 3 7 2 2 3" xfId="17664"/>
    <cellStyle name="Currency 3 7 2 2 3 2" xfId="17665"/>
    <cellStyle name="Currency 3 7 2 2 3 2 2" xfId="17666"/>
    <cellStyle name="Currency 3 7 2 2 3 2 2 2" xfId="17667"/>
    <cellStyle name="Currency 3 7 2 2 3 2 3" xfId="17668"/>
    <cellStyle name="Currency 3 7 2 2 3 3" xfId="17669"/>
    <cellStyle name="Currency 3 7 2 2 3 3 2" xfId="17670"/>
    <cellStyle name="Currency 3 7 2 2 3 4" xfId="17671"/>
    <cellStyle name="Currency 3 7 2 2 4" xfId="17672"/>
    <cellStyle name="Currency 3 7 2 2 4 2" xfId="17673"/>
    <cellStyle name="Currency 3 7 2 2 4 2 2" xfId="17674"/>
    <cellStyle name="Currency 3 7 2 2 4 3" xfId="17675"/>
    <cellStyle name="Currency 3 7 2 2 5" xfId="17676"/>
    <cellStyle name="Currency 3 7 2 2 5 2" xfId="17677"/>
    <cellStyle name="Currency 3 7 2 2 5 2 2" xfId="17678"/>
    <cellStyle name="Currency 3 7 2 2 5 3" xfId="17679"/>
    <cellStyle name="Currency 3 7 2 2 6" xfId="17680"/>
    <cellStyle name="Currency 3 7 2 2 6 2" xfId="17681"/>
    <cellStyle name="Currency 3 7 2 2 7" xfId="17682"/>
    <cellStyle name="Currency 3 7 2 2 7 2" xfId="36673"/>
    <cellStyle name="Currency 3 7 2 2 8" xfId="17683"/>
    <cellStyle name="Currency 3 7 2 3" xfId="17684"/>
    <cellStyle name="Currency 3 7 2 3 2" xfId="17685"/>
    <cellStyle name="Currency 3 7 2 3 2 2" xfId="17686"/>
    <cellStyle name="Currency 3 7 2 3 2 2 2" xfId="17687"/>
    <cellStyle name="Currency 3 7 2 3 2 2 3" xfId="17688"/>
    <cellStyle name="Currency 3 7 2 3 2 3" xfId="17689"/>
    <cellStyle name="Currency 3 7 2 3 2 3 2" xfId="17690"/>
    <cellStyle name="Currency 3 7 2 3 2 4" xfId="17691"/>
    <cellStyle name="Currency 3 7 2 3 3" xfId="17692"/>
    <cellStyle name="Currency 3 7 2 3 3 2" xfId="17693"/>
    <cellStyle name="Currency 3 7 2 3 3 2 2" xfId="17694"/>
    <cellStyle name="Currency 3 7 2 3 3 3" xfId="17695"/>
    <cellStyle name="Currency 3 7 2 3 4" xfId="17696"/>
    <cellStyle name="Currency 3 7 2 3 4 2" xfId="17697"/>
    <cellStyle name="Currency 3 7 2 3 4 3" xfId="17698"/>
    <cellStyle name="Currency 3 7 2 3 5" xfId="17699"/>
    <cellStyle name="Currency 3 7 2 3 5 2" xfId="17700"/>
    <cellStyle name="Currency 3 7 2 3 6" xfId="17701"/>
    <cellStyle name="Currency 3 7 2 3 6 2" xfId="36674"/>
    <cellStyle name="Currency 3 7 2 3 7" xfId="17702"/>
    <cellStyle name="Currency 3 7 2 4" xfId="17703"/>
    <cellStyle name="Currency 3 7 2 4 2" xfId="17704"/>
    <cellStyle name="Currency 3 7 2 4 2 2" xfId="17705"/>
    <cellStyle name="Currency 3 7 2 4 2 2 2" xfId="17706"/>
    <cellStyle name="Currency 3 7 2 4 2 3" xfId="17707"/>
    <cellStyle name="Currency 3 7 2 4 3" xfId="17708"/>
    <cellStyle name="Currency 3 7 2 4 3 2" xfId="17709"/>
    <cellStyle name="Currency 3 7 2 4 4" xfId="17710"/>
    <cellStyle name="Currency 3 7 2 5" xfId="17711"/>
    <cellStyle name="Currency 3 7 2 5 2" xfId="17712"/>
    <cellStyle name="Currency 3 7 2 5 2 2" xfId="17713"/>
    <cellStyle name="Currency 3 7 2 5 3" xfId="17714"/>
    <cellStyle name="Currency 3 7 2 6" xfId="17715"/>
    <cellStyle name="Currency 3 7 2 6 2" xfId="17716"/>
    <cellStyle name="Currency 3 7 2 6 2 2" xfId="17717"/>
    <cellStyle name="Currency 3 7 2 6 3" xfId="17718"/>
    <cellStyle name="Currency 3 7 2 7" xfId="17719"/>
    <cellStyle name="Currency 3 7 2 7 2" xfId="17720"/>
    <cellStyle name="Currency 3 7 2 8" xfId="17721"/>
    <cellStyle name="Currency 3 7 2 8 2" xfId="36675"/>
    <cellStyle name="Currency 3 7 2 9" xfId="17722"/>
    <cellStyle name="Currency 3 7 3" xfId="17723"/>
    <cellStyle name="Currency 3 7 3 2" xfId="17724"/>
    <cellStyle name="Currency 3 7 3 2 2" xfId="17725"/>
    <cellStyle name="Currency 3 7 3 2 2 2" xfId="17726"/>
    <cellStyle name="Currency 3 7 3 2 2 2 2" xfId="17727"/>
    <cellStyle name="Currency 3 7 3 2 2 2 3" xfId="17728"/>
    <cellStyle name="Currency 3 7 3 2 2 3" xfId="17729"/>
    <cellStyle name="Currency 3 7 3 2 2 3 2" xfId="17730"/>
    <cellStyle name="Currency 3 7 3 2 2 4" xfId="17731"/>
    <cellStyle name="Currency 3 7 3 2 3" xfId="17732"/>
    <cellStyle name="Currency 3 7 3 2 3 2" xfId="17733"/>
    <cellStyle name="Currency 3 7 3 2 3 2 2" xfId="17734"/>
    <cellStyle name="Currency 3 7 3 2 3 3" xfId="17735"/>
    <cellStyle name="Currency 3 7 3 2 4" xfId="17736"/>
    <cellStyle name="Currency 3 7 3 2 4 2" xfId="17737"/>
    <cellStyle name="Currency 3 7 3 2 4 3" xfId="17738"/>
    <cellStyle name="Currency 3 7 3 2 5" xfId="17739"/>
    <cellStyle name="Currency 3 7 3 2 5 2" xfId="17740"/>
    <cellStyle name="Currency 3 7 3 2 6" xfId="17741"/>
    <cellStyle name="Currency 3 7 3 2 6 2" xfId="36676"/>
    <cellStyle name="Currency 3 7 3 2 7" xfId="17742"/>
    <cellStyle name="Currency 3 7 3 3" xfId="17743"/>
    <cellStyle name="Currency 3 7 3 3 2" xfId="17744"/>
    <cellStyle name="Currency 3 7 3 3 2 2" xfId="17745"/>
    <cellStyle name="Currency 3 7 3 3 2 2 2" xfId="17746"/>
    <cellStyle name="Currency 3 7 3 3 2 3" xfId="17747"/>
    <cellStyle name="Currency 3 7 3 3 3" xfId="17748"/>
    <cellStyle name="Currency 3 7 3 3 3 2" xfId="17749"/>
    <cellStyle name="Currency 3 7 3 3 4" xfId="17750"/>
    <cellStyle name="Currency 3 7 3 4" xfId="17751"/>
    <cellStyle name="Currency 3 7 3 4 2" xfId="17752"/>
    <cellStyle name="Currency 3 7 3 4 2 2" xfId="17753"/>
    <cellStyle name="Currency 3 7 3 4 3" xfId="17754"/>
    <cellStyle name="Currency 3 7 3 5" xfId="17755"/>
    <cellStyle name="Currency 3 7 3 5 2" xfId="17756"/>
    <cellStyle name="Currency 3 7 3 5 2 2" xfId="17757"/>
    <cellStyle name="Currency 3 7 3 5 3" xfId="17758"/>
    <cellStyle name="Currency 3 7 3 6" xfId="17759"/>
    <cellStyle name="Currency 3 7 3 6 2" xfId="17760"/>
    <cellStyle name="Currency 3 7 3 7" xfId="17761"/>
    <cellStyle name="Currency 3 7 3 7 2" xfId="36677"/>
    <cellStyle name="Currency 3 7 3 8" xfId="17762"/>
    <cellStyle name="Currency 3 7 4" xfId="17763"/>
    <cellStyle name="Currency 3 7 4 2" xfId="17764"/>
    <cellStyle name="Currency 3 7 4 2 2" xfId="17765"/>
    <cellStyle name="Currency 3 7 4 2 2 2" xfId="17766"/>
    <cellStyle name="Currency 3 7 4 2 2 3" xfId="17767"/>
    <cellStyle name="Currency 3 7 4 2 3" xfId="17768"/>
    <cellStyle name="Currency 3 7 4 2 3 2" xfId="17769"/>
    <cellStyle name="Currency 3 7 4 2 4" xfId="17770"/>
    <cellStyle name="Currency 3 7 4 3" xfId="17771"/>
    <cellStyle name="Currency 3 7 4 3 2" xfId="17772"/>
    <cellStyle name="Currency 3 7 4 3 2 2" xfId="17773"/>
    <cellStyle name="Currency 3 7 4 3 3" xfId="17774"/>
    <cellStyle name="Currency 3 7 4 4" xfId="17775"/>
    <cellStyle name="Currency 3 7 4 4 2" xfId="17776"/>
    <cellStyle name="Currency 3 7 4 4 3" xfId="17777"/>
    <cellStyle name="Currency 3 7 4 5" xfId="17778"/>
    <cellStyle name="Currency 3 7 4 5 2" xfId="17779"/>
    <cellStyle name="Currency 3 7 4 6" xfId="17780"/>
    <cellStyle name="Currency 3 7 4 6 2" xfId="36678"/>
    <cellStyle name="Currency 3 7 4 7" xfId="17781"/>
    <cellStyle name="Currency 3 7 5" xfId="17782"/>
    <cellStyle name="Currency 3 7 5 2" xfId="17783"/>
    <cellStyle name="Currency 3 7 5 2 2" xfId="17784"/>
    <cellStyle name="Currency 3 7 5 2 2 2" xfId="17785"/>
    <cellStyle name="Currency 3 7 5 2 3" xfId="17786"/>
    <cellStyle name="Currency 3 7 5 3" xfId="17787"/>
    <cellStyle name="Currency 3 7 5 3 2" xfId="17788"/>
    <cellStyle name="Currency 3 7 5 4" xfId="17789"/>
    <cellStyle name="Currency 3 7 6" xfId="17790"/>
    <cellStyle name="Currency 3 7 6 2" xfId="17791"/>
    <cellStyle name="Currency 3 7 6 2 2" xfId="17792"/>
    <cellStyle name="Currency 3 7 6 3" xfId="17793"/>
    <cellStyle name="Currency 3 7 7" xfId="17794"/>
    <cellStyle name="Currency 3 7 7 2" xfId="17795"/>
    <cellStyle name="Currency 3 7 7 2 2" xfId="17796"/>
    <cellStyle name="Currency 3 7 7 3" xfId="17797"/>
    <cellStyle name="Currency 3 7 8" xfId="17798"/>
    <cellStyle name="Currency 3 7 8 2" xfId="17799"/>
    <cellStyle name="Currency 3 7 9" xfId="17800"/>
    <cellStyle name="Currency 3 7 9 2" xfId="36679"/>
    <cellStyle name="Currency 3 8" xfId="17801"/>
    <cellStyle name="Currency 3 8 2" xfId="17802"/>
    <cellStyle name="Currency 3 8 2 2" xfId="17803"/>
    <cellStyle name="Currency 3 8 2 2 2" xfId="17804"/>
    <cellStyle name="Currency 3 8 2 2 2 2" xfId="17805"/>
    <cellStyle name="Currency 3 8 2 2 2 2 2" xfId="17806"/>
    <cellStyle name="Currency 3 8 2 2 2 2 3" xfId="17807"/>
    <cellStyle name="Currency 3 8 2 2 2 3" xfId="17808"/>
    <cellStyle name="Currency 3 8 2 2 2 3 2" xfId="17809"/>
    <cellStyle name="Currency 3 8 2 2 2 4" xfId="17810"/>
    <cellStyle name="Currency 3 8 2 2 3" xfId="17811"/>
    <cellStyle name="Currency 3 8 2 2 3 2" xfId="17812"/>
    <cellStyle name="Currency 3 8 2 2 3 2 2" xfId="17813"/>
    <cellStyle name="Currency 3 8 2 2 3 3" xfId="17814"/>
    <cellStyle name="Currency 3 8 2 2 4" xfId="17815"/>
    <cellStyle name="Currency 3 8 2 2 4 2" xfId="17816"/>
    <cellStyle name="Currency 3 8 2 2 4 3" xfId="17817"/>
    <cellStyle name="Currency 3 8 2 2 5" xfId="17818"/>
    <cellStyle name="Currency 3 8 2 2 5 2" xfId="17819"/>
    <cellStyle name="Currency 3 8 2 2 6" xfId="17820"/>
    <cellStyle name="Currency 3 8 2 2 6 2" xfId="36680"/>
    <cellStyle name="Currency 3 8 2 2 7" xfId="17821"/>
    <cellStyle name="Currency 3 8 2 3" xfId="17822"/>
    <cellStyle name="Currency 3 8 2 3 2" xfId="17823"/>
    <cellStyle name="Currency 3 8 2 3 2 2" xfId="17824"/>
    <cellStyle name="Currency 3 8 2 3 2 2 2" xfId="17825"/>
    <cellStyle name="Currency 3 8 2 3 2 3" xfId="17826"/>
    <cellStyle name="Currency 3 8 2 3 3" xfId="17827"/>
    <cellStyle name="Currency 3 8 2 3 3 2" xfId="17828"/>
    <cellStyle name="Currency 3 8 2 3 4" xfId="17829"/>
    <cellStyle name="Currency 3 8 2 4" xfId="17830"/>
    <cellStyle name="Currency 3 8 2 4 2" xfId="17831"/>
    <cellStyle name="Currency 3 8 2 4 2 2" xfId="17832"/>
    <cellStyle name="Currency 3 8 2 4 3" xfId="17833"/>
    <cellStyle name="Currency 3 8 2 5" xfId="17834"/>
    <cellStyle name="Currency 3 8 2 5 2" xfId="17835"/>
    <cellStyle name="Currency 3 8 2 5 2 2" xfId="17836"/>
    <cellStyle name="Currency 3 8 2 5 3" xfId="17837"/>
    <cellStyle name="Currency 3 8 2 6" xfId="17838"/>
    <cellStyle name="Currency 3 8 2 6 2" xfId="17839"/>
    <cellStyle name="Currency 3 8 2 7" xfId="17840"/>
    <cellStyle name="Currency 3 8 2 7 2" xfId="36681"/>
    <cellStyle name="Currency 3 8 2 8" xfId="17841"/>
    <cellStyle name="Currency 3 8 3" xfId="17842"/>
    <cellStyle name="Currency 3 8 3 2" xfId="17843"/>
    <cellStyle name="Currency 3 8 3 2 2" xfId="17844"/>
    <cellStyle name="Currency 3 8 3 2 2 2" xfId="17845"/>
    <cellStyle name="Currency 3 8 3 2 2 3" xfId="17846"/>
    <cellStyle name="Currency 3 8 3 2 3" xfId="17847"/>
    <cellStyle name="Currency 3 8 3 2 3 2" xfId="17848"/>
    <cellStyle name="Currency 3 8 3 2 4" xfId="17849"/>
    <cellStyle name="Currency 3 8 3 3" xfId="17850"/>
    <cellStyle name="Currency 3 8 3 3 2" xfId="17851"/>
    <cellStyle name="Currency 3 8 3 3 2 2" xfId="17852"/>
    <cellStyle name="Currency 3 8 3 3 3" xfId="17853"/>
    <cellStyle name="Currency 3 8 3 4" xfId="17854"/>
    <cellStyle name="Currency 3 8 3 4 2" xfId="17855"/>
    <cellStyle name="Currency 3 8 3 4 3" xfId="17856"/>
    <cellStyle name="Currency 3 8 3 5" xfId="17857"/>
    <cellStyle name="Currency 3 8 3 5 2" xfId="17858"/>
    <cellStyle name="Currency 3 8 3 6" xfId="17859"/>
    <cellStyle name="Currency 3 8 3 6 2" xfId="36682"/>
    <cellStyle name="Currency 3 8 3 7" xfId="17860"/>
    <cellStyle name="Currency 3 8 4" xfId="17861"/>
    <cellStyle name="Currency 3 8 4 2" xfId="17862"/>
    <cellStyle name="Currency 3 8 4 2 2" xfId="17863"/>
    <cellStyle name="Currency 3 8 4 2 2 2" xfId="17864"/>
    <cellStyle name="Currency 3 8 4 2 3" xfId="17865"/>
    <cellStyle name="Currency 3 8 4 3" xfId="17866"/>
    <cellStyle name="Currency 3 8 4 3 2" xfId="17867"/>
    <cellStyle name="Currency 3 8 4 4" xfId="17868"/>
    <cellStyle name="Currency 3 8 5" xfId="17869"/>
    <cellStyle name="Currency 3 8 5 2" xfId="17870"/>
    <cellStyle name="Currency 3 8 5 2 2" xfId="17871"/>
    <cellStyle name="Currency 3 8 5 3" xfId="17872"/>
    <cellStyle name="Currency 3 8 6" xfId="17873"/>
    <cellStyle name="Currency 3 8 6 2" xfId="17874"/>
    <cellStyle name="Currency 3 8 6 2 2" xfId="17875"/>
    <cellStyle name="Currency 3 8 6 3" xfId="17876"/>
    <cellStyle name="Currency 3 8 7" xfId="17877"/>
    <cellStyle name="Currency 3 8 7 2" xfId="17878"/>
    <cellStyle name="Currency 3 8 8" xfId="17879"/>
    <cellStyle name="Currency 3 8 8 2" xfId="36683"/>
    <cellStyle name="Currency 3 8 9" xfId="17880"/>
    <cellStyle name="Currency 3 9" xfId="17881"/>
    <cellStyle name="Currency 3 9 2" xfId="17882"/>
    <cellStyle name="Currency 3 9 2 2" xfId="17883"/>
    <cellStyle name="Currency 3 9 2 2 2" xfId="17884"/>
    <cellStyle name="Currency 3 9 2 2 2 2" xfId="17885"/>
    <cellStyle name="Currency 3 9 2 2 2 2 2" xfId="17886"/>
    <cellStyle name="Currency 3 9 2 2 2 2 3" xfId="17887"/>
    <cellStyle name="Currency 3 9 2 2 2 3" xfId="17888"/>
    <cellStyle name="Currency 3 9 2 2 2 3 2" xfId="17889"/>
    <cellStyle name="Currency 3 9 2 2 2 4" xfId="17890"/>
    <cellStyle name="Currency 3 9 2 2 3" xfId="17891"/>
    <cellStyle name="Currency 3 9 2 2 3 2" xfId="17892"/>
    <cellStyle name="Currency 3 9 2 2 3 2 2" xfId="17893"/>
    <cellStyle name="Currency 3 9 2 2 3 3" xfId="17894"/>
    <cellStyle name="Currency 3 9 2 2 4" xfId="17895"/>
    <cellStyle name="Currency 3 9 2 2 4 2" xfId="17896"/>
    <cellStyle name="Currency 3 9 2 2 4 3" xfId="17897"/>
    <cellStyle name="Currency 3 9 2 2 5" xfId="17898"/>
    <cellStyle name="Currency 3 9 2 2 5 2" xfId="17899"/>
    <cellStyle name="Currency 3 9 2 2 6" xfId="17900"/>
    <cellStyle name="Currency 3 9 2 2 6 2" xfId="36684"/>
    <cellStyle name="Currency 3 9 2 2 7" xfId="17901"/>
    <cellStyle name="Currency 3 9 2 3" xfId="17902"/>
    <cellStyle name="Currency 3 9 2 3 2" xfId="17903"/>
    <cellStyle name="Currency 3 9 2 3 2 2" xfId="17904"/>
    <cellStyle name="Currency 3 9 2 3 2 2 2" xfId="17905"/>
    <cellStyle name="Currency 3 9 2 3 2 3" xfId="17906"/>
    <cellStyle name="Currency 3 9 2 3 3" xfId="17907"/>
    <cellStyle name="Currency 3 9 2 3 3 2" xfId="17908"/>
    <cellStyle name="Currency 3 9 2 3 4" xfId="17909"/>
    <cellStyle name="Currency 3 9 2 4" xfId="17910"/>
    <cellStyle name="Currency 3 9 2 4 2" xfId="17911"/>
    <cellStyle name="Currency 3 9 2 4 2 2" xfId="17912"/>
    <cellStyle name="Currency 3 9 2 4 3" xfId="17913"/>
    <cellStyle name="Currency 3 9 2 5" xfId="17914"/>
    <cellStyle name="Currency 3 9 2 5 2" xfId="17915"/>
    <cellStyle name="Currency 3 9 2 5 2 2" xfId="17916"/>
    <cellStyle name="Currency 3 9 2 5 3" xfId="17917"/>
    <cellStyle name="Currency 3 9 2 6" xfId="17918"/>
    <cellStyle name="Currency 3 9 2 6 2" xfId="17919"/>
    <cellStyle name="Currency 3 9 2 7" xfId="17920"/>
    <cellStyle name="Currency 3 9 2 7 2" xfId="36685"/>
    <cellStyle name="Currency 3 9 2 8" xfId="17921"/>
    <cellStyle name="Currency 3 9 3" xfId="17922"/>
    <cellStyle name="Currency 3 9 3 2" xfId="17923"/>
    <cellStyle name="Currency 3 9 3 2 2" xfId="17924"/>
    <cellStyle name="Currency 3 9 3 2 2 2" xfId="17925"/>
    <cellStyle name="Currency 3 9 3 2 2 3" xfId="17926"/>
    <cellStyle name="Currency 3 9 3 2 3" xfId="17927"/>
    <cellStyle name="Currency 3 9 3 2 3 2" xfId="17928"/>
    <cellStyle name="Currency 3 9 3 2 4" xfId="17929"/>
    <cellStyle name="Currency 3 9 3 3" xfId="17930"/>
    <cellStyle name="Currency 3 9 3 3 2" xfId="17931"/>
    <cellStyle name="Currency 3 9 3 3 2 2" xfId="17932"/>
    <cellStyle name="Currency 3 9 3 3 3" xfId="17933"/>
    <cellStyle name="Currency 3 9 3 4" xfId="17934"/>
    <cellStyle name="Currency 3 9 3 4 2" xfId="17935"/>
    <cellStyle name="Currency 3 9 3 4 3" xfId="17936"/>
    <cellStyle name="Currency 3 9 3 5" xfId="17937"/>
    <cellStyle name="Currency 3 9 3 5 2" xfId="17938"/>
    <cellStyle name="Currency 3 9 3 6" xfId="17939"/>
    <cellStyle name="Currency 3 9 3 6 2" xfId="36686"/>
    <cellStyle name="Currency 3 9 3 7" xfId="17940"/>
    <cellStyle name="Currency 3 9 4" xfId="17941"/>
    <cellStyle name="Currency 3 9 4 2" xfId="17942"/>
    <cellStyle name="Currency 3 9 4 2 2" xfId="17943"/>
    <cellStyle name="Currency 3 9 4 2 2 2" xfId="17944"/>
    <cellStyle name="Currency 3 9 4 2 3" xfId="17945"/>
    <cellStyle name="Currency 3 9 4 3" xfId="17946"/>
    <cellStyle name="Currency 3 9 4 3 2" xfId="17947"/>
    <cellStyle name="Currency 3 9 4 4" xfId="17948"/>
    <cellStyle name="Currency 3 9 5" xfId="17949"/>
    <cellStyle name="Currency 3 9 5 2" xfId="17950"/>
    <cellStyle name="Currency 3 9 5 2 2" xfId="17951"/>
    <cellStyle name="Currency 3 9 5 3" xfId="17952"/>
    <cellStyle name="Currency 3 9 6" xfId="17953"/>
    <cellStyle name="Currency 3 9 6 2" xfId="17954"/>
    <cellStyle name="Currency 3 9 6 2 2" xfId="17955"/>
    <cellStyle name="Currency 3 9 6 3" xfId="17956"/>
    <cellStyle name="Currency 3 9 7" xfId="17957"/>
    <cellStyle name="Currency 3 9 7 2" xfId="17958"/>
    <cellStyle name="Currency 3 9 8" xfId="17959"/>
    <cellStyle name="Currency 3 9 8 2" xfId="36687"/>
    <cellStyle name="Currency 3 9 9" xfId="17960"/>
    <cellStyle name="Currency 4" xfId="17961"/>
    <cellStyle name="Currency 5" xfId="17962"/>
    <cellStyle name="Currency 6" xfId="17963"/>
    <cellStyle name="Currency 7" xfId="17964"/>
    <cellStyle name="Currency 8" xfId="17965"/>
    <cellStyle name="Currency 9" xfId="37752"/>
    <cellStyle name="Currency0" xfId="49"/>
    <cellStyle name="Date" xfId="50"/>
    <cellStyle name="Date 2" xfId="37951"/>
    <cellStyle name="DateTime" xfId="37886"/>
    <cellStyle name="DRN" xfId="37952"/>
    <cellStyle name="Emphasis 1" xfId="37753"/>
    <cellStyle name="Emphasis 2" xfId="37754"/>
    <cellStyle name="Emphasis 3" xfId="37755"/>
    <cellStyle name="Explanatory Text" xfId="51" builtinId="53" customBuiltin="1"/>
    <cellStyle name="Explanatory Text 2" xfId="17966"/>
    <cellStyle name="Explanatory Text 3" xfId="37756"/>
    <cellStyle name="Explanatory Text 4" xfId="37757"/>
    <cellStyle name="Explanatory Text 5" xfId="37758"/>
    <cellStyle name="Explanatory Text 6" xfId="37759"/>
    <cellStyle name="Explanatory Text 7" xfId="37911"/>
    <cellStyle name="Fixed" xfId="52"/>
    <cellStyle name="FlowDirection" xfId="37953"/>
    <cellStyle name="Font: Calibri, 9pt regular" xfId="37941"/>
    <cellStyle name="Footnotes: top row" xfId="37942"/>
    <cellStyle name="Good" xfId="53" builtinId="26" customBuiltin="1"/>
    <cellStyle name="Good 2" xfId="17967"/>
    <cellStyle name="Good 3" xfId="37760"/>
    <cellStyle name="Good 4" xfId="37761"/>
    <cellStyle name="Good 5" xfId="37762"/>
    <cellStyle name="Good 6" xfId="37763"/>
    <cellStyle name="Good 7" xfId="37901"/>
    <cellStyle name="Header: bottom row" xfId="37943"/>
    <cellStyle name="heading" xfId="54"/>
    <cellStyle name="Heading 1" xfId="55" builtinId="16" customBuiltin="1"/>
    <cellStyle name="Heading 1 10" xfId="56"/>
    <cellStyle name="Heading 1 11" xfId="57"/>
    <cellStyle name="Heading 1 12" xfId="58"/>
    <cellStyle name="Heading 1 13" xfId="59"/>
    <cellStyle name="Heading 1 14" xfId="60"/>
    <cellStyle name="Heading 1 15" xfId="37764"/>
    <cellStyle name="Heading 1 16" xfId="37897"/>
    <cellStyle name="Heading 1 2" xfId="61"/>
    <cellStyle name="Heading 1 3" xfId="62"/>
    <cellStyle name="Heading 1 4" xfId="63"/>
    <cellStyle name="Heading 1 5" xfId="64"/>
    <cellStyle name="Heading 1 6" xfId="65"/>
    <cellStyle name="Heading 1 7" xfId="66"/>
    <cellStyle name="Heading 1 8" xfId="67"/>
    <cellStyle name="Heading 1 9" xfId="68"/>
    <cellStyle name="Heading 2" xfId="69" builtinId="17" customBuiltin="1"/>
    <cellStyle name="Heading 2 10" xfId="70"/>
    <cellStyle name="Heading 2 11" xfId="71"/>
    <cellStyle name="Heading 2 12" xfId="72"/>
    <cellStyle name="Heading 2 13" xfId="73"/>
    <cellStyle name="Heading 2 14" xfId="74"/>
    <cellStyle name="Heading 2 15" xfId="37765"/>
    <cellStyle name="Heading 2 16" xfId="37898"/>
    <cellStyle name="Heading 2 2" xfId="75"/>
    <cellStyle name="Heading 2 3" xfId="76"/>
    <cellStyle name="Heading 2 4" xfId="77"/>
    <cellStyle name="Heading 2 5" xfId="78"/>
    <cellStyle name="Heading 2 6" xfId="79"/>
    <cellStyle name="Heading 2 7" xfId="80"/>
    <cellStyle name="Heading 2 8" xfId="81"/>
    <cellStyle name="Heading 2 9" xfId="82"/>
    <cellStyle name="Heading 3" xfId="83" builtinId="18" customBuiltin="1"/>
    <cellStyle name="Heading 3 2" xfId="17968"/>
    <cellStyle name="Heading 3 3" xfId="37766"/>
    <cellStyle name="Heading 3 4" xfId="37767"/>
    <cellStyle name="Heading 3 5" xfId="37768"/>
    <cellStyle name="Heading 3 6" xfId="37769"/>
    <cellStyle name="Heading 3 7" xfId="37899"/>
    <cellStyle name="Heading 4" xfId="84" builtinId="19" customBuiltin="1"/>
    <cellStyle name="Heading 4 2" xfId="17969"/>
    <cellStyle name="Heading 4 3" xfId="37770"/>
    <cellStyle name="Heading 4 4" xfId="37771"/>
    <cellStyle name="Heading 4 5" xfId="37772"/>
    <cellStyle name="Heading 4 6" xfId="37773"/>
    <cellStyle name="Heading 4 7" xfId="37900"/>
    <cellStyle name="Hyperlink" xfId="85" builtinId="8"/>
    <cellStyle name="Hyperlink 2" xfId="86"/>
    <cellStyle name="Hyperlink 2 2" xfId="87"/>
    <cellStyle name="Hyperlink 3" xfId="37774"/>
    <cellStyle name="Input" xfId="88" builtinId="20" customBuiltin="1"/>
    <cellStyle name="Input 2" xfId="17970"/>
    <cellStyle name="Input 3" xfId="37775"/>
    <cellStyle name="Input 4" xfId="37776"/>
    <cellStyle name="Input 5" xfId="37777"/>
    <cellStyle name="Input 6" xfId="37778"/>
    <cellStyle name="Input 7" xfId="37904"/>
    <cellStyle name="Linked Cell" xfId="89" builtinId="24" customBuiltin="1"/>
    <cellStyle name="Linked Cell 2" xfId="17971"/>
    <cellStyle name="Linked Cell 3" xfId="37779"/>
    <cellStyle name="Linked Cell 4" xfId="37780"/>
    <cellStyle name="Linked Cell 5" xfId="37781"/>
    <cellStyle name="Linked Cell 6" xfId="37782"/>
    <cellStyle name="Linked Cell 7" xfId="37907"/>
    <cellStyle name="LocationType" xfId="37954"/>
    <cellStyle name="Neutral" xfId="90" builtinId="28" customBuiltin="1"/>
    <cellStyle name="Neutral 2" xfId="17972"/>
    <cellStyle name="Neutral 3" xfId="37783"/>
    <cellStyle name="Neutral 4" xfId="37784"/>
    <cellStyle name="Neutral 5" xfId="37785"/>
    <cellStyle name="Neutral 6" xfId="37786"/>
    <cellStyle name="Neutral 7" xfId="37903"/>
    <cellStyle name="Norm`l_INPCMHB_1_FUEL" xfId="37787"/>
    <cellStyle name="Normal" xfId="0" builtinId="0"/>
    <cellStyle name="Normal 10" xfId="17973"/>
    <cellStyle name="Normal 10 2" xfId="17974"/>
    <cellStyle name="Normal 11" xfId="17975"/>
    <cellStyle name="Normal 11 2" xfId="17976"/>
    <cellStyle name="Normal 12" xfId="17977"/>
    <cellStyle name="Normal 12 2" xfId="17978"/>
    <cellStyle name="Normal 13" xfId="17979"/>
    <cellStyle name="Normal 13 2" xfId="17980"/>
    <cellStyle name="Normal 14" xfId="17981"/>
    <cellStyle name="Normal 14 10" xfId="37788"/>
    <cellStyle name="Normal 14 2" xfId="17982"/>
    <cellStyle name="Normal 14 3" xfId="17983"/>
    <cellStyle name="Normal 14 3 2" xfId="17984"/>
    <cellStyle name="Normal 14 3 2 2" xfId="17985"/>
    <cellStyle name="Normal 14 3 2 2 2" xfId="17986"/>
    <cellStyle name="Normal 14 3 2 2 3" xfId="17987"/>
    <cellStyle name="Normal 14 3 2 3" xfId="17988"/>
    <cellStyle name="Normal 14 3 2 3 2" xfId="17989"/>
    <cellStyle name="Normal 14 3 2 4" xfId="17990"/>
    <cellStyle name="Normal 14 3 3" xfId="17991"/>
    <cellStyle name="Normal 14 3 3 2" xfId="17992"/>
    <cellStyle name="Normal 14 3 3 2 2" xfId="17993"/>
    <cellStyle name="Normal 14 3 3 3" xfId="17994"/>
    <cellStyle name="Normal 14 3 4" xfId="17995"/>
    <cellStyle name="Normal 14 3 4 2" xfId="17996"/>
    <cellStyle name="Normal 14 3 4 3" xfId="17997"/>
    <cellStyle name="Normal 14 3 5" xfId="17998"/>
    <cellStyle name="Normal 14 3 5 2" xfId="17999"/>
    <cellStyle name="Normal 14 3 6" xfId="18000"/>
    <cellStyle name="Normal 14 3 6 2" xfId="36688"/>
    <cellStyle name="Normal 14 3 7" xfId="18001"/>
    <cellStyle name="Normal 14 4" xfId="18002"/>
    <cellStyle name="Normal 14 4 2" xfId="18003"/>
    <cellStyle name="Normal 14 4 2 2" xfId="18004"/>
    <cellStyle name="Normal 14 4 2 2 2" xfId="18005"/>
    <cellStyle name="Normal 14 4 2 3" xfId="18006"/>
    <cellStyle name="Normal 14 4 3" xfId="18007"/>
    <cellStyle name="Normal 14 4 3 2" xfId="18008"/>
    <cellStyle name="Normal 14 4 4" xfId="18009"/>
    <cellStyle name="Normal 14 5" xfId="18010"/>
    <cellStyle name="Normal 14 5 2" xfId="18011"/>
    <cellStyle name="Normal 14 5 2 2" xfId="18012"/>
    <cellStyle name="Normal 14 5 3" xfId="18013"/>
    <cellStyle name="Normal 14 6" xfId="18014"/>
    <cellStyle name="Normal 14 6 2" xfId="18015"/>
    <cellStyle name="Normal 14 6 2 2" xfId="18016"/>
    <cellStyle name="Normal 14 6 3" xfId="18017"/>
    <cellStyle name="Normal 14 7" xfId="18018"/>
    <cellStyle name="Normal 14 7 2" xfId="18019"/>
    <cellStyle name="Normal 14 8" xfId="18020"/>
    <cellStyle name="Normal 14 8 2" xfId="36689"/>
    <cellStyle name="Normal 14 9" xfId="18021"/>
    <cellStyle name="Normal 15" xfId="18022"/>
    <cellStyle name="Normal 16" xfId="91"/>
    <cellStyle name="Normal 17" xfId="18023"/>
    <cellStyle name="Normal 18" xfId="37789"/>
    <cellStyle name="Normal 19" xfId="37580"/>
    <cellStyle name="Normal 2" xfId="92"/>
    <cellStyle name="Normal 2 10" xfId="93"/>
    <cellStyle name="Normal 2 11" xfId="94"/>
    <cellStyle name="Normal 2 12" xfId="95"/>
    <cellStyle name="Normal 2 13" xfId="96"/>
    <cellStyle name="Normal 2 14" xfId="97"/>
    <cellStyle name="Normal 2 15" xfId="98"/>
    <cellStyle name="Normal 2 16" xfId="99"/>
    <cellStyle name="Normal 2 17" xfId="37790"/>
    <cellStyle name="Normal 2 18" xfId="37891"/>
    <cellStyle name="Normal 2 19" xfId="37937"/>
    <cellStyle name="Normal 2 2" xfId="100"/>
    <cellStyle name="Normal 2 2 2" xfId="101"/>
    <cellStyle name="Normal 2 2 2 2" xfId="102"/>
    <cellStyle name="Normal 2 2 2 2 2" xfId="103"/>
    <cellStyle name="Normal 2 2 2 2 2 2" xfId="104"/>
    <cellStyle name="Normal 2 2 2 2 2 3" xfId="105"/>
    <cellStyle name="Normal 2 2 2 2 3" xfId="106"/>
    <cellStyle name="Normal 2 2 2 3" xfId="107"/>
    <cellStyle name="Normal 2 2 2 4" xfId="108"/>
    <cellStyle name="Normal 2 2 2_Project 150 and FCM Data check" xfId="109"/>
    <cellStyle name="Normal 2 2 3" xfId="110"/>
    <cellStyle name="Normal 2 2 4" xfId="111"/>
    <cellStyle name="Normal 2 2 5" xfId="37887"/>
    <cellStyle name="Normal 2 2 6" xfId="37888"/>
    <cellStyle name="Normal 2 2 7" xfId="37889"/>
    <cellStyle name="Normal 2 2 8" xfId="37955"/>
    <cellStyle name="Normal 2 2 9" xfId="37969"/>
    <cellStyle name="Normal 2 2_Historical NOx and SOx Prices - Scrubbed" xfId="112"/>
    <cellStyle name="Normal 2 3" xfId="113"/>
    <cellStyle name="Normal 2 4" xfId="114"/>
    <cellStyle name="Normal 2 5" xfId="115"/>
    <cellStyle name="Normal 2 6" xfId="116"/>
    <cellStyle name="Normal 2 7" xfId="117"/>
    <cellStyle name="Normal 2 8" xfId="118"/>
    <cellStyle name="Normal 2 9" xfId="119"/>
    <cellStyle name="Normal 2_ADAGE Results (All Cases) - revised international credit" xfId="120"/>
    <cellStyle name="Normal 20" xfId="37791"/>
    <cellStyle name="Normal 21" xfId="37792"/>
    <cellStyle name="Normal 22" xfId="37793"/>
    <cellStyle name="Normal 23" xfId="37794"/>
    <cellStyle name="Normal 24" xfId="37885"/>
    <cellStyle name="Normal 25" xfId="37894"/>
    <cellStyle name="Normal 26" xfId="37896"/>
    <cellStyle name="Normal 27" xfId="37949"/>
    <cellStyle name="Normal 28" xfId="37970"/>
    <cellStyle name="Normal 29" xfId="37971"/>
    <cellStyle name="Normal 3" xfId="121"/>
    <cellStyle name="Normal 3 2" xfId="122"/>
    <cellStyle name="Normal 3 2 2" xfId="37956"/>
    <cellStyle name="Normal 3 3" xfId="123"/>
    <cellStyle name="Normal 3 4" xfId="37795"/>
    <cellStyle name="Normal 3 5" xfId="37939"/>
    <cellStyle name="Normal 3_LevelizedCost of Wind_2010-10-01" xfId="124"/>
    <cellStyle name="Normal 30" xfId="37973"/>
    <cellStyle name="Normal 31" xfId="37974"/>
    <cellStyle name="Normal 32" xfId="37976"/>
    <cellStyle name="Normal 33" xfId="37977"/>
    <cellStyle name="Normal 34" xfId="37978"/>
    <cellStyle name="Normal 35" xfId="37980"/>
    <cellStyle name="Normal 36" xfId="37982"/>
    <cellStyle name="Normal 36 2" xfId="37987"/>
    <cellStyle name="Normal 37" xfId="37983"/>
    <cellStyle name="Normal 38" xfId="37984"/>
    <cellStyle name="Normal 39" xfId="37985"/>
    <cellStyle name="Normal 4" xfId="125"/>
    <cellStyle name="Normal 4 2" xfId="126"/>
    <cellStyle name="Normal 4 2 2" xfId="37796"/>
    <cellStyle name="Normal 4 3" xfId="127"/>
    <cellStyle name="Normal 4 4" xfId="37797"/>
    <cellStyle name="Normal 4 5" xfId="37946"/>
    <cellStyle name="Normal 4_CELT Capacity Cata check - 09 vs 10" xfId="128"/>
    <cellStyle name="Normal 40" xfId="37986"/>
    <cellStyle name="Normal 41" xfId="37989"/>
    <cellStyle name="Normal 42" xfId="37990"/>
    <cellStyle name="Normal 43" xfId="37991"/>
    <cellStyle name="Normal 44" xfId="37992"/>
    <cellStyle name="Normal 45" xfId="37993"/>
    <cellStyle name="Normal 46" xfId="37994"/>
    <cellStyle name="Normal 47" xfId="37995"/>
    <cellStyle name="Normal 48" xfId="37996"/>
    <cellStyle name="Normal 49" xfId="37997"/>
    <cellStyle name="Normal 5" xfId="129"/>
    <cellStyle name="Normal 5 2" xfId="37798"/>
    <cellStyle name="Normal 50" xfId="37998"/>
    <cellStyle name="Normal 51" xfId="37999"/>
    <cellStyle name="Normal 52" xfId="38000"/>
    <cellStyle name="Normal 53" xfId="38001"/>
    <cellStyle name="Normal 54" xfId="38002"/>
    <cellStyle name="Normal 55" xfId="38003"/>
    <cellStyle name="Normal 6" xfId="130"/>
    <cellStyle name="Normal 6 2" xfId="37799"/>
    <cellStyle name="Normal 7" xfId="177"/>
    <cellStyle name="Normal 7 10" xfId="18024"/>
    <cellStyle name="Normal 7 10 2" xfId="18025"/>
    <cellStyle name="Normal 7 10 2 2" xfId="18026"/>
    <cellStyle name="Normal 7 10 2 2 2" xfId="18027"/>
    <cellStyle name="Normal 7 10 2 2 2 2" xfId="18028"/>
    <cellStyle name="Normal 7 10 2 2 2 3" xfId="18029"/>
    <cellStyle name="Normal 7 10 2 2 3" xfId="18030"/>
    <cellStyle name="Normal 7 10 2 2 3 2" xfId="18031"/>
    <cellStyle name="Normal 7 10 2 2 4" xfId="18032"/>
    <cellStyle name="Normal 7 10 2 3" xfId="18033"/>
    <cellStyle name="Normal 7 10 2 3 2" xfId="18034"/>
    <cellStyle name="Normal 7 10 2 3 2 2" xfId="18035"/>
    <cellStyle name="Normal 7 10 2 3 3" xfId="18036"/>
    <cellStyle name="Normal 7 10 2 4" xfId="18037"/>
    <cellStyle name="Normal 7 10 2 4 2" xfId="18038"/>
    <cellStyle name="Normal 7 10 2 4 3" xfId="18039"/>
    <cellStyle name="Normal 7 10 2 5" xfId="18040"/>
    <cellStyle name="Normal 7 10 2 5 2" xfId="18041"/>
    <cellStyle name="Normal 7 10 2 6" xfId="18042"/>
    <cellStyle name="Normal 7 10 2 6 2" xfId="36690"/>
    <cellStyle name="Normal 7 10 2 7" xfId="18043"/>
    <cellStyle name="Normal 7 10 3" xfId="18044"/>
    <cellStyle name="Normal 7 10 3 2" xfId="18045"/>
    <cellStyle name="Normal 7 10 3 2 2" xfId="18046"/>
    <cellStyle name="Normal 7 10 3 2 2 2" xfId="18047"/>
    <cellStyle name="Normal 7 10 3 2 3" xfId="18048"/>
    <cellStyle name="Normal 7 10 3 3" xfId="18049"/>
    <cellStyle name="Normal 7 10 3 3 2" xfId="18050"/>
    <cellStyle name="Normal 7 10 3 4" xfId="18051"/>
    <cellStyle name="Normal 7 10 4" xfId="18052"/>
    <cellStyle name="Normal 7 10 4 2" xfId="18053"/>
    <cellStyle name="Normal 7 10 4 2 2" xfId="18054"/>
    <cellStyle name="Normal 7 10 4 3" xfId="18055"/>
    <cellStyle name="Normal 7 10 5" xfId="18056"/>
    <cellStyle name="Normal 7 10 5 2" xfId="18057"/>
    <cellStyle name="Normal 7 10 5 2 2" xfId="18058"/>
    <cellStyle name="Normal 7 10 5 3" xfId="18059"/>
    <cellStyle name="Normal 7 10 6" xfId="18060"/>
    <cellStyle name="Normal 7 10 6 2" xfId="18061"/>
    <cellStyle name="Normal 7 10 7" xfId="18062"/>
    <cellStyle name="Normal 7 10 7 2" xfId="36691"/>
    <cellStyle name="Normal 7 10 8" xfId="18063"/>
    <cellStyle name="Normal 7 11" xfId="18064"/>
    <cellStyle name="Normal 7 11 2" xfId="18065"/>
    <cellStyle name="Normal 7 11 2 2" xfId="18066"/>
    <cellStyle name="Normal 7 11 2 2 2" xfId="18067"/>
    <cellStyle name="Normal 7 11 2 2 2 2" xfId="18068"/>
    <cellStyle name="Normal 7 11 2 2 2 3" xfId="18069"/>
    <cellStyle name="Normal 7 11 2 2 3" xfId="18070"/>
    <cellStyle name="Normal 7 11 2 2 3 2" xfId="18071"/>
    <cellStyle name="Normal 7 11 2 2 4" xfId="18072"/>
    <cellStyle name="Normal 7 11 2 3" xfId="18073"/>
    <cellStyle name="Normal 7 11 2 3 2" xfId="18074"/>
    <cellStyle name="Normal 7 11 2 3 2 2" xfId="18075"/>
    <cellStyle name="Normal 7 11 2 3 3" xfId="18076"/>
    <cellStyle name="Normal 7 11 2 4" xfId="18077"/>
    <cellStyle name="Normal 7 11 2 4 2" xfId="18078"/>
    <cellStyle name="Normal 7 11 2 4 3" xfId="18079"/>
    <cellStyle name="Normal 7 11 2 5" xfId="18080"/>
    <cellStyle name="Normal 7 11 2 5 2" xfId="18081"/>
    <cellStyle name="Normal 7 11 2 6" xfId="18082"/>
    <cellStyle name="Normal 7 11 2 6 2" xfId="36692"/>
    <cellStyle name="Normal 7 11 2 7" xfId="18083"/>
    <cellStyle name="Normal 7 11 3" xfId="18084"/>
    <cellStyle name="Normal 7 11 3 2" xfId="18085"/>
    <cellStyle name="Normal 7 11 3 2 2" xfId="18086"/>
    <cellStyle name="Normal 7 11 3 2 2 2" xfId="18087"/>
    <cellStyle name="Normal 7 11 3 2 3" xfId="18088"/>
    <cellStyle name="Normal 7 11 3 3" xfId="18089"/>
    <cellStyle name="Normal 7 11 3 3 2" xfId="18090"/>
    <cellStyle name="Normal 7 11 3 4" xfId="18091"/>
    <cellStyle name="Normal 7 11 4" xfId="18092"/>
    <cellStyle name="Normal 7 11 4 2" xfId="18093"/>
    <cellStyle name="Normal 7 11 4 2 2" xfId="18094"/>
    <cellStyle name="Normal 7 11 4 3" xfId="18095"/>
    <cellStyle name="Normal 7 11 5" xfId="18096"/>
    <cellStyle name="Normal 7 11 5 2" xfId="18097"/>
    <cellStyle name="Normal 7 11 5 2 2" xfId="18098"/>
    <cellStyle name="Normal 7 11 5 3" xfId="18099"/>
    <cellStyle name="Normal 7 11 6" xfId="18100"/>
    <cellStyle name="Normal 7 11 6 2" xfId="18101"/>
    <cellStyle name="Normal 7 11 7" xfId="18102"/>
    <cellStyle name="Normal 7 11 7 2" xfId="36693"/>
    <cellStyle name="Normal 7 11 8" xfId="18103"/>
    <cellStyle name="Normal 7 12" xfId="18104"/>
    <cellStyle name="Normal 7 12 2" xfId="18105"/>
    <cellStyle name="Normal 7 12 2 2" xfId="18106"/>
    <cellStyle name="Normal 7 12 2 2 2" xfId="18107"/>
    <cellStyle name="Normal 7 12 2 2 2 2" xfId="18108"/>
    <cellStyle name="Normal 7 12 2 2 2 3" xfId="18109"/>
    <cellStyle name="Normal 7 12 2 2 3" xfId="18110"/>
    <cellStyle name="Normal 7 12 2 2 3 2" xfId="18111"/>
    <cellStyle name="Normal 7 12 2 2 4" xfId="18112"/>
    <cellStyle name="Normal 7 12 2 3" xfId="18113"/>
    <cellStyle name="Normal 7 12 2 3 2" xfId="18114"/>
    <cellStyle name="Normal 7 12 2 3 2 2" xfId="18115"/>
    <cellStyle name="Normal 7 12 2 3 3" xfId="18116"/>
    <cellStyle name="Normal 7 12 2 4" xfId="18117"/>
    <cellStyle name="Normal 7 12 2 4 2" xfId="18118"/>
    <cellStyle name="Normal 7 12 2 4 3" xfId="18119"/>
    <cellStyle name="Normal 7 12 2 5" xfId="18120"/>
    <cellStyle name="Normal 7 12 2 5 2" xfId="18121"/>
    <cellStyle name="Normal 7 12 2 6" xfId="18122"/>
    <cellStyle name="Normal 7 12 2 6 2" xfId="36694"/>
    <cellStyle name="Normal 7 12 2 7" xfId="18123"/>
    <cellStyle name="Normal 7 12 3" xfId="18124"/>
    <cellStyle name="Normal 7 12 3 2" xfId="18125"/>
    <cellStyle name="Normal 7 12 3 2 2" xfId="18126"/>
    <cellStyle name="Normal 7 12 3 2 2 2" xfId="18127"/>
    <cellStyle name="Normal 7 12 3 2 3" xfId="18128"/>
    <cellStyle name="Normal 7 12 3 3" xfId="18129"/>
    <cellStyle name="Normal 7 12 3 3 2" xfId="18130"/>
    <cellStyle name="Normal 7 12 3 4" xfId="18131"/>
    <cellStyle name="Normal 7 12 4" xfId="18132"/>
    <cellStyle name="Normal 7 12 4 2" xfId="18133"/>
    <cellStyle name="Normal 7 12 4 2 2" xfId="18134"/>
    <cellStyle name="Normal 7 12 4 3" xfId="18135"/>
    <cellStyle name="Normal 7 12 5" xfId="18136"/>
    <cellStyle name="Normal 7 12 5 2" xfId="18137"/>
    <cellStyle name="Normal 7 12 5 2 2" xfId="18138"/>
    <cellStyle name="Normal 7 12 5 3" xfId="18139"/>
    <cellStyle name="Normal 7 12 6" xfId="18140"/>
    <cellStyle name="Normal 7 12 6 2" xfId="18141"/>
    <cellStyle name="Normal 7 12 7" xfId="18142"/>
    <cellStyle name="Normal 7 12 7 2" xfId="36695"/>
    <cellStyle name="Normal 7 12 8" xfId="18143"/>
    <cellStyle name="Normal 7 13" xfId="18144"/>
    <cellStyle name="Normal 7 13 2" xfId="18145"/>
    <cellStyle name="Normal 7 13 2 2" xfId="18146"/>
    <cellStyle name="Normal 7 13 2 2 2" xfId="18147"/>
    <cellStyle name="Normal 7 13 2 2 3" xfId="18148"/>
    <cellStyle name="Normal 7 13 2 3" xfId="18149"/>
    <cellStyle name="Normal 7 13 2 3 2" xfId="18150"/>
    <cellStyle name="Normal 7 13 2 4" xfId="18151"/>
    <cellStyle name="Normal 7 13 3" xfId="18152"/>
    <cellStyle name="Normal 7 13 3 2" xfId="18153"/>
    <cellStyle name="Normal 7 13 3 2 2" xfId="18154"/>
    <cellStyle name="Normal 7 13 3 3" xfId="18155"/>
    <cellStyle name="Normal 7 13 4" xfId="18156"/>
    <cellStyle name="Normal 7 13 4 2" xfId="18157"/>
    <cellStyle name="Normal 7 13 4 3" xfId="18158"/>
    <cellStyle name="Normal 7 13 5" xfId="18159"/>
    <cellStyle name="Normal 7 13 5 2" xfId="18160"/>
    <cellStyle name="Normal 7 13 6" xfId="18161"/>
    <cellStyle name="Normal 7 13 6 2" xfId="36696"/>
    <cellStyle name="Normal 7 13 7" xfId="18162"/>
    <cellStyle name="Normal 7 14" xfId="18163"/>
    <cellStyle name="Normal 7 14 2" xfId="18164"/>
    <cellStyle name="Normal 7 14 2 2" xfId="18165"/>
    <cellStyle name="Normal 7 14 2 2 2" xfId="18166"/>
    <cellStyle name="Normal 7 14 2 3" xfId="18167"/>
    <cellStyle name="Normal 7 14 3" xfId="18168"/>
    <cellStyle name="Normal 7 14 3 2" xfId="18169"/>
    <cellStyle name="Normal 7 14 4" xfId="18170"/>
    <cellStyle name="Normal 7 15" xfId="18171"/>
    <cellStyle name="Normal 7 15 2" xfId="18172"/>
    <cellStyle name="Normal 7 15 2 2" xfId="18173"/>
    <cellStyle name="Normal 7 15 3" xfId="18174"/>
    <cellStyle name="Normal 7 16" xfId="18175"/>
    <cellStyle name="Normal 7 16 2" xfId="18176"/>
    <cellStyle name="Normal 7 16 2 2" xfId="18177"/>
    <cellStyle name="Normal 7 16 3" xfId="18178"/>
    <cellStyle name="Normal 7 17" xfId="18179"/>
    <cellStyle name="Normal 7 17 2" xfId="18180"/>
    <cellStyle name="Normal 7 18" xfId="18181"/>
    <cellStyle name="Normal 7 18 2" xfId="36697"/>
    <cellStyle name="Normal 7 19" xfId="18182"/>
    <cellStyle name="Normal 7 2" xfId="18183"/>
    <cellStyle name="Normal 7 2 10" xfId="18184"/>
    <cellStyle name="Normal 7 2 10 2" xfId="18185"/>
    <cellStyle name="Normal 7 2 10 2 2" xfId="18186"/>
    <cellStyle name="Normal 7 2 10 2 2 2" xfId="18187"/>
    <cellStyle name="Normal 7 2 10 2 2 2 2" xfId="18188"/>
    <cellStyle name="Normal 7 2 10 2 2 2 3" xfId="18189"/>
    <cellStyle name="Normal 7 2 10 2 2 3" xfId="18190"/>
    <cellStyle name="Normal 7 2 10 2 2 3 2" xfId="18191"/>
    <cellStyle name="Normal 7 2 10 2 2 4" xfId="18192"/>
    <cellStyle name="Normal 7 2 10 2 3" xfId="18193"/>
    <cellStyle name="Normal 7 2 10 2 3 2" xfId="18194"/>
    <cellStyle name="Normal 7 2 10 2 3 2 2" xfId="18195"/>
    <cellStyle name="Normal 7 2 10 2 3 3" xfId="18196"/>
    <cellStyle name="Normal 7 2 10 2 4" xfId="18197"/>
    <cellStyle name="Normal 7 2 10 2 4 2" xfId="18198"/>
    <cellStyle name="Normal 7 2 10 2 4 3" xfId="18199"/>
    <cellStyle name="Normal 7 2 10 2 5" xfId="18200"/>
    <cellStyle name="Normal 7 2 10 2 5 2" xfId="18201"/>
    <cellStyle name="Normal 7 2 10 2 6" xfId="18202"/>
    <cellStyle name="Normal 7 2 10 2 6 2" xfId="36698"/>
    <cellStyle name="Normal 7 2 10 2 7" xfId="18203"/>
    <cellStyle name="Normal 7 2 10 3" xfId="18204"/>
    <cellStyle name="Normal 7 2 10 3 2" xfId="18205"/>
    <cellStyle name="Normal 7 2 10 3 2 2" xfId="18206"/>
    <cellStyle name="Normal 7 2 10 3 2 2 2" xfId="18207"/>
    <cellStyle name="Normal 7 2 10 3 2 3" xfId="18208"/>
    <cellStyle name="Normal 7 2 10 3 3" xfId="18209"/>
    <cellStyle name="Normal 7 2 10 3 3 2" xfId="18210"/>
    <cellStyle name="Normal 7 2 10 3 4" xfId="18211"/>
    <cellStyle name="Normal 7 2 10 4" xfId="18212"/>
    <cellStyle name="Normal 7 2 10 4 2" xfId="18213"/>
    <cellStyle name="Normal 7 2 10 4 2 2" xfId="18214"/>
    <cellStyle name="Normal 7 2 10 4 3" xfId="18215"/>
    <cellStyle name="Normal 7 2 10 5" xfId="18216"/>
    <cellStyle name="Normal 7 2 10 5 2" xfId="18217"/>
    <cellStyle name="Normal 7 2 10 5 2 2" xfId="18218"/>
    <cellStyle name="Normal 7 2 10 5 3" xfId="18219"/>
    <cellStyle name="Normal 7 2 10 6" xfId="18220"/>
    <cellStyle name="Normal 7 2 10 6 2" xfId="18221"/>
    <cellStyle name="Normal 7 2 10 7" xfId="18222"/>
    <cellStyle name="Normal 7 2 10 7 2" xfId="36699"/>
    <cellStyle name="Normal 7 2 10 8" xfId="18223"/>
    <cellStyle name="Normal 7 2 11" xfId="18224"/>
    <cellStyle name="Normal 7 2 11 2" xfId="18225"/>
    <cellStyle name="Normal 7 2 11 2 2" xfId="18226"/>
    <cellStyle name="Normal 7 2 11 2 2 2" xfId="18227"/>
    <cellStyle name="Normal 7 2 11 2 2 2 2" xfId="18228"/>
    <cellStyle name="Normal 7 2 11 2 2 2 3" xfId="18229"/>
    <cellStyle name="Normal 7 2 11 2 2 3" xfId="18230"/>
    <cellStyle name="Normal 7 2 11 2 2 3 2" xfId="18231"/>
    <cellStyle name="Normal 7 2 11 2 2 4" xfId="18232"/>
    <cellStyle name="Normal 7 2 11 2 3" xfId="18233"/>
    <cellStyle name="Normal 7 2 11 2 3 2" xfId="18234"/>
    <cellStyle name="Normal 7 2 11 2 3 2 2" xfId="18235"/>
    <cellStyle name="Normal 7 2 11 2 3 3" xfId="18236"/>
    <cellStyle name="Normal 7 2 11 2 4" xfId="18237"/>
    <cellStyle name="Normal 7 2 11 2 4 2" xfId="18238"/>
    <cellStyle name="Normal 7 2 11 2 4 3" xfId="18239"/>
    <cellStyle name="Normal 7 2 11 2 5" xfId="18240"/>
    <cellStyle name="Normal 7 2 11 2 5 2" xfId="18241"/>
    <cellStyle name="Normal 7 2 11 2 6" xfId="18242"/>
    <cellStyle name="Normal 7 2 11 2 6 2" xfId="36700"/>
    <cellStyle name="Normal 7 2 11 2 7" xfId="18243"/>
    <cellStyle name="Normal 7 2 11 3" xfId="18244"/>
    <cellStyle name="Normal 7 2 11 3 2" xfId="18245"/>
    <cellStyle name="Normal 7 2 11 3 2 2" xfId="18246"/>
    <cellStyle name="Normal 7 2 11 3 2 2 2" xfId="18247"/>
    <cellStyle name="Normal 7 2 11 3 2 3" xfId="18248"/>
    <cellStyle name="Normal 7 2 11 3 3" xfId="18249"/>
    <cellStyle name="Normal 7 2 11 3 3 2" xfId="18250"/>
    <cellStyle name="Normal 7 2 11 3 4" xfId="18251"/>
    <cellStyle name="Normal 7 2 11 4" xfId="18252"/>
    <cellStyle name="Normal 7 2 11 4 2" xfId="18253"/>
    <cellStyle name="Normal 7 2 11 4 2 2" xfId="18254"/>
    <cellStyle name="Normal 7 2 11 4 3" xfId="18255"/>
    <cellStyle name="Normal 7 2 11 5" xfId="18256"/>
    <cellStyle name="Normal 7 2 11 5 2" xfId="18257"/>
    <cellStyle name="Normal 7 2 11 5 2 2" xfId="18258"/>
    <cellStyle name="Normal 7 2 11 5 3" xfId="18259"/>
    <cellStyle name="Normal 7 2 11 6" xfId="18260"/>
    <cellStyle name="Normal 7 2 11 6 2" xfId="18261"/>
    <cellStyle name="Normal 7 2 11 7" xfId="18262"/>
    <cellStyle name="Normal 7 2 11 7 2" xfId="36701"/>
    <cellStyle name="Normal 7 2 11 8" xfId="18263"/>
    <cellStyle name="Normal 7 2 12" xfId="18264"/>
    <cellStyle name="Normal 7 2 12 2" xfId="18265"/>
    <cellStyle name="Normal 7 2 12 2 2" xfId="18266"/>
    <cellStyle name="Normal 7 2 12 2 2 2" xfId="18267"/>
    <cellStyle name="Normal 7 2 12 2 2 3" xfId="18268"/>
    <cellStyle name="Normal 7 2 12 2 3" xfId="18269"/>
    <cellStyle name="Normal 7 2 12 2 3 2" xfId="18270"/>
    <cellStyle name="Normal 7 2 12 2 4" xfId="18271"/>
    <cellStyle name="Normal 7 2 12 3" xfId="18272"/>
    <cellStyle name="Normal 7 2 12 3 2" xfId="18273"/>
    <cellStyle name="Normal 7 2 12 3 2 2" xfId="18274"/>
    <cellStyle name="Normal 7 2 12 3 3" xfId="18275"/>
    <cellStyle name="Normal 7 2 12 4" xfId="18276"/>
    <cellStyle name="Normal 7 2 12 4 2" xfId="18277"/>
    <cellStyle name="Normal 7 2 12 4 3" xfId="18278"/>
    <cellStyle name="Normal 7 2 12 5" xfId="18279"/>
    <cellStyle name="Normal 7 2 12 5 2" xfId="18280"/>
    <cellStyle name="Normal 7 2 12 6" xfId="18281"/>
    <cellStyle name="Normal 7 2 12 6 2" xfId="36702"/>
    <cellStyle name="Normal 7 2 12 7" xfId="18282"/>
    <cellStyle name="Normal 7 2 13" xfId="18283"/>
    <cellStyle name="Normal 7 2 13 2" xfId="18284"/>
    <cellStyle name="Normal 7 2 13 2 2" xfId="18285"/>
    <cellStyle name="Normal 7 2 13 2 2 2" xfId="18286"/>
    <cellStyle name="Normal 7 2 13 2 3" xfId="18287"/>
    <cellStyle name="Normal 7 2 13 3" xfId="18288"/>
    <cellStyle name="Normal 7 2 13 3 2" xfId="18289"/>
    <cellStyle name="Normal 7 2 13 4" xfId="18290"/>
    <cellStyle name="Normal 7 2 14" xfId="18291"/>
    <cellStyle name="Normal 7 2 14 2" xfId="18292"/>
    <cellStyle name="Normal 7 2 14 2 2" xfId="18293"/>
    <cellStyle name="Normal 7 2 14 3" xfId="18294"/>
    <cellStyle name="Normal 7 2 15" xfId="18295"/>
    <cellStyle name="Normal 7 2 15 2" xfId="18296"/>
    <cellStyle name="Normal 7 2 15 2 2" xfId="18297"/>
    <cellStyle name="Normal 7 2 15 3" xfId="18298"/>
    <cellStyle name="Normal 7 2 16" xfId="18299"/>
    <cellStyle name="Normal 7 2 16 2" xfId="18300"/>
    <cellStyle name="Normal 7 2 17" xfId="18301"/>
    <cellStyle name="Normal 7 2 17 2" xfId="36703"/>
    <cellStyle name="Normal 7 2 18" xfId="18302"/>
    <cellStyle name="Normal 7 2 2" xfId="18303"/>
    <cellStyle name="Normal 7 2 2 10" xfId="18304"/>
    <cellStyle name="Normal 7 2 2 10 2" xfId="18305"/>
    <cellStyle name="Normal 7 2 2 10 2 2" xfId="18306"/>
    <cellStyle name="Normal 7 2 2 10 3" xfId="18307"/>
    <cellStyle name="Normal 7 2 2 11" xfId="18308"/>
    <cellStyle name="Normal 7 2 2 11 2" xfId="18309"/>
    <cellStyle name="Normal 7 2 2 11 2 2" xfId="18310"/>
    <cellStyle name="Normal 7 2 2 11 3" xfId="18311"/>
    <cellStyle name="Normal 7 2 2 12" xfId="18312"/>
    <cellStyle name="Normal 7 2 2 12 2" xfId="18313"/>
    <cellStyle name="Normal 7 2 2 13" xfId="18314"/>
    <cellStyle name="Normal 7 2 2 13 2" xfId="36704"/>
    <cellStyle name="Normal 7 2 2 14" xfId="18315"/>
    <cellStyle name="Normal 7 2 2 2" xfId="18316"/>
    <cellStyle name="Normal 7 2 2 2 10" xfId="18317"/>
    <cellStyle name="Normal 7 2 2 2 2" xfId="18318"/>
    <cellStyle name="Normal 7 2 2 2 2 2" xfId="18319"/>
    <cellStyle name="Normal 7 2 2 2 2 2 2" xfId="18320"/>
    <cellStyle name="Normal 7 2 2 2 2 2 2 2" xfId="18321"/>
    <cellStyle name="Normal 7 2 2 2 2 2 2 2 2" xfId="18322"/>
    <cellStyle name="Normal 7 2 2 2 2 2 2 2 2 2" xfId="18323"/>
    <cellStyle name="Normal 7 2 2 2 2 2 2 2 2 3" xfId="18324"/>
    <cellStyle name="Normal 7 2 2 2 2 2 2 2 3" xfId="18325"/>
    <cellStyle name="Normal 7 2 2 2 2 2 2 2 3 2" xfId="18326"/>
    <cellStyle name="Normal 7 2 2 2 2 2 2 2 4" xfId="18327"/>
    <cellStyle name="Normal 7 2 2 2 2 2 2 3" xfId="18328"/>
    <cellStyle name="Normal 7 2 2 2 2 2 2 3 2" xfId="18329"/>
    <cellStyle name="Normal 7 2 2 2 2 2 2 3 2 2" xfId="18330"/>
    <cellStyle name="Normal 7 2 2 2 2 2 2 3 3" xfId="18331"/>
    <cellStyle name="Normal 7 2 2 2 2 2 2 4" xfId="18332"/>
    <cellStyle name="Normal 7 2 2 2 2 2 2 4 2" xfId="18333"/>
    <cellStyle name="Normal 7 2 2 2 2 2 2 4 3" xfId="18334"/>
    <cellStyle name="Normal 7 2 2 2 2 2 2 5" xfId="18335"/>
    <cellStyle name="Normal 7 2 2 2 2 2 2 5 2" xfId="18336"/>
    <cellStyle name="Normal 7 2 2 2 2 2 2 6" xfId="18337"/>
    <cellStyle name="Normal 7 2 2 2 2 2 2 6 2" xfId="36705"/>
    <cellStyle name="Normal 7 2 2 2 2 2 2 7" xfId="18338"/>
    <cellStyle name="Normal 7 2 2 2 2 2 3" xfId="18339"/>
    <cellStyle name="Normal 7 2 2 2 2 2 3 2" xfId="18340"/>
    <cellStyle name="Normal 7 2 2 2 2 2 3 2 2" xfId="18341"/>
    <cellStyle name="Normal 7 2 2 2 2 2 3 2 2 2" xfId="18342"/>
    <cellStyle name="Normal 7 2 2 2 2 2 3 2 3" xfId="18343"/>
    <cellStyle name="Normal 7 2 2 2 2 2 3 3" xfId="18344"/>
    <cellStyle name="Normal 7 2 2 2 2 2 3 3 2" xfId="18345"/>
    <cellStyle name="Normal 7 2 2 2 2 2 3 4" xfId="18346"/>
    <cellStyle name="Normal 7 2 2 2 2 2 4" xfId="18347"/>
    <cellStyle name="Normal 7 2 2 2 2 2 4 2" xfId="18348"/>
    <cellStyle name="Normal 7 2 2 2 2 2 4 2 2" xfId="18349"/>
    <cellStyle name="Normal 7 2 2 2 2 2 4 3" xfId="18350"/>
    <cellStyle name="Normal 7 2 2 2 2 2 5" xfId="18351"/>
    <cellStyle name="Normal 7 2 2 2 2 2 5 2" xfId="18352"/>
    <cellStyle name="Normal 7 2 2 2 2 2 5 2 2" xfId="18353"/>
    <cellStyle name="Normal 7 2 2 2 2 2 5 3" xfId="18354"/>
    <cellStyle name="Normal 7 2 2 2 2 2 6" xfId="18355"/>
    <cellStyle name="Normal 7 2 2 2 2 2 6 2" xfId="18356"/>
    <cellStyle name="Normal 7 2 2 2 2 2 7" xfId="18357"/>
    <cellStyle name="Normal 7 2 2 2 2 2 7 2" xfId="36706"/>
    <cellStyle name="Normal 7 2 2 2 2 2 8" xfId="18358"/>
    <cellStyle name="Normal 7 2 2 2 2 3" xfId="18359"/>
    <cellStyle name="Normal 7 2 2 2 2 3 2" xfId="18360"/>
    <cellStyle name="Normal 7 2 2 2 2 3 2 2" xfId="18361"/>
    <cellStyle name="Normal 7 2 2 2 2 3 2 2 2" xfId="18362"/>
    <cellStyle name="Normal 7 2 2 2 2 3 2 2 3" xfId="18363"/>
    <cellStyle name="Normal 7 2 2 2 2 3 2 3" xfId="18364"/>
    <cellStyle name="Normal 7 2 2 2 2 3 2 3 2" xfId="18365"/>
    <cellStyle name="Normal 7 2 2 2 2 3 2 4" xfId="18366"/>
    <cellStyle name="Normal 7 2 2 2 2 3 3" xfId="18367"/>
    <cellStyle name="Normal 7 2 2 2 2 3 3 2" xfId="18368"/>
    <cellStyle name="Normal 7 2 2 2 2 3 3 2 2" xfId="18369"/>
    <cellStyle name="Normal 7 2 2 2 2 3 3 3" xfId="18370"/>
    <cellStyle name="Normal 7 2 2 2 2 3 4" xfId="18371"/>
    <cellStyle name="Normal 7 2 2 2 2 3 4 2" xfId="18372"/>
    <cellStyle name="Normal 7 2 2 2 2 3 4 3" xfId="18373"/>
    <cellStyle name="Normal 7 2 2 2 2 3 5" xfId="18374"/>
    <cellStyle name="Normal 7 2 2 2 2 3 5 2" xfId="18375"/>
    <cellStyle name="Normal 7 2 2 2 2 3 6" xfId="18376"/>
    <cellStyle name="Normal 7 2 2 2 2 3 6 2" xfId="36707"/>
    <cellStyle name="Normal 7 2 2 2 2 3 7" xfId="18377"/>
    <cellStyle name="Normal 7 2 2 2 2 4" xfId="18378"/>
    <cellStyle name="Normal 7 2 2 2 2 4 2" xfId="18379"/>
    <cellStyle name="Normal 7 2 2 2 2 4 2 2" xfId="18380"/>
    <cellStyle name="Normal 7 2 2 2 2 4 2 2 2" xfId="18381"/>
    <cellStyle name="Normal 7 2 2 2 2 4 2 3" xfId="18382"/>
    <cellStyle name="Normal 7 2 2 2 2 4 3" xfId="18383"/>
    <cellStyle name="Normal 7 2 2 2 2 4 3 2" xfId="18384"/>
    <cellStyle name="Normal 7 2 2 2 2 4 4" xfId="18385"/>
    <cellStyle name="Normal 7 2 2 2 2 5" xfId="18386"/>
    <cellStyle name="Normal 7 2 2 2 2 5 2" xfId="18387"/>
    <cellStyle name="Normal 7 2 2 2 2 5 2 2" xfId="18388"/>
    <cellStyle name="Normal 7 2 2 2 2 5 3" xfId="18389"/>
    <cellStyle name="Normal 7 2 2 2 2 6" xfId="18390"/>
    <cellStyle name="Normal 7 2 2 2 2 6 2" xfId="18391"/>
    <cellStyle name="Normal 7 2 2 2 2 6 2 2" xfId="18392"/>
    <cellStyle name="Normal 7 2 2 2 2 6 3" xfId="18393"/>
    <cellStyle name="Normal 7 2 2 2 2 7" xfId="18394"/>
    <cellStyle name="Normal 7 2 2 2 2 7 2" xfId="18395"/>
    <cellStyle name="Normal 7 2 2 2 2 8" xfId="18396"/>
    <cellStyle name="Normal 7 2 2 2 2 8 2" xfId="36708"/>
    <cellStyle name="Normal 7 2 2 2 2 9" xfId="18397"/>
    <cellStyle name="Normal 7 2 2 2 3" xfId="18398"/>
    <cellStyle name="Normal 7 2 2 2 3 2" xfId="18399"/>
    <cellStyle name="Normal 7 2 2 2 3 2 2" xfId="18400"/>
    <cellStyle name="Normal 7 2 2 2 3 2 2 2" xfId="18401"/>
    <cellStyle name="Normal 7 2 2 2 3 2 2 2 2" xfId="18402"/>
    <cellStyle name="Normal 7 2 2 2 3 2 2 2 3" xfId="18403"/>
    <cellStyle name="Normal 7 2 2 2 3 2 2 3" xfId="18404"/>
    <cellStyle name="Normal 7 2 2 2 3 2 2 3 2" xfId="18405"/>
    <cellStyle name="Normal 7 2 2 2 3 2 2 4" xfId="18406"/>
    <cellStyle name="Normal 7 2 2 2 3 2 3" xfId="18407"/>
    <cellStyle name="Normal 7 2 2 2 3 2 3 2" xfId="18408"/>
    <cellStyle name="Normal 7 2 2 2 3 2 3 2 2" xfId="18409"/>
    <cellStyle name="Normal 7 2 2 2 3 2 3 3" xfId="18410"/>
    <cellStyle name="Normal 7 2 2 2 3 2 4" xfId="18411"/>
    <cellStyle name="Normal 7 2 2 2 3 2 4 2" xfId="18412"/>
    <cellStyle name="Normal 7 2 2 2 3 2 4 3" xfId="18413"/>
    <cellStyle name="Normal 7 2 2 2 3 2 5" xfId="18414"/>
    <cellStyle name="Normal 7 2 2 2 3 2 5 2" xfId="18415"/>
    <cellStyle name="Normal 7 2 2 2 3 2 6" xfId="18416"/>
    <cellStyle name="Normal 7 2 2 2 3 2 6 2" xfId="36709"/>
    <cellStyle name="Normal 7 2 2 2 3 2 7" xfId="18417"/>
    <cellStyle name="Normal 7 2 2 2 3 3" xfId="18418"/>
    <cellStyle name="Normal 7 2 2 2 3 3 2" xfId="18419"/>
    <cellStyle name="Normal 7 2 2 2 3 3 2 2" xfId="18420"/>
    <cellStyle name="Normal 7 2 2 2 3 3 2 2 2" xfId="18421"/>
    <cellStyle name="Normal 7 2 2 2 3 3 2 3" xfId="18422"/>
    <cellStyle name="Normal 7 2 2 2 3 3 3" xfId="18423"/>
    <cellStyle name="Normal 7 2 2 2 3 3 3 2" xfId="18424"/>
    <cellStyle name="Normal 7 2 2 2 3 3 4" xfId="18425"/>
    <cellStyle name="Normal 7 2 2 2 3 4" xfId="18426"/>
    <cellStyle name="Normal 7 2 2 2 3 4 2" xfId="18427"/>
    <cellStyle name="Normal 7 2 2 2 3 4 2 2" xfId="18428"/>
    <cellStyle name="Normal 7 2 2 2 3 4 3" xfId="18429"/>
    <cellStyle name="Normal 7 2 2 2 3 5" xfId="18430"/>
    <cellStyle name="Normal 7 2 2 2 3 5 2" xfId="18431"/>
    <cellStyle name="Normal 7 2 2 2 3 5 2 2" xfId="18432"/>
    <cellStyle name="Normal 7 2 2 2 3 5 3" xfId="18433"/>
    <cellStyle name="Normal 7 2 2 2 3 6" xfId="18434"/>
    <cellStyle name="Normal 7 2 2 2 3 6 2" xfId="18435"/>
    <cellStyle name="Normal 7 2 2 2 3 7" xfId="18436"/>
    <cellStyle name="Normal 7 2 2 2 3 7 2" xfId="36710"/>
    <cellStyle name="Normal 7 2 2 2 3 8" xfId="18437"/>
    <cellStyle name="Normal 7 2 2 2 4" xfId="18438"/>
    <cellStyle name="Normal 7 2 2 2 4 2" xfId="18439"/>
    <cellStyle name="Normal 7 2 2 2 4 2 2" xfId="18440"/>
    <cellStyle name="Normal 7 2 2 2 4 2 2 2" xfId="18441"/>
    <cellStyle name="Normal 7 2 2 2 4 2 2 3" xfId="18442"/>
    <cellStyle name="Normal 7 2 2 2 4 2 3" xfId="18443"/>
    <cellStyle name="Normal 7 2 2 2 4 2 3 2" xfId="18444"/>
    <cellStyle name="Normal 7 2 2 2 4 2 4" xfId="18445"/>
    <cellStyle name="Normal 7 2 2 2 4 3" xfId="18446"/>
    <cellStyle name="Normal 7 2 2 2 4 3 2" xfId="18447"/>
    <cellStyle name="Normal 7 2 2 2 4 3 2 2" xfId="18448"/>
    <cellStyle name="Normal 7 2 2 2 4 3 3" xfId="18449"/>
    <cellStyle name="Normal 7 2 2 2 4 4" xfId="18450"/>
    <cellStyle name="Normal 7 2 2 2 4 4 2" xfId="18451"/>
    <cellStyle name="Normal 7 2 2 2 4 4 3" xfId="18452"/>
    <cellStyle name="Normal 7 2 2 2 4 5" xfId="18453"/>
    <cellStyle name="Normal 7 2 2 2 4 5 2" xfId="18454"/>
    <cellStyle name="Normal 7 2 2 2 4 6" xfId="18455"/>
    <cellStyle name="Normal 7 2 2 2 4 6 2" xfId="36711"/>
    <cellStyle name="Normal 7 2 2 2 4 7" xfId="18456"/>
    <cellStyle name="Normal 7 2 2 2 5" xfId="18457"/>
    <cellStyle name="Normal 7 2 2 2 5 2" xfId="18458"/>
    <cellStyle name="Normal 7 2 2 2 5 2 2" xfId="18459"/>
    <cellStyle name="Normal 7 2 2 2 5 2 2 2" xfId="18460"/>
    <cellStyle name="Normal 7 2 2 2 5 2 3" xfId="18461"/>
    <cellStyle name="Normal 7 2 2 2 5 3" xfId="18462"/>
    <cellStyle name="Normal 7 2 2 2 5 3 2" xfId="18463"/>
    <cellStyle name="Normal 7 2 2 2 5 4" xfId="18464"/>
    <cellStyle name="Normal 7 2 2 2 6" xfId="18465"/>
    <cellStyle name="Normal 7 2 2 2 6 2" xfId="18466"/>
    <cellStyle name="Normal 7 2 2 2 6 2 2" xfId="18467"/>
    <cellStyle name="Normal 7 2 2 2 6 3" xfId="18468"/>
    <cellStyle name="Normal 7 2 2 2 7" xfId="18469"/>
    <cellStyle name="Normal 7 2 2 2 7 2" xfId="18470"/>
    <cellStyle name="Normal 7 2 2 2 7 2 2" xfId="18471"/>
    <cellStyle name="Normal 7 2 2 2 7 3" xfId="18472"/>
    <cellStyle name="Normal 7 2 2 2 8" xfId="18473"/>
    <cellStyle name="Normal 7 2 2 2 8 2" xfId="18474"/>
    <cellStyle name="Normal 7 2 2 2 9" xfId="18475"/>
    <cellStyle name="Normal 7 2 2 2 9 2" xfId="36712"/>
    <cellStyle name="Normal 7 2 2 3" xfId="18476"/>
    <cellStyle name="Normal 7 2 2 3 2" xfId="18477"/>
    <cellStyle name="Normal 7 2 2 3 2 2" xfId="18478"/>
    <cellStyle name="Normal 7 2 2 3 2 2 2" xfId="18479"/>
    <cellStyle name="Normal 7 2 2 3 2 2 2 2" xfId="18480"/>
    <cellStyle name="Normal 7 2 2 3 2 2 2 2 2" xfId="18481"/>
    <cellStyle name="Normal 7 2 2 3 2 2 2 2 3" xfId="18482"/>
    <cellStyle name="Normal 7 2 2 3 2 2 2 3" xfId="18483"/>
    <cellStyle name="Normal 7 2 2 3 2 2 2 3 2" xfId="18484"/>
    <cellStyle name="Normal 7 2 2 3 2 2 2 4" xfId="18485"/>
    <cellStyle name="Normal 7 2 2 3 2 2 3" xfId="18486"/>
    <cellStyle name="Normal 7 2 2 3 2 2 3 2" xfId="18487"/>
    <cellStyle name="Normal 7 2 2 3 2 2 3 2 2" xfId="18488"/>
    <cellStyle name="Normal 7 2 2 3 2 2 3 3" xfId="18489"/>
    <cellStyle name="Normal 7 2 2 3 2 2 4" xfId="18490"/>
    <cellStyle name="Normal 7 2 2 3 2 2 4 2" xfId="18491"/>
    <cellStyle name="Normal 7 2 2 3 2 2 4 3" xfId="18492"/>
    <cellStyle name="Normal 7 2 2 3 2 2 5" xfId="18493"/>
    <cellStyle name="Normal 7 2 2 3 2 2 5 2" xfId="18494"/>
    <cellStyle name="Normal 7 2 2 3 2 2 6" xfId="18495"/>
    <cellStyle name="Normal 7 2 2 3 2 2 6 2" xfId="36713"/>
    <cellStyle name="Normal 7 2 2 3 2 2 7" xfId="18496"/>
    <cellStyle name="Normal 7 2 2 3 2 3" xfId="18497"/>
    <cellStyle name="Normal 7 2 2 3 2 3 2" xfId="18498"/>
    <cellStyle name="Normal 7 2 2 3 2 3 2 2" xfId="18499"/>
    <cellStyle name="Normal 7 2 2 3 2 3 2 2 2" xfId="18500"/>
    <cellStyle name="Normal 7 2 2 3 2 3 2 3" xfId="18501"/>
    <cellStyle name="Normal 7 2 2 3 2 3 3" xfId="18502"/>
    <cellStyle name="Normal 7 2 2 3 2 3 3 2" xfId="18503"/>
    <cellStyle name="Normal 7 2 2 3 2 3 4" xfId="18504"/>
    <cellStyle name="Normal 7 2 2 3 2 4" xfId="18505"/>
    <cellStyle name="Normal 7 2 2 3 2 4 2" xfId="18506"/>
    <cellStyle name="Normal 7 2 2 3 2 4 2 2" xfId="18507"/>
    <cellStyle name="Normal 7 2 2 3 2 4 3" xfId="18508"/>
    <cellStyle name="Normal 7 2 2 3 2 5" xfId="18509"/>
    <cellStyle name="Normal 7 2 2 3 2 5 2" xfId="18510"/>
    <cellStyle name="Normal 7 2 2 3 2 5 2 2" xfId="18511"/>
    <cellStyle name="Normal 7 2 2 3 2 5 3" xfId="18512"/>
    <cellStyle name="Normal 7 2 2 3 2 6" xfId="18513"/>
    <cellStyle name="Normal 7 2 2 3 2 6 2" xfId="18514"/>
    <cellStyle name="Normal 7 2 2 3 2 7" xfId="18515"/>
    <cellStyle name="Normal 7 2 2 3 2 7 2" xfId="36714"/>
    <cellStyle name="Normal 7 2 2 3 2 8" xfId="18516"/>
    <cellStyle name="Normal 7 2 2 3 3" xfId="18517"/>
    <cellStyle name="Normal 7 2 2 3 3 2" xfId="18518"/>
    <cellStyle name="Normal 7 2 2 3 3 2 2" xfId="18519"/>
    <cellStyle name="Normal 7 2 2 3 3 2 2 2" xfId="18520"/>
    <cellStyle name="Normal 7 2 2 3 3 2 2 3" xfId="18521"/>
    <cellStyle name="Normal 7 2 2 3 3 2 3" xfId="18522"/>
    <cellStyle name="Normal 7 2 2 3 3 2 3 2" xfId="18523"/>
    <cellStyle name="Normal 7 2 2 3 3 2 4" xfId="18524"/>
    <cellStyle name="Normal 7 2 2 3 3 3" xfId="18525"/>
    <cellStyle name="Normal 7 2 2 3 3 3 2" xfId="18526"/>
    <cellStyle name="Normal 7 2 2 3 3 3 2 2" xfId="18527"/>
    <cellStyle name="Normal 7 2 2 3 3 3 3" xfId="18528"/>
    <cellStyle name="Normal 7 2 2 3 3 4" xfId="18529"/>
    <cellStyle name="Normal 7 2 2 3 3 4 2" xfId="18530"/>
    <cellStyle name="Normal 7 2 2 3 3 4 3" xfId="18531"/>
    <cellStyle name="Normal 7 2 2 3 3 5" xfId="18532"/>
    <cellStyle name="Normal 7 2 2 3 3 5 2" xfId="18533"/>
    <cellStyle name="Normal 7 2 2 3 3 6" xfId="18534"/>
    <cellStyle name="Normal 7 2 2 3 3 6 2" xfId="36715"/>
    <cellStyle name="Normal 7 2 2 3 3 7" xfId="18535"/>
    <cellStyle name="Normal 7 2 2 3 4" xfId="18536"/>
    <cellStyle name="Normal 7 2 2 3 4 2" xfId="18537"/>
    <cellStyle name="Normal 7 2 2 3 4 2 2" xfId="18538"/>
    <cellStyle name="Normal 7 2 2 3 4 2 2 2" xfId="18539"/>
    <cellStyle name="Normal 7 2 2 3 4 2 3" xfId="18540"/>
    <cellStyle name="Normal 7 2 2 3 4 3" xfId="18541"/>
    <cellStyle name="Normal 7 2 2 3 4 3 2" xfId="18542"/>
    <cellStyle name="Normal 7 2 2 3 4 4" xfId="18543"/>
    <cellStyle name="Normal 7 2 2 3 5" xfId="18544"/>
    <cellStyle name="Normal 7 2 2 3 5 2" xfId="18545"/>
    <cellStyle name="Normal 7 2 2 3 5 2 2" xfId="18546"/>
    <cellStyle name="Normal 7 2 2 3 5 3" xfId="18547"/>
    <cellStyle name="Normal 7 2 2 3 6" xfId="18548"/>
    <cellStyle name="Normal 7 2 2 3 6 2" xfId="18549"/>
    <cellStyle name="Normal 7 2 2 3 6 2 2" xfId="18550"/>
    <cellStyle name="Normal 7 2 2 3 6 3" xfId="18551"/>
    <cellStyle name="Normal 7 2 2 3 7" xfId="18552"/>
    <cellStyle name="Normal 7 2 2 3 7 2" xfId="18553"/>
    <cellStyle name="Normal 7 2 2 3 8" xfId="18554"/>
    <cellStyle name="Normal 7 2 2 3 8 2" xfId="36716"/>
    <cellStyle name="Normal 7 2 2 3 9" xfId="18555"/>
    <cellStyle name="Normal 7 2 2 4" xfId="18556"/>
    <cellStyle name="Normal 7 2 2 4 2" xfId="18557"/>
    <cellStyle name="Normal 7 2 2 4 2 2" xfId="18558"/>
    <cellStyle name="Normal 7 2 2 4 2 2 2" xfId="18559"/>
    <cellStyle name="Normal 7 2 2 4 2 2 2 2" xfId="18560"/>
    <cellStyle name="Normal 7 2 2 4 2 2 2 2 2" xfId="18561"/>
    <cellStyle name="Normal 7 2 2 4 2 2 2 2 3" xfId="18562"/>
    <cellStyle name="Normal 7 2 2 4 2 2 2 3" xfId="18563"/>
    <cellStyle name="Normal 7 2 2 4 2 2 2 3 2" xfId="18564"/>
    <cellStyle name="Normal 7 2 2 4 2 2 2 4" xfId="18565"/>
    <cellStyle name="Normal 7 2 2 4 2 2 3" xfId="18566"/>
    <cellStyle name="Normal 7 2 2 4 2 2 3 2" xfId="18567"/>
    <cellStyle name="Normal 7 2 2 4 2 2 3 2 2" xfId="18568"/>
    <cellStyle name="Normal 7 2 2 4 2 2 3 3" xfId="18569"/>
    <cellStyle name="Normal 7 2 2 4 2 2 4" xfId="18570"/>
    <cellStyle name="Normal 7 2 2 4 2 2 4 2" xfId="18571"/>
    <cellStyle name="Normal 7 2 2 4 2 2 4 3" xfId="18572"/>
    <cellStyle name="Normal 7 2 2 4 2 2 5" xfId="18573"/>
    <cellStyle name="Normal 7 2 2 4 2 2 5 2" xfId="18574"/>
    <cellStyle name="Normal 7 2 2 4 2 2 6" xfId="18575"/>
    <cellStyle name="Normal 7 2 2 4 2 2 6 2" xfId="36717"/>
    <cellStyle name="Normal 7 2 2 4 2 2 7" xfId="18576"/>
    <cellStyle name="Normal 7 2 2 4 2 3" xfId="18577"/>
    <cellStyle name="Normal 7 2 2 4 2 3 2" xfId="18578"/>
    <cellStyle name="Normal 7 2 2 4 2 3 2 2" xfId="18579"/>
    <cellStyle name="Normal 7 2 2 4 2 3 2 2 2" xfId="18580"/>
    <cellStyle name="Normal 7 2 2 4 2 3 2 3" xfId="18581"/>
    <cellStyle name="Normal 7 2 2 4 2 3 3" xfId="18582"/>
    <cellStyle name="Normal 7 2 2 4 2 3 3 2" xfId="18583"/>
    <cellStyle name="Normal 7 2 2 4 2 3 4" xfId="18584"/>
    <cellStyle name="Normal 7 2 2 4 2 4" xfId="18585"/>
    <cellStyle name="Normal 7 2 2 4 2 4 2" xfId="18586"/>
    <cellStyle name="Normal 7 2 2 4 2 4 2 2" xfId="18587"/>
    <cellStyle name="Normal 7 2 2 4 2 4 3" xfId="18588"/>
    <cellStyle name="Normal 7 2 2 4 2 5" xfId="18589"/>
    <cellStyle name="Normal 7 2 2 4 2 5 2" xfId="18590"/>
    <cellStyle name="Normal 7 2 2 4 2 5 2 2" xfId="18591"/>
    <cellStyle name="Normal 7 2 2 4 2 5 3" xfId="18592"/>
    <cellStyle name="Normal 7 2 2 4 2 6" xfId="18593"/>
    <cellStyle name="Normal 7 2 2 4 2 6 2" xfId="18594"/>
    <cellStyle name="Normal 7 2 2 4 2 7" xfId="18595"/>
    <cellStyle name="Normal 7 2 2 4 2 7 2" xfId="36718"/>
    <cellStyle name="Normal 7 2 2 4 2 8" xfId="18596"/>
    <cellStyle name="Normal 7 2 2 4 3" xfId="18597"/>
    <cellStyle name="Normal 7 2 2 4 3 2" xfId="18598"/>
    <cellStyle name="Normal 7 2 2 4 3 2 2" xfId="18599"/>
    <cellStyle name="Normal 7 2 2 4 3 2 2 2" xfId="18600"/>
    <cellStyle name="Normal 7 2 2 4 3 2 2 3" xfId="18601"/>
    <cellStyle name="Normal 7 2 2 4 3 2 3" xfId="18602"/>
    <cellStyle name="Normal 7 2 2 4 3 2 3 2" xfId="18603"/>
    <cellStyle name="Normal 7 2 2 4 3 2 4" xfId="18604"/>
    <cellStyle name="Normal 7 2 2 4 3 3" xfId="18605"/>
    <cellStyle name="Normal 7 2 2 4 3 3 2" xfId="18606"/>
    <cellStyle name="Normal 7 2 2 4 3 3 2 2" xfId="18607"/>
    <cellStyle name="Normal 7 2 2 4 3 3 3" xfId="18608"/>
    <cellStyle name="Normal 7 2 2 4 3 4" xfId="18609"/>
    <cellStyle name="Normal 7 2 2 4 3 4 2" xfId="18610"/>
    <cellStyle name="Normal 7 2 2 4 3 4 3" xfId="18611"/>
    <cellStyle name="Normal 7 2 2 4 3 5" xfId="18612"/>
    <cellStyle name="Normal 7 2 2 4 3 5 2" xfId="18613"/>
    <cellStyle name="Normal 7 2 2 4 3 6" xfId="18614"/>
    <cellStyle name="Normal 7 2 2 4 3 6 2" xfId="36719"/>
    <cellStyle name="Normal 7 2 2 4 3 7" xfId="18615"/>
    <cellStyle name="Normal 7 2 2 4 4" xfId="18616"/>
    <cellStyle name="Normal 7 2 2 4 4 2" xfId="18617"/>
    <cellStyle name="Normal 7 2 2 4 4 2 2" xfId="18618"/>
    <cellStyle name="Normal 7 2 2 4 4 2 2 2" xfId="18619"/>
    <cellStyle name="Normal 7 2 2 4 4 2 3" xfId="18620"/>
    <cellStyle name="Normal 7 2 2 4 4 3" xfId="18621"/>
    <cellStyle name="Normal 7 2 2 4 4 3 2" xfId="18622"/>
    <cellStyle name="Normal 7 2 2 4 4 4" xfId="18623"/>
    <cellStyle name="Normal 7 2 2 4 5" xfId="18624"/>
    <cellStyle name="Normal 7 2 2 4 5 2" xfId="18625"/>
    <cellStyle name="Normal 7 2 2 4 5 2 2" xfId="18626"/>
    <cellStyle name="Normal 7 2 2 4 5 3" xfId="18627"/>
    <cellStyle name="Normal 7 2 2 4 6" xfId="18628"/>
    <cellStyle name="Normal 7 2 2 4 6 2" xfId="18629"/>
    <cellStyle name="Normal 7 2 2 4 6 2 2" xfId="18630"/>
    <cellStyle name="Normal 7 2 2 4 6 3" xfId="18631"/>
    <cellStyle name="Normal 7 2 2 4 7" xfId="18632"/>
    <cellStyle name="Normal 7 2 2 4 7 2" xfId="18633"/>
    <cellStyle name="Normal 7 2 2 4 8" xfId="18634"/>
    <cellStyle name="Normal 7 2 2 4 8 2" xfId="36720"/>
    <cellStyle name="Normal 7 2 2 4 9" xfId="18635"/>
    <cellStyle name="Normal 7 2 2 5" xfId="18636"/>
    <cellStyle name="Normal 7 2 2 5 2" xfId="18637"/>
    <cellStyle name="Normal 7 2 2 5 2 2" xfId="18638"/>
    <cellStyle name="Normal 7 2 2 5 2 2 2" xfId="18639"/>
    <cellStyle name="Normal 7 2 2 5 2 2 2 2" xfId="18640"/>
    <cellStyle name="Normal 7 2 2 5 2 2 2 3" xfId="18641"/>
    <cellStyle name="Normal 7 2 2 5 2 2 3" xfId="18642"/>
    <cellStyle name="Normal 7 2 2 5 2 2 3 2" xfId="18643"/>
    <cellStyle name="Normal 7 2 2 5 2 2 4" xfId="18644"/>
    <cellStyle name="Normal 7 2 2 5 2 3" xfId="18645"/>
    <cellStyle name="Normal 7 2 2 5 2 3 2" xfId="18646"/>
    <cellStyle name="Normal 7 2 2 5 2 3 2 2" xfId="18647"/>
    <cellStyle name="Normal 7 2 2 5 2 3 3" xfId="18648"/>
    <cellStyle name="Normal 7 2 2 5 2 4" xfId="18649"/>
    <cellStyle name="Normal 7 2 2 5 2 4 2" xfId="18650"/>
    <cellStyle name="Normal 7 2 2 5 2 4 3" xfId="18651"/>
    <cellStyle name="Normal 7 2 2 5 2 5" xfId="18652"/>
    <cellStyle name="Normal 7 2 2 5 2 5 2" xfId="18653"/>
    <cellStyle name="Normal 7 2 2 5 2 6" xfId="18654"/>
    <cellStyle name="Normal 7 2 2 5 2 6 2" xfId="36721"/>
    <cellStyle name="Normal 7 2 2 5 2 7" xfId="18655"/>
    <cellStyle name="Normal 7 2 2 5 3" xfId="18656"/>
    <cellStyle name="Normal 7 2 2 5 3 2" xfId="18657"/>
    <cellStyle name="Normal 7 2 2 5 3 2 2" xfId="18658"/>
    <cellStyle name="Normal 7 2 2 5 3 2 2 2" xfId="18659"/>
    <cellStyle name="Normal 7 2 2 5 3 2 3" xfId="18660"/>
    <cellStyle name="Normal 7 2 2 5 3 3" xfId="18661"/>
    <cellStyle name="Normal 7 2 2 5 3 3 2" xfId="18662"/>
    <cellStyle name="Normal 7 2 2 5 3 4" xfId="18663"/>
    <cellStyle name="Normal 7 2 2 5 4" xfId="18664"/>
    <cellStyle name="Normal 7 2 2 5 4 2" xfId="18665"/>
    <cellStyle name="Normal 7 2 2 5 4 2 2" xfId="18666"/>
    <cellStyle name="Normal 7 2 2 5 4 3" xfId="18667"/>
    <cellStyle name="Normal 7 2 2 5 5" xfId="18668"/>
    <cellStyle name="Normal 7 2 2 5 5 2" xfId="18669"/>
    <cellStyle name="Normal 7 2 2 5 5 2 2" xfId="18670"/>
    <cellStyle name="Normal 7 2 2 5 5 3" xfId="18671"/>
    <cellStyle name="Normal 7 2 2 5 6" xfId="18672"/>
    <cellStyle name="Normal 7 2 2 5 6 2" xfId="18673"/>
    <cellStyle name="Normal 7 2 2 5 7" xfId="18674"/>
    <cellStyle name="Normal 7 2 2 5 7 2" xfId="36722"/>
    <cellStyle name="Normal 7 2 2 5 8" xfId="18675"/>
    <cellStyle name="Normal 7 2 2 6" xfId="18676"/>
    <cellStyle name="Normal 7 2 2 6 2" xfId="18677"/>
    <cellStyle name="Normal 7 2 2 6 2 2" xfId="18678"/>
    <cellStyle name="Normal 7 2 2 6 2 2 2" xfId="18679"/>
    <cellStyle name="Normal 7 2 2 6 2 2 2 2" xfId="18680"/>
    <cellStyle name="Normal 7 2 2 6 2 2 2 3" xfId="18681"/>
    <cellStyle name="Normal 7 2 2 6 2 2 3" xfId="18682"/>
    <cellStyle name="Normal 7 2 2 6 2 2 3 2" xfId="18683"/>
    <cellStyle name="Normal 7 2 2 6 2 2 4" xfId="18684"/>
    <cellStyle name="Normal 7 2 2 6 2 3" xfId="18685"/>
    <cellStyle name="Normal 7 2 2 6 2 3 2" xfId="18686"/>
    <cellStyle name="Normal 7 2 2 6 2 3 2 2" xfId="18687"/>
    <cellStyle name="Normal 7 2 2 6 2 3 3" xfId="18688"/>
    <cellStyle name="Normal 7 2 2 6 2 4" xfId="18689"/>
    <cellStyle name="Normal 7 2 2 6 2 4 2" xfId="18690"/>
    <cellStyle name="Normal 7 2 2 6 2 4 3" xfId="18691"/>
    <cellStyle name="Normal 7 2 2 6 2 5" xfId="18692"/>
    <cellStyle name="Normal 7 2 2 6 2 5 2" xfId="18693"/>
    <cellStyle name="Normal 7 2 2 6 2 6" xfId="18694"/>
    <cellStyle name="Normal 7 2 2 6 2 6 2" xfId="36723"/>
    <cellStyle name="Normal 7 2 2 6 2 7" xfId="18695"/>
    <cellStyle name="Normal 7 2 2 6 3" xfId="18696"/>
    <cellStyle name="Normal 7 2 2 6 3 2" xfId="18697"/>
    <cellStyle name="Normal 7 2 2 6 3 2 2" xfId="18698"/>
    <cellStyle name="Normal 7 2 2 6 3 2 2 2" xfId="18699"/>
    <cellStyle name="Normal 7 2 2 6 3 2 3" xfId="18700"/>
    <cellStyle name="Normal 7 2 2 6 3 3" xfId="18701"/>
    <cellStyle name="Normal 7 2 2 6 3 3 2" xfId="18702"/>
    <cellStyle name="Normal 7 2 2 6 3 4" xfId="18703"/>
    <cellStyle name="Normal 7 2 2 6 4" xfId="18704"/>
    <cellStyle name="Normal 7 2 2 6 4 2" xfId="18705"/>
    <cellStyle name="Normal 7 2 2 6 4 2 2" xfId="18706"/>
    <cellStyle name="Normal 7 2 2 6 4 3" xfId="18707"/>
    <cellStyle name="Normal 7 2 2 6 5" xfId="18708"/>
    <cellStyle name="Normal 7 2 2 6 5 2" xfId="18709"/>
    <cellStyle name="Normal 7 2 2 6 5 2 2" xfId="18710"/>
    <cellStyle name="Normal 7 2 2 6 5 3" xfId="18711"/>
    <cellStyle name="Normal 7 2 2 6 6" xfId="18712"/>
    <cellStyle name="Normal 7 2 2 6 6 2" xfId="18713"/>
    <cellStyle name="Normal 7 2 2 6 7" xfId="18714"/>
    <cellStyle name="Normal 7 2 2 6 7 2" xfId="36724"/>
    <cellStyle name="Normal 7 2 2 6 8" xfId="18715"/>
    <cellStyle name="Normal 7 2 2 7" xfId="18716"/>
    <cellStyle name="Normal 7 2 2 7 2" xfId="18717"/>
    <cellStyle name="Normal 7 2 2 7 2 2" xfId="18718"/>
    <cellStyle name="Normal 7 2 2 7 2 2 2" xfId="18719"/>
    <cellStyle name="Normal 7 2 2 7 2 2 2 2" xfId="18720"/>
    <cellStyle name="Normal 7 2 2 7 2 2 2 3" xfId="18721"/>
    <cellStyle name="Normal 7 2 2 7 2 2 3" xfId="18722"/>
    <cellStyle name="Normal 7 2 2 7 2 2 3 2" xfId="18723"/>
    <cellStyle name="Normal 7 2 2 7 2 2 4" xfId="18724"/>
    <cellStyle name="Normal 7 2 2 7 2 3" xfId="18725"/>
    <cellStyle name="Normal 7 2 2 7 2 3 2" xfId="18726"/>
    <cellStyle name="Normal 7 2 2 7 2 3 2 2" xfId="18727"/>
    <cellStyle name="Normal 7 2 2 7 2 3 3" xfId="18728"/>
    <cellStyle name="Normal 7 2 2 7 2 4" xfId="18729"/>
    <cellStyle name="Normal 7 2 2 7 2 4 2" xfId="18730"/>
    <cellStyle name="Normal 7 2 2 7 2 4 3" xfId="18731"/>
    <cellStyle name="Normal 7 2 2 7 2 5" xfId="18732"/>
    <cellStyle name="Normal 7 2 2 7 2 5 2" xfId="18733"/>
    <cellStyle name="Normal 7 2 2 7 2 6" xfId="18734"/>
    <cellStyle name="Normal 7 2 2 7 2 6 2" xfId="36725"/>
    <cellStyle name="Normal 7 2 2 7 2 7" xfId="18735"/>
    <cellStyle name="Normal 7 2 2 7 3" xfId="18736"/>
    <cellStyle name="Normal 7 2 2 7 3 2" xfId="18737"/>
    <cellStyle name="Normal 7 2 2 7 3 2 2" xfId="18738"/>
    <cellStyle name="Normal 7 2 2 7 3 2 2 2" xfId="18739"/>
    <cellStyle name="Normal 7 2 2 7 3 2 3" xfId="18740"/>
    <cellStyle name="Normal 7 2 2 7 3 3" xfId="18741"/>
    <cellStyle name="Normal 7 2 2 7 3 3 2" xfId="18742"/>
    <cellStyle name="Normal 7 2 2 7 3 4" xfId="18743"/>
    <cellStyle name="Normal 7 2 2 7 4" xfId="18744"/>
    <cellStyle name="Normal 7 2 2 7 4 2" xfId="18745"/>
    <cellStyle name="Normal 7 2 2 7 4 2 2" xfId="18746"/>
    <cellStyle name="Normal 7 2 2 7 4 3" xfId="18747"/>
    <cellStyle name="Normal 7 2 2 7 5" xfId="18748"/>
    <cellStyle name="Normal 7 2 2 7 5 2" xfId="18749"/>
    <cellStyle name="Normal 7 2 2 7 5 2 2" xfId="18750"/>
    <cellStyle name="Normal 7 2 2 7 5 3" xfId="18751"/>
    <cellStyle name="Normal 7 2 2 7 6" xfId="18752"/>
    <cellStyle name="Normal 7 2 2 7 6 2" xfId="18753"/>
    <cellStyle name="Normal 7 2 2 7 7" xfId="18754"/>
    <cellStyle name="Normal 7 2 2 7 7 2" xfId="36726"/>
    <cellStyle name="Normal 7 2 2 7 8" xfId="18755"/>
    <cellStyle name="Normal 7 2 2 8" xfId="18756"/>
    <cellStyle name="Normal 7 2 2 8 2" xfId="18757"/>
    <cellStyle name="Normal 7 2 2 8 2 2" xfId="18758"/>
    <cellStyle name="Normal 7 2 2 8 2 2 2" xfId="18759"/>
    <cellStyle name="Normal 7 2 2 8 2 2 3" xfId="18760"/>
    <cellStyle name="Normal 7 2 2 8 2 3" xfId="18761"/>
    <cellStyle name="Normal 7 2 2 8 2 3 2" xfId="18762"/>
    <cellStyle name="Normal 7 2 2 8 2 4" xfId="18763"/>
    <cellStyle name="Normal 7 2 2 8 3" xfId="18764"/>
    <cellStyle name="Normal 7 2 2 8 3 2" xfId="18765"/>
    <cellStyle name="Normal 7 2 2 8 3 2 2" xfId="18766"/>
    <cellStyle name="Normal 7 2 2 8 3 3" xfId="18767"/>
    <cellStyle name="Normal 7 2 2 8 4" xfId="18768"/>
    <cellStyle name="Normal 7 2 2 8 4 2" xfId="18769"/>
    <cellStyle name="Normal 7 2 2 8 4 3" xfId="18770"/>
    <cellStyle name="Normal 7 2 2 8 5" xfId="18771"/>
    <cellStyle name="Normal 7 2 2 8 5 2" xfId="18772"/>
    <cellStyle name="Normal 7 2 2 8 6" xfId="18773"/>
    <cellStyle name="Normal 7 2 2 8 6 2" xfId="36727"/>
    <cellStyle name="Normal 7 2 2 8 7" xfId="18774"/>
    <cellStyle name="Normal 7 2 2 9" xfId="18775"/>
    <cellStyle name="Normal 7 2 2 9 2" xfId="18776"/>
    <cellStyle name="Normal 7 2 2 9 2 2" xfId="18777"/>
    <cellStyle name="Normal 7 2 2 9 2 2 2" xfId="18778"/>
    <cellStyle name="Normal 7 2 2 9 2 3" xfId="18779"/>
    <cellStyle name="Normal 7 2 2 9 3" xfId="18780"/>
    <cellStyle name="Normal 7 2 2 9 3 2" xfId="18781"/>
    <cellStyle name="Normal 7 2 2 9 4" xfId="18782"/>
    <cellStyle name="Normal 7 2 3" xfId="18783"/>
    <cellStyle name="Normal 7 2 3 10" xfId="18784"/>
    <cellStyle name="Normal 7 2 3 10 2" xfId="18785"/>
    <cellStyle name="Normal 7 2 3 10 2 2" xfId="18786"/>
    <cellStyle name="Normal 7 2 3 10 3" xfId="18787"/>
    <cellStyle name="Normal 7 2 3 11" xfId="18788"/>
    <cellStyle name="Normal 7 2 3 11 2" xfId="18789"/>
    <cellStyle name="Normal 7 2 3 11 2 2" xfId="18790"/>
    <cellStyle name="Normal 7 2 3 11 3" xfId="18791"/>
    <cellStyle name="Normal 7 2 3 12" xfId="18792"/>
    <cellStyle name="Normal 7 2 3 12 2" xfId="18793"/>
    <cellStyle name="Normal 7 2 3 13" xfId="18794"/>
    <cellStyle name="Normal 7 2 3 13 2" xfId="36728"/>
    <cellStyle name="Normal 7 2 3 14" xfId="18795"/>
    <cellStyle name="Normal 7 2 3 2" xfId="18796"/>
    <cellStyle name="Normal 7 2 3 2 10" xfId="18797"/>
    <cellStyle name="Normal 7 2 3 2 2" xfId="18798"/>
    <cellStyle name="Normal 7 2 3 2 2 2" xfId="18799"/>
    <cellStyle name="Normal 7 2 3 2 2 2 2" xfId="18800"/>
    <cellStyle name="Normal 7 2 3 2 2 2 2 2" xfId="18801"/>
    <cellStyle name="Normal 7 2 3 2 2 2 2 2 2" xfId="18802"/>
    <cellStyle name="Normal 7 2 3 2 2 2 2 2 2 2" xfId="18803"/>
    <cellStyle name="Normal 7 2 3 2 2 2 2 2 2 3" xfId="18804"/>
    <cellStyle name="Normal 7 2 3 2 2 2 2 2 3" xfId="18805"/>
    <cellStyle name="Normal 7 2 3 2 2 2 2 2 3 2" xfId="18806"/>
    <cellStyle name="Normal 7 2 3 2 2 2 2 2 4" xfId="18807"/>
    <cellStyle name="Normal 7 2 3 2 2 2 2 3" xfId="18808"/>
    <cellStyle name="Normal 7 2 3 2 2 2 2 3 2" xfId="18809"/>
    <cellStyle name="Normal 7 2 3 2 2 2 2 3 2 2" xfId="18810"/>
    <cellStyle name="Normal 7 2 3 2 2 2 2 3 3" xfId="18811"/>
    <cellStyle name="Normal 7 2 3 2 2 2 2 4" xfId="18812"/>
    <cellStyle name="Normal 7 2 3 2 2 2 2 4 2" xfId="18813"/>
    <cellStyle name="Normal 7 2 3 2 2 2 2 4 3" xfId="18814"/>
    <cellStyle name="Normal 7 2 3 2 2 2 2 5" xfId="18815"/>
    <cellStyle name="Normal 7 2 3 2 2 2 2 5 2" xfId="18816"/>
    <cellStyle name="Normal 7 2 3 2 2 2 2 6" xfId="18817"/>
    <cellStyle name="Normal 7 2 3 2 2 2 2 6 2" xfId="36729"/>
    <cellStyle name="Normal 7 2 3 2 2 2 2 7" xfId="18818"/>
    <cellStyle name="Normal 7 2 3 2 2 2 3" xfId="18819"/>
    <cellStyle name="Normal 7 2 3 2 2 2 3 2" xfId="18820"/>
    <cellStyle name="Normal 7 2 3 2 2 2 3 2 2" xfId="18821"/>
    <cellStyle name="Normal 7 2 3 2 2 2 3 2 2 2" xfId="18822"/>
    <cellStyle name="Normal 7 2 3 2 2 2 3 2 3" xfId="18823"/>
    <cellStyle name="Normal 7 2 3 2 2 2 3 3" xfId="18824"/>
    <cellStyle name="Normal 7 2 3 2 2 2 3 3 2" xfId="18825"/>
    <cellStyle name="Normal 7 2 3 2 2 2 3 4" xfId="18826"/>
    <cellStyle name="Normal 7 2 3 2 2 2 4" xfId="18827"/>
    <cellStyle name="Normal 7 2 3 2 2 2 4 2" xfId="18828"/>
    <cellStyle name="Normal 7 2 3 2 2 2 4 2 2" xfId="18829"/>
    <cellStyle name="Normal 7 2 3 2 2 2 4 3" xfId="18830"/>
    <cellStyle name="Normal 7 2 3 2 2 2 5" xfId="18831"/>
    <cellStyle name="Normal 7 2 3 2 2 2 5 2" xfId="18832"/>
    <cellStyle name="Normal 7 2 3 2 2 2 5 2 2" xfId="18833"/>
    <cellStyle name="Normal 7 2 3 2 2 2 5 3" xfId="18834"/>
    <cellStyle name="Normal 7 2 3 2 2 2 6" xfId="18835"/>
    <cellStyle name="Normal 7 2 3 2 2 2 6 2" xfId="18836"/>
    <cellStyle name="Normal 7 2 3 2 2 2 7" xfId="18837"/>
    <cellStyle name="Normal 7 2 3 2 2 2 7 2" xfId="36730"/>
    <cellStyle name="Normal 7 2 3 2 2 2 8" xfId="18838"/>
    <cellStyle name="Normal 7 2 3 2 2 3" xfId="18839"/>
    <cellStyle name="Normal 7 2 3 2 2 3 2" xfId="18840"/>
    <cellStyle name="Normal 7 2 3 2 2 3 2 2" xfId="18841"/>
    <cellStyle name="Normal 7 2 3 2 2 3 2 2 2" xfId="18842"/>
    <cellStyle name="Normal 7 2 3 2 2 3 2 2 3" xfId="18843"/>
    <cellStyle name="Normal 7 2 3 2 2 3 2 3" xfId="18844"/>
    <cellStyle name="Normal 7 2 3 2 2 3 2 3 2" xfId="18845"/>
    <cellStyle name="Normal 7 2 3 2 2 3 2 4" xfId="18846"/>
    <cellStyle name="Normal 7 2 3 2 2 3 3" xfId="18847"/>
    <cellStyle name="Normal 7 2 3 2 2 3 3 2" xfId="18848"/>
    <cellStyle name="Normal 7 2 3 2 2 3 3 2 2" xfId="18849"/>
    <cellStyle name="Normal 7 2 3 2 2 3 3 3" xfId="18850"/>
    <cellStyle name="Normal 7 2 3 2 2 3 4" xfId="18851"/>
    <cellStyle name="Normal 7 2 3 2 2 3 4 2" xfId="18852"/>
    <cellStyle name="Normal 7 2 3 2 2 3 4 3" xfId="18853"/>
    <cellStyle name="Normal 7 2 3 2 2 3 5" xfId="18854"/>
    <cellStyle name="Normal 7 2 3 2 2 3 5 2" xfId="18855"/>
    <cellStyle name="Normal 7 2 3 2 2 3 6" xfId="18856"/>
    <cellStyle name="Normal 7 2 3 2 2 3 6 2" xfId="36731"/>
    <cellStyle name="Normal 7 2 3 2 2 3 7" xfId="18857"/>
    <cellStyle name="Normal 7 2 3 2 2 4" xfId="18858"/>
    <cellStyle name="Normal 7 2 3 2 2 4 2" xfId="18859"/>
    <cellStyle name="Normal 7 2 3 2 2 4 2 2" xfId="18860"/>
    <cellStyle name="Normal 7 2 3 2 2 4 2 2 2" xfId="18861"/>
    <cellStyle name="Normal 7 2 3 2 2 4 2 3" xfId="18862"/>
    <cellStyle name="Normal 7 2 3 2 2 4 3" xfId="18863"/>
    <cellStyle name="Normal 7 2 3 2 2 4 3 2" xfId="18864"/>
    <cellStyle name="Normal 7 2 3 2 2 4 4" xfId="18865"/>
    <cellStyle name="Normal 7 2 3 2 2 5" xfId="18866"/>
    <cellStyle name="Normal 7 2 3 2 2 5 2" xfId="18867"/>
    <cellStyle name="Normal 7 2 3 2 2 5 2 2" xfId="18868"/>
    <cellStyle name="Normal 7 2 3 2 2 5 3" xfId="18869"/>
    <cellStyle name="Normal 7 2 3 2 2 6" xfId="18870"/>
    <cellStyle name="Normal 7 2 3 2 2 6 2" xfId="18871"/>
    <cellStyle name="Normal 7 2 3 2 2 6 2 2" xfId="18872"/>
    <cellStyle name="Normal 7 2 3 2 2 6 3" xfId="18873"/>
    <cellStyle name="Normal 7 2 3 2 2 7" xfId="18874"/>
    <cellStyle name="Normal 7 2 3 2 2 7 2" xfId="18875"/>
    <cellStyle name="Normal 7 2 3 2 2 8" xfId="18876"/>
    <cellStyle name="Normal 7 2 3 2 2 8 2" xfId="36732"/>
    <cellStyle name="Normal 7 2 3 2 2 9" xfId="18877"/>
    <cellStyle name="Normal 7 2 3 2 3" xfId="18878"/>
    <cellStyle name="Normal 7 2 3 2 3 2" xfId="18879"/>
    <cellStyle name="Normal 7 2 3 2 3 2 2" xfId="18880"/>
    <cellStyle name="Normal 7 2 3 2 3 2 2 2" xfId="18881"/>
    <cellStyle name="Normal 7 2 3 2 3 2 2 2 2" xfId="18882"/>
    <cellStyle name="Normal 7 2 3 2 3 2 2 2 3" xfId="18883"/>
    <cellStyle name="Normal 7 2 3 2 3 2 2 3" xfId="18884"/>
    <cellStyle name="Normal 7 2 3 2 3 2 2 3 2" xfId="18885"/>
    <cellStyle name="Normal 7 2 3 2 3 2 2 4" xfId="18886"/>
    <cellStyle name="Normal 7 2 3 2 3 2 3" xfId="18887"/>
    <cellStyle name="Normal 7 2 3 2 3 2 3 2" xfId="18888"/>
    <cellStyle name="Normal 7 2 3 2 3 2 3 2 2" xfId="18889"/>
    <cellStyle name="Normal 7 2 3 2 3 2 3 3" xfId="18890"/>
    <cellStyle name="Normal 7 2 3 2 3 2 4" xfId="18891"/>
    <cellStyle name="Normal 7 2 3 2 3 2 4 2" xfId="18892"/>
    <cellStyle name="Normal 7 2 3 2 3 2 4 3" xfId="18893"/>
    <cellStyle name="Normal 7 2 3 2 3 2 5" xfId="18894"/>
    <cellStyle name="Normal 7 2 3 2 3 2 5 2" xfId="18895"/>
    <cellStyle name="Normal 7 2 3 2 3 2 6" xfId="18896"/>
    <cellStyle name="Normal 7 2 3 2 3 2 6 2" xfId="36733"/>
    <cellStyle name="Normal 7 2 3 2 3 2 7" xfId="18897"/>
    <cellStyle name="Normal 7 2 3 2 3 3" xfId="18898"/>
    <cellStyle name="Normal 7 2 3 2 3 3 2" xfId="18899"/>
    <cellStyle name="Normal 7 2 3 2 3 3 2 2" xfId="18900"/>
    <cellStyle name="Normal 7 2 3 2 3 3 2 2 2" xfId="18901"/>
    <cellStyle name="Normal 7 2 3 2 3 3 2 3" xfId="18902"/>
    <cellStyle name="Normal 7 2 3 2 3 3 3" xfId="18903"/>
    <cellStyle name="Normal 7 2 3 2 3 3 3 2" xfId="18904"/>
    <cellStyle name="Normal 7 2 3 2 3 3 4" xfId="18905"/>
    <cellStyle name="Normal 7 2 3 2 3 4" xfId="18906"/>
    <cellStyle name="Normal 7 2 3 2 3 4 2" xfId="18907"/>
    <cellStyle name="Normal 7 2 3 2 3 4 2 2" xfId="18908"/>
    <cellStyle name="Normal 7 2 3 2 3 4 3" xfId="18909"/>
    <cellStyle name="Normal 7 2 3 2 3 5" xfId="18910"/>
    <cellStyle name="Normal 7 2 3 2 3 5 2" xfId="18911"/>
    <cellStyle name="Normal 7 2 3 2 3 5 2 2" xfId="18912"/>
    <cellStyle name="Normal 7 2 3 2 3 5 3" xfId="18913"/>
    <cellStyle name="Normal 7 2 3 2 3 6" xfId="18914"/>
    <cellStyle name="Normal 7 2 3 2 3 6 2" xfId="18915"/>
    <cellStyle name="Normal 7 2 3 2 3 7" xfId="18916"/>
    <cellStyle name="Normal 7 2 3 2 3 7 2" xfId="36734"/>
    <cellStyle name="Normal 7 2 3 2 3 8" xfId="18917"/>
    <cellStyle name="Normal 7 2 3 2 4" xfId="18918"/>
    <cellStyle name="Normal 7 2 3 2 4 2" xfId="18919"/>
    <cellStyle name="Normal 7 2 3 2 4 2 2" xfId="18920"/>
    <cellStyle name="Normal 7 2 3 2 4 2 2 2" xfId="18921"/>
    <cellStyle name="Normal 7 2 3 2 4 2 2 3" xfId="18922"/>
    <cellStyle name="Normal 7 2 3 2 4 2 3" xfId="18923"/>
    <cellStyle name="Normal 7 2 3 2 4 2 3 2" xfId="18924"/>
    <cellStyle name="Normal 7 2 3 2 4 2 4" xfId="18925"/>
    <cellStyle name="Normal 7 2 3 2 4 3" xfId="18926"/>
    <cellStyle name="Normal 7 2 3 2 4 3 2" xfId="18927"/>
    <cellStyle name="Normal 7 2 3 2 4 3 2 2" xfId="18928"/>
    <cellStyle name="Normal 7 2 3 2 4 3 3" xfId="18929"/>
    <cellStyle name="Normal 7 2 3 2 4 4" xfId="18930"/>
    <cellStyle name="Normal 7 2 3 2 4 4 2" xfId="18931"/>
    <cellStyle name="Normal 7 2 3 2 4 4 3" xfId="18932"/>
    <cellStyle name="Normal 7 2 3 2 4 5" xfId="18933"/>
    <cellStyle name="Normal 7 2 3 2 4 5 2" xfId="18934"/>
    <cellStyle name="Normal 7 2 3 2 4 6" xfId="18935"/>
    <cellStyle name="Normal 7 2 3 2 4 6 2" xfId="36735"/>
    <cellStyle name="Normal 7 2 3 2 4 7" xfId="18936"/>
    <cellStyle name="Normal 7 2 3 2 5" xfId="18937"/>
    <cellStyle name="Normal 7 2 3 2 5 2" xfId="18938"/>
    <cellStyle name="Normal 7 2 3 2 5 2 2" xfId="18939"/>
    <cellStyle name="Normal 7 2 3 2 5 2 2 2" xfId="18940"/>
    <cellStyle name="Normal 7 2 3 2 5 2 3" xfId="18941"/>
    <cellStyle name="Normal 7 2 3 2 5 3" xfId="18942"/>
    <cellStyle name="Normal 7 2 3 2 5 3 2" xfId="18943"/>
    <cellStyle name="Normal 7 2 3 2 5 4" xfId="18944"/>
    <cellStyle name="Normal 7 2 3 2 6" xfId="18945"/>
    <cellStyle name="Normal 7 2 3 2 6 2" xfId="18946"/>
    <cellStyle name="Normal 7 2 3 2 6 2 2" xfId="18947"/>
    <cellStyle name="Normal 7 2 3 2 6 3" xfId="18948"/>
    <cellStyle name="Normal 7 2 3 2 7" xfId="18949"/>
    <cellStyle name="Normal 7 2 3 2 7 2" xfId="18950"/>
    <cellStyle name="Normal 7 2 3 2 7 2 2" xfId="18951"/>
    <cellStyle name="Normal 7 2 3 2 7 3" xfId="18952"/>
    <cellStyle name="Normal 7 2 3 2 8" xfId="18953"/>
    <cellStyle name="Normal 7 2 3 2 8 2" xfId="18954"/>
    <cellStyle name="Normal 7 2 3 2 9" xfId="18955"/>
    <cellStyle name="Normal 7 2 3 2 9 2" xfId="36736"/>
    <cellStyle name="Normal 7 2 3 3" xfId="18956"/>
    <cellStyle name="Normal 7 2 3 3 2" xfId="18957"/>
    <cellStyle name="Normal 7 2 3 3 2 2" xfId="18958"/>
    <cellStyle name="Normal 7 2 3 3 2 2 2" xfId="18959"/>
    <cellStyle name="Normal 7 2 3 3 2 2 2 2" xfId="18960"/>
    <cellStyle name="Normal 7 2 3 3 2 2 2 2 2" xfId="18961"/>
    <cellStyle name="Normal 7 2 3 3 2 2 2 2 3" xfId="18962"/>
    <cellStyle name="Normal 7 2 3 3 2 2 2 3" xfId="18963"/>
    <cellStyle name="Normal 7 2 3 3 2 2 2 3 2" xfId="18964"/>
    <cellStyle name="Normal 7 2 3 3 2 2 2 4" xfId="18965"/>
    <cellStyle name="Normal 7 2 3 3 2 2 3" xfId="18966"/>
    <cellStyle name="Normal 7 2 3 3 2 2 3 2" xfId="18967"/>
    <cellStyle name="Normal 7 2 3 3 2 2 3 2 2" xfId="18968"/>
    <cellStyle name="Normal 7 2 3 3 2 2 3 3" xfId="18969"/>
    <cellStyle name="Normal 7 2 3 3 2 2 4" xfId="18970"/>
    <cellStyle name="Normal 7 2 3 3 2 2 4 2" xfId="18971"/>
    <cellStyle name="Normal 7 2 3 3 2 2 4 3" xfId="18972"/>
    <cellStyle name="Normal 7 2 3 3 2 2 5" xfId="18973"/>
    <cellStyle name="Normal 7 2 3 3 2 2 5 2" xfId="18974"/>
    <cellStyle name="Normal 7 2 3 3 2 2 6" xfId="18975"/>
    <cellStyle name="Normal 7 2 3 3 2 2 6 2" xfId="36737"/>
    <cellStyle name="Normal 7 2 3 3 2 2 7" xfId="18976"/>
    <cellStyle name="Normal 7 2 3 3 2 3" xfId="18977"/>
    <cellStyle name="Normal 7 2 3 3 2 3 2" xfId="18978"/>
    <cellStyle name="Normal 7 2 3 3 2 3 2 2" xfId="18979"/>
    <cellStyle name="Normal 7 2 3 3 2 3 2 2 2" xfId="18980"/>
    <cellStyle name="Normal 7 2 3 3 2 3 2 3" xfId="18981"/>
    <cellStyle name="Normal 7 2 3 3 2 3 3" xfId="18982"/>
    <cellStyle name="Normal 7 2 3 3 2 3 3 2" xfId="18983"/>
    <cellStyle name="Normal 7 2 3 3 2 3 4" xfId="18984"/>
    <cellStyle name="Normal 7 2 3 3 2 4" xfId="18985"/>
    <cellStyle name="Normal 7 2 3 3 2 4 2" xfId="18986"/>
    <cellStyle name="Normal 7 2 3 3 2 4 2 2" xfId="18987"/>
    <cellStyle name="Normal 7 2 3 3 2 4 3" xfId="18988"/>
    <cellStyle name="Normal 7 2 3 3 2 5" xfId="18989"/>
    <cellStyle name="Normal 7 2 3 3 2 5 2" xfId="18990"/>
    <cellStyle name="Normal 7 2 3 3 2 5 2 2" xfId="18991"/>
    <cellStyle name="Normal 7 2 3 3 2 5 3" xfId="18992"/>
    <cellStyle name="Normal 7 2 3 3 2 6" xfId="18993"/>
    <cellStyle name="Normal 7 2 3 3 2 6 2" xfId="18994"/>
    <cellStyle name="Normal 7 2 3 3 2 7" xfId="18995"/>
    <cellStyle name="Normal 7 2 3 3 2 7 2" xfId="36738"/>
    <cellStyle name="Normal 7 2 3 3 2 8" xfId="18996"/>
    <cellStyle name="Normal 7 2 3 3 3" xfId="18997"/>
    <cellStyle name="Normal 7 2 3 3 3 2" xfId="18998"/>
    <cellStyle name="Normal 7 2 3 3 3 2 2" xfId="18999"/>
    <cellStyle name="Normal 7 2 3 3 3 2 2 2" xfId="19000"/>
    <cellStyle name="Normal 7 2 3 3 3 2 2 3" xfId="19001"/>
    <cellStyle name="Normal 7 2 3 3 3 2 3" xfId="19002"/>
    <cellStyle name="Normal 7 2 3 3 3 2 3 2" xfId="19003"/>
    <cellStyle name="Normal 7 2 3 3 3 2 4" xfId="19004"/>
    <cellStyle name="Normal 7 2 3 3 3 3" xfId="19005"/>
    <cellStyle name="Normal 7 2 3 3 3 3 2" xfId="19006"/>
    <cellStyle name="Normal 7 2 3 3 3 3 2 2" xfId="19007"/>
    <cellStyle name="Normal 7 2 3 3 3 3 3" xfId="19008"/>
    <cellStyle name="Normal 7 2 3 3 3 4" xfId="19009"/>
    <cellStyle name="Normal 7 2 3 3 3 4 2" xfId="19010"/>
    <cellStyle name="Normal 7 2 3 3 3 4 3" xfId="19011"/>
    <cellStyle name="Normal 7 2 3 3 3 5" xfId="19012"/>
    <cellStyle name="Normal 7 2 3 3 3 5 2" xfId="19013"/>
    <cellStyle name="Normal 7 2 3 3 3 6" xfId="19014"/>
    <cellStyle name="Normal 7 2 3 3 3 6 2" xfId="36739"/>
    <cellStyle name="Normal 7 2 3 3 3 7" xfId="19015"/>
    <cellStyle name="Normal 7 2 3 3 4" xfId="19016"/>
    <cellStyle name="Normal 7 2 3 3 4 2" xfId="19017"/>
    <cellStyle name="Normal 7 2 3 3 4 2 2" xfId="19018"/>
    <cellStyle name="Normal 7 2 3 3 4 2 2 2" xfId="19019"/>
    <cellStyle name="Normal 7 2 3 3 4 2 3" xfId="19020"/>
    <cellStyle name="Normal 7 2 3 3 4 3" xfId="19021"/>
    <cellStyle name="Normal 7 2 3 3 4 3 2" xfId="19022"/>
    <cellStyle name="Normal 7 2 3 3 4 4" xfId="19023"/>
    <cellStyle name="Normal 7 2 3 3 5" xfId="19024"/>
    <cellStyle name="Normal 7 2 3 3 5 2" xfId="19025"/>
    <cellStyle name="Normal 7 2 3 3 5 2 2" xfId="19026"/>
    <cellStyle name="Normal 7 2 3 3 5 3" xfId="19027"/>
    <cellStyle name="Normal 7 2 3 3 6" xfId="19028"/>
    <cellStyle name="Normal 7 2 3 3 6 2" xfId="19029"/>
    <cellStyle name="Normal 7 2 3 3 6 2 2" xfId="19030"/>
    <cellStyle name="Normal 7 2 3 3 6 3" xfId="19031"/>
    <cellStyle name="Normal 7 2 3 3 7" xfId="19032"/>
    <cellStyle name="Normal 7 2 3 3 7 2" xfId="19033"/>
    <cellStyle name="Normal 7 2 3 3 8" xfId="19034"/>
    <cellStyle name="Normal 7 2 3 3 8 2" xfId="36740"/>
    <cellStyle name="Normal 7 2 3 3 9" xfId="19035"/>
    <cellStyle name="Normal 7 2 3 4" xfId="19036"/>
    <cellStyle name="Normal 7 2 3 4 2" xfId="19037"/>
    <cellStyle name="Normal 7 2 3 4 2 2" xfId="19038"/>
    <cellStyle name="Normal 7 2 3 4 2 2 2" xfId="19039"/>
    <cellStyle name="Normal 7 2 3 4 2 2 2 2" xfId="19040"/>
    <cellStyle name="Normal 7 2 3 4 2 2 2 2 2" xfId="19041"/>
    <cellStyle name="Normal 7 2 3 4 2 2 2 2 3" xfId="19042"/>
    <cellStyle name="Normal 7 2 3 4 2 2 2 3" xfId="19043"/>
    <cellStyle name="Normal 7 2 3 4 2 2 2 3 2" xfId="19044"/>
    <cellStyle name="Normal 7 2 3 4 2 2 2 4" xfId="19045"/>
    <cellStyle name="Normal 7 2 3 4 2 2 3" xfId="19046"/>
    <cellStyle name="Normal 7 2 3 4 2 2 3 2" xfId="19047"/>
    <cellStyle name="Normal 7 2 3 4 2 2 3 2 2" xfId="19048"/>
    <cellStyle name="Normal 7 2 3 4 2 2 3 3" xfId="19049"/>
    <cellStyle name="Normal 7 2 3 4 2 2 4" xfId="19050"/>
    <cellStyle name="Normal 7 2 3 4 2 2 4 2" xfId="19051"/>
    <cellStyle name="Normal 7 2 3 4 2 2 4 3" xfId="19052"/>
    <cellStyle name="Normal 7 2 3 4 2 2 5" xfId="19053"/>
    <cellStyle name="Normal 7 2 3 4 2 2 5 2" xfId="19054"/>
    <cellStyle name="Normal 7 2 3 4 2 2 6" xfId="19055"/>
    <cellStyle name="Normal 7 2 3 4 2 2 6 2" xfId="36741"/>
    <cellStyle name="Normal 7 2 3 4 2 2 7" xfId="19056"/>
    <cellStyle name="Normal 7 2 3 4 2 3" xfId="19057"/>
    <cellStyle name="Normal 7 2 3 4 2 3 2" xfId="19058"/>
    <cellStyle name="Normal 7 2 3 4 2 3 2 2" xfId="19059"/>
    <cellStyle name="Normal 7 2 3 4 2 3 2 2 2" xfId="19060"/>
    <cellStyle name="Normal 7 2 3 4 2 3 2 3" xfId="19061"/>
    <cellStyle name="Normal 7 2 3 4 2 3 3" xfId="19062"/>
    <cellStyle name="Normal 7 2 3 4 2 3 3 2" xfId="19063"/>
    <cellStyle name="Normal 7 2 3 4 2 3 4" xfId="19064"/>
    <cellStyle name="Normal 7 2 3 4 2 4" xfId="19065"/>
    <cellStyle name="Normal 7 2 3 4 2 4 2" xfId="19066"/>
    <cellStyle name="Normal 7 2 3 4 2 4 2 2" xfId="19067"/>
    <cellStyle name="Normal 7 2 3 4 2 4 3" xfId="19068"/>
    <cellStyle name="Normal 7 2 3 4 2 5" xfId="19069"/>
    <cellStyle name="Normal 7 2 3 4 2 5 2" xfId="19070"/>
    <cellStyle name="Normal 7 2 3 4 2 5 2 2" xfId="19071"/>
    <cellStyle name="Normal 7 2 3 4 2 5 3" xfId="19072"/>
    <cellStyle name="Normal 7 2 3 4 2 6" xfId="19073"/>
    <cellStyle name="Normal 7 2 3 4 2 6 2" xfId="19074"/>
    <cellStyle name="Normal 7 2 3 4 2 7" xfId="19075"/>
    <cellStyle name="Normal 7 2 3 4 2 7 2" xfId="36742"/>
    <cellStyle name="Normal 7 2 3 4 2 8" xfId="19076"/>
    <cellStyle name="Normal 7 2 3 4 3" xfId="19077"/>
    <cellStyle name="Normal 7 2 3 4 3 2" xfId="19078"/>
    <cellStyle name="Normal 7 2 3 4 3 2 2" xfId="19079"/>
    <cellStyle name="Normal 7 2 3 4 3 2 2 2" xfId="19080"/>
    <cellStyle name="Normal 7 2 3 4 3 2 2 3" xfId="19081"/>
    <cellStyle name="Normal 7 2 3 4 3 2 3" xfId="19082"/>
    <cellStyle name="Normal 7 2 3 4 3 2 3 2" xfId="19083"/>
    <cellStyle name="Normal 7 2 3 4 3 2 4" xfId="19084"/>
    <cellStyle name="Normal 7 2 3 4 3 3" xfId="19085"/>
    <cellStyle name="Normal 7 2 3 4 3 3 2" xfId="19086"/>
    <cellStyle name="Normal 7 2 3 4 3 3 2 2" xfId="19087"/>
    <cellStyle name="Normal 7 2 3 4 3 3 3" xfId="19088"/>
    <cellStyle name="Normal 7 2 3 4 3 4" xfId="19089"/>
    <cellStyle name="Normal 7 2 3 4 3 4 2" xfId="19090"/>
    <cellStyle name="Normal 7 2 3 4 3 4 3" xfId="19091"/>
    <cellStyle name="Normal 7 2 3 4 3 5" xfId="19092"/>
    <cellStyle name="Normal 7 2 3 4 3 5 2" xfId="19093"/>
    <cellStyle name="Normal 7 2 3 4 3 6" xfId="19094"/>
    <cellStyle name="Normal 7 2 3 4 3 6 2" xfId="36743"/>
    <cellStyle name="Normal 7 2 3 4 3 7" xfId="19095"/>
    <cellStyle name="Normal 7 2 3 4 4" xfId="19096"/>
    <cellStyle name="Normal 7 2 3 4 4 2" xfId="19097"/>
    <cellStyle name="Normal 7 2 3 4 4 2 2" xfId="19098"/>
    <cellStyle name="Normal 7 2 3 4 4 2 2 2" xfId="19099"/>
    <cellStyle name="Normal 7 2 3 4 4 2 3" xfId="19100"/>
    <cellStyle name="Normal 7 2 3 4 4 3" xfId="19101"/>
    <cellStyle name="Normal 7 2 3 4 4 3 2" xfId="19102"/>
    <cellStyle name="Normal 7 2 3 4 4 4" xfId="19103"/>
    <cellStyle name="Normal 7 2 3 4 5" xfId="19104"/>
    <cellStyle name="Normal 7 2 3 4 5 2" xfId="19105"/>
    <cellStyle name="Normal 7 2 3 4 5 2 2" xfId="19106"/>
    <cellStyle name="Normal 7 2 3 4 5 3" xfId="19107"/>
    <cellStyle name="Normal 7 2 3 4 6" xfId="19108"/>
    <cellStyle name="Normal 7 2 3 4 6 2" xfId="19109"/>
    <cellStyle name="Normal 7 2 3 4 6 2 2" xfId="19110"/>
    <cellStyle name="Normal 7 2 3 4 6 3" xfId="19111"/>
    <cellStyle name="Normal 7 2 3 4 7" xfId="19112"/>
    <cellStyle name="Normal 7 2 3 4 7 2" xfId="19113"/>
    <cellStyle name="Normal 7 2 3 4 8" xfId="19114"/>
    <cellStyle name="Normal 7 2 3 4 8 2" xfId="36744"/>
    <cellStyle name="Normal 7 2 3 4 9" xfId="19115"/>
    <cellStyle name="Normal 7 2 3 5" xfId="19116"/>
    <cellStyle name="Normal 7 2 3 5 2" xfId="19117"/>
    <cellStyle name="Normal 7 2 3 5 2 2" xfId="19118"/>
    <cellStyle name="Normal 7 2 3 5 2 2 2" xfId="19119"/>
    <cellStyle name="Normal 7 2 3 5 2 2 2 2" xfId="19120"/>
    <cellStyle name="Normal 7 2 3 5 2 2 2 3" xfId="19121"/>
    <cellStyle name="Normal 7 2 3 5 2 2 3" xfId="19122"/>
    <cellStyle name="Normal 7 2 3 5 2 2 3 2" xfId="19123"/>
    <cellStyle name="Normal 7 2 3 5 2 2 4" xfId="19124"/>
    <cellStyle name="Normal 7 2 3 5 2 3" xfId="19125"/>
    <cellStyle name="Normal 7 2 3 5 2 3 2" xfId="19126"/>
    <cellStyle name="Normal 7 2 3 5 2 3 2 2" xfId="19127"/>
    <cellStyle name="Normal 7 2 3 5 2 3 3" xfId="19128"/>
    <cellStyle name="Normal 7 2 3 5 2 4" xfId="19129"/>
    <cellStyle name="Normal 7 2 3 5 2 4 2" xfId="19130"/>
    <cellStyle name="Normal 7 2 3 5 2 4 3" xfId="19131"/>
    <cellStyle name="Normal 7 2 3 5 2 5" xfId="19132"/>
    <cellStyle name="Normal 7 2 3 5 2 5 2" xfId="19133"/>
    <cellStyle name="Normal 7 2 3 5 2 6" xfId="19134"/>
    <cellStyle name="Normal 7 2 3 5 2 6 2" xfId="36745"/>
    <cellStyle name="Normal 7 2 3 5 2 7" xfId="19135"/>
    <cellStyle name="Normal 7 2 3 5 3" xfId="19136"/>
    <cellStyle name="Normal 7 2 3 5 3 2" xfId="19137"/>
    <cellStyle name="Normal 7 2 3 5 3 2 2" xfId="19138"/>
    <cellStyle name="Normal 7 2 3 5 3 2 2 2" xfId="19139"/>
    <cellStyle name="Normal 7 2 3 5 3 2 3" xfId="19140"/>
    <cellStyle name="Normal 7 2 3 5 3 3" xfId="19141"/>
    <cellStyle name="Normal 7 2 3 5 3 3 2" xfId="19142"/>
    <cellStyle name="Normal 7 2 3 5 3 4" xfId="19143"/>
    <cellStyle name="Normal 7 2 3 5 4" xfId="19144"/>
    <cellStyle name="Normal 7 2 3 5 4 2" xfId="19145"/>
    <cellStyle name="Normal 7 2 3 5 4 2 2" xfId="19146"/>
    <cellStyle name="Normal 7 2 3 5 4 3" xfId="19147"/>
    <cellStyle name="Normal 7 2 3 5 5" xfId="19148"/>
    <cellStyle name="Normal 7 2 3 5 5 2" xfId="19149"/>
    <cellStyle name="Normal 7 2 3 5 5 2 2" xfId="19150"/>
    <cellStyle name="Normal 7 2 3 5 5 3" xfId="19151"/>
    <cellStyle name="Normal 7 2 3 5 6" xfId="19152"/>
    <cellStyle name="Normal 7 2 3 5 6 2" xfId="19153"/>
    <cellStyle name="Normal 7 2 3 5 7" xfId="19154"/>
    <cellStyle name="Normal 7 2 3 5 7 2" xfId="36746"/>
    <cellStyle name="Normal 7 2 3 5 8" xfId="19155"/>
    <cellStyle name="Normal 7 2 3 6" xfId="19156"/>
    <cellStyle name="Normal 7 2 3 6 2" xfId="19157"/>
    <cellStyle name="Normal 7 2 3 6 2 2" xfId="19158"/>
    <cellStyle name="Normal 7 2 3 6 2 2 2" xfId="19159"/>
    <cellStyle name="Normal 7 2 3 6 2 2 2 2" xfId="19160"/>
    <cellStyle name="Normal 7 2 3 6 2 2 2 3" xfId="19161"/>
    <cellStyle name="Normal 7 2 3 6 2 2 3" xfId="19162"/>
    <cellStyle name="Normal 7 2 3 6 2 2 3 2" xfId="19163"/>
    <cellStyle name="Normal 7 2 3 6 2 2 4" xfId="19164"/>
    <cellStyle name="Normal 7 2 3 6 2 3" xfId="19165"/>
    <cellStyle name="Normal 7 2 3 6 2 3 2" xfId="19166"/>
    <cellStyle name="Normal 7 2 3 6 2 3 2 2" xfId="19167"/>
    <cellStyle name="Normal 7 2 3 6 2 3 3" xfId="19168"/>
    <cellStyle name="Normal 7 2 3 6 2 4" xfId="19169"/>
    <cellStyle name="Normal 7 2 3 6 2 4 2" xfId="19170"/>
    <cellStyle name="Normal 7 2 3 6 2 4 3" xfId="19171"/>
    <cellStyle name="Normal 7 2 3 6 2 5" xfId="19172"/>
    <cellStyle name="Normal 7 2 3 6 2 5 2" xfId="19173"/>
    <cellStyle name="Normal 7 2 3 6 2 6" xfId="19174"/>
    <cellStyle name="Normal 7 2 3 6 2 6 2" xfId="36747"/>
    <cellStyle name="Normal 7 2 3 6 2 7" xfId="19175"/>
    <cellStyle name="Normal 7 2 3 6 3" xfId="19176"/>
    <cellStyle name="Normal 7 2 3 6 3 2" xfId="19177"/>
    <cellStyle name="Normal 7 2 3 6 3 2 2" xfId="19178"/>
    <cellStyle name="Normal 7 2 3 6 3 2 2 2" xfId="19179"/>
    <cellStyle name="Normal 7 2 3 6 3 2 3" xfId="19180"/>
    <cellStyle name="Normal 7 2 3 6 3 3" xfId="19181"/>
    <cellStyle name="Normal 7 2 3 6 3 3 2" xfId="19182"/>
    <cellStyle name="Normal 7 2 3 6 3 4" xfId="19183"/>
    <cellStyle name="Normal 7 2 3 6 4" xfId="19184"/>
    <cellStyle name="Normal 7 2 3 6 4 2" xfId="19185"/>
    <cellStyle name="Normal 7 2 3 6 4 2 2" xfId="19186"/>
    <cellStyle name="Normal 7 2 3 6 4 3" xfId="19187"/>
    <cellStyle name="Normal 7 2 3 6 5" xfId="19188"/>
    <cellStyle name="Normal 7 2 3 6 5 2" xfId="19189"/>
    <cellStyle name="Normal 7 2 3 6 5 2 2" xfId="19190"/>
    <cellStyle name="Normal 7 2 3 6 5 3" xfId="19191"/>
    <cellStyle name="Normal 7 2 3 6 6" xfId="19192"/>
    <cellStyle name="Normal 7 2 3 6 6 2" xfId="19193"/>
    <cellStyle name="Normal 7 2 3 6 7" xfId="19194"/>
    <cellStyle name="Normal 7 2 3 6 7 2" xfId="36748"/>
    <cellStyle name="Normal 7 2 3 6 8" xfId="19195"/>
    <cellStyle name="Normal 7 2 3 7" xfId="19196"/>
    <cellStyle name="Normal 7 2 3 7 2" xfId="19197"/>
    <cellStyle name="Normal 7 2 3 7 2 2" xfId="19198"/>
    <cellStyle name="Normal 7 2 3 7 2 2 2" xfId="19199"/>
    <cellStyle name="Normal 7 2 3 7 2 2 2 2" xfId="19200"/>
    <cellStyle name="Normal 7 2 3 7 2 2 2 3" xfId="19201"/>
    <cellStyle name="Normal 7 2 3 7 2 2 3" xfId="19202"/>
    <cellStyle name="Normal 7 2 3 7 2 2 3 2" xfId="19203"/>
    <cellStyle name="Normal 7 2 3 7 2 2 4" xfId="19204"/>
    <cellStyle name="Normal 7 2 3 7 2 3" xfId="19205"/>
    <cellStyle name="Normal 7 2 3 7 2 3 2" xfId="19206"/>
    <cellStyle name="Normal 7 2 3 7 2 3 2 2" xfId="19207"/>
    <cellStyle name="Normal 7 2 3 7 2 3 3" xfId="19208"/>
    <cellStyle name="Normal 7 2 3 7 2 4" xfId="19209"/>
    <cellStyle name="Normal 7 2 3 7 2 4 2" xfId="19210"/>
    <cellStyle name="Normal 7 2 3 7 2 4 3" xfId="19211"/>
    <cellStyle name="Normal 7 2 3 7 2 5" xfId="19212"/>
    <cellStyle name="Normal 7 2 3 7 2 5 2" xfId="19213"/>
    <cellStyle name="Normal 7 2 3 7 2 6" xfId="19214"/>
    <cellStyle name="Normal 7 2 3 7 2 6 2" xfId="36749"/>
    <cellStyle name="Normal 7 2 3 7 2 7" xfId="19215"/>
    <cellStyle name="Normal 7 2 3 7 3" xfId="19216"/>
    <cellStyle name="Normal 7 2 3 7 3 2" xfId="19217"/>
    <cellStyle name="Normal 7 2 3 7 3 2 2" xfId="19218"/>
    <cellStyle name="Normal 7 2 3 7 3 2 2 2" xfId="19219"/>
    <cellStyle name="Normal 7 2 3 7 3 2 3" xfId="19220"/>
    <cellStyle name="Normal 7 2 3 7 3 3" xfId="19221"/>
    <cellStyle name="Normal 7 2 3 7 3 3 2" xfId="19222"/>
    <cellStyle name="Normal 7 2 3 7 3 4" xfId="19223"/>
    <cellStyle name="Normal 7 2 3 7 4" xfId="19224"/>
    <cellStyle name="Normal 7 2 3 7 4 2" xfId="19225"/>
    <cellStyle name="Normal 7 2 3 7 4 2 2" xfId="19226"/>
    <cellStyle name="Normal 7 2 3 7 4 3" xfId="19227"/>
    <cellStyle name="Normal 7 2 3 7 5" xfId="19228"/>
    <cellStyle name="Normal 7 2 3 7 5 2" xfId="19229"/>
    <cellStyle name="Normal 7 2 3 7 5 2 2" xfId="19230"/>
    <cellStyle name="Normal 7 2 3 7 5 3" xfId="19231"/>
    <cellStyle name="Normal 7 2 3 7 6" xfId="19232"/>
    <cellStyle name="Normal 7 2 3 7 6 2" xfId="19233"/>
    <cellStyle name="Normal 7 2 3 7 7" xfId="19234"/>
    <cellStyle name="Normal 7 2 3 7 7 2" xfId="36750"/>
    <cellStyle name="Normal 7 2 3 7 8" xfId="19235"/>
    <cellStyle name="Normal 7 2 3 8" xfId="19236"/>
    <cellStyle name="Normal 7 2 3 8 2" xfId="19237"/>
    <cellStyle name="Normal 7 2 3 8 2 2" xfId="19238"/>
    <cellStyle name="Normal 7 2 3 8 2 2 2" xfId="19239"/>
    <cellStyle name="Normal 7 2 3 8 2 2 3" xfId="19240"/>
    <cellStyle name="Normal 7 2 3 8 2 3" xfId="19241"/>
    <cellStyle name="Normal 7 2 3 8 2 3 2" xfId="19242"/>
    <cellStyle name="Normal 7 2 3 8 2 4" xfId="19243"/>
    <cellStyle name="Normal 7 2 3 8 3" xfId="19244"/>
    <cellStyle name="Normal 7 2 3 8 3 2" xfId="19245"/>
    <cellStyle name="Normal 7 2 3 8 3 2 2" xfId="19246"/>
    <cellStyle name="Normal 7 2 3 8 3 3" xfId="19247"/>
    <cellStyle name="Normal 7 2 3 8 4" xfId="19248"/>
    <cellStyle name="Normal 7 2 3 8 4 2" xfId="19249"/>
    <cellStyle name="Normal 7 2 3 8 4 3" xfId="19250"/>
    <cellStyle name="Normal 7 2 3 8 5" xfId="19251"/>
    <cellStyle name="Normal 7 2 3 8 5 2" xfId="19252"/>
    <cellStyle name="Normal 7 2 3 8 6" xfId="19253"/>
    <cellStyle name="Normal 7 2 3 8 6 2" xfId="36751"/>
    <cellStyle name="Normal 7 2 3 8 7" xfId="19254"/>
    <cellStyle name="Normal 7 2 3 9" xfId="19255"/>
    <cellStyle name="Normal 7 2 3 9 2" xfId="19256"/>
    <cellStyle name="Normal 7 2 3 9 2 2" xfId="19257"/>
    <cellStyle name="Normal 7 2 3 9 2 2 2" xfId="19258"/>
    <cellStyle name="Normal 7 2 3 9 2 3" xfId="19259"/>
    <cellStyle name="Normal 7 2 3 9 3" xfId="19260"/>
    <cellStyle name="Normal 7 2 3 9 3 2" xfId="19261"/>
    <cellStyle name="Normal 7 2 3 9 4" xfId="19262"/>
    <cellStyle name="Normal 7 2 4" xfId="19263"/>
    <cellStyle name="Normal 7 2 4 10" xfId="19264"/>
    <cellStyle name="Normal 7 2 4 10 2" xfId="19265"/>
    <cellStyle name="Normal 7 2 4 10 2 2" xfId="19266"/>
    <cellStyle name="Normal 7 2 4 10 3" xfId="19267"/>
    <cellStyle name="Normal 7 2 4 11" xfId="19268"/>
    <cellStyle name="Normal 7 2 4 11 2" xfId="19269"/>
    <cellStyle name="Normal 7 2 4 12" xfId="19270"/>
    <cellStyle name="Normal 7 2 4 12 2" xfId="36752"/>
    <cellStyle name="Normal 7 2 4 13" xfId="19271"/>
    <cellStyle name="Normal 7 2 4 2" xfId="19272"/>
    <cellStyle name="Normal 7 2 4 2 10" xfId="19273"/>
    <cellStyle name="Normal 7 2 4 2 2" xfId="19274"/>
    <cellStyle name="Normal 7 2 4 2 2 2" xfId="19275"/>
    <cellStyle name="Normal 7 2 4 2 2 2 2" xfId="19276"/>
    <cellStyle name="Normal 7 2 4 2 2 2 2 2" xfId="19277"/>
    <cellStyle name="Normal 7 2 4 2 2 2 2 2 2" xfId="19278"/>
    <cellStyle name="Normal 7 2 4 2 2 2 2 2 2 2" xfId="19279"/>
    <cellStyle name="Normal 7 2 4 2 2 2 2 2 2 3" xfId="19280"/>
    <cellStyle name="Normal 7 2 4 2 2 2 2 2 3" xfId="19281"/>
    <cellStyle name="Normal 7 2 4 2 2 2 2 2 3 2" xfId="19282"/>
    <cellStyle name="Normal 7 2 4 2 2 2 2 2 4" xfId="19283"/>
    <cellStyle name="Normal 7 2 4 2 2 2 2 3" xfId="19284"/>
    <cellStyle name="Normal 7 2 4 2 2 2 2 3 2" xfId="19285"/>
    <cellStyle name="Normal 7 2 4 2 2 2 2 3 2 2" xfId="19286"/>
    <cellStyle name="Normal 7 2 4 2 2 2 2 3 3" xfId="19287"/>
    <cellStyle name="Normal 7 2 4 2 2 2 2 4" xfId="19288"/>
    <cellStyle name="Normal 7 2 4 2 2 2 2 4 2" xfId="19289"/>
    <cellStyle name="Normal 7 2 4 2 2 2 2 4 3" xfId="19290"/>
    <cellStyle name="Normal 7 2 4 2 2 2 2 5" xfId="19291"/>
    <cellStyle name="Normal 7 2 4 2 2 2 2 5 2" xfId="19292"/>
    <cellStyle name="Normal 7 2 4 2 2 2 2 6" xfId="19293"/>
    <cellStyle name="Normal 7 2 4 2 2 2 2 6 2" xfId="36753"/>
    <cellStyle name="Normal 7 2 4 2 2 2 2 7" xfId="19294"/>
    <cellStyle name="Normal 7 2 4 2 2 2 3" xfId="19295"/>
    <cellStyle name="Normal 7 2 4 2 2 2 3 2" xfId="19296"/>
    <cellStyle name="Normal 7 2 4 2 2 2 3 2 2" xfId="19297"/>
    <cellStyle name="Normal 7 2 4 2 2 2 3 2 2 2" xfId="19298"/>
    <cellStyle name="Normal 7 2 4 2 2 2 3 2 3" xfId="19299"/>
    <cellStyle name="Normal 7 2 4 2 2 2 3 3" xfId="19300"/>
    <cellStyle name="Normal 7 2 4 2 2 2 3 3 2" xfId="19301"/>
    <cellStyle name="Normal 7 2 4 2 2 2 3 4" xfId="19302"/>
    <cellStyle name="Normal 7 2 4 2 2 2 4" xfId="19303"/>
    <cellStyle name="Normal 7 2 4 2 2 2 4 2" xfId="19304"/>
    <cellStyle name="Normal 7 2 4 2 2 2 4 2 2" xfId="19305"/>
    <cellStyle name="Normal 7 2 4 2 2 2 4 3" xfId="19306"/>
    <cellStyle name="Normal 7 2 4 2 2 2 5" xfId="19307"/>
    <cellStyle name="Normal 7 2 4 2 2 2 5 2" xfId="19308"/>
    <cellStyle name="Normal 7 2 4 2 2 2 5 2 2" xfId="19309"/>
    <cellStyle name="Normal 7 2 4 2 2 2 5 3" xfId="19310"/>
    <cellStyle name="Normal 7 2 4 2 2 2 6" xfId="19311"/>
    <cellStyle name="Normal 7 2 4 2 2 2 6 2" xfId="19312"/>
    <cellStyle name="Normal 7 2 4 2 2 2 7" xfId="19313"/>
    <cellStyle name="Normal 7 2 4 2 2 2 7 2" xfId="36754"/>
    <cellStyle name="Normal 7 2 4 2 2 2 8" xfId="19314"/>
    <cellStyle name="Normal 7 2 4 2 2 3" xfId="19315"/>
    <cellStyle name="Normal 7 2 4 2 2 3 2" xfId="19316"/>
    <cellStyle name="Normal 7 2 4 2 2 3 2 2" xfId="19317"/>
    <cellStyle name="Normal 7 2 4 2 2 3 2 2 2" xfId="19318"/>
    <cellStyle name="Normal 7 2 4 2 2 3 2 2 3" xfId="19319"/>
    <cellStyle name="Normal 7 2 4 2 2 3 2 3" xfId="19320"/>
    <cellStyle name="Normal 7 2 4 2 2 3 2 3 2" xfId="19321"/>
    <cellStyle name="Normal 7 2 4 2 2 3 2 4" xfId="19322"/>
    <cellStyle name="Normal 7 2 4 2 2 3 3" xfId="19323"/>
    <cellStyle name="Normal 7 2 4 2 2 3 3 2" xfId="19324"/>
    <cellStyle name="Normal 7 2 4 2 2 3 3 2 2" xfId="19325"/>
    <cellStyle name="Normal 7 2 4 2 2 3 3 3" xfId="19326"/>
    <cellStyle name="Normal 7 2 4 2 2 3 4" xfId="19327"/>
    <cellStyle name="Normal 7 2 4 2 2 3 4 2" xfId="19328"/>
    <cellStyle name="Normal 7 2 4 2 2 3 4 3" xfId="19329"/>
    <cellStyle name="Normal 7 2 4 2 2 3 5" xfId="19330"/>
    <cellStyle name="Normal 7 2 4 2 2 3 5 2" xfId="19331"/>
    <cellStyle name="Normal 7 2 4 2 2 3 6" xfId="19332"/>
    <cellStyle name="Normal 7 2 4 2 2 3 6 2" xfId="36755"/>
    <cellStyle name="Normal 7 2 4 2 2 3 7" xfId="19333"/>
    <cellStyle name="Normal 7 2 4 2 2 4" xfId="19334"/>
    <cellStyle name="Normal 7 2 4 2 2 4 2" xfId="19335"/>
    <cellStyle name="Normal 7 2 4 2 2 4 2 2" xfId="19336"/>
    <cellStyle name="Normal 7 2 4 2 2 4 2 2 2" xfId="19337"/>
    <cellStyle name="Normal 7 2 4 2 2 4 2 3" xfId="19338"/>
    <cellStyle name="Normal 7 2 4 2 2 4 3" xfId="19339"/>
    <cellStyle name="Normal 7 2 4 2 2 4 3 2" xfId="19340"/>
    <cellStyle name="Normal 7 2 4 2 2 4 4" xfId="19341"/>
    <cellStyle name="Normal 7 2 4 2 2 5" xfId="19342"/>
    <cellStyle name="Normal 7 2 4 2 2 5 2" xfId="19343"/>
    <cellStyle name="Normal 7 2 4 2 2 5 2 2" xfId="19344"/>
    <cellStyle name="Normal 7 2 4 2 2 5 3" xfId="19345"/>
    <cellStyle name="Normal 7 2 4 2 2 6" xfId="19346"/>
    <cellStyle name="Normal 7 2 4 2 2 6 2" xfId="19347"/>
    <cellStyle name="Normal 7 2 4 2 2 6 2 2" xfId="19348"/>
    <cellStyle name="Normal 7 2 4 2 2 6 3" xfId="19349"/>
    <cellStyle name="Normal 7 2 4 2 2 7" xfId="19350"/>
    <cellStyle name="Normal 7 2 4 2 2 7 2" xfId="19351"/>
    <cellStyle name="Normal 7 2 4 2 2 8" xfId="19352"/>
    <cellStyle name="Normal 7 2 4 2 2 8 2" xfId="36756"/>
    <cellStyle name="Normal 7 2 4 2 2 9" xfId="19353"/>
    <cellStyle name="Normal 7 2 4 2 3" xfId="19354"/>
    <cellStyle name="Normal 7 2 4 2 3 2" xfId="19355"/>
    <cellStyle name="Normal 7 2 4 2 3 2 2" xfId="19356"/>
    <cellStyle name="Normal 7 2 4 2 3 2 2 2" xfId="19357"/>
    <cellStyle name="Normal 7 2 4 2 3 2 2 2 2" xfId="19358"/>
    <cellStyle name="Normal 7 2 4 2 3 2 2 2 3" xfId="19359"/>
    <cellStyle name="Normal 7 2 4 2 3 2 2 3" xfId="19360"/>
    <cellStyle name="Normal 7 2 4 2 3 2 2 3 2" xfId="19361"/>
    <cellStyle name="Normal 7 2 4 2 3 2 2 4" xfId="19362"/>
    <cellStyle name="Normal 7 2 4 2 3 2 3" xfId="19363"/>
    <cellStyle name="Normal 7 2 4 2 3 2 3 2" xfId="19364"/>
    <cellStyle name="Normal 7 2 4 2 3 2 3 2 2" xfId="19365"/>
    <cellStyle name="Normal 7 2 4 2 3 2 3 3" xfId="19366"/>
    <cellStyle name="Normal 7 2 4 2 3 2 4" xfId="19367"/>
    <cellStyle name="Normal 7 2 4 2 3 2 4 2" xfId="19368"/>
    <cellStyle name="Normal 7 2 4 2 3 2 4 3" xfId="19369"/>
    <cellStyle name="Normal 7 2 4 2 3 2 5" xfId="19370"/>
    <cellStyle name="Normal 7 2 4 2 3 2 5 2" xfId="19371"/>
    <cellStyle name="Normal 7 2 4 2 3 2 6" xfId="19372"/>
    <cellStyle name="Normal 7 2 4 2 3 2 6 2" xfId="36757"/>
    <cellStyle name="Normal 7 2 4 2 3 2 7" xfId="19373"/>
    <cellStyle name="Normal 7 2 4 2 3 3" xfId="19374"/>
    <cellStyle name="Normal 7 2 4 2 3 3 2" xfId="19375"/>
    <cellStyle name="Normal 7 2 4 2 3 3 2 2" xfId="19376"/>
    <cellStyle name="Normal 7 2 4 2 3 3 2 2 2" xfId="19377"/>
    <cellStyle name="Normal 7 2 4 2 3 3 2 3" xfId="19378"/>
    <cellStyle name="Normal 7 2 4 2 3 3 3" xfId="19379"/>
    <cellStyle name="Normal 7 2 4 2 3 3 3 2" xfId="19380"/>
    <cellStyle name="Normal 7 2 4 2 3 3 4" xfId="19381"/>
    <cellStyle name="Normal 7 2 4 2 3 4" xfId="19382"/>
    <cellStyle name="Normal 7 2 4 2 3 4 2" xfId="19383"/>
    <cellStyle name="Normal 7 2 4 2 3 4 2 2" xfId="19384"/>
    <cellStyle name="Normal 7 2 4 2 3 4 3" xfId="19385"/>
    <cellStyle name="Normal 7 2 4 2 3 5" xfId="19386"/>
    <cellStyle name="Normal 7 2 4 2 3 5 2" xfId="19387"/>
    <cellStyle name="Normal 7 2 4 2 3 5 2 2" xfId="19388"/>
    <cellStyle name="Normal 7 2 4 2 3 5 3" xfId="19389"/>
    <cellStyle name="Normal 7 2 4 2 3 6" xfId="19390"/>
    <cellStyle name="Normal 7 2 4 2 3 6 2" xfId="19391"/>
    <cellStyle name="Normal 7 2 4 2 3 7" xfId="19392"/>
    <cellStyle name="Normal 7 2 4 2 3 7 2" xfId="36758"/>
    <cellStyle name="Normal 7 2 4 2 3 8" xfId="19393"/>
    <cellStyle name="Normal 7 2 4 2 4" xfId="19394"/>
    <cellStyle name="Normal 7 2 4 2 4 2" xfId="19395"/>
    <cellStyle name="Normal 7 2 4 2 4 2 2" xfId="19396"/>
    <cellStyle name="Normal 7 2 4 2 4 2 2 2" xfId="19397"/>
    <cellStyle name="Normal 7 2 4 2 4 2 2 3" xfId="19398"/>
    <cellStyle name="Normal 7 2 4 2 4 2 3" xfId="19399"/>
    <cellStyle name="Normal 7 2 4 2 4 2 3 2" xfId="19400"/>
    <cellStyle name="Normal 7 2 4 2 4 2 4" xfId="19401"/>
    <cellStyle name="Normal 7 2 4 2 4 3" xfId="19402"/>
    <cellStyle name="Normal 7 2 4 2 4 3 2" xfId="19403"/>
    <cellStyle name="Normal 7 2 4 2 4 3 2 2" xfId="19404"/>
    <cellStyle name="Normal 7 2 4 2 4 3 3" xfId="19405"/>
    <cellStyle name="Normal 7 2 4 2 4 4" xfId="19406"/>
    <cellStyle name="Normal 7 2 4 2 4 4 2" xfId="19407"/>
    <cellStyle name="Normal 7 2 4 2 4 4 3" xfId="19408"/>
    <cellStyle name="Normal 7 2 4 2 4 5" xfId="19409"/>
    <cellStyle name="Normal 7 2 4 2 4 5 2" xfId="19410"/>
    <cellStyle name="Normal 7 2 4 2 4 6" xfId="19411"/>
    <cellStyle name="Normal 7 2 4 2 4 6 2" xfId="36759"/>
    <cellStyle name="Normal 7 2 4 2 4 7" xfId="19412"/>
    <cellStyle name="Normal 7 2 4 2 5" xfId="19413"/>
    <cellStyle name="Normal 7 2 4 2 5 2" xfId="19414"/>
    <cellStyle name="Normal 7 2 4 2 5 2 2" xfId="19415"/>
    <cellStyle name="Normal 7 2 4 2 5 2 2 2" xfId="19416"/>
    <cellStyle name="Normal 7 2 4 2 5 2 3" xfId="19417"/>
    <cellStyle name="Normal 7 2 4 2 5 3" xfId="19418"/>
    <cellStyle name="Normal 7 2 4 2 5 3 2" xfId="19419"/>
    <cellStyle name="Normal 7 2 4 2 5 4" xfId="19420"/>
    <cellStyle name="Normal 7 2 4 2 6" xfId="19421"/>
    <cellStyle name="Normal 7 2 4 2 6 2" xfId="19422"/>
    <cellStyle name="Normal 7 2 4 2 6 2 2" xfId="19423"/>
    <cellStyle name="Normal 7 2 4 2 6 3" xfId="19424"/>
    <cellStyle name="Normal 7 2 4 2 7" xfId="19425"/>
    <cellStyle name="Normal 7 2 4 2 7 2" xfId="19426"/>
    <cellStyle name="Normal 7 2 4 2 7 2 2" xfId="19427"/>
    <cellStyle name="Normal 7 2 4 2 7 3" xfId="19428"/>
    <cellStyle name="Normal 7 2 4 2 8" xfId="19429"/>
    <cellStyle name="Normal 7 2 4 2 8 2" xfId="19430"/>
    <cellStyle name="Normal 7 2 4 2 9" xfId="19431"/>
    <cellStyle name="Normal 7 2 4 2 9 2" xfId="36760"/>
    <cellStyle name="Normal 7 2 4 3" xfId="19432"/>
    <cellStyle name="Normal 7 2 4 3 2" xfId="19433"/>
    <cellStyle name="Normal 7 2 4 3 2 2" xfId="19434"/>
    <cellStyle name="Normal 7 2 4 3 2 2 2" xfId="19435"/>
    <cellStyle name="Normal 7 2 4 3 2 2 2 2" xfId="19436"/>
    <cellStyle name="Normal 7 2 4 3 2 2 2 2 2" xfId="19437"/>
    <cellStyle name="Normal 7 2 4 3 2 2 2 2 3" xfId="19438"/>
    <cellStyle name="Normal 7 2 4 3 2 2 2 3" xfId="19439"/>
    <cellStyle name="Normal 7 2 4 3 2 2 2 3 2" xfId="19440"/>
    <cellStyle name="Normal 7 2 4 3 2 2 2 4" xfId="19441"/>
    <cellStyle name="Normal 7 2 4 3 2 2 3" xfId="19442"/>
    <cellStyle name="Normal 7 2 4 3 2 2 3 2" xfId="19443"/>
    <cellStyle name="Normal 7 2 4 3 2 2 3 2 2" xfId="19444"/>
    <cellStyle name="Normal 7 2 4 3 2 2 3 3" xfId="19445"/>
    <cellStyle name="Normal 7 2 4 3 2 2 4" xfId="19446"/>
    <cellStyle name="Normal 7 2 4 3 2 2 4 2" xfId="19447"/>
    <cellStyle name="Normal 7 2 4 3 2 2 4 3" xfId="19448"/>
    <cellStyle name="Normal 7 2 4 3 2 2 5" xfId="19449"/>
    <cellStyle name="Normal 7 2 4 3 2 2 5 2" xfId="19450"/>
    <cellStyle name="Normal 7 2 4 3 2 2 6" xfId="19451"/>
    <cellStyle name="Normal 7 2 4 3 2 2 6 2" xfId="36761"/>
    <cellStyle name="Normal 7 2 4 3 2 2 7" xfId="19452"/>
    <cellStyle name="Normal 7 2 4 3 2 3" xfId="19453"/>
    <cellStyle name="Normal 7 2 4 3 2 3 2" xfId="19454"/>
    <cellStyle name="Normal 7 2 4 3 2 3 2 2" xfId="19455"/>
    <cellStyle name="Normal 7 2 4 3 2 3 2 2 2" xfId="19456"/>
    <cellStyle name="Normal 7 2 4 3 2 3 2 3" xfId="19457"/>
    <cellStyle name="Normal 7 2 4 3 2 3 3" xfId="19458"/>
    <cellStyle name="Normal 7 2 4 3 2 3 3 2" xfId="19459"/>
    <cellStyle name="Normal 7 2 4 3 2 3 4" xfId="19460"/>
    <cellStyle name="Normal 7 2 4 3 2 4" xfId="19461"/>
    <cellStyle name="Normal 7 2 4 3 2 4 2" xfId="19462"/>
    <cellStyle name="Normal 7 2 4 3 2 4 2 2" xfId="19463"/>
    <cellStyle name="Normal 7 2 4 3 2 4 3" xfId="19464"/>
    <cellStyle name="Normal 7 2 4 3 2 5" xfId="19465"/>
    <cellStyle name="Normal 7 2 4 3 2 5 2" xfId="19466"/>
    <cellStyle name="Normal 7 2 4 3 2 5 2 2" xfId="19467"/>
    <cellStyle name="Normal 7 2 4 3 2 5 3" xfId="19468"/>
    <cellStyle name="Normal 7 2 4 3 2 6" xfId="19469"/>
    <cellStyle name="Normal 7 2 4 3 2 6 2" xfId="19470"/>
    <cellStyle name="Normal 7 2 4 3 2 7" xfId="19471"/>
    <cellStyle name="Normal 7 2 4 3 2 7 2" xfId="36762"/>
    <cellStyle name="Normal 7 2 4 3 2 8" xfId="19472"/>
    <cellStyle name="Normal 7 2 4 3 3" xfId="19473"/>
    <cellStyle name="Normal 7 2 4 3 3 2" xfId="19474"/>
    <cellStyle name="Normal 7 2 4 3 3 2 2" xfId="19475"/>
    <cellStyle name="Normal 7 2 4 3 3 2 2 2" xfId="19476"/>
    <cellStyle name="Normal 7 2 4 3 3 2 2 3" xfId="19477"/>
    <cellStyle name="Normal 7 2 4 3 3 2 3" xfId="19478"/>
    <cellStyle name="Normal 7 2 4 3 3 2 3 2" xfId="19479"/>
    <cellStyle name="Normal 7 2 4 3 3 2 4" xfId="19480"/>
    <cellStyle name="Normal 7 2 4 3 3 3" xfId="19481"/>
    <cellStyle name="Normal 7 2 4 3 3 3 2" xfId="19482"/>
    <cellStyle name="Normal 7 2 4 3 3 3 2 2" xfId="19483"/>
    <cellStyle name="Normal 7 2 4 3 3 3 3" xfId="19484"/>
    <cellStyle name="Normal 7 2 4 3 3 4" xfId="19485"/>
    <cellStyle name="Normal 7 2 4 3 3 4 2" xfId="19486"/>
    <cellStyle name="Normal 7 2 4 3 3 4 3" xfId="19487"/>
    <cellStyle name="Normal 7 2 4 3 3 5" xfId="19488"/>
    <cellStyle name="Normal 7 2 4 3 3 5 2" xfId="19489"/>
    <cellStyle name="Normal 7 2 4 3 3 6" xfId="19490"/>
    <cellStyle name="Normal 7 2 4 3 3 6 2" xfId="36763"/>
    <cellStyle name="Normal 7 2 4 3 3 7" xfId="19491"/>
    <cellStyle name="Normal 7 2 4 3 4" xfId="19492"/>
    <cellStyle name="Normal 7 2 4 3 4 2" xfId="19493"/>
    <cellStyle name="Normal 7 2 4 3 4 2 2" xfId="19494"/>
    <cellStyle name="Normal 7 2 4 3 4 2 2 2" xfId="19495"/>
    <cellStyle name="Normal 7 2 4 3 4 2 3" xfId="19496"/>
    <cellStyle name="Normal 7 2 4 3 4 3" xfId="19497"/>
    <cellStyle name="Normal 7 2 4 3 4 3 2" xfId="19498"/>
    <cellStyle name="Normal 7 2 4 3 4 4" xfId="19499"/>
    <cellStyle name="Normal 7 2 4 3 5" xfId="19500"/>
    <cellStyle name="Normal 7 2 4 3 5 2" xfId="19501"/>
    <cellStyle name="Normal 7 2 4 3 5 2 2" xfId="19502"/>
    <cellStyle name="Normal 7 2 4 3 5 3" xfId="19503"/>
    <cellStyle name="Normal 7 2 4 3 6" xfId="19504"/>
    <cellStyle name="Normal 7 2 4 3 6 2" xfId="19505"/>
    <cellStyle name="Normal 7 2 4 3 6 2 2" xfId="19506"/>
    <cellStyle name="Normal 7 2 4 3 6 3" xfId="19507"/>
    <cellStyle name="Normal 7 2 4 3 7" xfId="19508"/>
    <cellStyle name="Normal 7 2 4 3 7 2" xfId="19509"/>
    <cellStyle name="Normal 7 2 4 3 8" xfId="19510"/>
    <cellStyle name="Normal 7 2 4 3 8 2" xfId="36764"/>
    <cellStyle name="Normal 7 2 4 3 9" xfId="19511"/>
    <cellStyle name="Normal 7 2 4 4" xfId="19512"/>
    <cellStyle name="Normal 7 2 4 4 2" xfId="19513"/>
    <cellStyle name="Normal 7 2 4 4 2 2" xfId="19514"/>
    <cellStyle name="Normal 7 2 4 4 2 2 2" xfId="19515"/>
    <cellStyle name="Normal 7 2 4 4 2 2 2 2" xfId="19516"/>
    <cellStyle name="Normal 7 2 4 4 2 2 2 3" xfId="19517"/>
    <cellStyle name="Normal 7 2 4 4 2 2 3" xfId="19518"/>
    <cellStyle name="Normal 7 2 4 4 2 2 3 2" xfId="19519"/>
    <cellStyle name="Normal 7 2 4 4 2 2 4" xfId="19520"/>
    <cellStyle name="Normal 7 2 4 4 2 3" xfId="19521"/>
    <cellStyle name="Normal 7 2 4 4 2 3 2" xfId="19522"/>
    <cellStyle name="Normal 7 2 4 4 2 3 2 2" xfId="19523"/>
    <cellStyle name="Normal 7 2 4 4 2 3 3" xfId="19524"/>
    <cellStyle name="Normal 7 2 4 4 2 4" xfId="19525"/>
    <cellStyle name="Normal 7 2 4 4 2 4 2" xfId="19526"/>
    <cellStyle name="Normal 7 2 4 4 2 4 3" xfId="19527"/>
    <cellStyle name="Normal 7 2 4 4 2 5" xfId="19528"/>
    <cellStyle name="Normal 7 2 4 4 2 5 2" xfId="19529"/>
    <cellStyle name="Normal 7 2 4 4 2 6" xfId="19530"/>
    <cellStyle name="Normal 7 2 4 4 2 6 2" xfId="36765"/>
    <cellStyle name="Normal 7 2 4 4 2 7" xfId="19531"/>
    <cellStyle name="Normal 7 2 4 4 3" xfId="19532"/>
    <cellStyle name="Normal 7 2 4 4 3 2" xfId="19533"/>
    <cellStyle name="Normal 7 2 4 4 3 2 2" xfId="19534"/>
    <cellStyle name="Normal 7 2 4 4 3 2 2 2" xfId="19535"/>
    <cellStyle name="Normal 7 2 4 4 3 2 3" xfId="19536"/>
    <cellStyle name="Normal 7 2 4 4 3 3" xfId="19537"/>
    <cellStyle name="Normal 7 2 4 4 3 3 2" xfId="19538"/>
    <cellStyle name="Normal 7 2 4 4 3 4" xfId="19539"/>
    <cellStyle name="Normal 7 2 4 4 4" xfId="19540"/>
    <cellStyle name="Normal 7 2 4 4 4 2" xfId="19541"/>
    <cellStyle name="Normal 7 2 4 4 4 2 2" xfId="19542"/>
    <cellStyle name="Normal 7 2 4 4 4 3" xfId="19543"/>
    <cellStyle name="Normal 7 2 4 4 5" xfId="19544"/>
    <cellStyle name="Normal 7 2 4 4 5 2" xfId="19545"/>
    <cellStyle name="Normal 7 2 4 4 5 2 2" xfId="19546"/>
    <cellStyle name="Normal 7 2 4 4 5 3" xfId="19547"/>
    <cellStyle name="Normal 7 2 4 4 6" xfId="19548"/>
    <cellStyle name="Normal 7 2 4 4 6 2" xfId="19549"/>
    <cellStyle name="Normal 7 2 4 4 7" xfId="19550"/>
    <cellStyle name="Normal 7 2 4 4 7 2" xfId="36766"/>
    <cellStyle name="Normal 7 2 4 4 8" xfId="19551"/>
    <cellStyle name="Normal 7 2 4 5" xfId="19552"/>
    <cellStyle name="Normal 7 2 4 5 2" xfId="19553"/>
    <cellStyle name="Normal 7 2 4 5 2 2" xfId="19554"/>
    <cellStyle name="Normal 7 2 4 5 2 2 2" xfId="19555"/>
    <cellStyle name="Normal 7 2 4 5 2 2 2 2" xfId="19556"/>
    <cellStyle name="Normal 7 2 4 5 2 2 2 3" xfId="19557"/>
    <cellStyle name="Normal 7 2 4 5 2 2 3" xfId="19558"/>
    <cellStyle name="Normal 7 2 4 5 2 2 3 2" xfId="19559"/>
    <cellStyle name="Normal 7 2 4 5 2 2 4" xfId="19560"/>
    <cellStyle name="Normal 7 2 4 5 2 3" xfId="19561"/>
    <cellStyle name="Normal 7 2 4 5 2 3 2" xfId="19562"/>
    <cellStyle name="Normal 7 2 4 5 2 3 2 2" xfId="19563"/>
    <cellStyle name="Normal 7 2 4 5 2 3 3" xfId="19564"/>
    <cellStyle name="Normal 7 2 4 5 2 4" xfId="19565"/>
    <cellStyle name="Normal 7 2 4 5 2 4 2" xfId="19566"/>
    <cellStyle name="Normal 7 2 4 5 2 4 3" xfId="19567"/>
    <cellStyle name="Normal 7 2 4 5 2 5" xfId="19568"/>
    <cellStyle name="Normal 7 2 4 5 2 5 2" xfId="19569"/>
    <cellStyle name="Normal 7 2 4 5 2 6" xfId="19570"/>
    <cellStyle name="Normal 7 2 4 5 2 6 2" xfId="36767"/>
    <cellStyle name="Normal 7 2 4 5 2 7" xfId="19571"/>
    <cellStyle name="Normal 7 2 4 5 3" xfId="19572"/>
    <cellStyle name="Normal 7 2 4 5 3 2" xfId="19573"/>
    <cellStyle name="Normal 7 2 4 5 3 2 2" xfId="19574"/>
    <cellStyle name="Normal 7 2 4 5 3 2 2 2" xfId="19575"/>
    <cellStyle name="Normal 7 2 4 5 3 2 3" xfId="19576"/>
    <cellStyle name="Normal 7 2 4 5 3 3" xfId="19577"/>
    <cellStyle name="Normal 7 2 4 5 3 3 2" xfId="19578"/>
    <cellStyle name="Normal 7 2 4 5 3 4" xfId="19579"/>
    <cellStyle name="Normal 7 2 4 5 4" xfId="19580"/>
    <cellStyle name="Normal 7 2 4 5 4 2" xfId="19581"/>
    <cellStyle name="Normal 7 2 4 5 4 2 2" xfId="19582"/>
    <cellStyle name="Normal 7 2 4 5 4 3" xfId="19583"/>
    <cellStyle name="Normal 7 2 4 5 5" xfId="19584"/>
    <cellStyle name="Normal 7 2 4 5 5 2" xfId="19585"/>
    <cellStyle name="Normal 7 2 4 5 5 2 2" xfId="19586"/>
    <cellStyle name="Normal 7 2 4 5 5 3" xfId="19587"/>
    <cellStyle name="Normal 7 2 4 5 6" xfId="19588"/>
    <cellStyle name="Normal 7 2 4 5 6 2" xfId="19589"/>
    <cellStyle name="Normal 7 2 4 5 7" xfId="19590"/>
    <cellStyle name="Normal 7 2 4 5 7 2" xfId="36768"/>
    <cellStyle name="Normal 7 2 4 5 8" xfId="19591"/>
    <cellStyle name="Normal 7 2 4 6" xfId="19592"/>
    <cellStyle name="Normal 7 2 4 7" xfId="19593"/>
    <cellStyle name="Normal 7 2 4 7 2" xfId="19594"/>
    <cellStyle name="Normal 7 2 4 7 2 2" xfId="19595"/>
    <cellStyle name="Normal 7 2 4 7 2 2 2" xfId="19596"/>
    <cellStyle name="Normal 7 2 4 7 2 2 3" xfId="19597"/>
    <cellStyle name="Normal 7 2 4 7 2 3" xfId="19598"/>
    <cellStyle name="Normal 7 2 4 7 2 3 2" xfId="19599"/>
    <cellStyle name="Normal 7 2 4 7 2 4" xfId="19600"/>
    <cellStyle name="Normal 7 2 4 7 3" xfId="19601"/>
    <cellStyle name="Normal 7 2 4 7 3 2" xfId="19602"/>
    <cellStyle name="Normal 7 2 4 7 3 2 2" xfId="19603"/>
    <cellStyle name="Normal 7 2 4 7 3 3" xfId="19604"/>
    <cellStyle name="Normal 7 2 4 7 4" xfId="19605"/>
    <cellStyle name="Normal 7 2 4 7 4 2" xfId="19606"/>
    <cellStyle name="Normal 7 2 4 7 4 3" xfId="19607"/>
    <cellStyle name="Normal 7 2 4 7 5" xfId="19608"/>
    <cellStyle name="Normal 7 2 4 7 5 2" xfId="19609"/>
    <cellStyle name="Normal 7 2 4 7 6" xfId="19610"/>
    <cellStyle name="Normal 7 2 4 7 6 2" xfId="36769"/>
    <cellStyle name="Normal 7 2 4 7 7" xfId="19611"/>
    <cellStyle name="Normal 7 2 4 8" xfId="19612"/>
    <cellStyle name="Normal 7 2 4 8 2" xfId="19613"/>
    <cellStyle name="Normal 7 2 4 8 2 2" xfId="19614"/>
    <cellStyle name="Normal 7 2 4 8 2 2 2" xfId="19615"/>
    <cellStyle name="Normal 7 2 4 8 2 3" xfId="19616"/>
    <cellStyle name="Normal 7 2 4 8 3" xfId="19617"/>
    <cellStyle name="Normal 7 2 4 8 3 2" xfId="19618"/>
    <cellStyle name="Normal 7 2 4 8 4" xfId="19619"/>
    <cellStyle name="Normal 7 2 4 9" xfId="19620"/>
    <cellStyle name="Normal 7 2 4 9 2" xfId="19621"/>
    <cellStyle name="Normal 7 2 4 9 2 2" xfId="19622"/>
    <cellStyle name="Normal 7 2 4 9 3" xfId="19623"/>
    <cellStyle name="Normal 7 2 5" xfId="19624"/>
    <cellStyle name="Normal 7 2 5 10" xfId="19625"/>
    <cellStyle name="Normal 7 2 5 10 2" xfId="19626"/>
    <cellStyle name="Normal 7 2 5 11" xfId="19627"/>
    <cellStyle name="Normal 7 2 5 11 2" xfId="36770"/>
    <cellStyle name="Normal 7 2 5 12" xfId="19628"/>
    <cellStyle name="Normal 7 2 5 2" xfId="19629"/>
    <cellStyle name="Normal 7 2 5 2 10" xfId="19630"/>
    <cellStyle name="Normal 7 2 5 2 2" xfId="19631"/>
    <cellStyle name="Normal 7 2 5 2 2 2" xfId="19632"/>
    <cellStyle name="Normal 7 2 5 2 2 2 2" xfId="19633"/>
    <cellStyle name="Normal 7 2 5 2 2 2 2 2" xfId="19634"/>
    <cellStyle name="Normal 7 2 5 2 2 2 2 2 2" xfId="19635"/>
    <cellStyle name="Normal 7 2 5 2 2 2 2 2 2 2" xfId="19636"/>
    <cellStyle name="Normal 7 2 5 2 2 2 2 2 2 3" xfId="19637"/>
    <cellStyle name="Normal 7 2 5 2 2 2 2 2 3" xfId="19638"/>
    <cellStyle name="Normal 7 2 5 2 2 2 2 2 3 2" xfId="19639"/>
    <cellStyle name="Normal 7 2 5 2 2 2 2 2 4" xfId="19640"/>
    <cellStyle name="Normal 7 2 5 2 2 2 2 3" xfId="19641"/>
    <cellStyle name="Normal 7 2 5 2 2 2 2 3 2" xfId="19642"/>
    <cellStyle name="Normal 7 2 5 2 2 2 2 3 2 2" xfId="19643"/>
    <cellStyle name="Normal 7 2 5 2 2 2 2 3 3" xfId="19644"/>
    <cellStyle name="Normal 7 2 5 2 2 2 2 4" xfId="19645"/>
    <cellStyle name="Normal 7 2 5 2 2 2 2 4 2" xfId="19646"/>
    <cellStyle name="Normal 7 2 5 2 2 2 2 4 3" xfId="19647"/>
    <cellStyle name="Normal 7 2 5 2 2 2 2 5" xfId="19648"/>
    <cellStyle name="Normal 7 2 5 2 2 2 2 5 2" xfId="19649"/>
    <cellStyle name="Normal 7 2 5 2 2 2 2 6" xfId="19650"/>
    <cellStyle name="Normal 7 2 5 2 2 2 2 6 2" xfId="36771"/>
    <cellStyle name="Normal 7 2 5 2 2 2 2 7" xfId="19651"/>
    <cellStyle name="Normal 7 2 5 2 2 2 3" xfId="19652"/>
    <cellStyle name="Normal 7 2 5 2 2 2 3 2" xfId="19653"/>
    <cellStyle name="Normal 7 2 5 2 2 2 3 2 2" xfId="19654"/>
    <cellStyle name="Normal 7 2 5 2 2 2 3 2 2 2" xfId="19655"/>
    <cellStyle name="Normal 7 2 5 2 2 2 3 2 3" xfId="19656"/>
    <cellStyle name="Normal 7 2 5 2 2 2 3 3" xfId="19657"/>
    <cellStyle name="Normal 7 2 5 2 2 2 3 3 2" xfId="19658"/>
    <cellStyle name="Normal 7 2 5 2 2 2 3 4" xfId="19659"/>
    <cellStyle name="Normal 7 2 5 2 2 2 4" xfId="19660"/>
    <cellStyle name="Normal 7 2 5 2 2 2 4 2" xfId="19661"/>
    <cellStyle name="Normal 7 2 5 2 2 2 4 2 2" xfId="19662"/>
    <cellStyle name="Normal 7 2 5 2 2 2 4 3" xfId="19663"/>
    <cellStyle name="Normal 7 2 5 2 2 2 5" xfId="19664"/>
    <cellStyle name="Normal 7 2 5 2 2 2 5 2" xfId="19665"/>
    <cellStyle name="Normal 7 2 5 2 2 2 5 2 2" xfId="19666"/>
    <cellStyle name="Normal 7 2 5 2 2 2 5 3" xfId="19667"/>
    <cellStyle name="Normal 7 2 5 2 2 2 6" xfId="19668"/>
    <cellStyle name="Normal 7 2 5 2 2 2 6 2" xfId="19669"/>
    <cellStyle name="Normal 7 2 5 2 2 2 7" xfId="19670"/>
    <cellStyle name="Normal 7 2 5 2 2 2 7 2" xfId="36772"/>
    <cellStyle name="Normal 7 2 5 2 2 2 8" xfId="19671"/>
    <cellStyle name="Normal 7 2 5 2 2 3" xfId="19672"/>
    <cellStyle name="Normal 7 2 5 2 2 3 2" xfId="19673"/>
    <cellStyle name="Normal 7 2 5 2 2 3 2 2" xfId="19674"/>
    <cellStyle name="Normal 7 2 5 2 2 3 2 2 2" xfId="19675"/>
    <cellStyle name="Normal 7 2 5 2 2 3 2 2 3" xfId="19676"/>
    <cellStyle name="Normal 7 2 5 2 2 3 2 3" xfId="19677"/>
    <cellStyle name="Normal 7 2 5 2 2 3 2 3 2" xfId="19678"/>
    <cellStyle name="Normal 7 2 5 2 2 3 2 4" xfId="19679"/>
    <cellStyle name="Normal 7 2 5 2 2 3 3" xfId="19680"/>
    <cellStyle name="Normal 7 2 5 2 2 3 3 2" xfId="19681"/>
    <cellStyle name="Normal 7 2 5 2 2 3 3 2 2" xfId="19682"/>
    <cellStyle name="Normal 7 2 5 2 2 3 3 3" xfId="19683"/>
    <cellStyle name="Normal 7 2 5 2 2 3 4" xfId="19684"/>
    <cellStyle name="Normal 7 2 5 2 2 3 4 2" xfId="19685"/>
    <cellStyle name="Normal 7 2 5 2 2 3 4 3" xfId="19686"/>
    <cellStyle name="Normal 7 2 5 2 2 3 5" xfId="19687"/>
    <cellStyle name="Normal 7 2 5 2 2 3 5 2" xfId="19688"/>
    <cellStyle name="Normal 7 2 5 2 2 3 6" xfId="19689"/>
    <cellStyle name="Normal 7 2 5 2 2 3 6 2" xfId="36773"/>
    <cellStyle name="Normal 7 2 5 2 2 3 7" xfId="19690"/>
    <cellStyle name="Normal 7 2 5 2 2 4" xfId="19691"/>
    <cellStyle name="Normal 7 2 5 2 2 4 2" xfId="19692"/>
    <cellStyle name="Normal 7 2 5 2 2 4 2 2" xfId="19693"/>
    <cellStyle name="Normal 7 2 5 2 2 4 2 2 2" xfId="19694"/>
    <cellStyle name="Normal 7 2 5 2 2 4 2 3" xfId="19695"/>
    <cellStyle name="Normal 7 2 5 2 2 4 3" xfId="19696"/>
    <cellStyle name="Normal 7 2 5 2 2 4 3 2" xfId="19697"/>
    <cellStyle name="Normal 7 2 5 2 2 4 4" xfId="19698"/>
    <cellStyle name="Normal 7 2 5 2 2 5" xfId="19699"/>
    <cellStyle name="Normal 7 2 5 2 2 5 2" xfId="19700"/>
    <cellStyle name="Normal 7 2 5 2 2 5 2 2" xfId="19701"/>
    <cellStyle name="Normal 7 2 5 2 2 5 3" xfId="19702"/>
    <cellStyle name="Normal 7 2 5 2 2 6" xfId="19703"/>
    <cellStyle name="Normal 7 2 5 2 2 6 2" xfId="19704"/>
    <cellStyle name="Normal 7 2 5 2 2 6 2 2" xfId="19705"/>
    <cellStyle name="Normal 7 2 5 2 2 6 3" xfId="19706"/>
    <cellStyle name="Normal 7 2 5 2 2 7" xfId="19707"/>
    <cellStyle name="Normal 7 2 5 2 2 7 2" xfId="19708"/>
    <cellStyle name="Normal 7 2 5 2 2 8" xfId="19709"/>
    <cellStyle name="Normal 7 2 5 2 2 8 2" xfId="36774"/>
    <cellStyle name="Normal 7 2 5 2 2 9" xfId="19710"/>
    <cellStyle name="Normal 7 2 5 2 3" xfId="19711"/>
    <cellStyle name="Normal 7 2 5 2 3 2" xfId="19712"/>
    <cellStyle name="Normal 7 2 5 2 3 2 2" xfId="19713"/>
    <cellStyle name="Normal 7 2 5 2 3 2 2 2" xfId="19714"/>
    <cellStyle name="Normal 7 2 5 2 3 2 2 2 2" xfId="19715"/>
    <cellStyle name="Normal 7 2 5 2 3 2 2 2 3" xfId="19716"/>
    <cellStyle name="Normal 7 2 5 2 3 2 2 3" xfId="19717"/>
    <cellStyle name="Normal 7 2 5 2 3 2 2 3 2" xfId="19718"/>
    <cellStyle name="Normal 7 2 5 2 3 2 2 4" xfId="19719"/>
    <cellStyle name="Normal 7 2 5 2 3 2 3" xfId="19720"/>
    <cellStyle name="Normal 7 2 5 2 3 2 3 2" xfId="19721"/>
    <cellStyle name="Normal 7 2 5 2 3 2 3 2 2" xfId="19722"/>
    <cellStyle name="Normal 7 2 5 2 3 2 3 3" xfId="19723"/>
    <cellStyle name="Normal 7 2 5 2 3 2 4" xfId="19724"/>
    <cellStyle name="Normal 7 2 5 2 3 2 4 2" xfId="19725"/>
    <cellStyle name="Normal 7 2 5 2 3 2 4 3" xfId="19726"/>
    <cellStyle name="Normal 7 2 5 2 3 2 5" xfId="19727"/>
    <cellStyle name="Normal 7 2 5 2 3 2 5 2" xfId="19728"/>
    <cellStyle name="Normal 7 2 5 2 3 2 6" xfId="19729"/>
    <cellStyle name="Normal 7 2 5 2 3 2 6 2" xfId="36775"/>
    <cellStyle name="Normal 7 2 5 2 3 2 7" xfId="19730"/>
    <cellStyle name="Normal 7 2 5 2 3 3" xfId="19731"/>
    <cellStyle name="Normal 7 2 5 2 3 3 2" xfId="19732"/>
    <cellStyle name="Normal 7 2 5 2 3 3 2 2" xfId="19733"/>
    <cellStyle name="Normal 7 2 5 2 3 3 2 2 2" xfId="19734"/>
    <cellStyle name="Normal 7 2 5 2 3 3 2 3" xfId="19735"/>
    <cellStyle name="Normal 7 2 5 2 3 3 3" xfId="19736"/>
    <cellStyle name="Normal 7 2 5 2 3 3 3 2" xfId="19737"/>
    <cellStyle name="Normal 7 2 5 2 3 3 4" xfId="19738"/>
    <cellStyle name="Normal 7 2 5 2 3 4" xfId="19739"/>
    <cellStyle name="Normal 7 2 5 2 3 4 2" xfId="19740"/>
    <cellStyle name="Normal 7 2 5 2 3 4 2 2" xfId="19741"/>
    <cellStyle name="Normal 7 2 5 2 3 4 3" xfId="19742"/>
    <cellStyle name="Normal 7 2 5 2 3 5" xfId="19743"/>
    <cellStyle name="Normal 7 2 5 2 3 5 2" xfId="19744"/>
    <cellStyle name="Normal 7 2 5 2 3 5 2 2" xfId="19745"/>
    <cellStyle name="Normal 7 2 5 2 3 5 3" xfId="19746"/>
    <cellStyle name="Normal 7 2 5 2 3 6" xfId="19747"/>
    <cellStyle name="Normal 7 2 5 2 3 6 2" xfId="19748"/>
    <cellStyle name="Normal 7 2 5 2 3 7" xfId="19749"/>
    <cellStyle name="Normal 7 2 5 2 3 7 2" xfId="36776"/>
    <cellStyle name="Normal 7 2 5 2 3 8" xfId="19750"/>
    <cellStyle name="Normal 7 2 5 2 4" xfId="19751"/>
    <cellStyle name="Normal 7 2 5 2 4 2" xfId="19752"/>
    <cellStyle name="Normal 7 2 5 2 4 2 2" xfId="19753"/>
    <cellStyle name="Normal 7 2 5 2 4 2 2 2" xfId="19754"/>
    <cellStyle name="Normal 7 2 5 2 4 2 2 3" xfId="19755"/>
    <cellStyle name="Normal 7 2 5 2 4 2 3" xfId="19756"/>
    <cellStyle name="Normal 7 2 5 2 4 2 3 2" xfId="19757"/>
    <cellStyle name="Normal 7 2 5 2 4 2 4" xfId="19758"/>
    <cellStyle name="Normal 7 2 5 2 4 3" xfId="19759"/>
    <cellStyle name="Normal 7 2 5 2 4 3 2" xfId="19760"/>
    <cellStyle name="Normal 7 2 5 2 4 3 2 2" xfId="19761"/>
    <cellStyle name="Normal 7 2 5 2 4 3 3" xfId="19762"/>
    <cellStyle name="Normal 7 2 5 2 4 4" xfId="19763"/>
    <cellStyle name="Normal 7 2 5 2 4 4 2" xfId="19764"/>
    <cellStyle name="Normal 7 2 5 2 4 4 3" xfId="19765"/>
    <cellStyle name="Normal 7 2 5 2 4 5" xfId="19766"/>
    <cellStyle name="Normal 7 2 5 2 4 5 2" xfId="19767"/>
    <cellStyle name="Normal 7 2 5 2 4 6" xfId="19768"/>
    <cellStyle name="Normal 7 2 5 2 4 6 2" xfId="36777"/>
    <cellStyle name="Normal 7 2 5 2 4 7" xfId="19769"/>
    <cellStyle name="Normal 7 2 5 2 5" xfId="19770"/>
    <cellStyle name="Normal 7 2 5 2 5 2" xfId="19771"/>
    <cellStyle name="Normal 7 2 5 2 5 2 2" xfId="19772"/>
    <cellStyle name="Normal 7 2 5 2 5 2 2 2" xfId="19773"/>
    <cellStyle name="Normal 7 2 5 2 5 2 3" xfId="19774"/>
    <cellStyle name="Normal 7 2 5 2 5 3" xfId="19775"/>
    <cellStyle name="Normal 7 2 5 2 5 3 2" xfId="19776"/>
    <cellStyle name="Normal 7 2 5 2 5 4" xfId="19777"/>
    <cellStyle name="Normal 7 2 5 2 6" xfId="19778"/>
    <cellStyle name="Normal 7 2 5 2 6 2" xfId="19779"/>
    <cellStyle name="Normal 7 2 5 2 6 2 2" xfId="19780"/>
    <cellStyle name="Normal 7 2 5 2 6 3" xfId="19781"/>
    <cellStyle name="Normal 7 2 5 2 7" xfId="19782"/>
    <cellStyle name="Normal 7 2 5 2 7 2" xfId="19783"/>
    <cellStyle name="Normal 7 2 5 2 7 2 2" xfId="19784"/>
    <cellStyle name="Normal 7 2 5 2 7 3" xfId="19785"/>
    <cellStyle name="Normal 7 2 5 2 8" xfId="19786"/>
    <cellStyle name="Normal 7 2 5 2 8 2" xfId="19787"/>
    <cellStyle name="Normal 7 2 5 2 9" xfId="19788"/>
    <cellStyle name="Normal 7 2 5 2 9 2" xfId="36778"/>
    <cellStyle name="Normal 7 2 5 3" xfId="19789"/>
    <cellStyle name="Normal 7 2 5 3 2" xfId="19790"/>
    <cellStyle name="Normal 7 2 5 3 2 2" xfId="19791"/>
    <cellStyle name="Normal 7 2 5 3 2 2 2" xfId="19792"/>
    <cellStyle name="Normal 7 2 5 3 2 2 2 2" xfId="19793"/>
    <cellStyle name="Normal 7 2 5 3 2 2 2 2 2" xfId="19794"/>
    <cellStyle name="Normal 7 2 5 3 2 2 2 2 3" xfId="19795"/>
    <cellStyle name="Normal 7 2 5 3 2 2 2 3" xfId="19796"/>
    <cellStyle name="Normal 7 2 5 3 2 2 2 3 2" xfId="19797"/>
    <cellStyle name="Normal 7 2 5 3 2 2 2 4" xfId="19798"/>
    <cellStyle name="Normal 7 2 5 3 2 2 3" xfId="19799"/>
    <cellStyle name="Normal 7 2 5 3 2 2 3 2" xfId="19800"/>
    <cellStyle name="Normal 7 2 5 3 2 2 3 2 2" xfId="19801"/>
    <cellStyle name="Normal 7 2 5 3 2 2 3 3" xfId="19802"/>
    <cellStyle name="Normal 7 2 5 3 2 2 4" xfId="19803"/>
    <cellStyle name="Normal 7 2 5 3 2 2 4 2" xfId="19804"/>
    <cellStyle name="Normal 7 2 5 3 2 2 4 3" xfId="19805"/>
    <cellStyle name="Normal 7 2 5 3 2 2 5" xfId="19806"/>
    <cellStyle name="Normal 7 2 5 3 2 2 5 2" xfId="19807"/>
    <cellStyle name="Normal 7 2 5 3 2 2 6" xfId="19808"/>
    <cellStyle name="Normal 7 2 5 3 2 2 6 2" xfId="36779"/>
    <cellStyle name="Normal 7 2 5 3 2 2 7" xfId="19809"/>
    <cellStyle name="Normal 7 2 5 3 2 3" xfId="19810"/>
    <cellStyle name="Normal 7 2 5 3 2 3 2" xfId="19811"/>
    <cellStyle name="Normal 7 2 5 3 2 3 2 2" xfId="19812"/>
    <cellStyle name="Normal 7 2 5 3 2 3 2 2 2" xfId="19813"/>
    <cellStyle name="Normal 7 2 5 3 2 3 2 3" xfId="19814"/>
    <cellStyle name="Normal 7 2 5 3 2 3 3" xfId="19815"/>
    <cellStyle name="Normal 7 2 5 3 2 3 3 2" xfId="19816"/>
    <cellStyle name="Normal 7 2 5 3 2 3 4" xfId="19817"/>
    <cellStyle name="Normal 7 2 5 3 2 4" xfId="19818"/>
    <cellStyle name="Normal 7 2 5 3 2 4 2" xfId="19819"/>
    <cellStyle name="Normal 7 2 5 3 2 4 2 2" xfId="19820"/>
    <cellStyle name="Normal 7 2 5 3 2 4 3" xfId="19821"/>
    <cellStyle name="Normal 7 2 5 3 2 5" xfId="19822"/>
    <cellStyle name="Normal 7 2 5 3 2 5 2" xfId="19823"/>
    <cellStyle name="Normal 7 2 5 3 2 5 2 2" xfId="19824"/>
    <cellStyle name="Normal 7 2 5 3 2 5 3" xfId="19825"/>
    <cellStyle name="Normal 7 2 5 3 2 6" xfId="19826"/>
    <cellStyle name="Normal 7 2 5 3 2 6 2" xfId="19827"/>
    <cellStyle name="Normal 7 2 5 3 2 7" xfId="19828"/>
    <cellStyle name="Normal 7 2 5 3 2 7 2" xfId="36780"/>
    <cellStyle name="Normal 7 2 5 3 2 8" xfId="19829"/>
    <cellStyle name="Normal 7 2 5 3 3" xfId="19830"/>
    <cellStyle name="Normal 7 2 5 3 3 2" xfId="19831"/>
    <cellStyle name="Normal 7 2 5 3 3 2 2" xfId="19832"/>
    <cellStyle name="Normal 7 2 5 3 3 2 2 2" xfId="19833"/>
    <cellStyle name="Normal 7 2 5 3 3 2 2 3" xfId="19834"/>
    <cellStyle name="Normal 7 2 5 3 3 2 3" xfId="19835"/>
    <cellStyle name="Normal 7 2 5 3 3 2 3 2" xfId="19836"/>
    <cellStyle name="Normal 7 2 5 3 3 2 4" xfId="19837"/>
    <cellStyle name="Normal 7 2 5 3 3 3" xfId="19838"/>
    <cellStyle name="Normal 7 2 5 3 3 3 2" xfId="19839"/>
    <cellStyle name="Normal 7 2 5 3 3 3 2 2" xfId="19840"/>
    <cellStyle name="Normal 7 2 5 3 3 3 3" xfId="19841"/>
    <cellStyle name="Normal 7 2 5 3 3 4" xfId="19842"/>
    <cellStyle name="Normal 7 2 5 3 3 4 2" xfId="19843"/>
    <cellStyle name="Normal 7 2 5 3 3 4 3" xfId="19844"/>
    <cellStyle name="Normal 7 2 5 3 3 5" xfId="19845"/>
    <cellStyle name="Normal 7 2 5 3 3 5 2" xfId="19846"/>
    <cellStyle name="Normal 7 2 5 3 3 6" xfId="19847"/>
    <cellStyle name="Normal 7 2 5 3 3 6 2" xfId="36781"/>
    <cellStyle name="Normal 7 2 5 3 3 7" xfId="19848"/>
    <cellStyle name="Normal 7 2 5 3 4" xfId="19849"/>
    <cellStyle name="Normal 7 2 5 3 4 2" xfId="19850"/>
    <cellStyle name="Normal 7 2 5 3 4 2 2" xfId="19851"/>
    <cellStyle name="Normal 7 2 5 3 4 2 2 2" xfId="19852"/>
    <cellStyle name="Normal 7 2 5 3 4 2 3" xfId="19853"/>
    <cellStyle name="Normal 7 2 5 3 4 3" xfId="19854"/>
    <cellStyle name="Normal 7 2 5 3 4 3 2" xfId="19855"/>
    <cellStyle name="Normal 7 2 5 3 4 4" xfId="19856"/>
    <cellStyle name="Normal 7 2 5 3 5" xfId="19857"/>
    <cellStyle name="Normal 7 2 5 3 5 2" xfId="19858"/>
    <cellStyle name="Normal 7 2 5 3 5 2 2" xfId="19859"/>
    <cellStyle name="Normal 7 2 5 3 5 3" xfId="19860"/>
    <cellStyle name="Normal 7 2 5 3 6" xfId="19861"/>
    <cellStyle name="Normal 7 2 5 3 6 2" xfId="19862"/>
    <cellStyle name="Normal 7 2 5 3 6 2 2" xfId="19863"/>
    <cellStyle name="Normal 7 2 5 3 6 3" xfId="19864"/>
    <cellStyle name="Normal 7 2 5 3 7" xfId="19865"/>
    <cellStyle name="Normal 7 2 5 3 7 2" xfId="19866"/>
    <cellStyle name="Normal 7 2 5 3 8" xfId="19867"/>
    <cellStyle name="Normal 7 2 5 3 8 2" xfId="36782"/>
    <cellStyle name="Normal 7 2 5 3 9" xfId="19868"/>
    <cellStyle name="Normal 7 2 5 4" xfId="19869"/>
    <cellStyle name="Normal 7 2 5 4 2" xfId="19870"/>
    <cellStyle name="Normal 7 2 5 4 2 2" xfId="19871"/>
    <cellStyle name="Normal 7 2 5 4 2 2 2" xfId="19872"/>
    <cellStyle name="Normal 7 2 5 4 2 2 2 2" xfId="19873"/>
    <cellStyle name="Normal 7 2 5 4 2 2 2 3" xfId="19874"/>
    <cellStyle name="Normal 7 2 5 4 2 2 3" xfId="19875"/>
    <cellStyle name="Normal 7 2 5 4 2 2 3 2" xfId="19876"/>
    <cellStyle name="Normal 7 2 5 4 2 2 4" xfId="19877"/>
    <cellStyle name="Normal 7 2 5 4 2 3" xfId="19878"/>
    <cellStyle name="Normal 7 2 5 4 2 3 2" xfId="19879"/>
    <cellStyle name="Normal 7 2 5 4 2 3 2 2" xfId="19880"/>
    <cellStyle name="Normal 7 2 5 4 2 3 3" xfId="19881"/>
    <cellStyle name="Normal 7 2 5 4 2 4" xfId="19882"/>
    <cellStyle name="Normal 7 2 5 4 2 4 2" xfId="19883"/>
    <cellStyle name="Normal 7 2 5 4 2 4 3" xfId="19884"/>
    <cellStyle name="Normal 7 2 5 4 2 5" xfId="19885"/>
    <cellStyle name="Normal 7 2 5 4 2 5 2" xfId="19886"/>
    <cellStyle name="Normal 7 2 5 4 2 6" xfId="19887"/>
    <cellStyle name="Normal 7 2 5 4 2 6 2" xfId="36783"/>
    <cellStyle name="Normal 7 2 5 4 2 7" xfId="19888"/>
    <cellStyle name="Normal 7 2 5 4 3" xfId="19889"/>
    <cellStyle name="Normal 7 2 5 4 3 2" xfId="19890"/>
    <cellStyle name="Normal 7 2 5 4 3 2 2" xfId="19891"/>
    <cellStyle name="Normal 7 2 5 4 3 2 2 2" xfId="19892"/>
    <cellStyle name="Normal 7 2 5 4 3 2 3" xfId="19893"/>
    <cellStyle name="Normal 7 2 5 4 3 3" xfId="19894"/>
    <cellStyle name="Normal 7 2 5 4 3 3 2" xfId="19895"/>
    <cellStyle name="Normal 7 2 5 4 3 4" xfId="19896"/>
    <cellStyle name="Normal 7 2 5 4 4" xfId="19897"/>
    <cellStyle name="Normal 7 2 5 4 4 2" xfId="19898"/>
    <cellStyle name="Normal 7 2 5 4 4 2 2" xfId="19899"/>
    <cellStyle name="Normal 7 2 5 4 4 3" xfId="19900"/>
    <cellStyle name="Normal 7 2 5 4 5" xfId="19901"/>
    <cellStyle name="Normal 7 2 5 4 5 2" xfId="19902"/>
    <cellStyle name="Normal 7 2 5 4 5 2 2" xfId="19903"/>
    <cellStyle name="Normal 7 2 5 4 5 3" xfId="19904"/>
    <cellStyle name="Normal 7 2 5 4 6" xfId="19905"/>
    <cellStyle name="Normal 7 2 5 4 6 2" xfId="19906"/>
    <cellStyle name="Normal 7 2 5 4 7" xfId="19907"/>
    <cellStyle name="Normal 7 2 5 4 7 2" xfId="36784"/>
    <cellStyle name="Normal 7 2 5 4 8" xfId="19908"/>
    <cellStyle name="Normal 7 2 5 5" xfId="19909"/>
    <cellStyle name="Normal 7 2 5 5 2" xfId="19910"/>
    <cellStyle name="Normal 7 2 5 5 2 2" xfId="19911"/>
    <cellStyle name="Normal 7 2 5 5 2 2 2" xfId="19912"/>
    <cellStyle name="Normal 7 2 5 5 2 2 2 2" xfId="19913"/>
    <cellStyle name="Normal 7 2 5 5 2 2 2 3" xfId="19914"/>
    <cellStyle name="Normal 7 2 5 5 2 2 3" xfId="19915"/>
    <cellStyle name="Normal 7 2 5 5 2 2 3 2" xfId="19916"/>
    <cellStyle name="Normal 7 2 5 5 2 2 4" xfId="19917"/>
    <cellStyle name="Normal 7 2 5 5 2 3" xfId="19918"/>
    <cellStyle name="Normal 7 2 5 5 2 3 2" xfId="19919"/>
    <cellStyle name="Normal 7 2 5 5 2 3 2 2" xfId="19920"/>
    <cellStyle name="Normal 7 2 5 5 2 3 3" xfId="19921"/>
    <cellStyle name="Normal 7 2 5 5 2 4" xfId="19922"/>
    <cellStyle name="Normal 7 2 5 5 2 4 2" xfId="19923"/>
    <cellStyle name="Normal 7 2 5 5 2 4 3" xfId="19924"/>
    <cellStyle name="Normal 7 2 5 5 2 5" xfId="19925"/>
    <cellStyle name="Normal 7 2 5 5 2 5 2" xfId="19926"/>
    <cellStyle name="Normal 7 2 5 5 2 6" xfId="19927"/>
    <cellStyle name="Normal 7 2 5 5 2 6 2" xfId="36785"/>
    <cellStyle name="Normal 7 2 5 5 2 7" xfId="19928"/>
    <cellStyle name="Normal 7 2 5 5 3" xfId="19929"/>
    <cellStyle name="Normal 7 2 5 5 3 2" xfId="19930"/>
    <cellStyle name="Normal 7 2 5 5 3 2 2" xfId="19931"/>
    <cellStyle name="Normal 7 2 5 5 3 2 2 2" xfId="19932"/>
    <cellStyle name="Normal 7 2 5 5 3 2 3" xfId="19933"/>
    <cellStyle name="Normal 7 2 5 5 3 3" xfId="19934"/>
    <cellStyle name="Normal 7 2 5 5 3 3 2" xfId="19935"/>
    <cellStyle name="Normal 7 2 5 5 3 4" xfId="19936"/>
    <cellStyle name="Normal 7 2 5 5 4" xfId="19937"/>
    <cellStyle name="Normal 7 2 5 5 4 2" xfId="19938"/>
    <cellStyle name="Normal 7 2 5 5 4 2 2" xfId="19939"/>
    <cellStyle name="Normal 7 2 5 5 4 3" xfId="19940"/>
    <cellStyle name="Normal 7 2 5 5 5" xfId="19941"/>
    <cellStyle name="Normal 7 2 5 5 5 2" xfId="19942"/>
    <cellStyle name="Normal 7 2 5 5 5 2 2" xfId="19943"/>
    <cellStyle name="Normal 7 2 5 5 5 3" xfId="19944"/>
    <cellStyle name="Normal 7 2 5 5 6" xfId="19945"/>
    <cellStyle name="Normal 7 2 5 5 6 2" xfId="19946"/>
    <cellStyle name="Normal 7 2 5 5 7" xfId="19947"/>
    <cellStyle name="Normal 7 2 5 5 7 2" xfId="36786"/>
    <cellStyle name="Normal 7 2 5 5 8" xfId="19948"/>
    <cellStyle name="Normal 7 2 5 6" xfId="19949"/>
    <cellStyle name="Normal 7 2 5 6 2" xfId="19950"/>
    <cellStyle name="Normal 7 2 5 6 2 2" xfId="19951"/>
    <cellStyle name="Normal 7 2 5 6 2 2 2" xfId="19952"/>
    <cellStyle name="Normal 7 2 5 6 2 2 3" xfId="19953"/>
    <cellStyle name="Normal 7 2 5 6 2 3" xfId="19954"/>
    <cellStyle name="Normal 7 2 5 6 2 3 2" xfId="19955"/>
    <cellStyle name="Normal 7 2 5 6 2 4" xfId="19956"/>
    <cellStyle name="Normal 7 2 5 6 3" xfId="19957"/>
    <cellStyle name="Normal 7 2 5 6 3 2" xfId="19958"/>
    <cellStyle name="Normal 7 2 5 6 3 2 2" xfId="19959"/>
    <cellStyle name="Normal 7 2 5 6 3 3" xfId="19960"/>
    <cellStyle name="Normal 7 2 5 6 4" xfId="19961"/>
    <cellStyle name="Normal 7 2 5 6 4 2" xfId="19962"/>
    <cellStyle name="Normal 7 2 5 6 4 3" xfId="19963"/>
    <cellStyle name="Normal 7 2 5 6 5" xfId="19964"/>
    <cellStyle name="Normal 7 2 5 6 5 2" xfId="19965"/>
    <cellStyle name="Normal 7 2 5 6 6" xfId="19966"/>
    <cellStyle name="Normal 7 2 5 6 6 2" xfId="36787"/>
    <cellStyle name="Normal 7 2 5 6 7" xfId="19967"/>
    <cellStyle name="Normal 7 2 5 7" xfId="19968"/>
    <cellStyle name="Normal 7 2 5 7 2" xfId="19969"/>
    <cellStyle name="Normal 7 2 5 7 2 2" xfId="19970"/>
    <cellStyle name="Normal 7 2 5 7 2 2 2" xfId="19971"/>
    <cellStyle name="Normal 7 2 5 7 2 3" xfId="19972"/>
    <cellStyle name="Normal 7 2 5 7 3" xfId="19973"/>
    <cellStyle name="Normal 7 2 5 7 3 2" xfId="19974"/>
    <cellStyle name="Normal 7 2 5 7 4" xfId="19975"/>
    <cellStyle name="Normal 7 2 5 8" xfId="19976"/>
    <cellStyle name="Normal 7 2 5 8 2" xfId="19977"/>
    <cellStyle name="Normal 7 2 5 8 2 2" xfId="19978"/>
    <cellStyle name="Normal 7 2 5 8 3" xfId="19979"/>
    <cellStyle name="Normal 7 2 5 9" xfId="19980"/>
    <cellStyle name="Normal 7 2 5 9 2" xfId="19981"/>
    <cellStyle name="Normal 7 2 5 9 2 2" xfId="19982"/>
    <cellStyle name="Normal 7 2 5 9 3" xfId="19983"/>
    <cellStyle name="Normal 7 2 6" xfId="19984"/>
    <cellStyle name="Normal 7 2 6 10" xfId="19985"/>
    <cellStyle name="Normal 7 2 6 2" xfId="19986"/>
    <cellStyle name="Normal 7 2 6 2 2" xfId="19987"/>
    <cellStyle name="Normal 7 2 6 2 2 2" xfId="19988"/>
    <cellStyle name="Normal 7 2 6 2 2 2 2" xfId="19989"/>
    <cellStyle name="Normal 7 2 6 2 2 2 2 2" xfId="19990"/>
    <cellStyle name="Normal 7 2 6 2 2 2 2 2 2" xfId="19991"/>
    <cellStyle name="Normal 7 2 6 2 2 2 2 2 3" xfId="19992"/>
    <cellStyle name="Normal 7 2 6 2 2 2 2 3" xfId="19993"/>
    <cellStyle name="Normal 7 2 6 2 2 2 2 3 2" xfId="19994"/>
    <cellStyle name="Normal 7 2 6 2 2 2 2 4" xfId="19995"/>
    <cellStyle name="Normal 7 2 6 2 2 2 3" xfId="19996"/>
    <cellStyle name="Normal 7 2 6 2 2 2 3 2" xfId="19997"/>
    <cellStyle name="Normal 7 2 6 2 2 2 3 2 2" xfId="19998"/>
    <cellStyle name="Normal 7 2 6 2 2 2 3 3" xfId="19999"/>
    <cellStyle name="Normal 7 2 6 2 2 2 4" xfId="20000"/>
    <cellStyle name="Normal 7 2 6 2 2 2 4 2" xfId="20001"/>
    <cellStyle name="Normal 7 2 6 2 2 2 4 3" xfId="20002"/>
    <cellStyle name="Normal 7 2 6 2 2 2 5" xfId="20003"/>
    <cellStyle name="Normal 7 2 6 2 2 2 5 2" xfId="20004"/>
    <cellStyle name="Normal 7 2 6 2 2 2 6" xfId="20005"/>
    <cellStyle name="Normal 7 2 6 2 2 2 6 2" xfId="36788"/>
    <cellStyle name="Normal 7 2 6 2 2 2 7" xfId="20006"/>
    <cellStyle name="Normal 7 2 6 2 2 3" xfId="20007"/>
    <cellStyle name="Normal 7 2 6 2 2 3 2" xfId="20008"/>
    <cellStyle name="Normal 7 2 6 2 2 3 2 2" xfId="20009"/>
    <cellStyle name="Normal 7 2 6 2 2 3 2 2 2" xfId="20010"/>
    <cellStyle name="Normal 7 2 6 2 2 3 2 3" xfId="20011"/>
    <cellStyle name="Normal 7 2 6 2 2 3 3" xfId="20012"/>
    <cellStyle name="Normal 7 2 6 2 2 3 3 2" xfId="20013"/>
    <cellStyle name="Normal 7 2 6 2 2 3 4" xfId="20014"/>
    <cellStyle name="Normal 7 2 6 2 2 4" xfId="20015"/>
    <cellStyle name="Normal 7 2 6 2 2 4 2" xfId="20016"/>
    <cellStyle name="Normal 7 2 6 2 2 4 2 2" xfId="20017"/>
    <cellStyle name="Normal 7 2 6 2 2 4 3" xfId="20018"/>
    <cellStyle name="Normal 7 2 6 2 2 5" xfId="20019"/>
    <cellStyle name="Normal 7 2 6 2 2 5 2" xfId="20020"/>
    <cellStyle name="Normal 7 2 6 2 2 5 2 2" xfId="20021"/>
    <cellStyle name="Normal 7 2 6 2 2 5 3" xfId="20022"/>
    <cellStyle name="Normal 7 2 6 2 2 6" xfId="20023"/>
    <cellStyle name="Normal 7 2 6 2 2 6 2" xfId="20024"/>
    <cellStyle name="Normal 7 2 6 2 2 7" xfId="20025"/>
    <cellStyle name="Normal 7 2 6 2 2 7 2" xfId="36789"/>
    <cellStyle name="Normal 7 2 6 2 2 8" xfId="20026"/>
    <cellStyle name="Normal 7 2 6 2 3" xfId="20027"/>
    <cellStyle name="Normal 7 2 6 2 3 2" xfId="20028"/>
    <cellStyle name="Normal 7 2 6 2 3 2 2" xfId="20029"/>
    <cellStyle name="Normal 7 2 6 2 3 2 2 2" xfId="20030"/>
    <cellStyle name="Normal 7 2 6 2 3 2 2 3" xfId="20031"/>
    <cellStyle name="Normal 7 2 6 2 3 2 3" xfId="20032"/>
    <cellStyle name="Normal 7 2 6 2 3 2 3 2" xfId="20033"/>
    <cellStyle name="Normal 7 2 6 2 3 2 4" xfId="20034"/>
    <cellStyle name="Normal 7 2 6 2 3 3" xfId="20035"/>
    <cellStyle name="Normal 7 2 6 2 3 3 2" xfId="20036"/>
    <cellStyle name="Normal 7 2 6 2 3 3 2 2" xfId="20037"/>
    <cellStyle name="Normal 7 2 6 2 3 3 3" xfId="20038"/>
    <cellStyle name="Normal 7 2 6 2 3 4" xfId="20039"/>
    <cellStyle name="Normal 7 2 6 2 3 4 2" xfId="20040"/>
    <cellStyle name="Normal 7 2 6 2 3 4 3" xfId="20041"/>
    <cellStyle name="Normal 7 2 6 2 3 5" xfId="20042"/>
    <cellStyle name="Normal 7 2 6 2 3 5 2" xfId="20043"/>
    <cellStyle name="Normal 7 2 6 2 3 6" xfId="20044"/>
    <cellStyle name="Normal 7 2 6 2 3 6 2" xfId="36790"/>
    <cellStyle name="Normal 7 2 6 2 3 7" xfId="20045"/>
    <cellStyle name="Normal 7 2 6 2 4" xfId="20046"/>
    <cellStyle name="Normal 7 2 6 2 4 2" xfId="20047"/>
    <cellStyle name="Normal 7 2 6 2 4 2 2" xfId="20048"/>
    <cellStyle name="Normal 7 2 6 2 4 2 2 2" xfId="20049"/>
    <cellStyle name="Normal 7 2 6 2 4 2 3" xfId="20050"/>
    <cellStyle name="Normal 7 2 6 2 4 3" xfId="20051"/>
    <cellStyle name="Normal 7 2 6 2 4 3 2" xfId="20052"/>
    <cellStyle name="Normal 7 2 6 2 4 4" xfId="20053"/>
    <cellStyle name="Normal 7 2 6 2 5" xfId="20054"/>
    <cellStyle name="Normal 7 2 6 2 5 2" xfId="20055"/>
    <cellStyle name="Normal 7 2 6 2 5 2 2" xfId="20056"/>
    <cellStyle name="Normal 7 2 6 2 5 3" xfId="20057"/>
    <cellStyle name="Normal 7 2 6 2 6" xfId="20058"/>
    <cellStyle name="Normal 7 2 6 2 6 2" xfId="20059"/>
    <cellStyle name="Normal 7 2 6 2 6 2 2" xfId="20060"/>
    <cellStyle name="Normal 7 2 6 2 6 3" xfId="20061"/>
    <cellStyle name="Normal 7 2 6 2 7" xfId="20062"/>
    <cellStyle name="Normal 7 2 6 2 7 2" xfId="20063"/>
    <cellStyle name="Normal 7 2 6 2 8" xfId="20064"/>
    <cellStyle name="Normal 7 2 6 2 8 2" xfId="36791"/>
    <cellStyle name="Normal 7 2 6 2 9" xfId="20065"/>
    <cellStyle name="Normal 7 2 6 3" xfId="20066"/>
    <cellStyle name="Normal 7 2 6 3 2" xfId="20067"/>
    <cellStyle name="Normal 7 2 6 3 2 2" xfId="20068"/>
    <cellStyle name="Normal 7 2 6 3 2 2 2" xfId="20069"/>
    <cellStyle name="Normal 7 2 6 3 2 2 2 2" xfId="20070"/>
    <cellStyle name="Normal 7 2 6 3 2 2 2 3" xfId="20071"/>
    <cellStyle name="Normal 7 2 6 3 2 2 3" xfId="20072"/>
    <cellStyle name="Normal 7 2 6 3 2 2 3 2" xfId="20073"/>
    <cellStyle name="Normal 7 2 6 3 2 2 4" xfId="20074"/>
    <cellStyle name="Normal 7 2 6 3 2 3" xfId="20075"/>
    <cellStyle name="Normal 7 2 6 3 2 3 2" xfId="20076"/>
    <cellStyle name="Normal 7 2 6 3 2 3 2 2" xfId="20077"/>
    <cellStyle name="Normal 7 2 6 3 2 3 3" xfId="20078"/>
    <cellStyle name="Normal 7 2 6 3 2 4" xfId="20079"/>
    <cellStyle name="Normal 7 2 6 3 2 4 2" xfId="20080"/>
    <cellStyle name="Normal 7 2 6 3 2 4 3" xfId="20081"/>
    <cellStyle name="Normal 7 2 6 3 2 5" xfId="20082"/>
    <cellStyle name="Normal 7 2 6 3 2 5 2" xfId="20083"/>
    <cellStyle name="Normal 7 2 6 3 2 6" xfId="20084"/>
    <cellStyle name="Normal 7 2 6 3 2 6 2" xfId="36792"/>
    <cellStyle name="Normal 7 2 6 3 2 7" xfId="20085"/>
    <cellStyle name="Normal 7 2 6 3 3" xfId="20086"/>
    <cellStyle name="Normal 7 2 6 3 3 2" xfId="20087"/>
    <cellStyle name="Normal 7 2 6 3 3 2 2" xfId="20088"/>
    <cellStyle name="Normal 7 2 6 3 3 2 2 2" xfId="20089"/>
    <cellStyle name="Normal 7 2 6 3 3 2 3" xfId="20090"/>
    <cellStyle name="Normal 7 2 6 3 3 3" xfId="20091"/>
    <cellStyle name="Normal 7 2 6 3 3 3 2" xfId="20092"/>
    <cellStyle name="Normal 7 2 6 3 3 4" xfId="20093"/>
    <cellStyle name="Normal 7 2 6 3 4" xfId="20094"/>
    <cellStyle name="Normal 7 2 6 3 4 2" xfId="20095"/>
    <cellStyle name="Normal 7 2 6 3 4 2 2" xfId="20096"/>
    <cellStyle name="Normal 7 2 6 3 4 3" xfId="20097"/>
    <cellStyle name="Normal 7 2 6 3 5" xfId="20098"/>
    <cellStyle name="Normal 7 2 6 3 5 2" xfId="20099"/>
    <cellStyle name="Normal 7 2 6 3 5 2 2" xfId="20100"/>
    <cellStyle name="Normal 7 2 6 3 5 3" xfId="20101"/>
    <cellStyle name="Normal 7 2 6 3 6" xfId="20102"/>
    <cellStyle name="Normal 7 2 6 3 6 2" xfId="20103"/>
    <cellStyle name="Normal 7 2 6 3 7" xfId="20104"/>
    <cellStyle name="Normal 7 2 6 3 7 2" xfId="36793"/>
    <cellStyle name="Normal 7 2 6 3 8" xfId="20105"/>
    <cellStyle name="Normal 7 2 6 4" xfId="20106"/>
    <cellStyle name="Normal 7 2 6 4 2" xfId="20107"/>
    <cellStyle name="Normal 7 2 6 4 2 2" xfId="20108"/>
    <cellStyle name="Normal 7 2 6 4 2 2 2" xfId="20109"/>
    <cellStyle name="Normal 7 2 6 4 2 2 3" xfId="20110"/>
    <cellStyle name="Normal 7 2 6 4 2 3" xfId="20111"/>
    <cellStyle name="Normal 7 2 6 4 2 3 2" xfId="20112"/>
    <cellStyle name="Normal 7 2 6 4 2 4" xfId="20113"/>
    <cellStyle name="Normal 7 2 6 4 3" xfId="20114"/>
    <cellStyle name="Normal 7 2 6 4 3 2" xfId="20115"/>
    <cellStyle name="Normal 7 2 6 4 3 2 2" xfId="20116"/>
    <cellStyle name="Normal 7 2 6 4 3 3" xfId="20117"/>
    <cellStyle name="Normal 7 2 6 4 4" xfId="20118"/>
    <cellStyle name="Normal 7 2 6 4 4 2" xfId="20119"/>
    <cellStyle name="Normal 7 2 6 4 4 3" xfId="20120"/>
    <cellStyle name="Normal 7 2 6 4 5" xfId="20121"/>
    <cellStyle name="Normal 7 2 6 4 5 2" xfId="20122"/>
    <cellStyle name="Normal 7 2 6 4 6" xfId="20123"/>
    <cellStyle name="Normal 7 2 6 4 6 2" xfId="36794"/>
    <cellStyle name="Normal 7 2 6 4 7" xfId="20124"/>
    <cellStyle name="Normal 7 2 6 5" xfId="20125"/>
    <cellStyle name="Normal 7 2 6 5 2" xfId="20126"/>
    <cellStyle name="Normal 7 2 6 5 2 2" xfId="20127"/>
    <cellStyle name="Normal 7 2 6 5 2 2 2" xfId="20128"/>
    <cellStyle name="Normal 7 2 6 5 2 3" xfId="20129"/>
    <cellStyle name="Normal 7 2 6 5 3" xfId="20130"/>
    <cellStyle name="Normal 7 2 6 5 3 2" xfId="20131"/>
    <cellStyle name="Normal 7 2 6 5 4" xfId="20132"/>
    <cellStyle name="Normal 7 2 6 6" xfId="20133"/>
    <cellStyle name="Normal 7 2 6 6 2" xfId="20134"/>
    <cellStyle name="Normal 7 2 6 6 2 2" xfId="20135"/>
    <cellStyle name="Normal 7 2 6 6 3" xfId="20136"/>
    <cellStyle name="Normal 7 2 6 7" xfId="20137"/>
    <cellStyle name="Normal 7 2 6 7 2" xfId="20138"/>
    <cellStyle name="Normal 7 2 6 7 2 2" xfId="20139"/>
    <cellStyle name="Normal 7 2 6 7 3" xfId="20140"/>
    <cellStyle name="Normal 7 2 6 8" xfId="20141"/>
    <cellStyle name="Normal 7 2 6 8 2" xfId="20142"/>
    <cellStyle name="Normal 7 2 6 9" xfId="20143"/>
    <cellStyle name="Normal 7 2 6 9 2" xfId="36795"/>
    <cellStyle name="Normal 7 2 7" xfId="20144"/>
    <cellStyle name="Normal 7 2 7 2" xfId="20145"/>
    <cellStyle name="Normal 7 2 7 2 2" xfId="20146"/>
    <cellStyle name="Normal 7 2 7 2 2 2" xfId="20147"/>
    <cellStyle name="Normal 7 2 7 2 2 2 2" xfId="20148"/>
    <cellStyle name="Normal 7 2 7 2 2 2 2 2" xfId="20149"/>
    <cellStyle name="Normal 7 2 7 2 2 2 2 3" xfId="20150"/>
    <cellStyle name="Normal 7 2 7 2 2 2 3" xfId="20151"/>
    <cellStyle name="Normal 7 2 7 2 2 2 3 2" xfId="20152"/>
    <cellStyle name="Normal 7 2 7 2 2 2 4" xfId="20153"/>
    <cellStyle name="Normal 7 2 7 2 2 3" xfId="20154"/>
    <cellStyle name="Normal 7 2 7 2 2 3 2" xfId="20155"/>
    <cellStyle name="Normal 7 2 7 2 2 3 2 2" xfId="20156"/>
    <cellStyle name="Normal 7 2 7 2 2 3 3" xfId="20157"/>
    <cellStyle name="Normal 7 2 7 2 2 4" xfId="20158"/>
    <cellStyle name="Normal 7 2 7 2 2 4 2" xfId="20159"/>
    <cellStyle name="Normal 7 2 7 2 2 4 3" xfId="20160"/>
    <cellStyle name="Normal 7 2 7 2 2 5" xfId="20161"/>
    <cellStyle name="Normal 7 2 7 2 2 5 2" xfId="20162"/>
    <cellStyle name="Normal 7 2 7 2 2 6" xfId="20163"/>
    <cellStyle name="Normal 7 2 7 2 2 6 2" xfId="36796"/>
    <cellStyle name="Normal 7 2 7 2 2 7" xfId="20164"/>
    <cellStyle name="Normal 7 2 7 2 3" xfId="20165"/>
    <cellStyle name="Normal 7 2 7 2 3 2" xfId="20166"/>
    <cellStyle name="Normal 7 2 7 2 3 2 2" xfId="20167"/>
    <cellStyle name="Normal 7 2 7 2 3 2 2 2" xfId="20168"/>
    <cellStyle name="Normal 7 2 7 2 3 2 3" xfId="20169"/>
    <cellStyle name="Normal 7 2 7 2 3 3" xfId="20170"/>
    <cellStyle name="Normal 7 2 7 2 3 3 2" xfId="20171"/>
    <cellStyle name="Normal 7 2 7 2 3 4" xfId="20172"/>
    <cellStyle name="Normal 7 2 7 2 4" xfId="20173"/>
    <cellStyle name="Normal 7 2 7 2 4 2" xfId="20174"/>
    <cellStyle name="Normal 7 2 7 2 4 2 2" xfId="20175"/>
    <cellStyle name="Normal 7 2 7 2 4 3" xfId="20176"/>
    <cellStyle name="Normal 7 2 7 2 5" xfId="20177"/>
    <cellStyle name="Normal 7 2 7 2 5 2" xfId="20178"/>
    <cellStyle name="Normal 7 2 7 2 5 2 2" xfId="20179"/>
    <cellStyle name="Normal 7 2 7 2 5 3" xfId="20180"/>
    <cellStyle name="Normal 7 2 7 2 6" xfId="20181"/>
    <cellStyle name="Normal 7 2 7 2 6 2" xfId="20182"/>
    <cellStyle name="Normal 7 2 7 2 7" xfId="20183"/>
    <cellStyle name="Normal 7 2 7 2 7 2" xfId="36797"/>
    <cellStyle name="Normal 7 2 7 2 8" xfId="20184"/>
    <cellStyle name="Normal 7 2 7 3" xfId="20185"/>
    <cellStyle name="Normal 7 2 7 3 2" xfId="20186"/>
    <cellStyle name="Normal 7 2 7 3 2 2" xfId="20187"/>
    <cellStyle name="Normal 7 2 7 3 2 2 2" xfId="20188"/>
    <cellStyle name="Normal 7 2 7 3 2 2 3" xfId="20189"/>
    <cellStyle name="Normal 7 2 7 3 2 3" xfId="20190"/>
    <cellStyle name="Normal 7 2 7 3 2 3 2" xfId="20191"/>
    <cellStyle name="Normal 7 2 7 3 2 4" xfId="20192"/>
    <cellStyle name="Normal 7 2 7 3 3" xfId="20193"/>
    <cellStyle name="Normal 7 2 7 3 3 2" xfId="20194"/>
    <cellStyle name="Normal 7 2 7 3 3 2 2" xfId="20195"/>
    <cellStyle name="Normal 7 2 7 3 3 3" xfId="20196"/>
    <cellStyle name="Normal 7 2 7 3 4" xfId="20197"/>
    <cellStyle name="Normal 7 2 7 3 4 2" xfId="20198"/>
    <cellStyle name="Normal 7 2 7 3 4 3" xfId="20199"/>
    <cellStyle name="Normal 7 2 7 3 5" xfId="20200"/>
    <cellStyle name="Normal 7 2 7 3 5 2" xfId="20201"/>
    <cellStyle name="Normal 7 2 7 3 6" xfId="20202"/>
    <cellStyle name="Normal 7 2 7 3 6 2" xfId="36798"/>
    <cellStyle name="Normal 7 2 7 3 7" xfId="20203"/>
    <cellStyle name="Normal 7 2 7 4" xfId="20204"/>
    <cellStyle name="Normal 7 2 7 4 2" xfId="20205"/>
    <cellStyle name="Normal 7 2 7 4 2 2" xfId="20206"/>
    <cellStyle name="Normal 7 2 7 4 2 2 2" xfId="20207"/>
    <cellStyle name="Normal 7 2 7 4 2 3" xfId="20208"/>
    <cellStyle name="Normal 7 2 7 4 3" xfId="20209"/>
    <cellStyle name="Normal 7 2 7 4 3 2" xfId="20210"/>
    <cellStyle name="Normal 7 2 7 4 4" xfId="20211"/>
    <cellStyle name="Normal 7 2 7 5" xfId="20212"/>
    <cellStyle name="Normal 7 2 7 5 2" xfId="20213"/>
    <cellStyle name="Normal 7 2 7 5 2 2" xfId="20214"/>
    <cellStyle name="Normal 7 2 7 5 3" xfId="20215"/>
    <cellStyle name="Normal 7 2 7 6" xfId="20216"/>
    <cellStyle name="Normal 7 2 7 6 2" xfId="20217"/>
    <cellStyle name="Normal 7 2 7 6 2 2" xfId="20218"/>
    <cellStyle name="Normal 7 2 7 6 3" xfId="20219"/>
    <cellStyle name="Normal 7 2 7 7" xfId="20220"/>
    <cellStyle name="Normal 7 2 7 7 2" xfId="20221"/>
    <cellStyle name="Normal 7 2 7 8" xfId="20222"/>
    <cellStyle name="Normal 7 2 7 8 2" xfId="36799"/>
    <cellStyle name="Normal 7 2 7 9" xfId="20223"/>
    <cellStyle name="Normal 7 2 8" xfId="20224"/>
    <cellStyle name="Normal 7 2 8 2" xfId="20225"/>
    <cellStyle name="Normal 7 2 8 2 2" xfId="20226"/>
    <cellStyle name="Normal 7 2 8 2 2 2" xfId="20227"/>
    <cellStyle name="Normal 7 2 8 2 2 2 2" xfId="20228"/>
    <cellStyle name="Normal 7 2 8 2 2 2 2 2" xfId="20229"/>
    <cellStyle name="Normal 7 2 8 2 2 2 2 3" xfId="20230"/>
    <cellStyle name="Normal 7 2 8 2 2 2 3" xfId="20231"/>
    <cellStyle name="Normal 7 2 8 2 2 2 3 2" xfId="20232"/>
    <cellStyle name="Normal 7 2 8 2 2 2 4" xfId="20233"/>
    <cellStyle name="Normal 7 2 8 2 2 3" xfId="20234"/>
    <cellStyle name="Normal 7 2 8 2 2 3 2" xfId="20235"/>
    <cellStyle name="Normal 7 2 8 2 2 3 2 2" xfId="20236"/>
    <cellStyle name="Normal 7 2 8 2 2 3 3" xfId="20237"/>
    <cellStyle name="Normal 7 2 8 2 2 4" xfId="20238"/>
    <cellStyle name="Normal 7 2 8 2 2 4 2" xfId="20239"/>
    <cellStyle name="Normal 7 2 8 2 2 4 3" xfId="20240"/>
    <cellStyle name="Normal 7 2 8 2 2 5" xfId="20241"/>
    <cellStyle name="Normal 7 2 8 2 2 5 2" xfId="20242"/>
    <cellStyle name="Normal 7 2 8 2 2 6" xfId="20243"/>
    <cellStyle name="Normal 7 2 8 2 2 6 2" xfId="36800"/>
    <cellStyle name="Normal 7 2 8 2 2 7" xfId="20244"/>
    <cellStyle name="Normal 7 2 8 2 3" xfId="20245"/>
    <cellStyle name="Normal 7 2 8 2 3 2" xfId="20246"/>
    <cellStyle name="Normal 7 2 8 2 3 2 2" xfId="20247"/>
    <cellStyle name="Normal 7 2 8 2 3 2 2 2" xfId="20248"/>
    <cellStyle name="Normal 7 2 8 2 3 2 3" xfId="20249"/>
    <cellStyle name="Normal 7 2 8 2 3 3" xfId="20250"/>
    <cellStyle name="Normal 7 2 8 2 3 3 2" xfId="20251"/>
    <cellStyle name="Normal 7 2 8 2 3 4" xfId="20252"/>
    <cellStyle name="Normal 7 2 8 2 4" xfId="20253"/>
    <cellStyle name="Normal 7 2 8 2 4 2" xfId="20254"/>
    <cellStyle name="Normal 7 2 8 2 4 2 2" xfId="20255"/>
    <cellStyle name="Normal 7 2 8 2 4 3" xfId="20256"/>
    <cellStyle name="Normal 7 2 8 2 5" xfId="20257"/>
    <cellStyle name="Normal 7 2 8 2 5 2" xfId="20258"/>
    <cellStyle name="Normal 7 2 8 2 5 2 2" xfId="20259"/>
    <cellStyle name="Normal 7 2 8 2 5 3" xfId="20260"/>
    <cellStyle name="Normal 7 2 8 2 6" xfId="20261"/>
    <cellStyle name="Normal 7 2 8 2 6 2" xfId="20262"/>
    <cellStyle name="Normal 7 2 8 2 7" xfId="20263"/>
    <cellStyle name="Normal 7 2 8 2 7 2" xfId="36801"/>
    <cellStyle name="Normal 7 2 8 2 8" xfId="20264"/>
    <cellStyle name="Normal 7 2 8 3" xfId="20265"/>
    <cellStyle name="Normal 7 2 8 3 2" xfId="20266"/>
    <cellStyle name="Normal 7 2 8 3 2 2" xfId="20267"/>
    <cellStyle name="Normal 7 2 8 3 2 2 2" xfId="20268"/>
    <cellStyle name="Normal 7 2 8 3 2 2 3" xfId="20269"/>
    <cellStyle name="Normal 7 2 8 3 2 3" xfId="20270"/>
    <cellStyle name="Normal 7 2 8 3 2 3 2" xfId="20271"/>
    <cellStyle name="Normal 7 2 8 3 2 4" xfId="20272"/>
    <cellStyle name="Normal 7 2 8 3 3" xfId="20273"/>
    <cellStyle name="Normal 7 2 8 3 3 2" xfId="20274"/>
    <cellStyle name="Normal 7 2 8 3 3 2 2" xfId="20275"/>
    <cellStyle name="Normal 7 2 8 3 3 3" xfId="20276"/>
    <cellStyle name="Normal 7 2 8 3 4" xfId="20277"/>
    <cellStyle name="Normal 7 2 8 3 4 2" xfId="20278"/>
    <cellStyle name="Normal 7 2 8 3 4 3" xfId="20279"/>
    <cellStyle name="Normal 7 2 8 3 5" xfId="20280"/>
    <cellStyle name="Normal 7 2 8 3 5 2" xfId="20281"/>
    <cellStyle name="Normal 7 2 8 3 6" xfId="20282"/>
    <cellStyle name="Normal 7 2 8 3 6 2" xfId="36802"/>
    <cellStyle name="Normal 7 2 8 3 7" xfId="20283"/>
    <cellStyle name="Normal 7 2 8 4" xfId="20284"/>
    <cellStyle name="Normal 7 2 8 4 2" xfId="20285"/>
    <cellStyle name="Normal 7 2 8 4 2 2" xfId="20286"/>
    <cellStyle name="Normal 7 2 8 4 2 2 2" xfId="20287"/>
    <cellStyle name="Normal 7 2 8 4 2 3" xfId="20288"/>
    <cellStyle name="Normal 7 2 8 4 3" xfId="20289"/>
    <cellStyle name="Normal 7 2 8 4 3 2" xfId="20290"/>
    <cellStyle name="Normal 7 2 8 4 4" xfId="20291"/>
    <cellStyle name="Normal 7 2 8 5" xfId="20292"/>
    <cellStyle name="Normal 7 2 8 5 2" xfId="20293"/>
    <cellStyle name="Normal 7 2 8 5 2 2" xfId="20294"/>
    <cellStyle name="Normal 7 2 8 5 3" xfId="20295"/>
    <cellStyle name="Normal 7 2 8 6" xfId="20296"/>
    <cellStyle name="Normal 7 2 8 6 2" xfId="20297"/>
    <cellStyle name="Normal 7 2 8 6 2 2" xfId="20298"/>
    <cellStyle name="Normal 7 2 8 6 3" xfId="20299"/>
    <cellStyle name="Normal 7 2 8 7" xfId="20300"/>
    <cellStyle name="Normal 7 2 8 7 2" xfId="20301"/>
    <cellStyle name="Normal 7 2 8 8" xfId="20302"/>
    <cellStyle name="Normal 7 2 8 8 2" xfId="36803"/>
    <cellStyle name="Normal 7 2 8 9" xfId="20303"/>
    <cellStyle name="Normal 7 2 9" xfId="20304"/>
    <cellStyle name="Normal 7 2 9 2" xfId="20305"/>
    <cellStyle name="Normal 7 2 9 2 2" xfId="20306"/>
    <cellStyle name="Normal 7 2 9 2 2 2" xfId="20307"/>
    <cellStyle name="Normal 7 2 9 2 2 2 2" xfId="20308"/>
    <cellStyle name="Normal 7 2 9 2 2 2 3" xfId="20309"/>
    <cellStyle name="Normal 7 2 9 2 2 3" xfId="20310"/>
    <cellStyle name="Normal 7 2 9 2 2 3 2" xfId="20311"/>
    <cellStyle name="Normal 7 2 9 2 2 4" xfId="20312"/>
    <cellStyle name="Normal 7 2 9 2 3" xfId="20313"/>
    <cellStyle name="Normal 7 2 9 2 3 2" xfId="20314"/>
    <cellStyle name="Normal 7 2 9 2 3 2 2" xfId="20315"/>
    <cellStyle name="Normal 7 2 9 2 3 3" xfId="20316"/>
    <cellStyle name="Normal 7 2 9 2 4" xfId="20317"/>
    <cellStyle name="Normal 7 2 9 2 4 2" xfId="20318"/>
    <cellStyle name="Normal 7 2 9 2 4 3" xfId="20319"/>
    <cellStyle name="Normal 7 2 9 2 5" xfId="20320"/>
    <cellStyle name="Normal 7 2 9 2 5 2" xfId="20321"/>
    <cellStyle name="Normal 7 2 9 2 6" xfId="20322"/>
    <cellStyle name="Normal 7 2 9 2 6 2" xfId="36804"/>
    <cellStyle name="Normal 7 2 9 2 7" xfId="20323"/>
    <cellStyle name="Normal 7 2 9 3" xfId="20324"/>
    <cellStyle name="Normal 7 2 9 3 2" xfId="20325"/>
    <cellStyle name="Normal 7 2 9 3 2 2" xfId="20326"/>
    <cellStyle name="Normal 7 2 9 3 2 2 2" xfId="20327"/>
    <cellStyle name="Normal 7 2 9 3 2 3" xfId="20328"/>
    <cellStyle name="Normal 7 2 9 3 3" xfId="20329"/>
    <cellStyle name="Normal 7 2 9 3 3 2" xfId="20330"/>
    <cellStyle name="Normal 7 2 9 3 4" xfId="20331"/>
    <cellStyle name="Normal 7 2 9 4" xfId="20332"/>
    <cellStyle name="Normal 7 2 9 4 2" xfId="20333"/>
    <cellStyle name="Normal 7 2 9 4 2 2" xfId="20334"/>
    <cellStyle name="Normal 7 2 9 4 3" xfId="20335"/>
    <cellStyle name="Normal 7 2 9 5" xfId="20336"/>
    <cellStyle name="Normal 7 2 9 5 2" xfId="20337"/>
    <cellStyle name="Normal 7 2 9 5 2 2" xfId="20338"/>
    <cellStyle name="Normal 7 2 9 5 3" xfId="20339"/>
    <cellStyle name="Normal 7 2 9 6" xfId="20340"/>
    <cellStyle name="Normal 7 2 9 6 2" xfId="20341"/>
    <cellStyle name="Normal 7 2 9 7" xfId="20342"/>
    <cellStyle name="Normal 7 2 9 7 2" xfId="36805"/>
    <cellStyle name="Normal 7 2 9 8" xfId="20343"/>
    <cellStyle name="Normal 7 3" xfId="20344"/>
    <cellStyle name="Normal 7 3 10" xfId="20345"/>
    <cellStyle name="Normal 7 3 10 2" xfId="20346"/>
    <cellStyle name="Normal 7 3 10 2 2" xfId="20347"/>
    <cellStyle name="Normal 7 3 10 3" xfId="20348"/>
    <cellStyle name="Normal 7 3 11" xfId="20349"/>
    <cellStyle name="Normal 7 3 11 2" xfId="20350"/>
    <cellStyle name="Normal 7 3 11 2 2" xfId="20351"/>
    <cellStyle name="Normal 7 3 11 3" xfId="20352"/>
    <cellStyle name="Normal 7 3 12" xfId="20353"/>
    <cellStyle name="Normal 7 3 12 2" xfId="20354"/>
    <cellStyle name="Normal 7 3 13" xfId="20355"/>
    <cellStyle name="Normal 7 3 13 2" xfId="36806"/>
    <cellStyle name="Normal 7 3 14" xfId="20356"/>
    <cellStyle name="Normal 7 3 2" xfId="20357"/>
    <cellStyle name="Normal 7 3 2 10" xfId="20358"/>
    <cellStyle name="Normal 7 3 2 2" xfId="20359"/>
    <cellStyle name="Normal 7 3 2 2 2" xfId="20360"/>
    <cellStyle name="Normal 7 3 2 2 2 2" xfId="20361"/>
    <cellStyle name="Normal 7 3 2 2 2 2 2" xfId="20362"/>
    <cellStyle name="Normal 7 3 2 2 2 2 2 2" xfId="20363"/>
    <cellStyle name="Normal 7 3 2 2 2 2 2 2 2" xfId="20364"/>
    <cellStyle name="Normal 7 3 2 2 2 2 2 2 3" xfId="20365"/>
    <cellStyle name="Normal 7 3 2 2 2 2 2 3" xfId="20366"/>
    <cellStyle name="Normal 7 3 2 2 2 2 2 3 2" xfId="20367"/>
    <cellStyle name="Normal 7 3 2 2 2 2 2 4" xfId="20368"/>
    <cellStyle name="Normal 7 3 2 2 2 2 3" xfId="20369"/>
    <cellStyle name="Normal 7 3 2 2 2 2 3 2" xfId="20370"/>
    <cellStyle name="Normal 7 3 2 2 2 2 3 2 2" xfId="20371"/>
    <cellStyle name="Normal 7 3 2 2 2 2 3 3" xfId="20372"/>
    <cellStyle name="Normal 7 3 2 2 2 2 4" xfId="20373"/>
    <cellStyle name="Normal 7 3 2 2 2 2 4 2" xfId="20374"/>
    <cellStyle name="Normal 7 3 2 2 2 2 4 3" xfId="20375"/>
    <cellStyle name="Normal 7 3 2 2 2 2 5" xfId="20376"/>
    <cellStyle name="Normal 7 3 2 2 2 2 5 2" xfId="20377"/>
    <cellStyle name="Normal 7 3 2 2 2 2 6" xfId="20378"/>
    <cellStyle name="Normal 7 3 2 2 2 2 6 2" xfId="36807"/>
    <cellStyle name="Normal 7 3 2 2 2 2 7" xfId="20379"/>
    <cellStyle name="Normal 7 3 2 2 2 3" xfId="20380"/>
    <cellStyle name="Normal 7 3 2 2 2 3 2" xfId="20381"/>
    <cellStyle name="Normal 7 3 2 2 2 3 2 2" xfId="20382"/>
    <cellStyle name="Normal 7 3 2 2 2 3 2 2 2" xfId="20383"/>
    <cellStyle name="Normal 7 3 2 2 2 3 2 3" xfId="20384"/>
    <cellStyle name="Normal 7 3 2 2 2 3 3" xfId="20385"/>
    <cellStyle name="Normal 7 3 2 2 2 3 3 2" xfId="20386"/>
    <cellStyle name="Normal 7 3 2 2 2 3 4" xfId="20387"/>
    <cellStyle name="Normal 7 3 2 2 2 4" xfId="20388"/>
    <cellStyle name="Normal 7 3 2 2 2 4 2" xfId="20389"/>
    <cellStyle name="Normal 7 3 2 2 2 4 2 2" xfId="20390"/>
    <cellStyle name="Normal 7 3 2 2 2 4 3" xfId="20391"/>
    <cellStyle name="Normal 7 3 2 2 2 5" xfId="20392"/>
    <cellStyle name="Normal 7 3 2 2 2 5 2" xfId="20393"/>
    <cellStyle name="Normal 7 3 2 2 2 5 2 2" xfId="20394"/>
    <cellStyle name="Normal 7 3 2 2 2 5 3" xfId="20395"/>
    <cellStyle name="Normal 7 3 2 2 2 6" xfId="20396"/>
    <cellStyle name="Normal 7 3 2 2 2 6 2" xfId="20397"/>
    <cellStyle name="Normal 7 3 2 2 2 7" xfId="20398"/>
    <cellStyle name="Normal 7 3 2 2 2 7 2" xfId="36808"/>
    <cellStyle name="Normal 7 3 2 2 2 8" xfId="20399"/>
    <cellStyle name="Normal 7 3 2 2 3" xfId="20400"/>
    <cellStyle name="Normal 7 3 2 2 3 2" xfId="20401"/>
    <cellStyle name="Normal 7 3 2 2 3 2 2" xfId="20402"/>
    <cellStyle name="Normal 7 3 2 2 3 2 2 2" xfId="20403"/>
    <cellStyle name="Normal 7 3 2 2 3 2 2 3" xfId="20404"/>
    <cellStyle name="Normal 7 3 2 2 3 2 3" xfId="20405"/>
    <cellStyle name="Normal 7 3 2 2 3 2 3 2" xfId="20406"/>
    <cellStyle name="Normal 7 3 2 2 3 2 4" xfId="20407"/>
    <cellStyle name="Normal 7 3 2 2 3 3" xfId="20408"/>
    <cellStyle name="Normal 7 3 2 2 3 3 2" xfId="20409"/>
    <cellStyle name="Normal 7 3 2 2 3 3 2 2" xfId="20410"/>
    <cellStyle name="Normal 7 3 2 2 3 3 3" xfId="20411"/>
    <cellStyle name="Normal 7 3 2 2 3 4" xfId="20412"/>
    <cellStyle name="Normal 7 3 2 2 3 4 2" xfId="20413"/>
    <cellStyle name="Normal 7 3 2 2 3 4 3" xfId="20414"/>
    <cellStyle name="Normal 7 3 2 2 3 5" xfId="20415"/>
    <cellStyle name="Normal 7 3 2 2 3 5 2" xfId="20416"/>
    <cellStyle name="Normal 7 3 2 2 3 6" xfId="20417"/>
    <cellStyle name="Normal 7 3 2 2 3 6 2" xfId="36809"/>
    <cellStyle name="Normal 7 3 2 2 3 7" xfId="20418"/>
    <cellStyle name="Normal 7 3 2 2 4" xfId="20419"/>
    <cellStyle name="Normal 7 3 2 2 4 2" xfId="20420"/>
    <cellStyle name="Normal 7 3 2 2 4 2 2" xfId="20421"/>
    <cellStyle name="Normal 7 3 2 2 4 2 2 2" xfId="20422"/>
    <cellStyle name="Normal 7 3 2 2 4 2 3" xfId="20423"/>
    <cellStyle name="Normal 7 3 2 2 4 3" xfId="20424"/>
    <cellStyle name="Normal 7 3 2 2 4 3 2" xfId="20425"/>
    <cellStyle name="Normal 7 3 2 2 4 4" xfId="20426"/>
    <cellStyle name="Normal 7 3 2 2 5" xfId="20427"/>
    <cellStyle name="Normal 7 3 2 2 5 2" xfId="20428"/>
    <cellStyle name="Normal 7 3 2 2 5 2 2" xfId="20429"/>
    <cellStyle name="Normal 7 3 2 2 5 3" xfId="20430"/>
    <cellStyle name="Normal 7 3 2 2 6" xfId="20431"/>
    <cellStyle name="Normal 7 3 2 2 6 2" xfId="20432"/>
    <cellStyle name="Normal 7 3 2 2 6 2 2" xfId="20433"/>
    <cellStyle name="Normal 7 3 2 2 6 3" xfId="20434"/>
    <cellStyle name="Normal 7 3 2 2 7" xfId="20435"/>
    <cellStyle name="Normal 7 3 2 2 7 2" xfId="20436"/>
    <cellStyle name="Normal 7 3 2 2 8" xfId="20437"/>
    <cellStyle name="Normal 7 3 2 2 8 2" xfId="36810"/>
    <cellStyle name="Normal 7 3 2 2 9" xfId="20438"/>
    <cellStyle name="Normal 7 3 2 3" xfId="20439"/>
    <cellStyle name="Normal 7 3 2 3 2" xfId="20440"/>
    <cellStyle name="Normal 7 3 2 3 2 2" xfId="20441"/>
    <cellStyle name="Normal 7 3 2 3 2 2 2" xfId="20442"/>
    <cellStyle name="Normal 7 3 2 3 2 2 2 2" xfId="20443"/>
    <cellStyle name="Normal 7 3 2 3 2 2 2 3" xfId="20444"/>
    <cellStyle name="Normal 7 3 2 3 2 2 3" xfId="20445"/>
    <cellStyle name="Normal 7 3 2 3 2 2 3 2" xfId="20446"/>
    <cellStyle name="Normal 7 3 2 3 2 2 4" xfId="20447"/>
    <cellStyle name="Normal 7 3 2 3 2 3" xfId="20448"/>
    <cellStyle name="Normal 7 3 2 3 2 3 2" xfId="20449"/>
    <cellStyle name="Normal 7 3 2 3 2 3 2 2" xfId="20450"/>
    <cellStyle name="Normal 7 3 2 3 2 3 3" xfId="20451"/>
    <cellStyle name="Normal 7 3 2 3 2 4" xfId="20452"/>
    <cellStyle name="Normal 7 3 2 3 2 4 2" xfId="20453"/>
    <cellStyle name="Normal 7 3 2 3 2 4 3" xfId="20454"/>
    <cellStyle name="Normal 7 3 2 3 2 5" xfId="20455"/>
    <cellStyle name="Normal 7 3 2 3 2 5 2" xfId="20456"/>
    <cellStyle name="Normal 7 3 2 3 2 6" xfId="20457"/>
    <cellStyle name="Normal 7 3 2 3 2 6 2" xfId="36811"/>
    <cellStyle name="Normal 7 3 2 3 2 7" xfId="20458"/>
    <cellStyle name="Normal 7 3 2 3 3" xfId="20459"/>
    <cellStyle name="Normal 7 3 2 3 3 2" xfId="20460"/>
    <cellStyle name="Normal 7 3 2 3 3 2 2" xfId="20461"/>
    <cellStyle name="Normal 7 3 2 3 3 2 2 2" xfId="20462"/>
    <cellStyle name="Normal 7 3 2 3 3 2 3" xfId="20463"/>
    <cellStyle name="Normal 7 3 2 3 3 3" xfId="20464"/>
    <cellStyle name="Normal 7 3 2 3 3 3 2" xfId="20465"/>
    <cellStyle name="Normal 7 3 2 3 3 4" xfId="20466"/>
    <cellStyle name="Normal 7 3 2 3 4" xfId="20467"/>
    <cellStyle name="Normal 7 3 2 3 4 2" xfId="20468"/>
    <cellStyle name="Normal 7 3 2 3 4 2 2" xfId="20469"/>
    <cellStyle name="Normal 7 3 2 3 4 3" xfId="20470"/>
    <cellStyle name="Normal 7 3 2 3 5" xfId="20471"/>
    <cellStyle name="Normal 7 3 2 3 5 2" xfId="20472"/>
    <cellStyle name="Normal 7 3 2 3 5 2 2" xfId="20473"/>
    <cellStyle name="Normal 7 3 2 3 5 3" xfId="20474"/>
    <cellStyle name="Normal 7 3 2 3 6" xfId="20475"/>
    <cellStyle name="Normal 7 3 2 3 6 2" xfId="20476"/>
    <cellStyle name="Normal 7 3 2 3 7" xfId="20477"/>
    <cellStyle name="Normal 7 3 2 3 7 2" xfId="36812"/>
    <cellStyle name="Normal 7 3 2 3 8" xfId="20478"/>
    <cellStyle name="Normal 7 3 2 4" xfId="20479"/>
    <cellStyle name="Normal 7 3 2 4 2" xfId="20480"/>
    <cellStyle name="Normal 7 3 2 4 2 2" xfId="20481"/>
    <cellStyle name="Normal 7 3 2 4 2 2 2" xfId="20482"/>
    <cellStyle name="Normal 7 3 2 4 2 2 3" xfId="20483"/>
    <cellStyle name="Normal 7 3 2 4 2 3" xfId="20484"/>
    <cellStyle name="Normal 7 3 2 4 2 3 2" xfId="20485"/>
    <cellStyle name="Normal 7 3 2 4 2 4" xfId="20486"/>
    <cellStyle name="Normal 7 3 2 4 3" xfId="20487"/>
    <cellStyle name="Normal 7 3 2 4 3 2" xfId="20488"/>
    <cellStyle name="Normal 7 3 2 4 3 2 2" xfId="20489"/>
    <cellStyle name="Normal 7 3 2 4 3 3" xfId="20490"/>
    <cellStyle name="Normal 7 3 2 4 4" xfId="20491"/>
    <cellStyle name="Normal 7 3 2 4 4 2" xfId="20492"/>
    <cellStyle name="Normal 7 3 2 4 4 3" xfId="20493"/>
    <cellStyle name="Normal 7 3 2 4 5" xfId="20494"/>
    <cellStyle name="Normal 7 3 2 4 5 2" xfId="20495"/>
    <cellStyle name="Normal 7 3 2 4 6" xfId="20496"/>
    <cellStyle name="Normal 7 3 2 4 6 2" xfId="36813"/>
    <cellStyle name="Normal 7 3 2 4 7" xfId="20497"/>
    <cellStyle name="Normal 7 3 2 5" xfId="20498"/>
    <cellStyle name="Normal 7 3 2 5 2" xfId="20499"/>
    <cellStyle name="Normal 7 3 2 5 2 2" xfId="20500"/>
    <cellStyle name="Normal 7 3 2 5 2 2 2" xfId="20501"/>
    <cellStyle name="Normal 7 3 2 5 2 3" xfId="20502"/>
    <cellStyle name="Normal 7 3 2 5 3" xfId="20503"/>
    <cellStyle name="Normal 7 3 2 5 3 2" xfId="20504"/>
    <cellStyle name="Normal 7 3 2 5 4" xfId="20505"/>
    <cellStyle name="Normal 7 3 2 6" xfId="20506"/>
    <cellStyle name="Normal 7 3 2 6 2" xfId="20507"/>
    <cellStyle name="Normal 7 3 2 6 2 2" xfId="20508"/>
    <cellStyle name="Normal 7 3 2 6 3" xfId="20509"/>
    <cellStyle name="Normal 7 3 2 7" xfId="20510"/>
    <cellStyle name="Normal 7 3 2 7 2" xfId="20511"/>
    <cellStyle name="Normal 7 3 2 7 2 2" xfId="20512"/>
    <cellStyle name="Normal 7 3 2 7 3" xfId="20513"/>
    <cellStyle name="Normal 7 3 2 8" xfId="20514"/>
    <cellStyle name="Normal 7 3 2 8 2" xfId="20515"/>
    <cellStyle name="Normal 7 3 2 9" xfId="20516"/>
    <cellStyle name="Normal 7 3 2 9 2" xfId="36814"/>
    <cellStyle name="Normal 7 3 3" xfId="20517"/>
    <cellStyle name="Normal 7 3 3 2" xfId="20518"/>
    <cellStyle name="Normal 7 3 3 2 2" xfId="20519"/>
    <cellStyle name="Normal 7 3 3 2 2 2" xfId="20520"/>
    <cellStyle name="Normal 7 3 3 2 2 2 2" xfId="20521"/>
    <cellStyle name="Normal 7 3 3 2 2 2 2 2" xfId="20522"/>
    <cellStyle name="Normal 7 3 3 2 2 2 2 3" xfId="20523"/>
    <cellStyle name="Normal 7 3 3 2 2 2 3" xfId="20524"/>
    <cellStyle name="Normal 7 3 3 2 2 2 3 2" xfId="20525"/>
    <cellStyle name="Normal 7 3 3 2 2 2 4" xfId="20526"/>
    <cellStyle name="Normal 7 3 3 2 2 3" xfId="20527"/>
    <cellStyle name="Normal 7 3 3 2 2 3 2" xfId="20528"/>
    <cellStyle name="Normal 7 3 3 2 2 3 2 2" xfId="20529"/>
    <cellStyle name="Normal 7 3 3 2 2 3 3" xfId="20530"/>
    <cellStyle name="Normal 7 3 3 2 2 4" xfId="20531"/>
    <cellStyle name="Normal 7 3 3 2 2 4 2" xfId="20532"/>
    <cellStyle name="Normal 7 3 3 2 2 4 3" xfId="20533"/>
    <cellStyle name="Normal 7 3 3 2 2 5" xfId="20534"/>
    <cellStyle name="Normal 7 3 3 2 2 5 2" xfId="20535"/>
    <cellStyle name="Normal 7 3 3 2 2 6" xfId="20536"/>
    <cellStyle name="Normal 7 3 3 2 2 6 2" xfId="36815"/>
    <cellStyle name="Normal 7 3 3 2 2 7" xfId="20537"/>
    <cellStyle name="Normal 7 3 3 2 3" xfId="20538"/>
    <cellStyle name="Normal 7 3 3 2 3 2" xfId="20539"/>
    <cellStyle name="Normal 7 3 3 2 3 2 2" xfId="20540"/>
    <cellStyle name="Normal 7 3 3 2 3 2 2 2" xfId="20541"/>
    <cellStyle name="Normal 7 3 3 2 3 2 3" xfId="20542"/>
    <cellStyle name="Normal 7 3 3 2 3 3" xfId="20543"/>
    <cellStyle name="Normal 7 3 3 2 3 3 2" xfId="20544"/>
    <cellStyle name="Normal 7 3 3 2 3 4" xfId="20545"/>
    <cellStyle name="Normal 7 3 3 2 4" xfId="20546"/>
    <cellStyle name="Normal 7 3 3 2 4 2" xfId="20547"/>
    <cellStyle name="Normal 7 3 3 2 4 2 2" xfId="20548"/>
    <cellStyle name="Normal 7 3 3 2 4 3" xfId="20549"/>
    <cellStyle name="Normal 7 3 3 2 5" xfId="20550"/>
    <cellStyle name="Normal 7 3 3 2 5 2" xfId="20551"/>
    <cellStyle name="Normal 7 3 3 2 5 2 2" xfId="20552"/>
    <cellStyle name="Normal 7 3 3 2 5 3" xfId="20553"/>
    <cellStyle name="Normal 7 3 3 2 6" xfId="20554"/>
    <cellStyle name="Normal 7 3 3 2 6 2" xfId="20555"/>
    <cellStyle name="Normal 7 3 3 2 7" xfId="20556"/>
    <cellStyle name="Normal 7 3 3 2 7 2" xfId="36816"/>
    <cellStyle name="Normal 7 3 3 2 8" xfId="20557"/>
    <cellStyle name="Normal 7 3 3 3" xfId="20558"/>
    <cellStyle name="Normal 7 3 3 3 2" xfId="20559"/>
    <cellStyle name="Normal 7 3 3 3 2 2" xfId="20560"/>
    <cellStyle name="Normal 7 3 3 3 2 2 2" xfId="20561"/>
    <cellStyle name="Normal 7 3 3 3 2 2 3" xfId="20562"/>
    <cellStyle name="Normal 7 3 3 3 2 3" xfId="20563"/>
    <cellStyle name="Normal 7 3 3 3 2 3 2" xfId="20564"/>
    <cellStyle name="Normal 7 3 3 3 2 4" xfId="20565"/>
    <cellStyle name="Normal 7 3 3 3 3" xfId="20566"/>
    <cellStyle name="Normal 7 3 3 3 3 2" xfId="20567"/>
    <cellStyle name="Normal 7 3 3 3 3 2 2" xfId="20568"/>
    <cellStyle name="Normal 7 3 3 3 3 3" xfId="20569"/>
    <cellStyle name="Normal 7 3 3 3 4" xfId="20570"/>
    <cellStyle name="Normal 7 3 3 3 4 2" xfId="20571"/>
    <cellStyle name="Normal 7 3 3 3 4 3" xfId="20572"/>
    <cellStyle name="Normal 7 3 3 3 5" xfId="20573"/>
    <cellStyle name="Normal 7 3 3 3 5 2" xfId="20574"/>
    <cellStyle name="Normal 7 3 3 3 6" xfId="20575"/>
    <cellStyle name="Normal 7 3 3 3 6 2" xfId="36817"/>
    <cellStyle name="Normal 7 3 3 3 7" xfId="20576"/>
    <cellStyle name="Normal 7 3 3 4" xfId="20577"/>
    <cellStyle name="Normal 7 3 3 4 2" xfId="20578"/>
    <cellStyle name="Normal 7 3 3 4 2 2" xfId="20579"/>
    <cellStyle name="Normal 7 3 3 4 2 2 2" xfId="20580"/>
    <cellStyle name="Normal 7 3 3 4 2 3" xfId="20581"/>
    <cellStyle name="Normal 7 3 3 4 3" xfId="20582"/>
    <cellStyle name="Normal 7 3 3 4 3 2" xfId="20583"/>
    <cellStyle name="Normal 7 3 3 4 4" xfId="20584"/>
    <cellStyle name="Normal 7 3 3 5" xfId="20585"/>
    <cellStyle name="Normal 7 3 3 5 2" xfId="20586"/>
    <cellStyle name="Normal 7 3 3 5 2 2" xfId="20587"/>
    <cellStyle name="Normal 7 3 3 5 3" xfId="20588"/>
    <cellStyle name="Normal 7 3 3 6" xfId="20589"/>
    <cellStyle name="Normal 7 3 3 6 2" xfId="20590"/>
    <cellStyle name="Normal 7 3 3 6 2 2" xfId="20591"/>
    <cellStyle name="Normal 7 3 3 6 3" xfId="20592"/>
    <cellStyle name="Normal 7 3 3 7" xfId="20593"/>
    <cellStyle name="Normal 7 3 3 7 2" xfId="20594"/>
    <cellStyle name="Normal 7 3 3 8" xfId="20595"/>
    <cellStyle name="Normal 7 3 3 8 2" xfId="36818"/>
    <cellStyle name="Normal 7 3 3 9" xfId="20596"/>
    <cellStyle name="Normal 7 3 4" xfId="20597"/>
    <cellStyle name="Normal 7 3 4 2" xfId="20598"/>
    <cellStyle name="Normal 7 3 4 2 2" xfId="20599"/>
    <cellStyle name="Normal 7 3 4 2 2 2" xfId="20600"/>
    <cellStyle name="Normal 7 3 4 2 2 2 2" xfId="20601"/>
    <cellStyle name="Normal 7 3 4 2 2 2 2 2" xfId="20602"/>
    <cellStyle name="Normal 7 3 4 2 2 2 2 3" xfId="20603"/>
    <cellStyle name="Normal 7 3 4 2 2 2 3" xfId="20604"/>
    <cellStyle name="Normal 7 3 4 2 2 2 3 2" xfId="20605"/>
    <cellStyle name="Normal 7 3 4 2 2 2 4" xfId="20606"/>
    <cellStyle name="Normal 7 3 4 2 2 3" xfId="20607"/>
    <cellStyle name="Normal 7 3 4 2 2 3 2" xfId="20608"/>
    <cellStyle name="Normal 7 3 4 2 2 3 2 2" xfId="20609"/>
    <cellStyle name="Normal 7 3 4 2 2 3 3" xfId="20610"/>
    <cellStyle name="Normal 7 3 4 2 2 4" xfId="20611"/>
    <cellStyle name="Normal 7 3 4 2 2 4 2" xfId="20612"/>
    <cellStyle name="Normal 7 3 4 2 2 4 3" xfId="20613"/>
    <cellStyle name="Normal 7 3 4 2 2 5" xfId="20614"/>
    <cellStyle name="Normal 7 3 4 2 2 5 2" xfId="20615"/>
    <cellStyle name="Normal 7 3 4 2 2 6" xfId="20616"/>
    <cellStyle name="Normal 7 3 4 2 2 6 2" xfId="36819"/>
    <cellStyle name="Normal 7 3 4 2 2 7" xfId="20617"/>
    <cellStyle name="Normal 7 3 4 2 3" xfId="20618"/>
    <cellStyle name="Normal 7 3 4 2 3 2" xfId="20619"/>
    <cellStyle name="Normal 7 3 4 2 3 2 2" xfId="20620"/>
    <cellStyle name="Normal 7 3 4 2 3 2 2 2" xfId="20621"/>
    <cellStyle name="Normal 7 3 4 2 3 2 3" xfId="20622"/>
    <cellStyle name="Normal 7 3 4 2 3 3" xfId="20623"/>
    <cellStyle name="Normal 7 3 4 2 3 3 2" xfId="20624"/>
    <cellStyle name="Normal 7 3 4 2 3 4" xfId="20625"/>
    <cellStyle name="Normal 7 3 4 2 4" xfId="20626"/>
    <cellStyle name="Normal 7 3 4 2 4 2" xfId="20627"/>
    <cellStyle name="Normal 7 3 4 2 4 2 2" xfId="20628"/>
    <cellStyle name="Normal 7 3 4 2 4 3" xfId="20629"/>
    <cellStyle name="Normal 7 3 4 2 5" xfId="20630"/>
    <cellStyle name="Normal 7 3 4 2 5 2" xfId="20631"/>
    <cellStyle name="Normal 7 3 4 2 5 2 2" xfId="20632"/>
    <cellStyle name="Normal 7 3 4 2 5 3" xfId="20633"/>
    <cellStyle name="Normal 7 3 4 2 6" xfId="20634"/>
    <cellStyle name="Normal 7 3 4 2 6 2" xfId="20635"/>
    <cellStyle name="Normal 7 3 4 2 7" xfId="20636"/>
    <cellStyle name="Normal 7 3 4 2 7 2" xfId="36820"/>
    <cellStyle name="Normal 7 3 4 2 8" xfId="20637"/>
    <cellStyle name="Normal 7 3 4 3" xfId="20638"/>
    <cellStyle name="Normal 7 3 4 3 2" xfId="20639"/>
    <cellStyle name="Normal 7 3 4 3 2 2" xfId="20640"/>
    <cellStyle name="Normal 7 3 4 3 2 2 2" xfId="20641"/>
    <cellStyle name="Normal 7 3 4 3 2 2 3" xfId="20642"/>
    <cellStyle name="Normal 7 3 4 3 2 3" xfId="20643"/>
    <cellStyle name="Normal 7 3 4 3 2 3 2" xfId="20644"/>
    <cellStyle name="Normal 7 3 4 3 2 4" xfId="20645"/>
    <cellStyle name="Normal 7 3 4 3 3" xfId="20646"/>
    <cellStyle name="Normal 7 3 4 3 3 2" xfId="20647"/>
    <cellStyle name="Normal 7 3 4 3 3 2 2" xfId="20648"/>
    <cellStyle name="Normal 7 3 4 3 3 3" xfId="20649"/>
    <cellStyle name="Normal 7 3 4 3 4" xfId="20650"/>
    <cellStyle name="Normal 7 3 4 3 4 2" xfId="20651"/>
    <cellStyle name="Normal 7 3 4 3 4 3" xfId="20652"/>
    <cellStyle name="Normal 7 3 4 3 5" xfId="20653"/>
    <cellStyle name="Normal 7 3 4 3 5 2" xfId="20654"/>
    <cellStyle name="Normal 7 3 4 3 6" xfId="20655"/>
    <cellStyle name="Normal 7 3 4 3 6 2" xfId="36821"/>
    <cellStyle name="Normal 7 3 4 3 7" xfId="20656"/>
    <cellStyle name="Normal 7 3 4 4" xfId="20657"/>
    <cellStyle name="Normal 7 3 4 4 2" xfId="20658"/>
    <cellStyle name="Normal 7 3 4 4 2 2" xfId="20659"/>
    <cellStyle name="Normal 7 3 4 4 2 2 2" xfId="20660"/>
    <cellStyle name="Normal 7 3 4 4 2 3" xfId="20661"/>
    <cellStyle name="Normal 7 3 4 4 3" xfId="20662"/>
    <cellStyle name="Normal 7 3 4 4 3 2" xfId="20663"/>
    <cellStyle name="Normal 7 3 4 4 4" xfId="20664"/>
    <cellStyle name="Normal 7 3 4 5" xfId="20665"/>
    <cellStyle name="Normal 7 3 4 5 2" xfId="20666"/>
    <cellStyle name="Normal 7 3 4 5 2 2" xfId="20667"/>
    <cellStyle name="Normal 7 3 4 5 3" xfId="20668"/>
    <cellStyle name="Normal 7 3 4 6" xfId="20669"/>
    <cellStyle name="Normal 7 3 4 6 2" xfId="20670"/>
    <cellStyle name="Normal 7 3 4 6 2 2" xfId="20671"/>
    <cellStyle name="Normal 7 3 4 6 3" xfId="20672"/>
    <cellStyle name="Normal 7 3 4 7" xfId="20673"/>
    <cellStyle name="Normal 7 3 4 7 2" xfId="20674"/>
    <cellStyle name="Normal 7 3 4 8" xfId="20675"/>
    <cellStyle name="Normal 7 3 4 8 2" xfId="36822"/>
    <cellStyle name="Normal 7 3 4 9" xfId="20676"/>
    <cellStyle name="Normal 7 3 5" xfId="20677"/>
    <cellStyle name="Normal 7 3 5 2" xfId="20678"/>
    <cellStyle name="Normal 7 3 5 2 2" xfId="20679"/>
    <cellStyle name="Normal 7 3 5 2 2 2" xfId="20680"/>
    <cellStyle name="Normal 7 3 5 2 2 2 2" xfId="20681"/>
    <cellStyle name="Normal 7 3 5 2 2 2 3" xfId="20682"/>
    <cellStyle name="Normal 7 3 5 2 2 3" xfId="20683"/>
    <cellStyle name="Normal 7 3 5 2 2 3 2" xfId="20684"/>
    <cellStyle name="Normal 7 3 5 2 2 4" xfId="20685"/>
    <cellStyle name="Normal 7 3 5 2 3" xfId="20686"/>
    <cellStyle name="Normal 7 3 5 2 3 2" xfId="20687"/>
    <cellStyle name="Normal 7 3 5 2 3 2 2" xfId="20688"/>
    <cellStyle name="Normal 7 3 5 2 3 3" xfId="20689"/>
    <cellStyle name="Normal 7 3 5 2 4" xfId="20690"/>
    <cellStyle name="Normal 7 3 5 2 4 2" xfId="20691"/>
    <cellStyle name="Normal 7 3 5 2 4 3" xfId="20692"/>
    <cellStyle name="Normal 7 3 5 2 5" xfId="20693"/>
    <cellStyle name="Normal 7 3 5 2 5 2" xfId="20694"/>
    <cellStyle name="Normal 7 3 5 2 6" xfId="20695"/>
    <cellStyle name="Normal 7 3 5 2 6 2" xfId="36823"/>
    <cellStyle name="Normal 7 3 5 2 7" xfId="20696"/>
    <cellStyle name="Normal 7 3 5 3" xfId="20697"/>
    <cellStyle name="Normal 7 3 5 3 2" xfId="20698"/>
    <cellStyle name="Normal 7 3 5 3 2 2" xfId="20699"/>
    <cellStyle name="Normal 7 3 5 3 2 2 2" xfId="20700"/>
    <cellStyle name="Normal 7 3 5 3 2 3" xfId="20701"/>
    <cellStyle name="Normal 7 3 5 3 3" xfId="20702"/>
    <cellStyle name="Normal 7 3 5 3 3 2" xfId="20703"/>
    <cellStyle name="Normal 7 3 5 3 4" xfId="20704"/>
    <cellStyle name="Normal 7 3 5 4" xfId="20705"/>
    <cellStyle name="Normal 7 3 5 4 2" xfId="20706"/>
    <cellStyle name="Normal 7 3 5 4 2 2" xfId="20707"/>
    <cellStyle name="Normal 7 3 5 4 3" xfId="20708"/>
    <cellStyle name="Normal 7 3 5 5" xfId="20709"/>
    <cellStyle name="Normal 7 3 5 5 2" xfId="20710"/>
    <cellStyle name="Normal 7 3 5 5 2 2" xfId="20711"/>
    <cellStyle name="Normal 7 3 5 5 3" xfId="20712"/>
    <cellStyle name="Normal 7 3 5 6" xfId="20713"/>
    <cellStyle name="Normal 7 3 5 6 2" xfId="20714"/>
    <cellStyle name="Normal 7 3 5 7" xfId="20715"/>
    <cellStyle name="Normal 7 3 5 7 2" xfId="36824"/>
    <cellStyle name="Normal 7 3 5 8" xfId="20716"/>
    <cellStyle name="Normal 7 3 6" xfId="20717"/>
    <cellStyle name="Normal 7 3 6 2" xfId="20718"/>
    <cellStyle name="Normal 7 3 6 2 2" xfId="20719"/>
    <cellStyle name="Normal 7 3 6 2 2 2" xfId="20720"/>
    <cellStyle name="Normal 7 3 6 2 2 2 2" xfId="20721"/>
    <cellStyle name="Normal 7 3 6 2 2 2 3" xfId="20722"/>
    <cellStyle name="Normal 7 3 6 2 2 3" xfId="20723"/>
    <cellStyle name="Normal 7 3 6 2 2 3 2" xfId="20724"/>
    <cellStyle name="Normal 7 3 6 2 2 4" xfId="20725"/>
    <cellStyle name="Normal 7 3 6 2 3" xfId="20726"/>
    <cellStyle name="Normal 7 3 6 2 3 2" xfId="20727"/>
    <cellStyle name="Normal 7 3 6 2 3 2 2" xfId="20728"/>
    <cellStyle name="Normal 7 3 6 2 3 3" xfId="20729"/>
    <cellStyle name="Normal 7 3 6 2 4" xfId="20730"/>
    <cellStyle name="Normal 7 3 6 2 4 2" xfId="20731"/>
    <cellStyle name="Normal 7 3 6 2 4 3" xfId="20732"/>
    <cellStyle name="Normal 7 3 6 2 5" xfId="20733"/>
    <cellStyle name="Normal 7 3 6 2 5 2" xfId="20734"/>
    <cellStyle name="Normal 7 3 6 2 6" xfId="20735"/>
    <cellStyle name="Normal 7 3 6 2 6 2" xfId="36825"/>
    <cellStyle name="Normal 7 3 6 2 7" xfId="20736"/>
    <cellStyle name="Normal 7 3 6 3" xfId="20737"/>
    <cellStyle name="Normal 7 3 6 3 2" xfId="20738"/>
    <cellStyle name="Normal 7 3 6 3 2 2" xfId="20739"/>
    <cellStyle name="Normal 7 3 6 3 2 2 2" xfId="20740"/>
    <cellStyle name="Normal 7 3 6 3 2 3" xfId="20741"/>
    <cellStyle name="Normal 7 3 6 3 3" xfId="20742"/>
    <cellStyle name="Normal 7 3 6 3 3 2" xfId="20743"/>
    <cellStyle name="Normal 7 3 6 3 4" xfId="20744"/>
    <cellStyle name="Normal 7 3 6 4" xfId="20745"/>
    <cellStyle name="Normal 7 3 6 4 2" xfId="20746"/>
    <cellStyle name="Normal 7 3 6 4 2 2" xfId="20747"/>
    <cellStyle name="Normal 7 3 6 4 3" xfId="20748"/>
    <cellStyle name="Normal 7 3 6 5" xfId="20749"/>
    <cellStyle name="Normal 7 3 6 5 2" xfId="20750"/>
    <cellStyle name="Normal 7 3 6 5 2 2" xfId="20751"/>
    <cellStyle name="Normal 7 3 6 5 3" xfId="20752"/>
    <cellStyle name="Normal 7 3 6 6" xfId="20753"/>
    <cellStyle name="Normal 7 3 6 6 2" xfId="20754"/>
    <cellStyle name="Normal 7 3 6 7" xfId="20755"/>
    <cellStyle name="Normal 7 3 6 7 2" xfId="36826"/>
    <cellStyle name="Normal 7 3 6 8" xfId="20756"/>
    <cellStyle name="Normal 7 3 7" xfId="20757"/>
    <cellStyle name="Normal 7 3 7 2" xfId="20758"/>
    <cellStyle name="Normal 7 3 7 2 2" xfId="20759"/>
    <cellStyle name="Normal 7 3 7 2 2 2" xfId="20760"/>
    <cellStyle name="Normal 7 3 7 2 2 2 2" xfId="20761"/>
    <cellStyle name="Normal 7 3 7 2 2 2 3" xfId="20762"/>
    <cellStyle name="Normal 7 3 7 2 2 3" xfId="20763"/>
    <cellStyle name="Normal 7 3 7 2 2 3 2" xfId="20764"/>
    <cellStyle name="Normal 7 3 7 2 2 4" xfId="20765"/>
    <cellStyle name="Normal 7 3 7 2 3" xfId="20766"/>
    <cellStyle name="Normal 7 3 7 2 3 2" xfId="20767"/>
    <cellStyle name="Normal 7 3 7 2 3 2 2" xfId="20768"/>
    <cellStyle name="Normal 7 3 7 2 3 3" xfId="20769"/>
    <cellStyle name="Normal 7 3 7 2 4" xfId="20770"/>
    <cellStyle name="Normal 7 3 7 2 4 2" xfId="20771"/>
    <cellStyle name="Normal 7 3 7 2 4 3" xfId="20772"/>
    <cellStyle name="Normal 7 3 7 2 5" xfId="20773"/>
    <cellStyle name="Normal 7 3 7 2 5 2" xfId="20774"/>
    <cellStyle name="Normal 7 3 7 2 6" xfId="20775"/>
    <cellStyle name="Normal 7 3 7 2 6 2" xfId="36827"/>
    <cellStyle name="Normal 7 3 7 2 7" xfId="20776"/>
    <cellStyle name="Normal 7 3 7 3" xfId="20777"/>
    <cellStyle name="Normal 7 3 7 3 2" xfId="20778"/>
    <cellStyle name="Normal 7 3 7 3 2 2" xfId="20779"/>
    <cellStyle name="Normal 7 3 7 3 2 2 2" xfId="20780"/>
    <cellStyle name="Normal 7 3 7 3 2 3" xfId="20781"/>
    <cellStyle name="Normal 7 3 7 3 3" xfId="20782"/>
    <cellStyle name="Normal 7 3 7 3 3 2" xfId="20783"/>
    <cellStyle name="Normal 7 3 7 3 4" xfId="20784"/>
    <cellStyle name="Normal 7 3 7 4" xfId="20785"/>
    <cellStyle name="Normal 7 3 7 4 2" xfId="20786"/>
    <cellStyle name="Normal 7 3 7 4 2 2" xfId="20787"/>
    <cellStyle name="Normal 7 3 7 4 3" xfId="20788"/>
    <cellStyle name="Normal 7 3 7 5" xfId="20789"/>
    <cellStyle name="Normal 7 3 7 5 2" xfId="20790"/>
    <cellStyle name="Normal 7 3 7 5 2 2" xfId="20791"/>
    <cellStyle name="Normal 7 3 7 5 3" xfId="20792"/>
    <cellStyle name="Normal 7 3 7 6" xfId="20793"/>
    <cellStyle name="Normal 7 3 7 6 2" xfId="20794"/>
    <cellStyle name="Normal 7 3 7 7" xfId="20795"/>
    <cellStyle name="Normal 7 3 7 7 2" xfId="36828"/>
    <cellStyle name="Normal 7 3 7 8" xfId="20796"/>
    <cellStyle name="Normal 7 3 8" xfId="20797"/>
    <cellStyle name="Normal 7 3 8 2" xfId="20798"/>
    <cellStyle name="Normal 7 3 8 2 2" xfId="20799"/>
    <cellStyle name="Normal 7 3 8 2 2 2" xfId="20800"/>
    <cellStyle name="Normal 7 3 8 2 2 3" xfId="20801"/>
    <cellStyle name="Normal 7 3 8 2 3" xfId="20802"/>
    <cellStyle name="Normal 7 3 8 2 3 2" xfId="20803"/>
    <cellStyle name="Normal 7 3 8 2 4" xfId="20804"/>
    <cellStyle name="Normal 7 3 8 3" xfId="20805"/>
    <cellStyle name="Normal 7 3 8 3 2" xfId="20806"/>
    <cellStyle name="Normal 7 3 8 3 2 2" xfId="20807"/>
    <cellStyle name="Normal 7 3 8 3 3" xfId="20808"/>
    <cellStyle name="Normal 7 3 8 4" xfId="20809"/>
    <cellStyle name="Normal 7 3 8 4 2" xfId="20810"/>
    <cellStyle name="Normal 7 3 8 4 3" xfId="20811"/>
    <cellStyle name="Normal 7 3 8 5" xfId="20812"/>
    <cellStyle name="Normal 7 3 8 5 2" xfId="20813"/>
    <cellStyle name="Normal 7 3 8 6" xfId="20814"/>
    <cellStyle name="Normal 7 3 8 6 2" xfId="36829"/>
    <cellStyle name="Normal 7 3 8 7" xfId="20815"/>
    <cellStyle name="Normal 7 3 9" xfId="20816"/>
    <cellStyle name="Normal 7 3 9 2" xfId="20817"/>
    <cellStyle name="Normal 7 3 9 2 2" xfId="20818"/>
    <cellStyle name="Normal 7 3 9 2 2 2" xfId="20819"/>
    <cellStyle name="Normal 7 3 9 2 3" xfId="20820"/>
    <cellStyle name="Normal 7 3 9 3" xfId="20821"/>
    <cellStyle name="Normal 7 3 9 3 2" xfId="20822"/>
    <cellStyle name="Normal 7 3 9 4" xfId="20823"/>
    <cellStyle name="Normal 7 4" xfId="20824"/>
    <cellStyle name="Normal 7 4 10" xfId="20825"/>
    <cellStyle name="Normal 7 4 10 2" xfId="20826"/>
    <cellStyle name="Normal 7 4 10 2 2" xfId="20827"/>
    <cellStyle name="Normal 7 4 10 3" xfId="20828"/>
    <cellStyle name="Normal 7 4 11" xfId="20829"/>
    <cellStyle name="Normal 7 4 11 2" xfId="20830"/>
    <cellStyle name="Normal 7 4 11 2 2" xfId="20831"/>
    <cellStyle name="Normal 7 4 11 3" xfId="20832"/>
    <cellStyle name="Normal 7 4 12" xfId="20833"/>
    <cellStyle name="Normal 7 4 12 2" xfId="20834"/>
    <cellStyle name="Normal 7 4 13" xfId="20835"/>
    <cellStyle name="Normal 7 4 13 2" xfId="36830"/>
    <cellStyle name="Normal 7 4 14" xfId="20836"/>
    <cellStyle name="Normal 7 4 2" xfId="20837"/>
    <cellStyle name="Normal 7 4 2 10" xfId="20838"/>
    <cellStyle name="Normal 7 4 2 2" xfId="20839"/>
    <cellStyle name="Normal 7 4 2 2 2" xfId="20840"/>
    <cellStyle name="Normal 7 4 2 2 2 2" xfId="20841"/>
    <cellStyle name="Normal 7 4 2 2 2 2 2" xfId="20842"/>
    <cellStyle name="Normal 7 4 2 2 2 2 2 2" xfId="20843"/>
    <cellStyle name="Normal 7 4 2 2 2 2 2 2 2" xfId="20844"/>
    <cellStyle name="Normal 7 4 2 2 2 2 2 2 3" xfId="20845"/>
    <cellStyle name="Normal 7 4 2 2 2 2 2 3" xfId="20846"/>
    <cellStyle name="Normal 7 4 2 2 2 2 2 3 2" xfId="20847"/>
    <cellStyle name="Normal 7 4 2 2 2 2 2 4" xfId="20848"/>
    <cellStyle name="Normal 7 4 2 2 2 2 3" xfId="20849"/>
    <cellStyle name="Normal 7 4 2 2 2 2 3 2" xfId="20850"/>
    <cellStyle name="Normal 7 4 2 2 2 2 3 2 2" xfId="20851"/>
    <cellStyle name="Normal 7 4 2 2 2 2 3 3" xfId="20852"/>
    <cellStyle name="Normal 7 4 2 2 2 2 4" xfId="20853"/>
    <cellStyle name="Normal 7 4 2 2 2 2 4 2" xfId="20854"/>
    <cellStyle name="Normal 7 4 2 2 2 2 4 3" xfId="20855"/>
    <cellStyle name="Normal 7 4 2 2 2 2 5" xfId="20856"/>
    <cellStyle name="Normal 7 4 2 2 2 2 5 2" xfId="20857"/>
    <cellStyle name="Normal 7 4 2 2 2 2 6" xfId="20858"/>
    <cellStyle name="Normal 7 4 2 2 2 2 6 2" xfId="36831"/>
    <cellStyle name="Normal 7 4 2 2 2 2 7" xfId="20859"/>
    <cellStyle name="Normal 7 4 2 2 2 3" xfId="20860"/>
    <cellStyle name="Normal 7 4 2 2 2 3 2" xfId="20861"/>
    <cellStyle name="Normal 7 4 2 2 2 3 2 2" xfId="20862"/>
    <cellStyle name="Normal 7 4 2 2 2 3 2 2 2" xfId="20863"/>
    <cellStyle name="Normal 7 4 2 2 2 3 2 3" xfId="20864"/>
    <cellStyle name="Normal 7 4 2 2 2 3 3" xfId="20865"/>
    <cellStyle name="Normal 7 4 2 2 2 3 3 2" xfId="20866"/>
    <cellStyle name="Normal 7 4 2 2 2 3 4" xfId="20867"/>
    <cellStyle name="Normal 7 4 2 2 2 4" xfId="20868"/>
    <cellStyle name="Normal 7 4 2 2 2 4 2" xfId="20869"/>
    <cellStyle name="Normal 7 4 2 2 2 4 2 2" xfId="20870"/>
    <cellStyle name="Normal 7 4 2 2 2 4 3" xfId="20871"/>
    <cellStyle name="Normal 7 4 2 2 2 5" xfId="20872"/>
    <cellStyle name="Normal 7 4 2 2 2 5 2" xfId="20873"/>
    <cellStyle name="Normal 7 4 2 2 2 5 2 2" xfId="20874"/>
    <cellStyle name="Normal 7 4 2 2 2 5 3" xfId="20875"/>
    <cellStyle name="Normal 7 4 2 2 2 6" xfId="20876"/>
    <cellStyle name="Normal 7 4 2 2 2 6 2" xfId="20877"/>
    <cellStyle name="Normal 7 4 2 2 2 7" xfId="20878"/>
    <cellStyle name="Normal 7 4 2 2 2 7 2" xfId="36832"/>
    <cellStyle name="Normal 7 4 2 2 2 8" xfId="20879"/>
    <cellStyle name="Normal 7 4 2 2 3" xfId="20880"/>
    <cellStyle name="Normal 7 4 2 2 3 2" xfId="20881"/>
    <cellStyle name="Normal 7 4 2 2 3 2 2" xfId="20882"/>
    <cellStyle name="Normal 7 4 2 2 3 2 2 2" xfId="20883"/>
    <cellStyle name="Normal 7 4 2 2 3 2 2 3" xfId="20884"/>
    <cellStyle name="Normal 7 4 2 2 3 2 3" xfId="20885"/>
    <cellStyle name="Normal 7 4 2 2 3 2 3 2" xfId="20886"/>
    <cellStyle name="Normal 7 4 2 2 3 2 4" xfId="20887"/>
    <cellStyle name="Normal 7 4 2 2 3 3" xfId="20888"/>
    <cellStyle name="Normal 7 4 2 2 3 3 2" xfId="20889"/>
    <cellStyle name="Normal 7 4 2 2 3 3 2 2" xfId="20890"/>
    <cellStyle name="Normal 7 4 2 2 3 3 3" xfId="20891"/>
    <cellStyle name="Normal 7 4 2 2 3 4" xfId="20892"/>
    <cellStyle name="Normal 7 4 2 2 3 4 2" xfId="20893"/>
    <cellStyle name="Normal 7 4 2 2 3 4 3" xfId="20894"/>
    <cellStyle name="Normal 7 4 2 2 3 5" xfId="20895"/>
    <cellStyle name="Normal 7 4 2 2 3 5 2" xfId="20896"/>
    <cellStyle name="Normal 7 4 2 2 3 6" xfId="20897"/>
    <cellStyle name="Normal 7 4 2 2 3 6 2" xfId="36833"/>
    <cellStyle name="Normal 7 4 2 2 3 7" xfId="20898"/>
    <cellStyle name="Normal 7 4 2 2 4" xfId="20899"/>
    <cellStyle name="Normal 7 4 2 2 4 2" xfId="20900"/>
    <cellStyle name="Normal 7 4 2 2 4 2 2" xfId="20901"/>
    <cellStyle name="Normal 7 4 2 2 4 2 2 2" xfId="20902"/>
    <cellStyle name="Normal 7 4 2 2 4 2 3" xfId="20903"/>
    <cellStyle name="Normal 7 4 2 2 4 3" xfId="20904"/>
    <cellStyle name="Normal 7 4 2 2 4 3 2" xfId="20905"/>
    <cellStyle name="Normal 7 4 2 2 4 4" xfId="20906"/>
    <cellStyle name="Normal 7 4 2 2 5" xfId="20907"/>
    <cellStyle name="Normal 7 4 2 2 5 2" xfId="20908"/>
    <cellStyle name="Normal 7 4 2 2 5 2 2" xfId="20909"/>
    <cellStyle name="Normal 7 4 2 2 5 3" xfId="20910"/>
    <cellStyle name="Normal 7 4 2 2 6" xfId="20911"/>
    <cellStyle name="Normal 7 4 2 2 6 2" xfId="20912"/>
    <cellStyle name="Normal 7 4 2 2 6 2 2" xfId="20913"/>
    <cellStyle name="Normal 7 4 2 2 6 3" xfId="20914"/>
    <cellStyle name="Normal 7 4 2 2 7" xfId="20915"/>
    <cellStyle name="Normal 7 4 2 2 7 2" xfId="20916"/>
    <cellStyle name="Normal 7 4 2 2 8" xfId="20917"/>
    <cellStyle name="Normal 7 4 2 2 8 2" xfId="36834"/>
    <cellStyle name="Normal 7 4 2 2 9" xfId="20918"/>
    <cellStyle name="Normal 7 4 2 3" xfId="20919"/>
    <cellStyle name="Normal 7 4 2 3 2" xfId="20920"/>
    <cellStyle name="Normal 7 4 2 3 2 2" xfId="20921"/>
    <cellStyle name="Normal 7 4 2 3 2 2 2" xfId="20922"/>
    <cellStyle name="Normal 7 4 2 3 2 2 2 2" xfId="20923"/>
    <cellStyle name="Normal 7 4 2 3 2 2 2 3" xfId="20924"/>
    <cellStyle name="Normal 7 4 2 3 2 2 3" xfId="20925"/>
    <cellStyle name="Normal 7 4 2 3 2 2 3 2" xfId="20926"/>
    <cellStyle name="Normal 7 4 2 3 2 2 4" xfId="20927"/>
    <cellStyle name="Normal 7 4 2 3 2 3" xfId="20928"/>
    <cellStyle name="Normal 7 4 2 3 2 3 2" xfId="20929"/>
    <cellStyle name="Normal 7 4 2 3 2 3 2 2" xfId="20930"/>
    <cellStyle name="Normal 7 4 2 3 2 3 3" xfId="20931"/>
    <cellStyle name="Normal 7 4 2 3 2 4" xfId="20932"/>
    <cellStyle name="Normal 7 4 2 3 2 4 2" xfId="20933"/>
    <cellStyle name="Normal 7 4 2 3 2 4 3" xfId="20934"/>
    <cellStyle name="Normal 7 4 2 3 2 5" xfId="20935"/>
    <cellStyle name="Normal 7 4 2 3 2 5 2" xfId="20936"/>
    <cellStyle name="Normal 7 4 2 3 2 6" xfId="20937"/>
    <cellStyle name="Normal 7 4 2 3 2 6 2" xfId="36835"/>
    <cellStyle name="Normal 7 4 2 3 2 7" xfId="20938"/>
    <cellStyle name="Normal 7 4 2 3 3" xfId="20939"/>
    <cellStyle name="Normal 7 4 2 3 3 2" xfId="20940"/>
    <cellStyle name="Normal 7 4 2 3 3 2 2" xfId="20941"/>
    <cellStyle name="Normal 7 4 2 3 3 2 2 2" xfId="20942"/>
    <cellStyle name="Normal 7 4 2 3 3 2 3" xfId="20943"/>
    <cellStyle name="Normal 7 4 2 3 3 3" xfId="20944"/>
    <cellStyle name="Normal 7 4 2 3 3 3 2" xfId="20945"/>
    <cellStyle name="Normal 7 4 2 3 3 4" xfId="20946"/>
    <cellStyle name="Normal 7 4 2 3 4" xfId="20947"/>
    <cellStyle name="Normal 7 4 2 3 4 2" xfId="20948"/>
    <cellStyle name="Normal 7 4 2 3 4 2 2" xfId="20949"/>
    <cellStyle name="Normal 7 4 2 3 4 3" xfId="20950"/>
    <cellStyle name="Normal 7 4 2 3 5" xfId="20951"/>
    <cellStyle name="Normal 7 4 2 3 5 2" xfId="20952"/>
    <cellStyle name="Normal 7 4 2 3 5 2 2" xfId="20953"/>
    <cellStyle name="Normal 7 4 2 3 5 3" xfId="20954"/>
    <cellStyle name="Normal 7 4 2 3 6" xfId="20955"/>
    <cellStyle name="Normal 7 4 2 3 6 2" xfId="20956"/>
    <cellStyle name="Normal 7 4 2 3 7" xfId="20957"/>
    <cellStyle name="Normal 7 4 2 3 7 2" xfId="36836"/>
    <cellStyle name="Normal 7 4 2 3 8" xfId="20958"/>
    <cellStyle name="Normal 7 4 2 4" xfId="20959"/>
    <cellStyle name="Normal 7 4 2 4 2" xfId="20960"/>
    <cellStyle name="Normal 7 4 2 4 2 2" xfId="20961"/>
    <cellStyle name="Normal 7 4 2 4 2 2 2" xfId="20962"/>
    <cellStyle name="Normal 7 4 2 4 2 2 3" xfId="20963"/>
    <cellStyle name="Normal 7 4 2 4 2 3" xfId="20964"/>
    <cellStyle name="Normal 7 4 2 4 2 3 2" xfId="20965"/>
    <cellStyle name="Normal 7 4 2 4 2 4" xfId="20966"/>
    <cellStyle name="Normal 7 4 2 4 3" xfId="20967"/>
    <cellStyle name="Normal 7 4 2 4 3 2" xfId="20968"/>
    <cellStyle name="Normal 7 4 2 4 3 2 2" xfId="20969"/>
    <cellStyle name="Normal 7 4 2 4 3 3" xfId="20970"/>
    <cellStyle name="Normal 7 4 2 4 4" xfId="20971"/>
    <cellStyle name="Normal 7 4 2 4 4 2" xfId="20972"/>
    <cellStyle name="Normal 7 4 2 4 4 3" xfId="20973"/>
    <cellStyle name="Normal 7 4 2 4 5" xfId="20974"/>
    <cellStyle name="Normal 7 4 2 4 5 2" xfId="20975"/>
    <cellStyle name="Normal 7 4 2 4 6" xfId="20976"/>
    <cellStyle name="Normal 7 4 2 4 6 2" xfId="36837"/>
    <cellStyle name="Normal 7 4 2 4 7" xfId="20977"/>
    <cellStyle name="Normal 7 4 2 5" xfId="20978"/>
    <cellStyle name="Normal 7 4 2 5 2" xfId="20979"/>
    <cellStyle name="Normal 7 4 2 5 2 2" xfId="20980"/>
    <cellStyle name="Normal 7 4 2 5 2 2 2" xfId="20981"/>
    <cellStyle name="Normal 7 4 2 5 2 3" xfId="20982"/>
    <cellStyle name="Normal 7 4 2 5 3" xfId="20983"/>
    <cellStyle name="Normal 7 4 2 5 3 2" xfId="20984"/>
    <cellStyle name="Normal 7 4 2 5 4" xfId="20985"/>
    <cellStyle name="Normal 7 4 2 6" xfId="20986"/>
    <cellStyle name="Normal 7 4 2 6 2" xfId="20987"/>
    <cellStyle name="Normal 7 4 2 6 2 2" xfId="20988"/>
    <cellStyle name="Normal 7 4 2 6 3" xfId="20989"/>
    <cellStyle name="Normal 7 4 2 7" xfId="20990"/>
    <cellStyle name="Normal 7 4 2 7 2" xfId="20991"/>
    <cellStyle name="Normal 7 4 2 7 2 2" xfId="20992"/>
    <cellStyle name="Normal 7 4 2 7 3" xfId="20993"/>
    <cellStyle name="Normal 7 4 2 8" xfId="20994"/>
    <cellStyle name="Normal 7 4 2 8 2" xfId="20995"/>
    <cellStyle name="Normal 7 4 2 9" xfId="20996"/>
    <cellStyle name="Normal 7 4 2 9 2" xfId="36838"/>
    <cellStyle name="Normal 7 4 3" xfId="20997"/>
    <cellStyle name="Normal 7 4 3 2" xfId="20998"/>
    <cellStyle name="Normal 7 4 3 2 2" xfId="20999"/>
    <cellStyle name="Normal 7 4 3 2 2 2" xfId="21000"/>
    <cellStyle name="Normal 7 4 3 2 2 2 2" xfId="21001"/>
    <cellStyle name="Normal 7 4 3 2 2 2 2 2" xfId="21002"/>
    <cellStyle name="Normal 7 4 3 2 2 2 2 3" xfId="21003"/>
    <cellStyle name="Normal 7 4 3 2 2 2 3" xfId="21004"/>
    <cellStyle name="Normal 7 4 3 2 2 2 3 2" xfId="21005"/>
    <cellStyle name="Normal 7 4 3 2 2 2 4" xfId="21006"/>
    <cellStyle name="Normal 7 4 3 2 2 3" xfId="21007"/>
    <cellStyle name="Normal 7 4 3 2 2 3 2" xfId="21008"/>
    <cellStyle name="Normal 7 4 3 2 2 3 2 2" xfId="21009"/>
    <cellStyle name="Normal 7 4 3 2 2 3 3" xfId="21010"/>
    <cellStyle name="Normal 7 4 3 2 2 4" xfId="21011"/>
    <cellStyle name="Normal 7 4 3 2 2 4 2" xfId="21012"/>
    <cellStyle name="Normal 7 4 3 2 2 4 3" xfId="21013"/>
    <cellStyle name="Normal 7 4 3 2 2 5" xfId="21014"/>
    <cellStyle name="Normal 7 4 3 2 2 5 2" xfId="21015"/>
    <cellStyle name="Normal 7 4 3 2 2 6" xfId="21016"/>
    <cellStyle name="Normal 7 4 3 2 2 6 2" xfId="36839"/>
    <cellStyle name="Normal 7 4 3 2 2 7" xfId="21017"/>
    <cellStyle name="Normal 7 4 3 2 3" xfId="21018"/>
    <cellStyle name="Normal 7 4 3 2 3 2" xfId="21019"/>
    <cellStyle name="Normal 7 4 3 2 3 2 2" xfId="21020"/>
    <cellStyle name="Normal 7 4 3 2 3 2 2 2" xfId="21021"/>
    <cellStyle name="Normal 7 4 3 2 3 2 3" xfId="21022"/>
    <cellStyle name="Normal 7 4 3 2 3 3" xfId="21023"/>
    <cellStyle name="Normal 7 4 3 2 3 3 2" xfId="21024"/>
    <cellStyle name="Normal 7 4 3 2 3 4" xfId="21025"/>
    <cellStyle name="Normal 7 4 3 2 4" xfId="21026"/>
    <cellStyle name="Normal 7 4 3 2 4 2" xfId="21027"/>
    <cellStyle name="Normal 7 4 3 2 4 2 2" xfId="21028"/>
    <cellStyle name="Normal 7 4 3 2 4 3" xfId="21029"/>
    <cellStyle name="Normal 7 4 3 2 5" xfId="21030"/>
    <cellStyle name="Normal 7 4 3 2 5 2" xfId="21031"/>
    <cellStyle name="Normal 7 4 3 2 5 2 2" xfId="21032"/>
    <cellStyle name="Normal 7 4 3 2 5 3" xfId="21033"/>
    <cellStyle name="Normal 7 4 3 2 6" xfId="21034"/>
    <cellStyle name="Normal 7 4 3 2 6 2" xfId="21035"/>
    <cellStyle name="Normal 7 4 3 2 7" xfId="21036"/>
    <cellStyle name="Normal 7 4 3 2 7 2" xfId="36840"/>
    <cellStyle name="Normal 7 4 3 2 8" xfId="21037"/>
    <cellStyle name="Normal 7 4 3 3" xfId="21038"/>
    <cellStyle name="Normal 7 4 3 3 2" xfId="21039"/>
    <cellStyle name="Normal 7 4 3 3 2 2" xfId="21040"/>
    <cellStyle name="Normal 7 4 3 3 2 2 2" xfId="21041"/>
    <cellStyle name="Normal 7 4 3 3 2 2 3" xfId="21042"/>
    <cellStyle name="Normal 7 4 3 3 2 3" xfId="21043"/>
    <cellStyle name="Normal 7 4 3 3 2 3 2" xfId="21044"/>
    <cellStyle name="Normal 7 4 3 3 2 4" xfId="21045"/>
    <cellStyle name="Normal 7 4 3 3 3" xfId="21046"/>
    <cellStyle name="Normal 7 4 3 3 3 2" xfId="21047"/>
    <cellStyle name="Normal 7 4 3 3 3 2 2" xfId="21048"/>
    <cellStyle name="Normal 7 4 3 3 3 3" xfId="21049"/>
    <cellStyle name="Normal 7 4 3 3 4" xfId="21050"/>
    <cellStyle name="Normal 7 4 3 3 4 2" xfId="21051"/>
    <cellStyle name="Normal 7 4 3 3 4 3" xfId="21052"/>
    <cellStyle name="Normal 7 4 3 3 5" xfId="21053"/>
    <cellStyle name="Normal 7 4 3 3 5 2" xfId="21054"/>
    <cellStyle name="Normal 7 4 3 3 6" xfId="21055"/>
    <cellStyle name="Normal 7 4 3 3 6 2" xfId="36841"/>
    <cellStyle name="Normal 7 4 3 3 7" xfId="21056"/>
    <cellStyle name="Normal 7 4 3 4" xfId="21057"/>
    <cellStyle name="Normal 7 4 3 4 2" xfId="21058"/>
    <cellStyle name="Normal 7 4 3 4 2 2" xfId="21059"/>
    <cellStyle name="Normal 7 4 3 4 2 2 2" xfId="21060"/>
    <cellStyle name="Normal 7 4 3 4 2 3" xfId="21061"/>
    <cellStyle name="Normal 7 4 3 4 3" xfId="21062"/>
    <cellStyle name="Normal 7 4 3 4 3 2" xfId="21063"/>
    <cellStyle name="Normal 7 4 3 4 4" xfId="21064"/>
    <cellStyle name="Normal 7 4 3 5" xfId="21065"/>
    <cellStyle name="Normal 7 4 3 5 2" xfId="21066"/>
    <cellStyle name="Normal 7 4 3 5 2 2" xfId="21067"/>
    <cellStyle name="Normal 7 4 3 5 3" xfId="21068"/>
    <cellStyle name="Normal 7 4 3 6" xfId="21069"/>
    <cellStyle name="Normal 7 4 3 6 2" xfId="21070"/>
    <cellStyle name="Normal 7 4 3 6 2 2" xfId="21071"/>
    <cellStyle name="Normal 7 4 3 6 3" xfId="21072"/>
    <cellStyle name="Normal 7 4 3 7" xfId="21073"/>
    <cellStyle name="Normal 7 4 3 7 2" xfId="21074"/>
    <cellStyle name="Normal 7 4 3 8" xfId="21075"/>
    <cellStyle name="Normal 7 4 3 8 2" xfId="36842"/>
    <cellStyle name="Normal 7 4 3 9" xfId="21076"/>
    <cellStyle name="Normal 7 4 4" xfId="21077"/>
    <cellStyle name="Normal 7 4 4 2" xfId="21078"/>
    <cellStyle name="Normal 7 4 4 2 2" xfId="21079"/>
    <cellStyle name="Normal 7 4 4 2 2 2" xfId="21080"/>
    <cellStyle name="Normal 7 4 4 2 2 2 2" xfId="21081"/>
    <cellStyle name="Normal 7 4 4 2 2 2 2 2" xfId="21082"/>
    <cellStyle name="Normal 7 4 4 2 2 2 2 3" xfId="21083"/>
    <cellStyle name="Normal 7 4 4 2 2 2 3" xfId="21084"/>
    <cellStyle name="Normal 7 4 4 2 2 2 3 2" xfId="21085"/>
    <cellStyle name="Normal 7 4 4 2 2 2 4" xfId="21086"/>
    <cellStyle name="Normal 7 4 4 2 2 3" xfId="21087"/>
    <cellStyle name="Normal 7 4 4 2 2 3 2" xfId="21088"/>
    <cellStyle name="Normal 7 4 4 2 2 3 2 2" xfId="21089"/>
    <cellStyle name="Normal 7 4 4 2 2 3 3" xfId="21090"/>
    <cellStyle name="Normal 7 4 4 2 2 4" xfId="21091"/>
    <cellStyle name="Normal 7 4 4 2 2 4 2" xfId="21092"/>
    <cellStyle name="Normal 7 4 4 2 2 4 3" xfId="21093"/>
    <cellStyle name="Normal 7 4 4 2 2 5" xfId="21094"/>
    <cellStyle name="Normal 7 4 4 2 2 5 2" xfId="21095"/>
    <cellStyle name="Normal 7 4 4 2 2 6" xfId="21096"/>
    <cellStyle name="Normal 7 4 4 2 2 6 2" xfId="36843"/>
    <cellStyle name="Normal 7 4 4 2 2 7" xfId="21097"/>
    <cellStyle name="Normal 7 4 4 2 3" xfId="21098"/>
    <cellStyle name="Normal 7 4 4 2 3 2" xfId="21099"/>
    <cellStyle name="Normal 7 4 4 2 3 2 2" xfId="21100"/>
    <cellStyle name="Normal 7 4 4 2 3 2 2 2" xfId="21101"/>
    <cellStyle name="Normal 7 4 4 2 3 2 3" xfId="21102"/>
    <cellStyle name="Normal 7 4 4 2 3 3" xfId="21103"/>
    <cellStyle name="Normal 7 4 4 2 3 3 2" xfId="21104"/>
    <cellStyle name="Normal 7 4 4 2 3 4" xfId="21105"/>
    <cellStyle name="Normal 7 4 4 2 4" xfId="21106"/>
    <cellStyle name="Normal 7 4 4 2 4 2" xfId="21107"/>
    <cellStyle name="Normal 7 4 4 2 4 2 2" xfId="21108"/>
    <cellStyle name="Normal 7 4 4 2 4 3" xfId="21109"/>
    <cellStyle name="Normal 7 4 4 2 5" xfId="21110"/>
    <cellStyle name="Normal 7 4 4 2 5 2" xfId="21111"/>
    <cellStyle name="Normal 7 4 4 2 5 2 2" xfId="21112"/>
    <cellStyle name="Normal 7 4 4 2 5 3" xfId="21113"/>
    <cellStyle name="Normal 7 4 4 2 6" xfId="21114"/>
    <cellStyle name="Normal 7 4 4 2 6 2" xfId="21115"/>
    <cellStyle name="Normal 7 4 4 2 7" xfId="21116"/>
    <cellStyle name="Normal 7 4 4 2 7 2" xfId="36844"/>
    <cellStyle name="Normal 7 4 4 2 8" xfId="21117"/>
    <cellStyle name="Normal 7 4 4 3" xfId="21118"/>
    <cellStyle name="Normal 7 4 4 3 2" xfId="21119"/>
    <cellStyle name="Normal 7 4 4 3 2 2" xfId="21120"/>
    <cellStyle name="Normal 7 4 4 3 2 2 2" xfId="21121"/>
    <cellStyle name="Normal 7 4 4 3 2 2 3" xfId="21122"/>
    <cellStyle name="Normal 7 4 4 3 2 3" xfId="21123"/>
    <cellStyle name="Normal 7 4 4 3 2 3 2" xfId="21124"/>
    <cellStyle name="Normal 7 4 4 3 2 4" xfId="21125"/>
    <cellStyle name="Normal 7 4 4 3 3" xfId="21126"/>
    <cellStyle name="Normal 7 4 4 3 3 2" xfId="21127"/>
    <cellStyle name="Normal 7 4 4 3 3 2 2" xfId="21128"/>
    <cellStyle name="Normal 7 4 4 3 3 3" xfId="21129"/>
    <cellStyle name="Normal 7 4 4 3 4" xfId="21130"/>
    <cellStyle name="Normal 7 4 4 3 4 2" xfId="21131"/>
    <cellStyle name="Normal 7 4 4 3 4 3" xfId="21132"/>
    <cellStyle name="Normal 7 4 4 3 5" xfId="21133"/>
    <cellStyle name="Normal 7 4 4 3 5 2" xfId="21134"/>
    <cellStyle name="Normal 7 4 4 3 6" xfId="21135"/>
    <cellStyle name="Normal 7 4 4 3 6 2" xfId="36845"/>
    <cellStyle name="Normal 7 4 4 3 7" xfId="21136"/>
    <cellStyle name="Normal 7 4 4 4" xfId="21137"/>
    <cellStyle name="Normal 7 4 4 4 2" xfId="21138"/>
    <cellStyle name="Normal 7 4 4 4 2 2" xfId="21139"/>
    <cellStyle name="Normal 7 4 4 4 2 2 2" xfId="21140"/>
    <cellStyle name="Normal 7 4 4 4 2 3" xfId="21141"/>
    <cellStyle name="Normal 7 4 4 4 3" xfId="21142"/>
    <cellStyle name="Normal 7 4 4 4 3 2" xfId="21143"/>
    <cellStyle name="Normal 7 4 4 4 4" xfId="21144"/>
    <cellStyle name="Normal 7 4 4 5" xfId="21145"/>
    <cellStyle name="Normal 7 4 4 5 2" xfId="21146"/>
    <cellStyle name="Normal 7 4 4 5 2 2" xfId="21147"/>
    <cellStyle name="Normal 7 4 4 5 3" xfId="21148"/>
    <cellStyle name="Normal 7 4 4 6" xfId="21149"/>
    <cellStyle name="Normal 7 4 4 6 2" xfId="21150"/>
    <cellStyle name="Normal 7 4 4 6 2 2" xfId="21151"/>
    <cellStyle name="Normal 7 4 4 6 3" xfId="21152"/>
    <cellStyle name="Normal 7 4 4 7" xfId="21153"/>
    <cellStyle name="Normal 7 4 4 7 2" xfId="21154"/>
    <cellStyle name="Normal 7 4 4 8" xfId="21155"/>
    <cellStyle name="Normal 7 4 4 8 2" xfId="36846"/>
    <cellStyle name="Normal 7 4 4 9" xfId="21156"/>
    <cellStyle name="Normal 7 4 5" xfId="21157"/>
    <cellStyle name="Normal 7 4 5 2" xfId="21158"/>
    <cellStyle name="Normal 7 4 5 2 2" xfId="21159"/>
    <cellStyle name="Normal 7 4 5 2 2 2" xfId="21160"/>
    <cellStyle name="Normal 7 4 5 2 2 2 2" xfId="21161"/>
    <cellStyle name="Normal 7 4 5 2 2 2 3" xfId="21162"/>
    <cellStyle name="Normal 7 4 5 2 2 3" xfId="21163"/>
    <cellStyle name="Normal 7 4 5 2 2 3 2" xfId="21164"/>
    <cellStyle name="Normal 7 4 5 2 2 4" xfId="21165"/>
    <cellStyle name="Normal 7 4 5 2 3" xfId="21166"/>
    <cellStyle name="Normal 7 4 5 2 3 2" xfId="21167"/>
    <cellStyle name="Normal 7 4 5 2 3 2 2" xfId="21168"/>
    <cellStyle name="Normal 7 4 5 2 3 3" xfId="21169"/>
    <cellStyle name="Normal 7 4 5 2 4" xfId="21170"/>
    <cellStyle name="Normal 7 4 5 2 4 2" xfId="21171"/>
    <cellStyle name="Normal 7 4 5 2 4 3" xfId="21172"/>
    <cellStyle name="Normal 7 4 5 2 5" xfId="21173"/>
    <cellStyle name="Normal 7 4 5 2 5 2" xfId="21174"/>
    <cellStyle name="Normal 7 4 5 2 6" xfId="21175"/>
    <cellStyle name="Normal 7 4 5 2 6 2" xfId="36847"/>
    <cellStyle name="Normal 7 4 5 2 7" xfId="21176"/>
    <cellStyle name="Normal 7 4 5 3" xfId="21177"/>
    <cellStyle name="Normal 7 4 5 3 2" xfId="21178"/>
    <cellStyle name="Normal 7 4 5 3 2 2" xfId="21179"/>
    <cellStyle name="Normal 7 4 5 3 2 2 2" xfId="21180"/>
    <cellStyle name="Normal 7 4 5 3 2 3" xfId="21181"/>
    <cellStyle name="Normal 7 4 5 3 3" xfId="21182"/>
    <cellStyle name="Normal 7 4 5 3 3 2" xfId="21183"/>
    <cellStyle name="Normal 7 4 5 3 4" xfId="21184"/>
    <cellStyle name="Normal 7 4 5 4" xfId="21185"/>
    <cellStyle name="Normal 7 4 5 4 2" xfId="21186"/>
    <cellStyle name="Normal 7 4 5 4 2 2" xfId="21187"/>
    <cellStyle name="Normal 7 4 5 4 3" xfId="21188"/>
    <cellStyle name="Normal 7 4 5 5" xfId="21189"/>
    <cellStyle name="Normal 7 4 5 5 2" xfId="21190"/>
    <cellStyle name="Normal 7 4 5 5 2 2" xfId="21191"/>
    <cellStyle name="Normal 7 4 5 5 3" xfId="21192"/>
    <cellStyle name="Normal 7 4 5 6" xfId="21193"/>
    <cellStyle name="Normal 7 4 5 6 2" xfId="21194"/>
    <cellStyle name="Normal 7 4 5 7" xfId="21195"/>
    <cellStyle name="Normal 7 4 5 7 2" xfId="36848"/>
    <cellStyle name="Normal 7 4 5 8" xfId="21196"/>
    <cellStyle name="Normal 7 4 6" xfId="21197"/>
    <cellStyle name="Normal 7 4 6 2" xfId="21198"/>
    <cellStyle name="Normal 7 4 6 2 2" xfId="21199"/>
    <cellStyle name="Normal 7 4 6 2 2 2" xfId="21200"/>
    <cellStyle name="Normal 7 4 6 2 2 2 2" xfId="21201"/>
    <cellStyle name="Normal 7 4 6 2 2 2 3" xfId="21202"/>
    <cellStyle name="Normal 7 4 6 2 2 3" xfId="21203"/>
    <cellStyle name="Normal 7 4 6 2 2 3 2" xfId="21204"/>
    <cellStyle name="Normal 7 4 6 2 2 4" xfId="21205"/>
    <cellStyle name="Normal 7 4 6 2 3" xfId="21206"/>
    <cellStyle name="Normal 7 4 6 2 3 2" xfId="21207"/>
    <cellStyle name="Normal 7 4 6 2 3 2 2" xfId="21208"/>
    <cellStyle name="Normal 7 4 6 2 3 3" xfId="21209"/>
    <cellStyle name="Normal 7 4 6 2 4" xfId="21210"/>
    <cellStyle name="Normal 7 4 6 2 4 2" xfId="21211"/>
    <cellStyle name="Normal 7 4 6 2 4 3" xfId="21212"/>
    <cellStyle name="Normal 7 4 6 2 5" xfId="21213"/>
    <cellStyle name="Normal 7 4 6 2 5 2" xfId="21214"/>
    <cellStyle name="Normal 7 4 6 2 6" xfId="21215"/>
    <cellStyle name="Normal 7 4 6 2 6 2" xfId="36849"/>
    <cellStyle name="Normal 7 4 6 2 7" xfId="21216"/>
    <cellStyle name="Normal 7 4 6 3" xfId="21217"/>
    <cellStyle name="Normal 7 4 6 3 2" xfId="21218"/>
    <cellStyle name="Normal 7 4 6 3 2 2" xfId="21219"/>
    <cellStyle name="Normal 7 4 6 3 2 2 2" xfId="21220"/>
    <cellStyle name="Normal 7 4 6 3 2 3" xfId="21221"/>
    <cellStyle name="Normal 7 4 6 3 3" xfId="21222"/>
    <cellStyle name="Normal 7 4 6 3 3 2" xfId="21223"/>
    <cellStyle name="Normal 7 4 6 3 4" xfId="21224"/>
    <cellStyle name="Normal 7 4 6 4" xfId="21225"/>
    <cellStyle name="Normal 7 4 6 4 2" xfId="21226"/>
    <cellStyle name="Normal 7 4 6 4 2 2" xfId="21227"/>
    <cellStyle name="Normal 7 4 6 4 3" xfId="21228"/>
    <cellStyle name="Normal 7 4 6 5" xfId="21229"/>
    <cellStyle name="Normal 7 4 6 5 2" xfId="21230"/>
    <cellStyle name="Normal 7 4 6 5 2 2" xfId="21231"/>
    <cellStyle name="Normal 7 4 6 5 3" xfId="21232"/>
    <cellStyle name="Normal 7 4 6 6" xfId="21233"/>
    <cellStyle name="Normal 7 4 6 6 2" xfId="21234"/>
    <cellStyle name="Normal 7 4 6 7" xfId="21235"/>
    <cellStyle name="Normal 7 4 6 7 2" xfId="36850"/>
    <cellStyle name="Normal 7 4 6 8" xfId="21236"/>
    <cellStyle name="Normal 7 4 7" xfId="21237"/>
    <cellStyle name="Normal 7 4 7 2" xfId="21238"/>
    <cellStyle name="Normal 7 4 7 2 2" xfId="21239"/>
    <cellStyle name="Normal 7 4 7 2 2 2" xfId="21240"/>
    <cellStyle name="Normal 7 4 7 2 2 2 2" xfId="21241"/>
    <cellStyle name="Normal 7 4 7 2 2 2 3" xfId="21242"/>
    <cellStyle name="Normal 7 4 7 2 2 3" xfId="21243"/>
    <cellStyle name="Normal 7 4 7 2 2 3 2" xfId="21244"/>
    <cellStyle name="Normal 7 4 7 2 2 4" xfId="21245"/>
    <cellStyle name="Normal 7 4 7 2 3" xfId="21246"/>
    <cellStyle name="Normal 7 4 7 2 3 2" xfId="21247"/>
    <cellStyle name="Normal 7 4 7 2 3 2 2" xfId="21248"/>
    <cellStyle name="Normal 7 4 7 2 3 3" xfId="21249"/>
    <cellStyle name="Normal 7 4 7 2 4" xfId="21250"/>
    <cellStyle name="Normal 7 4 7 2 4 2" xfId="21251"/>
    <cellStyle name="Normal 7 4 7 2 4 3" xfId="21252"/>
    <cellStyle name="Normal 7 4 7 2 5" xfId="21253"/>
    <cellStyle name="Normal 7 4 7 2 5 2" xfId="21254"/>
    <cellStyle name="Normal 7 4 7 2 6" xfId="21255"/>
    <cellStyle name="Normal 7 4 7 2 6 2" xfId="36851"/>
    <cellStyle name="Normal 7 4 7 2 7" xfId="21256"/>
    <cellStyle name="Normal 7 4 7 3" xfId="21257"/>
    <cellStyle name="Normal 7 4 7 3 2" xfId="21258"/>
    <cellStyle name="Normal 7 4 7 3 2 2" xfId="21259"/>
    <cellStyle name="Normal 7 4 7 3 2 2 2" xfId="21260"/>
    <cellStyle name="Normal 7 4 7 3 2 3" xfId="21261"/>
    <cellStyle name="Normal 7 4 7 3 3" xfId="21262"/>
    <cellStyle name="Normal 7 4 7 3 3 2" xfId="21263"/>
    <cellStyle name="Normal 7 4 7 3 4" xfId="21264"/>
    <cellStyle name="Normal 7 4 7 4" xfId="21265"/>
    <cellStyle name="Normal 7 4 7 4 2" xfId="21266"/>
    <cellStyle name="Normal 7 4 7 4 2 2" xfId="21267"/>
    <cellStyle name="Normal 7 4 7 4 3" xfId="21268"/>
    <cellStyle name="Normal 7 4 7 5" xfId="21269"/>
    <cellStyle name="Normal 7 4 7 5 2" xfId="21270"/>
    <cellStyle name="Normal 7 4 7 5 2 2" xfId="21271"/>
    <cellStyle name="Normal 7 4 7 5 3" xfId="21272"/>
    <cellStyle name="Normal 7 4 7 6" xfId="21273"/>
    <cellStyle name="Normal 7 4 7 6 2" xfId="21274"/>
    <cellStyle name="Normal 7 4 7 7" xfId="21275"/>
    <cellStyle name="Normal 7 4 7 7 2" xfId="36852"/>
    <cellStyle name="Normal 7 4 7 8" xfId="21276"/>
    <cellStyle name="Normal 7 4 8" xfId="21277"/>
    <cellStyle name="Normal 7 4 8 2" xfId="21278"/>
    <cellStyle name="Normal 7 4 8 2 2" xfId="21279"/>
    <cellStyle name="Normal 7 4 8 2 2 2" xfId="21280"/>
    <cellStyle name="Normal 7 4 8 2 2 3" xfId="21281"/>
    <cellStyle name="Normal 7 4 8 2 3" xfId="21282"/>
    <cellStyle name="Normal 7 4 8 2 3 2" xfId="21283"/>
    <cellStyle name="Normal 7 4 8 2 4" xfId="21284"/>
    <cellStyle name="Normal 7 4 8 3" xfId="21285"/>
    <cellStyle name="Normal 7 4 8 3 2" xfId="21286"/>
    <cellStyle name="Normal 7 4 8 3 2 2" xfId="21287"/>
    <cellStyle name="Normal 7 4 8 3 3" xfId="21288"/>
    <cellStyle name="Normal 7 4 8 4" xfId="21289"/>
    <cellStyle name="Normal 7 4 8 4 2" xfId="21290"/>
    <cellStyle name="Normal 7 4 8 4 3" xfId="21291"/>
    <cellStyle name="Normal 7 4 8 5" xfId="21292"/>
    <cellStyle name="Normal 7 4 8 5 2" xfId="21293"/>
    <cellStyle name="Normal 7 4 8 6" xfId="21294"/>
    <cellStyle name="Normal 7 4 8 6 2" xfId="36853"/>
    <cellStyle name="Normal 7 4 8 7" xfId="21295"/>
    <cellStyle name="Normal 7 4 9" xfId="21296"/>
    <cellStyle name="Normal 7 4 9 2" xfId="21297"/>
    <cellStyle name="Normal 7 4 9 2 2" xfId="21298"/>
    <cellStyle name="Normal 7 4 9 2 2 2" xfId="21299"/>
    <cellStyle name="Normal 7 4 9 2 3" xfId="21300"/>
    <cellStyle name="Normal 7 4 9 3" xfId="21301"/>
    <cellStyle name="Normal 7 4 9 3 2" xfId="21302"/>
    <cellStyle name="Normal 7 4 9 4" xfId="21303"/>
    <cellStyle name="Normal 7 5" xfId="21304"/>
    <cellStyle name="Normal 7 5 10" xfId="21305"/>
    <cellStyle name="Normal 7 5 10 2" xfId="21306"/>
    <cellStyle name="Normal 7 5 10 2 2" xfId="21307"/>
    <cellStyle name="Normal 7 5 10 3" xfId="21308"/>
    <cellStyle name="Normal 7 5 11" xfId="21309"/>
    <cellStyle name="Normal 7 5 11 2" xfId="21310"/>
    <cellStyle name="Normal 7 5 11 2 2" xfId="21311"/>
    <cellStyle name="Normal 7 5 11 3" xfId="21312"/>
    <cellStyle name="Normal 7 5 12" xfId="21313"/>
    <cellStyle name="Normal 7 5 12 2" xfId="21314"/>
    <cellStyle name="Normal 7 5 13" xfId="21315"/>
    <cellStyle name="Normal 7 5 13 2" xfId="36854"/>
    <cellStyle name="Normal 7 5 14" xfId="21316"/>
    <cellStyle name="Normal 7 5 2" xfId="21317"/>
    <cellStyle name="Normal 7 5 2 10" xfId="21318"/>
    <cellStyle name="Normal 7 5 2 2" xfId="21319"/>
    <cellStyle name="Normal 7 5 2 2 2" xfId="21320"/>
    <cellStyle name="Normal 7 5 2 2 2 2" xfId="21321"/>
    <cellStyle name="Normal 7 5 2 2 2 2 2" xfId="21322"/>
    <cellStyle name="Normal 7 5 2 2 2 2 2 2" xfId="21323"/>
    <cellStyle name="Normal 7 5 2 2 2 2 2 2 2" xfId="21324"/>
    <cellStyle name="Normal 7 5 2 2 2 2 2 2 3" xfId="21325"/>
    <cellStyle name="Normal 7 5 2 2 2 2 2 3" xfId="21326"/>
    <cellStyle name="Normal 7 5 2 2 2 2 2 3 2" xfId="21327"/>
    <cellStyle name="Normal 7 5 2 2 2 2 2 4" xfId="21328"/>
    <cellStyle name="Normal 7 5 2 2 2 2 3" xfId="21329"/>
    <cellStyle name="Normal 7 5 2 2 2 2 3 2" xfId="21330"/>
    <cellStyle name="Normal 7 5 2 2 2 2 3 2 2" xfId="21331"/>
    <cellStyle name="Normal 7 5 2 2 2 2 3 3" xfId="21332"/>
    <cellStyle name="Normal 7 5 2 2 2 2 4" xfId="21333"/>
    <cellStyle name="Normal 7 5 2 2 2 2 4 2" xfId="21334"/>
    <cellStyle name="Normal 7 5 2 2 2 2 4 3" xfId="21335"/>
    <cellStyle name="Normal 7 5 2 2 2 2 5" xfId="21336"/>
    <cellStyle name="Normal 7 5 2 2 2 2 5 2" xfId="21337"/>
    <cellStyle name="Normal 7 5 2 2 2 2 6" xfId="21338"/>
    <cellStyle name="Normal 7 5 2 2 2 2 6 2" xfId="36855"/>
    <cellStyle name="Normal 7 5 2 2 2 2 7" xfId="21339"/>
    <cellStyle name="Normal 7 5 2 2 2 3" xfId="21340"/>
    <cellStyle name="Normal 7 5 2 2 2 3 2" xfId="21341"/>
    <cellStyle name="Normal 7 5 2 2 2 3 2 2" xfId="21342"/>
    <cellStyle name="Normal 7 5 2 2 2 3 2 2 2" xfId="21343"/>
    <cellStyle name="Normal 7 5 2 2 2 3 2 3" xfId="21344"/>
    <cellStyle name="Normal 7 5 2 2 2 3 3" xfId="21345"/>
    <cellStyle name="Normal 7 5 2 2 2 3 3 2" xfId="21346"/>
    <cellStyle name="Normal 7 5 2 2 2 3 4" xfId="21347"/>
    <cellStyle name="Normal 7 5 2 2 2 4" xfId="21348"/>
    <cellStyle name="Normal 7 5 2 2 2 4 2" xfId="21349"/>
    <cellStyle name="Normal 7 5 2 2 2 4 2 2" xfId="21350"/>
    <cellStyle name="Normal 7 5 2 2 2 4 3" xfId="21351"/>
    <cellStyle name="Normal 7 5 2 2 2 5" xfId="21352"/>
    <cellStyle name="Normal 7 5 2 2 2 5 2" xfId="21353"/>
    <cellStyle name="Normal 7 5 2 2 2 5 2 2" xfId="21354"/>
    <cellStyle name="Normal 7 5 2 2 2 5 3" xfId="21355"/>
    <cellStyle name="Normal 7 5 2 2 2 6" xfId="21356"/>
    <cellStyle name="Normal 7 5 2 2 2 6 2" xfId="21357"/>
    <cellStyle name="Normal 7 5 2 2 2 7" xfId="21358"/>
    <cellStyle name="Normal 7 5 2 2 2 7 2" xfId="36856"/>
    <cellStyle name="Normal 7 5 2 2 2 8" xfId="21359"/>
    <cellStyle name="Normal 7 5 2 2 3" xfId="21360"/>
    <cellStyle name="Normal 7 5 2 2 3 2" xfId="21361"/>
    <cellStyle name="Normal 7 5 2 2 3 2 2" xfId="21362"/>
    <cellStyle name="Normal 7 5 2 2 3 2 2 2" xfId="21363"/>
    <cellStyle name="Normal 7 5 2 2 3 2 2 3" xfId="21364"/>
    <cellStyle name="Normal 7 5 2 2 3 2 3" xfId="21365"/>
    <cellStyle name="Normal 7 5 2 2 3 2 3 2" xfId="21366"/>
    <cellStyle name="Normal 7 5 2 2 3 2 4" xfId="21367"/>
    <cellStyle name="Normal 7 5 2 2 3 3" xfId="21368"/>
    <cellStyle name="Normal 7 5 2 2 3 3 2" xfId="21369"/>
    <cellStyle name="Normal 7 5 2 2 3 3 2 2" xfId="21370"/>
    <cellStyle name="Normal 7 5 2 2 3 3 3" xfId="21371"/>
    <cellStyle name="Normal 7 5 2 2 3 4" xfId="21372"/>
    <cellStyle name="Normal 7 5 2 2 3 4 2" xfId="21373"/>
    <cellStyle name="Normal 7 5 2 2 3 4 3" xfId="21374"/>
    <cellStyle name="Normal 7 5 2 2 3 5" xfId="21375"/>
    <cellStyle name="Normal 7 5 2 2 3 5 2" xfId="21376"/>
    <cellStyle name="Normal 7 5 2 2 3 6" xfId="21377"/>
    <cellStyle name="Normal 7 5 2 2 3 6 2" xfId="36857"/>
    <cellStyle name="Normal 7 5 2 2 3 7" xfId="21378"/>
    <cellStyle name="Normal 7 5 2 2 4" xfId="21379"/>
    <cellStyle name="Normal 7 5 2 2 4 2" xfId="21380"/>
    <cellStyle name="Normal 7 5 2 2 4 2 2" xfId="21381"/>
    <cellStyle name="Normal 7 5 2 2 4 2 2 2" xfId="21382"/>
    <cellStyle name="Normal 7 5 2 2 4 2 3" xfId="21383"/>
    <cellStyle name="Normal 7 5 2 2 4 3" xfId="21384"/>
    <cellStyle name="Normal 7 5 2 2 4 3 2" xfId="21385"/>
    <cellStyle name="Normal 7 5 2 2 4 4" xfId="21386"/>
    <cellStyle name="Normal 7 5 2 2 5" xfId="21387"/>
    <cellStyle name="Normal 7 5 2 2 5 2" xfId="21388"/>
    <cellStyle name="Normal 7 5 2 2 5 2 2" xfId="21389"/>
    <cellStyle name="Normal 7 5 2 2 5 3" xfId="21390"/>
    <cellStyle name="Normal 7 5 2 2 6" xfId="21391"/>
    <cellStyle name="Normal 7 5 2 2 6 2" xfId="21392"/>
    <cellStyle name="Normal 7 5 2 2 6 2 2" xfId="21393"/>
    <cellStyle name="Normal 7 5 2 2 6 3" xfId="21394"/>
    <cellStyle name="Normal 7 5 2 2 7" xfId="21395"/>
    <cellStyle name="Normal 7 5 2 2 7 2" xfId="21396"/>
    <cellStyle name="Normal 7 5 2 2 8" xfId="21397"/>
    <cellStyle name="Normal 7 5 2 2 8 2" xfId="36858"/>
    <cellStyle name="Normal 7 5 2 2 9" xfId="21398"/>
    <cellStyle name="Normal 7 5 2 3" xfId="21399"/>
    <cellStyle name="Normal 7 5 2 3 2" xfId="21400"/>
    <cellStyle name="Normal 7 5 2 3 2 2" xfId="21401"/>
    <cellStyle name="Normal 7 5 2 3 2 2 2" xfId="21402"/>
    <cellStyle name="Normal 7 5 2 3 2 2 2 2" xfId="21403"/>
    <cellStyle name="Normal 7 5 2 3 2 2 2 3" xfId="21404"/>
    <cellStyle name="Normal 7 5 2 3 2 2 3" xfId="21405"/>
    <cellStyle name="Normal 7 5 2 3 2 2 3 2" xfId="21406"/>
    <cellStyle name="Normal 7 5 2 3 2 2 4" xfId="21407"/>
    <cellStyle name="Normal 7 5 2 3 2 3" xfId="21408"/>
    <cellStyle name="Normal 7 5 2 3 2 3 2" xfId="21409"/>
    <cellStyle name="Normal 7 5 2 3 2 3 2 2" xfId="21410"/>
    <cellStyle name="Normal 7 5 2 3 2 3 3" xfId="21411"/>
    <cellStyle name="Normal 7 5 2 3 2 4" xfId="21412"/>
    <cellStyle name="Normal 7 5 2 3 2 4 2" xfId="21413"/>
    <cellStyle name="Normal 7 5 2 3 2 4 3" xfId="21414"/>
    <cellStyle name="Normal 7 5 2 3 2 5" xfId="21415"/>
    <cellStyle name="Normal 7 5 2 3 2 5 2" xfId="21416"/>
    <cellStyle name="Normal 7 5 2 3 2 6" xfId="21417"/>
    <cellStyle name="Normal 7 5 2 3 2 6 2" xfId="36859"/>
    <cellStyle name="Normal 7 5 2 3 2 7" xfId="21418"/>
    <cellStyle name="Normal 7 5 2 3 3" xfId="21419"/>
    <cellStyle name="Normal 7 5 2 3 3 2" xfId="21420"/>
    <cellStyle name="Normal 7 5 2 3 3 2 2" xfId="21421"/>
    <cellStyle name="Normal 7 5 2 3 3 2 2 2" xfId="21422"/>
    <cellStyle name="Normal 7 5 2 3 3 2 3" xfId="21423"/>
    <cellStyle name="Normal 7 5 2 3 3 3" xfId="21424"/>
    <cellStyle name="Normal 7 5 2 3 3 3 2" xfId="21425"/>
    <cellStyle name="Normal 7 5 2 3 3 4" xfId="21426"/>
    <cellStyle name="Normal 7 5 2 3 4" xfId="21427"/>
    <cellStyle name="Normal 7 5 2 3 4 2" xfId="21428"/>
    <cellStyle name="Normal 7 5 2 3 4 2 2" xfId="21429"/>
    <cellStyle name="Normal 7 5 2 3 4 3" xfId="21430"/>
    <cellStyle name="Normal 7 5 2 3 5" xfId="21431"/>
    <cellStyle name="Normal 7 5 2 3 5 2" xfId="21432"/>
    <cellStyle name="Normal 7 5 2 3 5 2 2" xfId="21433"/>
    <cellStyle name="Normal 7 5 2 3 5 3" xfId="21434"/>
    <cellStyle name="Normal 7 5 2 3 6" xfId="21435"/>
    <cellStyle name="Normal 7 5 2 3 6 2" xfId="21436"/>
    <cellStyle name="Normal 7 5 2 3 7" xfId="21437"/>
    <cellStyle name="Normal 7 5 2 3 7 2" xfId="36860"/>
    <cellStyle name="Normal 7 5 2 3 8" xfId="21438"/>
    <cellStyle name="Normal 7 5 2 4" xfId="21439"/>
    <cellStyle name="Normal 7 5 2 4 2" xfId="21440"/>
    <cellStyle name="Normal 7 5 2 4 2 2" xfId="21441"/>
    <cellStyle name="Normal 7 5 2 4 2 2 2" xfId="21442"/>
    <cellStyle name="Normal 7 5 2 4 2 2 3" xfId="21443"/>
    <cellStyle name="Normal 7 5 2 4 2 3" xfId="21444"/>
    <cellStyle name="Normal 7 5 2 4 2 3 2" xfId="21445"/>
    <cellStyle name="Normal 7 5 2 4 2 4" xfId="21446"/>
    <cellStyle name="Normal 7 5 2 4 3" xfId="21447"/>
    <cellStyle name="Normal 7 5 2 4 3 2" xfId="21448"/>
    <cellStyle name="Normal 7 5 2 4 3 2 2" xfId="21449"/>
    <cellStyle name="Normal 7 5 2 4 3 3" xfId="21450"/>
    <cellStyle name="Normal 7 5 2 4 4" xfId="21451"/>
    <cellStyle name="Normal 7 5 2 4 4 2" xfId="21452"/>
    <cellStyle name="Normal 7 5 2 4 4 3" xfId="21453"/>
    <cellStyle name="Normal 7 5 2 4 5" xfId="21454"/>
    <cellStyle name="Normal 7 5 2 4 5 2" xfId="21455"/>
    <cellStyle name="Normal 7 5 2 4 6" xfId="21456"/>
    <cellStyle name="Normal 7 5 2 4 6 2" xfId="36861"/>
    <cellStyle name="Normal 7 5 2 4 7" xfId="21457"/>
    <cellStyle name="Normal 7 5 2 5" xfId="21458"/>
    <cellStyle name="Normal 7 5 2 5 2" xfId="21459"/>
    <cellStyle name="Normal 7 5 2 5 2 2" xfId="21460"/>
    <cellStyle name="Normal 7 5 2 5 2 2 2" xfId="21461"/>
    <cellStyle name="Normal 7 5 2 5 2 3" xfId="21462"/>
    <cellStyle name="Normal 7 5 2 5 3" xfId="21463"/>
    <cellStyle name="Normal 7 5 2 5 3 2" xfId="21464"/>
    <cellStyle name="Normal 7 5 2 5 4" xfId="21465"/>
    <cellStyle name="Normal 7 5 2 6" xfId="21466"/>
    <cellStyle name="Normal 7 5 2 6 2" xfId="21467"/>
    <cellStyle name="Normal 7 5 2 6 2 2" xfId="21468"/>
    <cellStyle name="Normal 7 5 2 6 3" xfId="21469"/>
    <cellStyle name="Normal 7 5 2 7" xfId="21470"/>
    <cellStyle name="Normal 7 5 2 7 2" xfId="21471"/>
    <cellStyle name="Normal 7 5 2 7 2 2" xfId="21472"/>
    <cellStyle name="Normal 7 5 2 7 3" xfId="21473"/>
    <cellStyle name="Normal 7 5 2 8" xfId="21474"/>
    <cellStyle name="Normal 7 5 2 8 2" xfId="21475"/>
    <cellStyle name="Normal 7 5 2 9" xfId="21476"/>
    <cellStyle name="Normal 7 5 2 9 2" xfId="36862"/>
    <cellStyle name="Normal 7 5 3" xfId="21477"/>
    <cellStyle name="Normal 7 5 3 2" xfId="21478"/>
    <cellStyle name="Normal 7 5 3 2 2" xfId="21479"/>
    <cellStyle name="Normal 7 5 3 2 2 2" xfId="21480"/>
    <cellStyle name="Normal 7 5 3 2 2 2 2" xfId="21481"/>
    <cellStyle name="Normal 7 5 3 2 2 2 2 2" xfId="21482"/>
    <cellStyle name="Normal 7 5 3 2 2 2 2 3" xfId="21483"/>
    <cellStyle name="Normal 7 5 3 2 2 2 3" xfId="21484"/>
    <cellStyle name="Normal 7 5 3 2 2 2 3 2" xfId="21485"/>
    <cellStyle name="Normal 7 5 3 2 2 2 4" xfId="21486"/>
    <cellStyle name="Normal 7 5 3 2 2 3" xfId="21487"/>
    <cellStyle name="Normal 7 5 3 2 2 3 2" xfId="21488"/>
    <cellStyle name="Normal 7 5 3 2 2 3 2 2" xfId="21489"/>
    <cellStyle name="Normal 7 5 3 2 2 3 3" xfId="21490"/>
    <cellStyle name="Normal 7 5 3 2 2 4" xfId="21491"/>
    <cellStyle name="Normal 7 5 3 2 2 4 2" xfId="21492"/>
    <cellStyle name="Normal 7 5 3 2 2 4 3" xfId="21493"/>
    <cellStyle name="Normal 7 5 3 2 2 5" xfId="21494"/>
    <cellStyle name="Normal 7 5 3 2 2 5 2" xfId="21495"/>
    <cellStyle name="Normal 7 5 3 2 2 6" xfId="21496"/>
    <cellStyle name="Normal 7 5 3 2 2 6 2" xfId="36863"/>
    <cellStyle name="Normal 7 5 3 2 2 7" xfId="21497"/>
    <cellStyle name="Normal 7 5 3 2 3" xfId="21498"/>
    <cellStyle name="Normal 7 5 3 2 3 2" xfId="21499"/>
    <cellStyle name="Normal 7 5 3 2 3 2 2" xfId="21500"/>
    <cellStyle name="Normal 7 5 3 2 3 2 2 2" xfId="21501"/>
    <cellStyle name="Normal 7 5 3 2 3 2 3" xfId="21502"/>
    <cellStyle name="Normal 7 5 3 2 3 3" xfId="21503"/>
    <cellStyle name="Normal 7 5 3 2 3 3 2" xfId="21504"/>
    <cellStyle name="Normal 7 5 3 2 3 4" xfId="21505"/>
    <cellStyle name="Normal 7 5 3 2 4" xfId="21506"/>
    <cellStyle name="Normal 7 5 3 2 4 2" xfId="21507"/>
    <cellStyle name="Normal 7 5 3 2 4 2 2" xfId="21508"/>
    <cellStyle name="Normal 7 5 3 2 4 3" xfId="21509"/>
    <cellStyle name="Normal 7 5 3 2 5" xfId="21510"/>
    <cellStyle name="Normal 7 5 3 2 5 2" xfId="21511"/>
    <cellStyle name="Normal 7 5 3 2 5 2 2" xfId="21512"/>
    <cellStyle name="Normal 7 5 3 2 5 3" xfId="21513"/>
    <cellStyle name="Normal 7 5 3 2 6" xfId="21514"/>
    <cellStyle name="Normal 7 5 3 2 6 2" xfId="21515"/>
    <cellStyle name="Normal 7 5 3 2 7" xfId="21516"/>
    <cellStyle name="Normal 7 5 3 2 7 2" xfId="36864"/>
    <cellStyle name="Normal 7 5 3 2 8" xfId="21517"/>
    <cellStyle name="Normal 7 5 3 3" xfId="21518"/>
    <cellStyle name="Normal 7 5 3 3 2" xfId="21519"/>
    <cellStyle name="Normal 7 5 3 3 2 2" xfId="21520"/>
    <cellStyle name="Normal 7 5 3 3 2 2 2" xfId="21521"/>
    <cellStyle name="Normal 7 5 3 3 2 2 3" xfId="21522"/>
    <cellStyle name="Normal 7 5 3 3 2 3" xfId="21523"/>
    <cellStyle name="Normal 7 5 3 3 2 3 2" xfId="21524"/>
    <cellStyle name="Normal 7 5 3 3 2 4" xfId="21525"/>
    <cellStyle name="Normal 7 5 3 3 3" xfId="21526"/>
    <cellStyle name="Normal 7 5 3 3 3 2" xfId="21527"/>
    <cellStyle name="Normal 7 5 3 3 3 2 2" xfId="21528"/>
    <cellStyle name="Normal 7 5 3 3 3 3" xfId="21529"/>
    <cellStyle name="Normal 7 5 3 3 4" xfId="21530"/>
    <cellStyle name="Normal 7 5 3 3 4 2" xfId="21531"/>
    <cellStyle name="Normal 7 5 3 3 4 3" xfId="21532"/>
    <cellStyle name="Normal 7 5 3 3 5" xfId="21533"/>
    <cellStyle name="Normal 7 5 3 3 5 2" xfId="21534"/>
    <cellStyle name="Normal 7 5 3 3 6" xfId="21535"/>
    <cellStyle name="Normal 7 5 3 3 6 2" xfId="36865"/>
    <cellStyle name="Normal 7 5 3 3 7" xfId="21536"/>
    <cellStyle name="Normal 7 5 3 4" xfId="21537"/>
    <cellStyle name="Normal 7 5 3 4 2" xfId="21538"/>
    <cellStyle name="Normal 7 5 3 4 2 2" xfId="21539"/>
    <cellStyle name="Normal 7 5 3 4 2 2 2" xfId="21540"/>
    <cellStyle name="Normal 7 5 3 4 2 3" xfId="21541"/>
    <cellStyle name="Normal 7 5 3 4 3" xfId="21542"/>
    <cellStyle name="Normal 7 5 3 4 3 2" xfId="21543"/>
    <cellStyle name="Normal 7 5 3 4 4" xfId="21544"/>
    <cellStyle name="Normal 7 5 3 5" xfId="21545"/>
    <cellStyle name="Normal 7 5 3 5 2" xfId="21546"/>
    <cellStyle name="Normal 7 5 3 5 2 2" xfId="21547"/>
    <cellStyle name="Normal 7 5 3 5 3" xfId="21548"/>
    <cellStyle name="Normal 7 5 3 6" xfId="21549"/>
    <cellStyle name="Normal 7 5 3 6 2" xfId="21550"/>
    <cellStyle name="Normal 7 5 3 6 2 2" xfId="21551"/>
    <cellStyle name="Normal 7 5 3 6 3" xfId="21552"/>
    <cellStyle name="Normal 7 5 3 7" xfId="21553"/>
    <cellStyle name="Normal 7 5 3 7 2" xfId="21554"/>
    <cellStyle name="Normal 7 5 3 8" xfId="21555"/>
    <cellStyle name="Normal 7 5 3 8 2" xfId="36866"/>
    <cellStyle name="Normal 7 5 3 9" xfId="21556"/>
    <cellStyle name="Normal 7 5 4" xfId="21557"/>
    <cellStyle name="Normal 7 5 4 2" xfId="21558"/>
    <cellStyle name="Normal 7 5 4 2 2" xfId="21559"/>
    <cellStyle name="Normal 7 5 4 2 2 2" xfId="21560"/>
    <cellStyle name="Normal 7 5 4 2 2 2 2" xfId="21561"/>
    <cellStyle name="Normal 7 5 4 2 2 2 2 2" xfId="21562"/>
    <cellStyle name="Normal 7 5 4 2 2 2 2 3" xfId="21563"/>
    <cellStyle name="Normal 7 5 4 2 2 2 3" xfId="21564"/>
    <cellStyle name="Normal 7 5 4 2 2 2 3 2" xfId="21565"/>
    <cellStyle name="Normal 7 5 4 2 2 2 4" xfId="21566"/>
    <cellStyle name="Normal 7 5 4 2 2 3" xfId="21567"/>
    <cellStyle name="Normal 7 5 4 2 2 3 2" xfId="21568"/>
    <cellStyle name="Normal 7 5 4 2 2 3 2 2" xfId="21569"/>
    <cellStyle name="Normal 7 5 4 2 2 3 3" xfId="21570"/>
    <cellStyle name="Normal 7 5 4 2 2 4" xfId="21571"/>
    <cellStyle name="Normal 7 5 4 2 2 4 2" xfId="21572"/>
    <cellStyle name="Normal 7 5 4 2 2 4 3" xfId="21573"/>
    <cellStyle name="Normal 7 5 4 2 2 5" xfId="21574"/>
    <cellStyle name="Normal 7 5 4 2 2 5 2" xfId="21575"/>
    <cellStyle name="Normal 7 5 4 2 2 6" xfId="21576"/>
    <cellStyle name="Normal 7 5 4 2 2 6 2" xfId="36867"/>
    <cellStyle name="Normal 7 5 4 2 2 7" xfId="21577"/>
    <cellStyle name="Normal 7 5 4 2 3" xfId="21578"/>
    <cellStyle name="Normal 7 5 4 2 3 2" xfId="21579"/>
    <cellStyle name="Normal 7 5 4 2 3 2 2" xfId="21580"/>
    <cellStyle name="Normal 7 5 4 2 3 2 2 2" xfId="21581"/>
    <cellStyle name="Normal 7 5 4 2 3 2 3" xfId="21582"/>
    <cellStyle name="Normal 7 5 4 2 3 3" xfId="21583"/>
    <cellStyle name="Normal 7 5 4 2 3 3 2" xfId="21584"/>
    <cellStyle name="Normal 7 5 4 2 3 4" xfId="21585"/>
    <cellStyle name="Normal 7 5 4 2 4" xfId="21586"/>
    <cellStyle name="Normal 7 5 4 2 4 2" xfId="21587"/>
    <cellStyle name="Normal 7 5 4 2 4 2 2" xfId="21588"/>
    <cellStyle name="Normal 7 5 4 2 4 3" xfId="21589"/>
    <cellStyle name="Normal 7 5 4 2 5" xfId="21590"/>
    <cellStyle name="Normal 7 5 4 2 5 2" xfId="21591"/>
    <cellStyle name="Normal 7 5 4 2 5 2 2" xfId="21592"/>
    <cellStyle name="Normal 7 5 4 2 5 3" xfId="21593"/>
    <cellStyle name="Normal 7 5 4 2 6" xfId="21594"/>
    <cellStyle name="Normal 7 5 4 2 6 2" xfId="21595"/>
    <cellStyle name="Normal 7 5 4 2 7" xfId="21596"/>
    <cellStyle name="Normal 7 5 4 2 7 2" xfId="36868"/>
    <cellStyle name="Normal 7 5 4 2 8" xfId="21597"/>
    <cellStyle name="Normal 7 5 4 3" xfId="21598"/>
    <cellStyle name="Normal 7 5 4 3 2" xfId="21599"/>
    <cellStyle name="Normal 7 5 4 3 2 2" xfId="21600"/>
    <cellStyle name="Normal 7 5 4 3 2 2 2" xfId="21601"/>
    <cellStyle name="Normal 7 5 4 3 2 2 3" xfId="21602"/>
    <cellStyle name="Normal 7 5 4 3 2 3" xfId="21603"/>
    <cellStyle name="Normal 7 5 4 3 2 3 2" xfId="21604"/>
    <cellStyle name="Normal 7 5 4 3 2 4" xfId="21605"/>
    <cellStyle name="Normal 7 5 4 3 3" xfId="21606"/>
    <cellStyle name="Normal 7 5 4 3 3 2" xfId="21607"/>
    <cellStyle name="Normal 7 5 4 3 3 2 2" xfId="21608"/>
    <cellStyle name="Normal 7 5 4 3 3 3" xfId="21609"/>
    <cellStyle name="Normal 7 5 4 3 4" xfId="21610"/>
    <cellStyle name="Normal 7 5 4 3 4 2" xfId="21611"/>
    <cellStyle name="Normal 7 5 4 3 4 3" xfId="21612"/>
    <cellStyle name="Normal 7 5 4 3 5" xfId="21613"/>
    <cellStyle name="Normal 7 5 4 3 5 2" xfId="21614"/>
    <cellStyle name="Normal 7 5 4 3 6" xfId="21615"/>
    <cellStyle name="Normal 7 5 4 3 6 2" xfId="36869"/>
    <cellStyle name="Normal 7 5 4 3 7" xfId="21616"/>
    <cellStyle name="Normal 7 5 4 4" xfId="21617"/>
    <cellStyle name="Normal 7 5 4 4 2" xfId="21618"/>
    <cellStyle name="Normal 7 5 4 4 2 2" xfId="21619"/>
    <cellStyle name="Normal 7 5 4 4 2 2 2" xfId="21620"/>
    <cellStyle name="Normal 7 5 4 4 2 3" xfId="21621"/>
    <cellStyle name="Normal 7 5 4 4 3" xfId="21622"/>
    <cellStyle name="Normal 7 5 4 4 3 2" xfId="21623"/>
    <cellStyle name="Normal 7 5 4 4 4" xfId="21624"/>
    <cellStyle name="Normal 7 5 4 5" xfId="21625"/>
    <cellStyle name="Normal 7 5 4 5 2" xfId="21626"/>
    <cellStyle name="Normal 7 5 4 5 2 2" xfId="21627"/>
    <cellStyle name="Normal 7 5 4 5 3" xfId="21628"/>
    <cellStyle name="Normal 7 5 4 6" xfId="21629"/>
    <cellStyle name="Normal 7 5 4 6 2" xfId="21630"/>
    <cellStyle name="Normal 7 5 4 6 2 2" xfId="21631"/>
    <cellStyle name="Normal 7 5 4 6 3" xfId="21632"/>
    <cellStyle name="Normal 7 5 4 7" xfId="21633"/>
    <cellStyle name="Normal 7 5 4 7 2" xfId="21634"/>
    <cellStyle name="Normal 7 5 4 8" xfId="21635"/>
    <cellStyle name="Normal 7 5 4 8 2" xfId="36870"/>
    <cellStyle name="Normal 7 5 4 9" xfId="21636"/>
    <cellStyle name="Normal 7 5 5" xfId="21637"/>
    <cellStyle name="Normal 7 5 5 2" xfId="21638"/>
    <cellStyle name="Normal 7 5 5 2 2" xfId="21639"/>
    <cellStyle name="Normal 7 5 5 2 2 2" xfId="21640"/>
    <cellStyle name="Normal 7 5 5 2 2 2 2" xfId="21641"/>
    <cellStyle name="Normal 7 5 5 2 2 2 3" xfId="21642"/>
    <cellStyle name="Normal 7 5 5 2 2 3" xfId="21643"/>
    <cellStyle name="Normal 7 5 5 2 2 3 2" xfId="21644"/>
    <cellStyle name="Normal 7 5 5 2 2 4" xfId="21645"/>
    <cellStyle name="Normal 7 5 5 2 3" xfId="21646"/>
    <cellStyle name="Normal 7 5 5 2 3 2" xfId="21647"/>
    <cellStyle name="Normal 7 5 5 2 3 2 2" xfId="21648"/>
    <cellStyle name="Normal 7 5 5 2 3 3" xfId="21649"/>
    <cellStyle name="Normal 7 5 5 2 4" xfId="21650"/>
    <cellStyle name="Normal 7 5 5 2 4 2" xfId="21651"/>
    <cellStyle name="Normal 7 5 5 2 4 3" xfId="21652"/>
    <cellStyle name="Normal 7 5 5 2 5" xfId="21653"/>
    <cellStyle name="Normal 7 5 5 2 5 2" xfId="21654"/>
    <cellStyle name="Normal 7 5 5 2 6" xfId="21655"/>
    <cellStyle name="Normal 7 5 5 2 6 2" xfId="36871"/>
    <cellStyle name="Normal 7 5 5 2 7" xfId="21656"/>
    <cellStyle name="Normal 7 5 5 3" xfId="21657"/>
    <cellStyle name="Normal 7 5 5 3 2" xfId="21658"/>
    <cellStyle name="Normal 7 5 5 3 2 2" xfId="21659"/>
    <cellStyle name="Normal 7 5 5 3 2 2 2" xfId="21660"/>
    <cellStyle name="Normal 7 5 5 3 2 3" xfId="21661"/>
    <cellStyle name="Normal 7 5 5 3 3" xfId="21662"/>
    <cellStyle name="Normal 7 5 5 3 3 2" xfId="21663"/>
    <cellStyle name="Normal 7 5 5 3 4" xfId="21664"/>
    <cellStyle name="Normal 7 5 5 4" xfId="21665"/>
    <cellStyle name="Normal 7 5 5 4 2" xfId="21666"/>
    <cellStyle name="Normal 7 5 5 4 2 2" xfId="21667"/>
    <cellStyle name="Normal 7 5 5 4 3" xfId="21668"/>
    <cellStyle name="Normal 7 5 5 5" xfId="21669"/>
    <cellStyle name="Normal 7 5 5 5 2" xfId="21670"/>
    <cellStyle name="Normal 7 5 5 5 2 2" xfId="21671"/>
    <cellStyle name="Normal 7 5 5 5 3" xfId="21672"/>
    <cellStyle name="Normal 7 5 5 6" xfId="21673"/>
    <cellStyle name="Normal 7 5 5 6 2" xfId="21674"/>
    <cellStyle name="Normal 7 5 5 7" xfId="21675"/>
    <cellStyle name="Normal 7 5 5 7 2" xfId="36872"/>
    <cellStyle name="Normal 7 5 5 8" xfId="21676"/>
    <cellStyle name="Normal 7 5 6" xfId="21677"/>
    <cellStyle name="Normal 7 5 6 2" xfId="21678"/>
    <cellStyle name="Normal 7 5 6 2 2" xfId="21679"/>
    <cellStyle name="Normal 7 5 6 2 2 2" xfId="21680"/>
    <cellStyle name="Normal 7 5 6 2 2 2 2" xfId="21681"/>
    <cellStyle name="Normal 7 5 6 2 2 2 3" xfId="21682"/>
    <cellStyle name="Normal 7 5 6 2 2 3" xfId="21683"/>
    <cellStyle name="Normal 7 5 6 2 2 3 2" xfId="21684"/>
    <cellStyle name="Normal 7 5 6 2 2 4" xfId="21685"/>
    <cellStyle name="Normal 7 5 6 2 3" xfId="21686"/>
    <cellStyle name="Normal 7 5 6 2 3 2" xfId="21687"/>
    <cellStyle name="Normal 7 5 6 2 3 2 2" xfId="21688"/>
    <cellStyle name="Normal 7 5 6 2 3 3" xfId="21689"/>
    <cellStyle name="Normal 7 5 6 2 4" xfId="21690"/>
    <cellStyle name="Normal 7 5 6 2 4 2" xfId="21691"/>
    <cellStyle name="Normal 7 5 6 2 4 3" xfId="21692"/>
    <cellStyle name="Normal 7 5 6 2 5" xfId="21693"/>
    <cellStyle name="Normal 7 5 6 2 5 2" xfId="21694"/>
    <cellStyle name="Normal 7 5 6 2 6" xfId="21695"/>
    <cellStyle name="Normal 7 5 6 2 6 2" xfId="36873"/>
    <cellStyle name="Normal 7 5 6 2 7" xfId="21696"/>
    <cellStyle name="Normal 7 5 6 3" xfId="21697"/>
    <cellStyle name="Normal 7 5 6 3 2" xfId="21698"/>
    <cellStyle name="Normal 7 5 6 3 2 2" xfId="21699"/>
    <cellStyle name="Normal 7 5 6 3 2 2 2" xfId="21700"/>
    <cellStyle name="Normal 7 5 6 3 2 3" xfId="21701"/>
    <cellStyle name="Normal 7 5 6 3 3" xfId="21702"/>
    <cellStyle name="Normal 7 5 6 3 3 2" xfId="21703"/>
    <cellStyle name="Normal 7 5 6 3 4" xfId="21704"/>
    <cellStyle name="Normal 7 5 6 4" xfId="21705"/>
    <cellStyle name="Normal 7 5 6 4 2" xfId="21706"/>
    <cellStyle name="Normal 7 5 6 4 2 2" xfId="21707"/>
    <cellStyle name="Normal 7 5 6 4 3" xfId="21708"/>
    <cellStyle name="Normal 7 5 6 5" xfId="21709"/>
    <cellStyle name="Normal 7 5 6 5 2" xfId="21710"/>
    <cellStyle name="Normal 7 5 6 5 2 2" xfId="21711"/>
    <cellStyle name="Normal 7 5 6 5 3" xfId="21712"/>
    <cellStyle name="Normal 7 5 6 6" xfId="21713"/>
    <cellStyle name="Normal 7 5 6 6 2" xfId="21714"/>
    <cellStyle name="Normal 7 5 6 7" xfId="21715"/>
    <cellStyle name="Normal 7 5 6 7 2" xfId="36874"/>
    <cellStyle name="Normal 7 5 6 8" xfId="21716"/>
    <cellStyle name="Normal 7 5 7" xfId="21717"/>
    <cellStyle name="Normal 7 5 7 2" xfId="21718"/>
    <cellStyle name="Normal 7 5 7 2 2" xfId="21719"/>
    <cellStyle name="Normal 7 5 7 2 2 2" xfId="21720"/>
    <cellStyle name="Normal 7 5 7 2 2 2 2" xfId="21721"/>
    <cellStyle name="Normal 7 5 7 2 2 2 3" xfId="21722"/>
    <cellStyle name="Normal 7 5 7 2 2 3" xfId="21723"/>
    <cellStyle name="Normal 7 5 7 2 2 3 2" xfId="21724"/>
    <cellStyle name="Normal 7 5 7 2 2 4" xfId="21725"/>
    <cellStyle name="Normal 7 5 7 2 3" xfId="21726"/>
    <cellStyle name="Normal 7 5 7 2 3 2" xfId="21727"/>
    <cellStyle name="Normal 7 5 7 2 3 2 2" xfId="21728"/>
    <cellStyle name="Normal 7 5 7 2 3 3" xfId="21729"/>
    <cellStyle name="Normal 7 5 7 2 4" xfId="21730"/>
    <cellStyle name="Normal 7 5 7 2 4 2" xfId="21731"/>
    <cellStyle name="Normal 7 5 7 2 4 3" xfId="21732"/>
    <cellStyle name="Normal 7 5 7 2 5" xfId="21733"/>
    <cellStyle name="Normal 7 5 7 2 5 2" xfId="21734"/>
    <cellStyle name="Normal 7 5 7 2 6" xfId="21735"/>
    <cellStyle name="Normal 7 5 7 2 6 2" xfId="36875"/>
    <cellStyle name="Normal 7 5 7 2 7" xfId="21736"/>
    <cellStyle name="Normal 7 5 7 3" xfId="21737"/>
    <cellStyle name="Normal 7 5 7 3 2" xfId="21738"/>
    <cellStyle name="Normal 7 5 7 3 2 2" xfId="21739"/>
    <cellStyle name="Normal 7 5 7 3 2 2 2" xfId="21740"/>
    <cellStyle name="Normal 7 5 7 3 2 3" xfId="21741"/>
    <cellStyle name="Normal 7 5 7 3 3" xfId="21742"/>
    <cellStyle name="Normal 7 5 7 3 3 2" xfId="21743"/>
    <cellStyle name="Normal 7 5 7 3 4" xfId="21744"/>
    <cellStyle name="Normal 7 5 7 4" xfId="21745"/>
    <cellStyle name="Normal 7 5 7 4 2" xfId="21746"/>
    <cellStyle name="Normal 7 5 7 4 2 2" xfId="21747"/>
    <cellStyle name="Normal 7 5 7 4 3" xfId="21748"/>
    <cellStyle name="Normal 7 5 7 5" xfId="21749"/>
    <cellStyle name="Normal 7 5 7 5 2" xfId="21750"/>
    <cellStyle name="Normal 7 5 7 5 2 2" xfId="21751"/>
    <cellStyle name="Normal 7 5 7 5 3" xfId="21752"/>
    <cellStyle name="Normal 7 5 7 6" xfId="21753"/>
    <cellStyle name="Normal 7 5 7 6 2" xfId="21754"/>
    <cellStyle name="Normal 7 5 7 7" xfId="21755"/>
    <cellStyle name="Normal 7 5 7 7 2" xfId="36876"/>
    <cellStyle name="Normal 7 5 7 8" xfId="21756"/>
    <cellStyle name="Normal 7 5 8" xfId="21757"/>
    <cellStyle name="Normal 7 5 8 2" xfId="21758"/>
    <cellStyle name="Normal 7 5 8 2 2" xfId="21759"/>
    <cellStyle name="Normal 7 5 8 2 2 2" xfId="21760"/>
    <cellStyle name="Normal 7 5 8 2 2 3" xfId="21761"/>
    <cellStyle name="Normal 7 5 8 2 3" xfId="21762"/>
    <cellStyle name="Normal 7 5 8 2 3 2" xfId="21763"/>
    <cellStyle name="Normal 7 5 8 2 4" xfId="21764"/>
    <cellStyle name="Normal 7 5 8 3" xfId="21765"/>
    <cellStyle name="Normal 7 5 8 3 2" xfId="21766"/>
    <cellStyle name="Normal 7 5 8 3 2 2" xfId="21767"/>
    <cellStyle name="Normal 7 5 8 3 3" xfId="21768"/>
    <cellStyle name="Normal 7 5 8 4" xfId="21769"/>
    <cellStyle name="Normal 7 5 8 4 2" xfId="21770"/>
    <cellStyle name="Normal 7 5 8 4 3" xfId="21771"/>
    <cellStyle name="Normal 7 5 8 5" xfId="21772"/>
    <cellStyle name="Normal 7 5 8 5 2" xfId="21773"/>
    <cellStyle name="Normal 7 5 8 6" xfId="21774"/>
    <cellStyle name="Normal 7 5 8 6 2" xfId="36877"/>
    <cellStyle name="Normal 7 5 8 7" xfId="21775"/>
    <cellStyle name="Normal 7 5 9" xfId="21776"/>
    <cellStyle name="Normal 7 5 9 2" xfId="21777"/>
    <cellStyle name="Normal 7 5 9 2 2" xfId="21778"/>
    <cellStyle name="Normal 7 5 9 2 2 2" xfId="21779"/>
    <cellStyle name="Normal 7 5 9 2 3" xfId="21780"/>
    <cellStyle name="Normal 7 5 9 3" xfId="21781"/>
    <cellStyle name="Normal 7 5 9 3 2" xfId="21782"/>
    <cellStyle name="Normal 7 5 9 4" xfId="21783"/>
    <cellStyle name="Normal 7 6" xfId="21784"/>
    <cellStyle name="Normal 7 6 10" xfId="21785"/>
    <cellStyle name="Normal 7 6 10 2" xfId="21786"/>
    <cellStyle name="Normal 7 6 10 2 2" xfId="21787"/>
    <cellStyle name="Normal 7 6 10 3" xfId="21788"/>
    <cellStyle name="Normal 7 6 11" xfId="21789"/>
    <cellStyle name="Normal 7 6 11 2" xfId="21790"/>
    <cellStyle name="Normal 7 6 12" xfId="21791"/>
    <cellStyle name="Normal 7 6 12 2" xfId="36878"/>
    <cellStyle name="Normal 7 6 13" xfId="21792"/>
    <cellStyle name="Normal 7 6 2" xfId="21793"/>
    <cellStyle name="Normal 7 6 2 10" xfId="21794"/>
    <cellStyle name="Normal 7 6 2 2" xfId="21795"/>
    <cellStyle name="Normal 7 6 2 2 2" xfId="21796"/>
    <cellStyle name="Normal 7 6 2 2 2 2" xfId="21797"/>
    <cellStyle name="Normal 7 6 2 2 2 2 2" xfId="21798"/>
    <cellStyle name="Normal 7 6 2 2 2 2 2 2" xfId="21799"/>
    <cellStyle name="Normal 7 6 2 2 2 2 2 2 2" xfId="21800"/>
    <cellStyle name="Normal 7 6 2 2 2 2 2 2 3" xfId="21801"/>
    <cellStyle name="Normal 7 6 2 2 2 2 2 3" xfId="21802"/>
    <cellStyle name="Normal 7 6 2 2 2 2 2 3 2" xfId="21803"/>
    <cellStyle name="Normal 7 6 2 2 2 2 2 4" xfId="21804"/>
    <cellStyle name="Normal 7 6 2 2 2 2 3" xfId="21805"/>
    <cellStyle name="Normal 7 6 2 2 2 2 3 2" xfId="21806"/>
    <cellStyle name="Normal 7 6 2 2 2 2 3 2 2" xfId="21807"/>
    <cellStyle name="Normal 7 6 2 2 2 2 3 3" xfId="21808"/>
    <cellStyle name="Normal 7 6 2 2 2 2 4" xfId="21809"/>
    <cellStyle name="Normal 7 6 2 2 2 2 4 2" xfId="21810"/>
    <cellStyle name="Normal 7 6 2 2 2 2 4 3" xfId="21811"/>
    <cellStyle name="Normal 7 6 2 2 2 2 5" xfId="21812"/>
    <cellStyle name="Normal 7 6 2 2 2 2 5 2" xfId="21813"/>
    <cellStyle name="Normal 7 6 2 2 2 2 6" xfId="21814"/>
    <cellStyle name="Normal 7 6 2 2 2 2 6 2" xfId="36879"/>
    <cellStyle name="Normal 7 6 2 2 2 2 7" xfId="21815"/>
    <cellStyle name="Normal 7 6 2 2 2 3" xfId="21816"/>
    <cellStyle name="Normal 7 6 2 2 2 3 2" xfId="21817"/>
    <cellStyle name="Normal 7 6 2 2 2 3 2 2" xfId="21818"/>
    <cellStyle name="Normal 7 6 2 2 2 3 2 2 2" xfId="21819"/>
    <cellStyle name="Normal 7 6 2 2 2 3 2 3" xfId="21820"/>
    <cellStyle name="Normal 7 6 2 2 2 3 3" xfId="21821"/>
    <cellStyle name="Normal 7 6 2 2 2 3 3 2" xfId="21822"/>
    <cellStyle name="Normal 7 6 2 2 2 3 4" xfId="21823"/>
    <cellStyle name="Normal 7 6 2 2 2 4" xfId="21824"/>
    <cellStyle name="Normal 7 6 2 2 2 4 2" xfId="21825"/>
    <cellStyle name="Normal 7 6 2 2 2 4 2 2" xfId="21826"/>
    <cellStyle name="Normal 7 6 2 2 2 4 3" xfId="21827"/>
    <cellStyle name="Normal 7 6 2 2 2 5" xfId="21828"/>
    <cellStyle name="Normal 7 6 2 2 2 5 2" xfId="21829"/>
    <cellStyle name="Normal 7 6 2 2 2 5 2 2" xfId="21830"/>
    <cellStyle name="Normal 7 6 2 2 2 5 3" xfId="21831"/>
    <cellStyle name="Normal 7 6 2 2 2 6" xfId="21832"/>
    <cellStyle name="Normal 7 6 2 2 2 6 2" xfId="21833"/>
    <cellStyle name="Normal 7 6 2 2 2 7" xfId="21834"/>
    <cellStyle name="Normal 7 6 2 2 2 7 2" xfId="36880"/>
    <cellStyle name="Normal 7 6 2 2 2 8" xfId="21835"/>
    <cellStyle name="Normal 7 6 2 2 3" xfId="21836"/>
    <cellStyle name="Normal 7 6 2 2 3 2" xfId="21837"/>
    <cellStyle name="Normal 7 6 2 2 3 2 2" xfId="21838"/>
    <cellStyle name="Normal 7 6 2 2 3 2 2 2" xfId="21839"/>
    <cellStyle name="Normal 7 6 2 2 3 2 2 3" xfId="21840"/>
    <cellStyle name="Normal 7 6 2 2 3 2 3" xfId="21841"/>
    <cellStyle name="Normal 7 6 2 2 3 2 3 2" xfId="21842"/>
    <cellStyle name="Normal 7 6 2 2 3 2 4" xfId="21843"/>
    <cellStyle name="Normal 7 6 2 2 3 3" xfId="21844"/>
    <cellStyle name="Normal 7 6 2 2 3 3 2" xfId="21845"/>
    <cellStyle name="Normal 7 6 2 2 3 3 2 2" xfId="21846"/>
    <cellStyle name="Normal 7 6 2 2 3 3 3" xfId="21847"/>
    <cellStyle name="Normal 7 6 2 2 3 4" xfId="21848"/>
    <cellStyle name="Normal 7 6 2 2 3 4 2" xfId="21849"/>
    <cellStyle name="Normal 7 6 2 2 3 4 3" xfId="21850"/>
    <cellStyle name="Normal 7 6 2 2 3 5" xfId="21851"/>
    <cellStyle name="Normal 7 6 2 2 3 5 2" xfId="21852"/>
    <cellStyle name="Normal 7 6 2 2 3 6" xfId="21853"/>
    <cellStyle name="Normal 7 6 2 2 3 6 2" xfId="36881"/>
    <cellStyle name="Normal 7 6 2 2 3 7" xfId="21854"/>
    <cellStyle name="Normal 7 6 2 2 4" xfId="21855"/>
    <cellStyle name="Normal 7 6 2 2 4 2" xfId="21856"/>
    <cellStyle name="Normal 7 6 2 2 4 2 2" xfId="21857"/>
    <cellStyle name="Normal 7 6 2 2 4 2 2 2" xfId="21858"/>
    <cellStyle name="Normal 7 6 2 2 4 2 3" xfId="21859"/>
    <cellStyle name="Normal 7 6 2 2 4 3" xfId="21860"/>
    <cellStyle name="Normal 7 6 2 2 4 3 2" xfId="21861"/>
    <cellStyle name="Normal 7 6 2 2 4 4" xfId="21862"/>
    <cellStyle name="Normal 7 6 2 2 5" xfId="21863"/>
    <cellStyle name="Normal 7 6 2 2 5 2" xfId="21864"/>
    <cellStyle name="Normal 7 6 2 2 5 2 2" xfId="21865"/>
    <cellStyle name="Normal 7 6 2 2 5 3" xfId="21866"/>
    <cellStyle name="Normal 7 6 2 2 6" xfId="21867"/>
    <cellStyle name="Normal 7 6 2 2 6 2" xfId="21868"/>
    <cellStyle name="Normal 7 6 2 2 6 2 2" xfId="21869"/>
    <cellStyle name="Normal 7 6 2 2 6 3" xfId="21870"/>
    <cellStyle name="Normal 7 6 2 2 7" xfId="21871"/>
    <cellStyle name="Normal 7 6 2 2 7 2" xfId="21872"/>
    <cellStyle name="Normal 7 6 2 2 8" xfId="21873"/>
    <cellStyle name="Normal 7 6 2 2 8 2" xfId="36882"/>
    <cellStyle name="Normal 7 6 2 2 9" xfId="21874"/>
    <cellStyle name="Normal 7 6 2 3" xfId="21875"/>
    <cellStyle name="Normal 7 6 2 3 2" xfId="21876"/>
    <cellStyle name="Normal 7 6 2 3 2 2" xfId="21877"/>
    <cellStyle name="Normal 7 6 2 3 2 2 2" xfId="21878"/>
    <cellStyle name="Normal 7 6 2 3 2 2 2 2" xfId="21879"/>
    <cellStyle name="Normal 7 6 2 3 2 2 2 3" xfId="21880"/>
    <cellStyle name="Normal 7 6 2 3 2 2 3" xfId="21881"/>
    <cellStyle name="Normal 7 6 2 3 2 2 3 2" xfId="21882"/>
    <cellStyle name="Normal 7 6 2 3 2 2 4" xfId="21883"/>
    <cellStyle name="Normal 7 6 2 3 2 3" xfId="21884"/>
    <cellStyle name="Normal 7 6 2 3 2 3 2" xfId="21885"/>
    <cellStyle name="Normal 7 6 2 3 2 3 2 2" xfId="21886"/>
    <cellStyle name="Normal 7 6 2 3 2 3 3" xfId="21887"/>
    <cellStyle name="Normal 7 6 2 3 2 4" xfId="21888"/>
    <cellStyle name="Normal 7 6 2 3 2 4 2" xfId="21889"/>
    <cellStyle name="Normal 7 6 2 3 2 4 3" xfId="21890"/>
    <cellStyle name="Normal 7 6 2 3 2 5" xfId="21891"/>
    <cellStyle name="Normal 7 6 2 3 2 5 2" xfId="21892"/>
    <cellStyle name="Normal 7 6 2 3 2 6" xfId="21893"/>
    <cellStyle name="Normal 7 6 2 3 2 6 2" xfId="36883"/>
    <cellStyle name="Normal 7 6 2 3 2 7" xfId="21894"/>
    <cellStyle name="Normal 7 6 2 3 3" xfId="21895"/>
    <cellStyle name="Normal 7 6 2 3 3 2" xfId="21896"/>
    <cellStyle name="Normal 7 6 2 3 3 2 2" xfId="21897"/>
    <cellStyle name="Normal 7 6 2 3 3 2 2 2" xfId="21898"/>
    <cellStyle name="Normal 7 6 2 3 3 2 3" xfId="21899"/>
    <cellStyle name="Normal 7 6 2 3 3 3" xfId="21900"/>
    <cellStyle name="Normal 7 6 2 3 3 3 2" xfId="21901"/>
    <cellStyle name="Normal 7 6 2 3 3 4" xfId="21902"/>
    <cellStyle name="Normal 7 6 2 3 4" xfId="21903"/>
    <cellStyle name="Normal 7 6 2 3 4 2" xfId="21904"/>
    <cellStyle name="Normal 7 6 2 3 4 2 2" xfId="21905"/>
    <cellStyle name="Normal 7 6 2 3 4 3" xfId="21906"/>
    <cellStyle name="Normal 7 6 2 3 5" xfId="21907"/>
    <cellStyle name="Normal 7 6 2 3 5 2" xfId="21908"/>
    <cellStyle name="Normal 7 6 2 3 5 2 2" xfId="21909"/>
    <cellStyle name="Normal 7 6 2 3 5 3" xfId="21910"/>
    <cellStyle name="Normal 7 6 2 3 6" xfId="21911"/>
    <cellStyle name="Normal 7 6 2 3 6 2" xfId="21912"/>
    <cellStyle name="Normal 7 6 2 3 7" xfId="21913"/>
    <cellStyle name="Normal 7 6 2 3 7 2" xfId="36884"/>
    <cellStyle name="Normal 7 6 2 3 8" xfId="21914"/>
    <cellStyle name="Normal 7 6 2 4" xfId="21915"/>
    <cellStyle name="Normal 7 6 2 4 2" xfId="21916"/>
    <cellStyle name="Normal 7 6 2 4 2 2" xfId="21917"/>
    <cellStyle name="Normal 7 6 2 4 2 2 2" xfId="21918"/>
    <cellStyle name="Normal 7 6 2 4 2 2 3" xfId="21919"/>
    <cellStyle name="Normal 7 6 2 4 2 3" xfId="21920"/>
    <cellStyle name="Normal 7 6 2 4 2 3 2" xfId="21921"/>
    <cellStyle name="Normal 7 6 2 4 2 4" xfId="21922"/>
    <cellStyle name="Normal 7 6 2 4 3" xfId="21923"/>
    <cellStyle name="Normal 7 6 2 4 3 2" xfId="21924"/>
    <cellStyle name="Normal 7 6 2 4 3 2 2" xfId="21925"/>
    <cellStyle name="Normal 7 6 2 4 3 3" xfId="21926"/>
    <cellStyle name="Normal 7 6 2 4 4" xfId="21927"/>
    <cellStyle name="Normal 7 6 2 4 4 2" xfId="21928"/>
    <cellStyle name="Normal 7 6 2 4 4 3" xfId="21929"/>
    <cellStyle name="Normal 7 6 2 4 5" xfId="21930"/>
    <cellStyle name="Normal 7 6 2 4 5 2" xfId="21931"/>
    <cellStyle name="Normal 7 6 2 4 6" xfId="21932"/>
    <cellStyle name="Normal 7 6 2 4 6 2" xfId="36885"/>
    <cellStyle name="Normal 7 6 2 4 7" xfId="21933"/>
    <cellStyle name="Normal 7 6 2 5" xfId="21934"/>
    <cellStyle name="Normal 7 6 2 5 2" xfId="21935"/>
    <cellStyle name="Normal 7 6 2 5 2 2" xfId="21936"/>
    <cellStyle name="Normal 7 6 2 5 2 2 2" xfId="21937"/>
    <cellStyle name="Normal 7 6 2 5 2 3" xfId="21938"/>
    <cellStyle name="Normal 7 6 2 5 3" xfId="21939"/>
    <cellStyle name="Normal 7 6 2 5 3 2" xfId="21940"/>
    <cellStyle name="Normal 7 6 2 5 4" xfId="21941"/>
    <cellStyle name="Normal 7 6 2 6" xfId="21942"/>
    <cellStyle name="Normal 7 6 2 6 2" xfId="21943"/>
    <cellStyle name="Normal 7 6 2 6 2 2" xfId="21944"/>
    <cellStyle name="Normal 7 6 2 6 3" xfId="21945"/>
    <cellStyle name="Normal 7 6 2 7" xfId="21946"/>
    <cellStyle name="Normal 7 6 2 7 2" xfId="21947"/>
    <cellStyle name="Normal 7 6 2 7 2 2" xfId="21948"/>
    <cellStyle name="Normal 7 6 2 7 3" xfId="21949"/>
    <cellStyle name="Normal 7 6 2 8" xfId="21950"/>
    <cellStyle name="Normal 7 6 2 8 2" xfId="21951"/>
    <cellStyle name="Normal 7 6 2 9" xfId="21952"/>
    <cellStyle name="Normal 7 6 2 9 2" xfId="36886"/>
    <cellStyle name="Normal 7 6 3" xfId="21953"/>
    <cellStyle name="Normal 7 6 3 2" xfId="21954"/>
    <cellStyle name="Normal 7 6 3 2 2" xfId="21955"/>
    <cellStyle name="Normal 7 6 3 2 2 2" xfId="21956"/>
    <cellStyle name="Normal 7 6 3 2 2 2 2" xfId="21957"/>
    <cellStyle name="Normal 7 6 3 2 2 2 2 2" xfId="21958"/>
    <cellStyle name="Normal 7 6 3 2 2 2 2 3" xfId="21959"/>
    <cellStyle name="Normal 7 6 3 2 2 2 3" xfId="21960"/>
    <cellStyle name="Normal 7 6 3 2 2 2 3 2" xfId="21961"/>
    <cellStyle name="Normal 7 6 3 2 2 2 4" xfId="21962"/>
    <cellStyle name="Normal 7 6 3 2 2 3" xfId="21963"/>
    <cellStyle name="Normal 7 6 3 2 2 3 2" xfId="21964"/>
    <cellStyle name="Normal 7 6 3 2 2 3 2 2" xfId="21965"/>
    <cellStyle name="Normal 7 6 3 2 2 3 3" xfId="21966"/>
    <cellStyle name="Normal 7 6 3 2 2 4" xfId="21967"/>
    <cellStyle name="Normal 7 6 3 2 2 4 2" xfId="21968"/>
    <cellStyle name="Normal 7 6 3 2 2 4 3" xfId="21969"/>
    <cellStyle name="Normal 7 6 3 2 2 5" xfId="21970"/>
    <cellStyle name="Normal 7 6 3 2 2 5 2" xfId="21971"/>
    <cellStyle name="Normal 7 6 3 2 2 6" xfId="21972"/>
    <cellStyle name="Normal 7 6 3 2 2 6 2" xfId="36887"/>
    <cellStyle name="Normal 7 6 3 2 2 7" xfId="21973"/>
    <cellStyle name="Normal 7 6 3 2 3" xfId="21974"/>
    <cellStyle name="Normal 7 6 3 2 3 2" xfId="21975"/>
    <cellStyle name="Normal 7 6 3 2 3 2 2" xfId="21976"/>
    <cellStyle name="Normal 7 6 3 2 3 2 2 2" xfId="21977"/>
    <cellStyle name="Normal 7 6 3 2 3 2 3" xfId="21978"/>
    <cellStyle name="Normal 7 6 3 2 3 3" xfId="21979"/>
    <cellStyle name="Normal 7 6 3 2 3 3 2" xfId="21980"/>
    <cellStyle name="Normal 7 6 3 2 3 4" xfId="21981"/>
    <cellStyle name="Normal 7 6 3 2 4" xfId="21982"/>
    <cellStyle name="Normal 7 6 3 2 4 2" xfId="21983"/>
    <cellStyle name="Normal 7 6 3 2 4 2 2" xfId="21984"/>
    <cellStyle name="Normal 7 6 3 2 4 3" xfId="21985"/>
    <cellStyle name="Normal 7 6 3 2 5" xfId="21986"/>
    <cellStyle name="Normal 7 6 3 2 5 2" xfId="21987"/>
    <cellStyle name="Normal 7 6 3 2 5 2 2" xfId="21988"/>
    <cellStyle name="Normal 7 6 3 2 5 3" xfId="21989"/>
    <cellStyle name="Normal 7 6 3 2 6" xfId="21990"/>
    <cellStyle name="Normal 7 6 3 2 6 2" xfId="21991"/>
    <cellStyle name="Normal 7 6 3 2 7" xfId="21992"/>
    <cellStyle name="Normal 7 6 3 2 7 2" xfId="36888"/>
    <cellStyle name="Normal 7 6 3 2 8" xfId="21993"/>
    <cellStyle name="Normal 7 6 3 3" xfId="21994"/>
    <cellStyle name="Normal 7 6 3 3 2" xfId="21995"/>
    <cellStyle name="Normal 7 6 3 3 2 2" xfId="21996"/>
    <cellStyle name="Normal 7 6 3 3 2 2 2" xfId="21997"/>
    <cellStyle name="Normal 7 6 3 3 2 2 3" xfId="21998"/>
    <cellStyle name="Normal 7 6 3 3 2 3" xfId="21999"/>
    <cellStyle name="Normal 7 6 3 3 2 3 2" xfId="22000"/>
    <cellStyle name="Normal 7 6 3 3 2 4" xfId="22001"/>
    <cellStyle name="Normal 7 6 3 3 3" xfId="22002"/>
    <cellStyle name="Normal 7 6 3 3 3 2" xfId="22003"/>
    <cellStyle name="Normal 7 6 3 3 3 2 2" xfId="22004"/>
    <cellStyle name="Normal 7 6 3 3 3 3" xfId="22005"/>
    <cellStyle name="Normal 7 6 3 3 4" xfId="22006"/>
    <cellStyle name="Normal 7 6 3 3 4 2" xfId="22007"/>
    <cellStyle name="Normal 7 6 3 3 4 3" xfId="22008"/>
    <cellStyle name="Normal 7 6 3 3 5" xfId="22009"/>
    <cellStyle name="Normal 7 6 3 3 5 2" xfId="22010"/>
    <cellStyle name="Normal 7 6 3 3 6" xfId="22011"/>
    <cellStyle name="Normal 7 6 3 3 6 2" xfId="36889"/>
    <cellStyle name="Normal 7 6 3 3 7" xfId="22012"/>
    <cellStyle name="Normal 7 6 3 4" xfId="22013"/>
    <cellStyle name="Normal 7 6 3 4 2" xfId="22014"/>
    <cellStyle name="Normal 7 6 3 4 2 2" xfId="22015"/>
    <cellStyle name="Normal 7 6 3 4 2 2 2" xfId="22016"/>
    <cellStyle name="Normal 7 6 3 4 2 3" xfId="22017"/>
    <cellStyle name="Normal 7 6 3 4 3" xfId="22018"/>
    <cellStyle name="Normal 7 6 3 4 3 2" xfId="22019"/>
    <cellStyle name="Normal 7 6 3 4 4" xfId="22020"/>
    <cellStyle name="Normal 7 6 3 5" xfId="22021"/>
    <cellStyle name="Normal 7 6 3 5 2" xfId="22022"/>
    <cellStyle name="Normal 7 6 3 5 2 2" xfId="22023"/>
    <cellStyle name="Normal 7 6 3 5 3" xfId="22024"/>
    <cellStyle name="Normal 7 6 3 6" xfId="22025"/>
    <cellStyle name="Normal 7 6 3 6 2" xfId="22026"/>
    <cellStyle name="Normal 7 6 3 6 2 2" xfId="22027"/>
    <cellStyle name="Normal 7 6 3 6 3" xfId="22028"/>
    <cellStyle name="Normal 7 6 3 7" xfId="22029"/>
    <cellStyle name="Normal 7 6 3 7 2" xfId="22030"/>
    <cellStyle name="Normal 7 6 3 8" xfId="22031"/>
    <cellStyle name="Normal 7 6 3 8 2" xfId="36890"/>
    <cellStyle name="Normal 7 6 3 9" xfId="22032"/>
    <cellStyle name="Normal 7 6 4" xfId="22033"/>
    <cellStyle name="Normal 7 6 4 2" xfId="22034"/>
    <cellStyle name="Normal 7 6 4 2 2" xfId="22035"/>
    <cellStyle name="Normal 7 6 4 2 2 2" xfId="22036"/>
    <cellStyle name="Normal 7 6 4 2 2 2 2" xfId="22037"/>
    <cellStyle name="Normal 7 6 4 2 2 2 3" xfId="22038"/>
    <cellStyle name="Normal 7 6 4 2 2 3" xfId="22039"/>
    <cellStyle name="Normal 7 6 4 2 2 3 2" xfId="22040"/>
    <cellStyle name="Normal 7 6 4 2 2 4" xfId="22041"/>
    <cellStyle name="Normal 7 6 4 2 3" xfId="22042"/>
    <cellStyle name="Normal 7 6 4 2 3 2" xfId="22043"/>
    <cellStyle name="Normal 7 6 4 2 3 2 2" xfId="22044"/>
    <cellStyle name="Normal 7 6 4 2 3 3" xfId="22045"/>
    <cellStyle name="Normal 7 6 4 2 4" xfId="22046"/>
    <cellStyle name="Normal 7 6 4 2 4 2" xfId="22047"/>
    <cellStyle name="Normal 7 6 4 2 4 3" xfId="22048"/>
    <cellStyle name="Normal 7 6 4 2 5" xfId="22049"/>
    <cellStyle name="Normal 7 6 4 2 5 2" xfId="22050"/>
    <cellStyle name="Normal 7 6 4 2 6" xfId="22051"/>
    <cellStyle name="Normal 7 6 4 2 6 2" xfId="36891"/>
    <cellStyle name="Normal 7 6 4 2 7" xfId="22052"/>
    <cellStyle name="Normal 7 6 4 3" xfId="22053"/>
    <cellStyle name="Normal 7 6 4 3 2" xfId="22054"/>
    <cellStyle name="Normal 7 6 4 3 2 2" xfId="22055"/>
    <cellStyle name="Normal 7 6 4 3 2 2 2" xfId="22056"/>
    <cellStyle name="Normal 7 6 4 3 2 3" xfId="22057"/>
    <cellStyle name="Normal 7 6 4 3 3" xfId="22058"/>
    <cellStyle name="Normal 7 6 4 3 3 2" xfId="22059"/>
    <cellStyle name="Normal 7 6 4 3 4" xfId="22060"/>
    <cellStyle name="Normal 7 6 4 4" xfId="22061"/>
    <cellStyle name="Normal 7 6 4 4 2" xfId="22062"/>
    <cellStyle name="Normal 7 6 4 4 2 2" xfId="22063"/>
    <cellStyle name="Normal 7 6 4 4 3" xfId="22064"/>
    <cellStyle name="Normal 7 6 4 5" xfId="22065"/>
    <cellStyle name="Normal 7 6 4 5 2" xfId="22066"/>
    <cellStyle name="Normal 7 6 4 5 2 2" xfId="22067"/>
    <cellStyle name="Normal 7 6 4 5 3" xfId="22068"/>
    <cellStyle name="Normal 7 6 4 6" xfId="22069"/>
    <cellStyle name="Normal 7 6 4 6 2" xfId="22070"/>
    <cellStyle name="Normal 7 6 4 7" xfId="22071"/>
    <cellStyle name="Normal 7 6 4 7 2" xfId="36892"/>
    <cellStyle name="Normal 7 6 4 8" xfId="22072"/>
    <cellStyle name="Normal 7 6 5" xfId="22073"/>
    <cellStyle name="Normal 7 6 5 2" xfId="22074"/>
    <cellStyle name="Normal 7 6 5 2 2" xfId="22075"/>
    <cellStyle name="Normal 7 6 5 2 2 2" xfId="22076"/>
    <cellStyle name="Normal 7 6 5 2 2 2 2" xfId="22077"/>
    <cellStyle name="Normal 7 6 5 2 2 2 3" xfId="22078"/>
    <cellStyle name="Normal 7 6 5 2 2 3" xfId="22079"/>
    <cellStyle name="Normal 7 6 5 2 2 3 2" xfId="22080"/>
    <cellStyle name="Normal 7 6 5 2 2 4" xfId="22081"/>
    <cellStyle name="Normal 7 6 5 2 3" xfId="22082"/>
    <cellStyle name="Normal 7 6 5 2 3 2" xfId="22083"/>
    <cellStyle name="Normal 7 6 5 2 3 2 2" xfId="22084"/>
    <cellStyle name="Normal 7 6 5 2 3 3" xfId="22085"/>
    <cellStyle name="Normal 7 6 5 2 4" xfId="22086"/>
    <cellStyle name="Normal 7 6 5 2 4 2" xfId="22087"/>
    <cellStyle name="Normal 7 6 5 2 4 3" xfId="22088"/>
    <cellStyle name="Normal 7 6 5 2 5" xfId="22089"/>
    <cellStyle name="Normal 7 6 5 2 5 2" xfId="22090"/>
    <cellStyle name="Normal 7 6 5 2 6" xfId="22091"/>
    <cellStyle name="Normal 7 6 5 2 6 2" xfId="36893"/>
    <cellStyle name="Normal 7 6 5 2 7" xfId="22092"/>
    <cellStyle name="Normal 7 6 5 3" xfId="22093"/>
    <cellStyle name="Normal 7 6 5 3 2" xfId="22094"/>
    <cellStyle name="Normal 7 6 5 3 2 2" xfId="22095"/>
    <cellStyle name="Normal 7 6 5 3 2 2 2" xfId="22096"/>
    <cellStyle name="Normal 7 6 5 3 2 3" xfId="22097"/>
    <cellStyle name="Normal 7 6 5 3 3" xfId="22098"/>
    <cellStyle name="Normal 7 6 5 3 3 2" xfId="22099"/>
    <cellStyle name="Normal 7 6 5 3 4" xfId="22100"/>
    <cellStyle name="Normal 7 6 5 4" xfId="22101"/>
    <cellStyle name="Normal 7 6 5 4 2" xfId="22102"/>
    <cellStyle name="Normal 7 6 5 4 2 2" xfId="22103"/>
    <cellStyle name="Normal 7 6 5 4 3" xfId="22104"/>
    <cellStyle name="Normal 7 6 5 5" xfId="22105"/>
    <cellStyle name="Normal 7 6 5 5 2" xfId="22106"/>
    <cellStyle name="Normal 7 6 5 5 2 2" xfId="22107"/>
    <cellStyle name="Normal 7 6 5 5 3" xfId="22108"/>
    <cellStyle name="Normal 7 6 5 6" xfId="22109"/>
    <cellStyle name="Normal 7 6 5 6 2" xfId="22110"/>
    <cellStyle name="Normal 7 6 5 7" xfId="22111"/>
    <cellStyle name="Normal 7 6 5 7 2" xfId="36894"/>
    <cellStyle name="Normal 7 6 5 8" xfId="22112"/>
    <cellStyle name="Normal 7 6 6" xfId="22113"/>
    <cellStyle name="Normal 7 6 7" xfId="22114"/>
    <cellStyle name="Normal 7 6 7 2" xfId="22115"/>
    <cellStyle name="Normal 7 6 7 2 2" xfId="22116"/>
    <cellStyle name="Normal 7 6 7 2 2 2" xfId="22117"/>
    <cellStyle name="Normal 7 6 7 2 2 3" xfId="22118"/>
    <cellStyle name="Normal 7 6 7 2 3" xfId="22119"/>
    <cellStyle name="Normal 7 6 7 2 3 2" xfId="22120"/>
    <cellStyle name="Normal 7 6 7 2 4" xfId="22121"/>
    <cellStyle name="Normal 7 6 7 3" xfId="22122"/>
    <cellStyle name="Normal 7 6 7 3 2" xfId="22123"/>
    <cellStyle name="Normal 7 6 7 3 2 2" xfId="22124"/>
    <cellStyle name="Normal 7 6 7 3 3" xfId="22125"/>
    <cellStyle name="Normal 7 6 7 4" xfId="22126"/>
    <cellStyle name="Normal 7 6 7 4 2" xfId="22127"/>
    <cellStyle name="Normal 7 6 7 4 3" xfId="22128"/>
    <cellStyle name="Normal 7 6 7 5" xfId="22129"/>
    <cellStyle name="Normal 7 6 7 5 2" xfId="22130"/>
    <cellStyle name="Normal 7 6 7 6" xfId="22131"/>
    <cellStyle name="Normal 7 6 7 6 2" xfId="36895"/>
    <cellStyle name="Normal 7 6 7 7" xfId="22132"/>
    <cellStyle name="Normal 7 6 8" xfId="22133"/>
    <cellStyle name="Normal 7 6 8 2" xfId="22134"/>
    <cellStyle name="Normal 7 6 8 2 2" xfId="22135"/>
    <cellStyle name="Normal 7 6 8 2 2 2" xfId="22136"/>
    <cellStyle name="Normal 7 6 8 2 3" xfId="22137"/>
    <cellStyle name="Normal 7 6 8 3" xfId="22138"/>
    <cellStyle name="Normal 7 6 8 3 2" xfId="22139"/>
    <cellStyle name="Normal 7 6 8 4" xfId="22140"/>
    <cellStyle name="Normal 7 6 9" xfId="22141"/>
    <cellStyle name="Normal 7 6 9 2" xfId="22142"/>
    <cellStyle name="Normal 7 6 9 2 2" xfId="22143"/>
    <cellStyle name="Normal 7 6 9 3" xfId="22144"/>
    <cellStyle name="Normal 7 7" xfId="22145"/>
    <cellStyle name="Normal 7 7 10" xfId="22146"/>
    <cellStyle name="Normal 7 7 2" xfId="22147"/>
    <cellStyle name="Normal 7 7 2 2" xfId="22148"/>
    <cellStyle name="Normal 7 7 2 2 2" xfId="22149"/>
    <cellStyle name="Normal 7 7 2 2 2 2" xfId="22150"/>
    <cellStyle name="Normal 7 7 2 2 2 2 2" xfId="22151"/>
    <cellStyle name="Normal 7 7 2 2 2 2 2 2" xfId="22152"/>
    <cellStyle name="Normal 7 7 2 2 2 2 2 3" xfId="22153"/>
    <cellStyle name="Normal 7 7 2 2 2 2 3" xfId="22154"/>
    <cellStyle name="Normal 7 7 2 2 2 2 3 2" xfId="22155"/>
    <cellStyle name="Normal 7 7 2 2 2 2 4" xfId="22156"/>
    <cellStyle name="Normal 7 7 2 2 2 3" xfId="22157"/>
    <cellStyle name="Normal 7 7 2 2 2 3 2" xfId="22158"/>
    <cellStyle name="Normal 7 7 2 2 2 3 2 2" xfId="22159"/>
    <cellStyle name="Normal 7 7 2 2 2 3 3" xfId="22160"/>
    <cellStyle name="Normal 7 7 2 2 2 4" xfId="22161"/>
    <cellStyle name="Normal 7 7 2 2 2 4 2" xfId="22162"/>
    <cellStyle name="Normal 7 7 2 2 2 4 3" xfId="22163"/>
    <cellStyle name="Normal 7 7 2 2 2 5" xfId="22164"/>
    <cellStyle name="Normal 7 7 2 2 2 5 2" xfId="22165"/>
    <cellStyle name="Normal 7 7 2 2 2 6" xfId="22166"/>
    <cellStyle name="Normal 7 7 2 2 2 6 2" xfId="36896"/>
    <cellStyle name="Normal 7 7 2 2 2 7" xfId="22167"/>
    <cellStyle name="Normal 7 7 2 2 3" xfId="22168"/>
    <cellStyle name="Normal 7 7 2 2 3 2" xfId="22169"/>
    <cellStyle name="Normal 7 7 2 2 3 2 2" xfId="22170"/>
    <cellStyle name="Normal 7 7 2 2 3 2 2 2" xfId="22171"/>
    <cellStyle name="Normal 7 7 2 2 3 2 3" xfId="22172"/>
    <cellStyle name="Normal 7 7 2 2 3 3" xfId="22173"/>
    <cellStyle name="Normal 7 7 2 2 3 3 2" xfId="22174"/>
    <cellStyle name="Normal 7 7 2 2 3 4" xfId="22175"/>
    <cellStyle name="Normal 7 7 2 2 4" xfId="22176"/>
    <cellStyle name="Normal 7 7 2 2 4 2" xfId="22177"/>
    <cellStyle name="Normal 7 7 2 2 4 2 2" xfId="22178"/>
    <cellStyle name="Normal 7 7 2 2 4 3" xfId="22179"/>
    <cellStyle name="Normal 7 7 2 2 5" xfId="22180"/>
    <cellStyle name="Normal 7 7 2 2 5 2" xfId="22181"/>
    <cellStyle name="Normal 7 7 2 2 5 2 2" xfId="22182"/>
    <cellStyle name="Normal 7 7 2 2 5 3" xfId="22183"/>
    <cellStyle name="Normal 7 7 2 2 6" xfId="22184"/>
    <cellStyle name="Normal 7 7 2 2 6 2" xfId="22185"/>
    <cellStyle name="Normal 7 7 2 2 7" xfId="22186"/>
    <cellStyle name="Normal 7 7 2 2 7 2" xfId="36897"/>
    <cellStyle name="Normal 7 7 2 2 8" xfId="22187"/>
    <cellStyle name="Normal 7 7 2 3" xfId="22188"/>
    <cellStyle name="Normal 7 7 2 3 2" xfId="22189"/>
    <cellStyle name="Normal 7 7 2 3 2 2" xfId="22190"/>
    <cellStyle name="Normal 7 7 2 3 2 2 2" xfId="22191"/>
    <cellStyle name="Normal 7 7 2 3 2 2 3" xfId="22192"/>
    <cellStyle name="Normal 7 7 2 3 2 3" xfId="22193"/>
    <cellStyle name="Normal 7 7 2 3 2 3 2" xfId="22194"/>
    <cellStyle name="Normal 7 7 2 3 2 4" xfId="22195"/>
    <cellStyle name="Normal 7 7 2 3 3" xfId="22196"/>
    <cellStyle name="Normal 7 7 2 3 3 2" xfId="22197"/>
    <cellStyle name="Normal 7 7 2 3 3 2 2" xfId="22198"/>
    <cellStyle name="Normal 7 7 2 3 3 3" xfId="22199"/>
    <cellStyle name="Normal 7 7 2 3 4" xfId="22200"/>
    <cellStyle name="Normal 7 7 2 3 4 2" xfId="22201"/>
    <cellStyle name="Normal 7 7 2 3 4 3" xfId="22202"/>
    <cellStyle name="Normal 7 7 2 3 5" xfId="22203"/>
    <cellStyle name="Normal 7 7 2 3 5 2" xfId="22204"/>
    <cellStyle name="Normal 7 7 2 3 6" xfId="22205"/>
    <cellStyle name="Normal 7 7 2 3 6 2" xfId="36898"/>
    <cellStyle name="Normal 7 7 2 3 7" xfId="22206"/>
    <cellStyle name="Normal 7 7 2 4" xfId="22207"/>
    <cellStyle name="Normal 7 7 2 4 2" xfId="22208"/>
    <cellStyle name="Normal 7 7 2 4 2 2" xfId="22209"/>
    <cellStyle name="Normal 7 7 2 4 2 2 2" xfId="22210"/>
    <cellStyle name="Normal 7 7 2 4 2 3" xfId="22211"/>
    <cellStyle name="Normal 7 7 2 4 3" xfId="22212"/>
    <cellStyle name="Normal 7 7 2 4 3 2" xfId="22213"/>
    <cellStyle name="Normal 7 7 2 4 4" xfId="22214"/>
    <cellStyle name="Normal 7 7 2 5" xfId="22215"/>
    <cellStyle name="Normal 7 7 2 5 2" xfId="22216"/>
    <cellStyle name="Normal 7 7 2 5 2 2" xfId="22217"/>
    <cellStyle name="Normal 7 7 2 5 3" xfId="22218"/>
    <cellStyle name="Normal 7 7 2 6" xfId="22219"/>
    <cellStyle name="Normal 7 7 2 6 2" xfId="22220"/>
    <cellStyle name="Normal 7 7 2 6 2 2" xfId="22221"/>
    <cellStyle name="Normal 7 7 2 6 3" xfId="22222"/>
    <cellStyle name="Normal 7 7 2 7" xfId="22223"/>
    <cellStyle name="Normal 7 7 2 7 2" xfId="22224"/>
    <cellStyle name="Normal 7 7 2 8" xfId="22225"/>
    <cellStyle name="Normal 7 7 2 8 2" xfId="36899"/>
    <cellStyle name="Normal 7 7 2 9" xfId="22226"/>
    <cellStyle name="Normal 7 7 3" xfId="22227"/>
    <cellStyle name="Normal 7 7 3 2" xfId="22228"/>
    <cellStyle name="Normal 7 7 3 2 2" xfId="22229"/>
    <cellStyle name="Normal 7 7 3 2 2 2" xfId="22230"/>
    <cellStyle name="Normal 7 7 3 2 2 2 2" xfId="22231"/>
    <cellStyle name="Normal 7 7 3 2 2 2 3" xfId="22232"/>
    <cellStyle name="Normal 7 7 3 2 2 3" xfId="22233"/>
    <cellStyle name="Normal 7 7 3 2 2 3 2" xfId="22234"/>
    <cellStyle name="Normal 7 7 3 2 2 4" xfId="22235"/>
    <cellStyle name="Normal 7 7 3 2 3" xfId="22236"/>
    <cellStyle name="Normal 7 7 3 2 3 2" xfId="22237"/>
    <cellStyle name="Normal 7 7 3 2 3 2 2" xfId="22238"/>
    <cellStyle name="Normal 7 7 3 2 3 3" xfId="22239"/>
    <cellStyle name="Normal 7 7 3 2 4" xfId="22240"/>
    <cellStyle name="Normal 7 7 3 2 4 2" xfId="22241"/>
    <cellStyle name="Normal 7 7 3 2 4 3" xfId="22242"/>
    <cellStyle name="Normal 7 7 3 2 5" xfId="22243"/>
    <cellStyle name="Normal 7 7 3 2 5 2" xfId="22244"/>
    <cellStyle name="Normal 7 7 3 2 6" xfId="22245"/>
    <cellStyle name="Normal 7 7 3 2 6 2" xfId="36900"/>
    <cellStyle name="Normal 7 7 3 2 7" xfId="22246"/>
    <cellStyle name="Normal 7 7 3 3" xfId="22247"/>
    <cellStyle name="Normal 7 7 3 3 2" xfId="22248"/>
    <cellStyle name="Normal 7 7 3 3 2 2" xfId="22249"/>
    <cellStyle name="Normal 7 7 3 3 2 2 2" xfId="22250"/>
    <cellStyle name="Normal 7 7 3 3 2 3" xfId="22251"/>
    <cellStyle name="Normal 7 7 3 3 3" xfId="22252"/>
    <cellStyle name="Normal 7 7 3 3 3 2" xfId="22253"/>
    <cellStyle name="Normal 7 7 3 3 4" xfId="22254"/>
    <cellStyle name="Normal 7 7 3 4" xfId="22255"/>
    <cellStyle name="Normal 7 7 3 4 2" xfId="22256"/>
    <cellStyle name="Normal 7 7 3 4 2 2" xfId="22257"/>
    <cellStyle name="Normal 7 7 3 4 3" xfId="22258"/>
    <cellStyle name="Normal 7 7 3 5" xfId="22259"/>
    <cellStyle name="Normal 7 7 3 5 2" xfId="22260"/>
    <cellStyle name="Normal 7 7 3 5 2 2" xfId="22261"/>
    <cellStyle name="Normal 7 7 3 5 3" xfId="22262"/>
    <cellStyle name="Normal 7 7 3 6" xfId="22263"/>
    <cellStyle name="Normal 7 7 3 6 2" xfId="22264"/>
    <cellStyle name="Normal 7 7 3 7" xfId="22265"/>
    <cellStyle name="Normal 7 7 3 7 2" xfId="36901"/>
    <cellStyle name="Normal 7 7 3 8" xfId="22266"/>
    <cellStyle name="Normal 7 7 4" xfId="22267"/>
    <cellStyle name="Normal 7 7 4 2" xfId="22268"/>
    <cellStyle name="Normal 7 7 4 2 2" xfId="22269"/>
    <cellStyle name="Normal 7 7 4 2 2 2" xfId="22270"/>
    <cellStyle name="Normal 7 7 4 2 2 3" xfId="22271"/>
    <cellStyle name="Normal 7 7 4 2 3" xfId="22272"/>
    <cellStyle name="Normal 7 7 4 2 3 2" xfId="22273"/>
    <cellStyle name="Normal 7 7 4 2 4" xfId="22274"/>
    <cellStyle name="Normal 7 7 4 3" xfId="22275"/>
    <cellStyle name="Normal 7 7 4 3 2" xfId="22276"/>
    <cellStyle name="Normal 7 7 4 3 2 2" xfId="22277"/>
    <cellStyle name="Normal 7 7 4 3 3" xfId="22278"/>
    <cellStyle name="Normal 7 7 4 4" xfId="22279"/>
    <cellStyle name="Normal 7 7 4 4 2" xfId="22280"/>
    <cellStyle name="Normal 7 7 4 4 3" xfId="22281"/>
    <cellStyle name="Normal 7 7 4 5" xfId="22282"/>
    <cellStyle name="Normal 7 7 4 5 2" xfId="22283"/>
    <cellStyle name="Normal 7 7 4 6" xfId="22284"/>
    <cellStyle name="Normal 7 7 4 6 2" xfId="36902"/>
    <cellStyle name="Normal 7 7 4 7" xfId="22285"/>
    <cellStyle name="Normal 7 7 5" xfId="22286"/>
    <cellStyle name="Normal 7 7 5 2" xfId="22287"/>
    <cellStyle name="Normal 7 7 5 2 2" xfId="22288"/>
    <cellStyle name="Normal 7 7 5 2 2 2" xfId="22289"/>
    <cellStyle name="Normal 7 7 5 2 3" xfId="22290"/>
    <cellStyle name="Normal 7 7 5 3" xfId="22291"/>
    <cellStyle name="Normal 7 7 5 3 2" xfId="22292"/>
    <cellStyle name="Normal 7 7 5 4" xfId="22293"/>
    <cellStyle name="Normal 7 7 6" xfId="22294"/>
    <cellStyle name="Normal 7 7 6 2" xfId="22295"/>
    <cellStyle name="Normal 7 7 6 2 2" xfId="22296"/>
    <cellStyle name="Normal 7 7 6 3" xfId="22297"/>
    <cellStyle name="Normal 7 7 7" xfId="22298"/>
    <cellStyle name="Normal 7 7 7 2" xfId="22299"/>
    <cellStyle name="Normal 7 7 7 2 2" xfId="22300"/>
    <cellStyle name="Normal 7 7 7 3" xfId="22301"/>
    <cellStyle name="Normal 7 7 8" xfId="22302"/>
    <cellStyle name="Normal 7 7 8 2" xfId="22303"/>
    <cellStyle name="Normal 7 7 9" xfId="22304"/>
    <cellStyle name="Normal 7 7 9 2" xfId="36903"/>
    <cellStyle name="Normal 7 8" xfId="22305"/>
    <cellStyle name="Normal 7 8 2" xfId="22306"/>
    <cellStyle name="Normal 7 8 2 2" xfId="22307"/>
    <cellStyle name="Normal 7 8 2 2 2" xfId="22308"/>
    <cellStyle name="Normal 7 8 2 2 2 2" xfId="22309"/>
    <cellStyle name="Normal 7 8 2 2 2 2 2" xfId="22310"/>
    <cellStyle name="Normal 7 8 2 2 2 2 3" xfId="22311"/>
    <cellStyle name="Normal 7 8 2 2 2 3" xfId="22312"/>
    <cellStyle name="Normal 7 8 2 2 2 3 2" xfId="22313"/>
    <cellStyle name="Normal 7 8 2 2 2 4" xfId="22314"/>
    <cellStyle name="Normal 7 8 2 2 3" xfId="22315"/>
    <cellStyle name="Normal 7 8 2 2 3 2" xfId="22316"/>
    <cellStyle name="Normal 7 8 2 2 3 2 2" xfId="22317"/>
    <cellStyle name="Normal 7 8 2 2 3 3" xfId="22318"/>
    <cellStyle name="Normal 7 8 2 2 4" xfId="22319"/>
    <cellStyle name="Normal 7 8 2 2 4 2" xfId="22320"/>
    <cellStyle name="Normal 7 8 2 2 4 3" xfId="22321"/>
    <cellStyle name="Normal 7 8 2 2 5" xfId="22322"/>
    <cellStyle name="Normal 7 8 2 2 5 2" xfId="22323"/>
    <cellStyle name="Normal 7 8 2 2 6" xfId="22324"/>
    <cellStyle name="Normal 7 8 2 2 6 2" xfId="36904"/>
    <cellStyle name="Normal 7 8 2 2 7" xfId="22325"/>
    <cellStyle name="Normal 7 8 2 3" xfId="22326"/>
    <cellStyle name="Normal 7 8 2 3 2" xfId="22327"/>
    <cellStyle name="Normal 7 8 2 3 2 2" xfId="22328"/>
    <cellStyle name="Normal 7 8 2 3 2 2 2" xfId="22329"/>
    <cellStyle name="Normal 7 8 2 3 2 3" xfId="22330"/>
    <cellStyle name="Normal 7 8 2 3 3" xfId="22331"/>
    <cellStyle name="Normal 7 8 2 3 3 2" xfId="22332"/>
    <cellStyle name="Normal 7 8 2 3 4" xfId="22333"/>
    <cellStyle name="Normal 7 8 2 4" xfId="22334"/>
    <cellStyle name="Normal 7 8 2 4 2" xfId="22335"/>
    <cellStyle name="Normal 7 8 2 4 2 2" xfId="22336"/>
    <cellStyle name="Normal 7 8 2 4 3" xfId="22337"/>
    <cellStyle name="Normal 7 8 2 5" xfId="22338"/>
    <cellStyle name="Normal 7 8 2 5 2" xfId="22339"/>
    <cellStyle name="Normal 7 8 2 5 2 2" xfId="22340"/>
    <cellStyle name="Normal 7 8 2 5 3" xfId="22341"/>
    <cellStyle name="Normal 7 8 2 6" xfId="22342"/>
    <cellStyle name="Normal 7 8 2 6 2" xfId="22343"/>
    <cellStyle name="Normal 7 8 2 7" xfId="22344"/>
    <cellStyle name="Normal 7 8 2 7 2" xfId="36905"/>
    <cellStyle name="Normal 7 8 2 8" xfId="22345"/>
    <cellStyle name="Normal 7 8 3" xfId="22346"/>
    <cellStyle name="Normal 7 8 3 2" xfId="22347"/>
    <cellStyle name="Normal 7 8 3 2 2" xfId="22348"/>
    <cellStyle name="Normal 7 8 3 2 2 2" xfId="22349"/>
    <cellStyle name="Normal 7 8 3 2 2 3" xfId="22350"/>
    <cellStyle name="Normal 7 8 3 2 3" xfId="22351"/>
    <cellStyle name="Normal 7 8 3 2 3 2" xfId="22352"/>
    <cellStyle name="Normal 7 8 3 2 4" xfId="22353"/>
    <cellStyle name="Normal 7 8 3 3" xfId="22354"/>
    <cellStyle name="Normal 7 8 3 3 2" xfId="22355"/>
    <cellStyle name="Normal 7 8 3 3 2 2" xfId="22356"/>
    <cellStyle name="Normal 7 8 3 3 3" xfId="22357"/>
    <cellStyle name="Normal 7 8 3 4" xfId="22358"/>
    <cellStyle name="Normal 7 8 3 4 2" xfId="22359"/>
    <cellStyle name="Normal 7 8 3 4 3" xfId="22360"/>
    <cellStyle name="Normal 7 8 3 5" xfId="22361"/>
    <cellStyle name="Normal 7 8 3 5 2" xfId="22362"/>
    <cellStyle name="Normal 7 8 3 6" xfId="22363"/>
    <cellStyle name="Normal 7 8 3 6 2" xfId="36906"/>
    <cellStyle name="Normal 7 8 3 7" xfId="22364"/>
    <cellStyle name="Normal 7 8 4" xfId="22365"/>
    <cellStyle name="Normal 7 8 4 2" xfId="22366"/>
    <cellStyle name="Normal 7 8 4 2 2" xfId="22367"/>
    <cellStyle name="Normal 7 8 4 2 2 2" xfId="22368"/>
    <cellStyle name="Normal 7 8 4 2 3" xfId="22369"/>
    <cellStyle name="Normal 7 8 4 3" xfId="22370"/>
    <cellStyle name="Normal 7 8 4 3 2" xfId="22371"/>
    <cellStyle name="Normal 7 8 4 4" xfId="22372"/>
    <cellStyle name="Normal 7 8 5" xfId="22373"/>
    <cellStyle name="Normal 7 8 5 2" xfId="22374"/>
    <cellStyle name="Normal 7 8 5 2 2" xfId="22375"/>
    <cellStyle name="Normal 7 8 5 3" xfId="22376"/>
    <cellStyle name="Normal 7 8 6" xfId="22377"/>
    <cellStyle name="Normal 7 8 6 2" xfId="22378"/>
    <cellStyle name="Normal 7 8 6 2 2" xfId="22379"/>
    <cellStyle name="Normal 7 8 6 3" xfId="22380"/>
    <cellStyle name="Normal 7 8 7" xfId="22381"/>
    <cellStyle name="Normal 7 8 7 2" xfId="22382"/>
    <cellStyle name="Normal 7 8 8" xfId="22383"/>
    <cellStyle name="Normal 7 8 8 2" xfId="36907"/>
    <cellStyle name="Normal 7 8 9" xfId="22384"/>
    <cellStyle name="Normal 7 9" xfId="22385"/>
    <cellStyle name="Normal 7 9 2" xfId="22386"/>
    <cellStyle name="Normal 7 9 2 2" xfId="22387"/>
    <cellStyle name="Normal 7 9 2 2 2" xfId="22388"/>
    <cellStyle name="Normal 7 9 2 2 2 2" xfId="22389"/>
    <cellStyle name="Normal 7 9 2 2 2 2 2" xfId="22390"/>
    <cellStyle name="Normal 7 9 2 2 2 2 3" xfId="22391"/>
    <cellStyle name="Normal 7 9 2 2 2 3" xfId="22392"/>
    <cellStyle name="Normal 7 9 2 2 2 3 2" xfId="22393"/>
    <cellStyle name="Normal 7 9 2 2 2 4" xfId="22394"/>
    <cellStyle name="Normal 7 9 2 2 3" xfId="22395"/>
    <cellStyle name="Normal 7 9 2 2 3 2" xfId="22396"/>
    <cellStyle name="Normal 7 9 2 2 3 2 2" xfId="22397"/>
    <cellStyle name="Normal 7 9 2 2 3 3" xfId="22398"/>
    <cellStyle name="Normal 7 9 2 2 4" xfId="22399"/>
    <cellStyle name="Normal 7 9 2 2 4 2" xfId="22400"/>
    <cellStyle name="Normal 7 9 2 2 4 3" xfId="22401"/>
    <cellStyle name="Normal 7 9 2 2 5" xfId="22402"/>
    <cellStyle name="Normal 7 9 2 2 5 2" xfId="22403"/>
    <cellStyle name="Normal 7 9 2 2 6" xfId="22404"/>
    <cellStyle name="Normal 7 9 2 2 6 2" xfId="36908"/>
    <cellStyle name="Normal 7 9 2 2 7" xfId="22405"/>
    <cellStyle name="Normal 7 9 2 3" xfId="22406"/>
    <cellStyle name="Normal 7 9 2 3 2" xfId="22407"/>
    <cellStyle name="Normal 7 9 2 3 2 2" xfId="22408"/>
    <cellStyle name="Normal 7 9 2 3 2 2 2" xfId="22409"/>
    <cellStyle name="Normal 7 9 2 3 2 3" xfId="22410"/>
    <cellStyle name="Normal 7 9 2 3 3" xfId="22411"/>
    <cellStyle name="Normal 7 9 2 3 3 2" xfId="22412"/>
    <cellStyle name="Normal 7 9 2 3 4" xfId="22413"/>
    <cellStyle name="Normal 7 9 2 4" xfId="22414"/>
    <cellStyle name="Normal 7 9 2 4 2" xfId="22415"/>
    <cellStyle name="Normal 7 9 2 4 2 2" xfId="22416"/>
    <cellStyle name="Normal 7 9 2 4 3" xfId="22417"/>
    <cellStyle name="Normal 7 9 2 5" xfId="22418"/>
    <cellStyle name="Normal 7 9 2 5 2" xfId="22419"/>
    <cellStyle name="Normal 7 9 2 5 2 2" xfId="22420"/>
    <cellStyle name="Normal 7 9 2 5 3" xfId="22421"/>
    <cellStyle name="Normal 7 9 2 6" xfId="22422"/>
    <cellStyle name="Normal 7 9 2 6 2" xfId="22423"/>
    <cellStyle name="Normal 7 9 2 7" xfId="22424"/>
    <cellStyle name="Normal 7 9 2 7 2" xfId="36909"/>
    <cellStyle name="Normal 7 9 2 8" xfId="22425"/>
    <cellStyle name="Normal 7 9 3" xfId="22426"/>
    <cellStyle name="Normal 7 9 3 2" xfId="22427"/>
    <cellStyle name="Normal 7 9 3 2 2" xfId="22428"/>
    <cellStyle name="Normal 7 9 3 2 2 2" xfId="22429"/>
    <cellStyle name="Normal 7 9 3 2 2 3" xfId="22430"/>
    <cellStyle name="Normal 7 9 3 2 3" xfId="22431"/>
    <cellStyle name="Normal 7 9 3 2 3 2" xfId="22432"/>
    <cellStyle name="Normal 7 9 3 2 4" xfId="22433"/>
    <cellStyle name="Normal 7 9 3 3" xfId="22434"/>
    <cellStyle name="Normal 7 9 3 3 2" xfId="22435"/>
    <cellStyle name="Normal 7 9 3 3 2 2" xfId="22436"/>
    <cellStyle name="Normal 7 9 3 3 3" xfId="22437"/>
    <cellStyle name="Normal 7 9 3 4" xfId="22438"/>
    <cellStyle name="Normal 7 9 3 4 2" xfId="22439"/>
    <cellStyle name="Normal 7 9 3 4 3" xfId="22440"/>
    <cellStyle name="Normal 7 9 3 5" xfId="22441"/>
    <cellStyle name="Normal 7 9 3 5 2" xfId="22442"/>
    <cellStyle name="Normal 7 9 3 6" xfId="22443"/>
    <cellStyle name="Normal 7 9 3 6 2" xfId="36910"/>
    <cellStyle name="Normal 7 9 3 7" xfId="22444"/>
    <cellStyle name="Normal 7 9 4" xfId="22445"/>
    <cellStyle name="Normal 7 9 4 2" xfId="22446"/>
    <cellStyle name="Normal 7 9 4 2 2" xfId="22447"/>
    <cellStyle name="Normal 7 9 4 2 2 2" xfId="22448"/>
    <cellStyle name="Normal 7 9 4 2 3" xfId="22449"/>
    <cellStyle name="Normal 7 9 4 3" xfId="22450"/>
    <cellStyle name="Normal 7 9 4 3 2" xfId="22451"/>
    <cellStyle name="Normal 7 9 4 4" xfId="22452"/>
    <cellStyle name="Normal 7 9 5" xfId="22453"/>
    <cellStyle name="Normal 7 9 5 2" xfId="22454"/>
    <cellStyle name="Normal 7 9 5 2 2" xfId="22455"/>
    <cellStyle name="Normal 7 9 5 3" xfId="22456"/>
    <cellStyle name="Normal 7 9 6" xfId="22457"/>
    <cellStyle name="Normal 7 9 6 2" xfId="22458"/>
    <cellStyle name="Normal 7 9 6 2 2" xfId="22459"/>
    <cellStyle name="Normal 7 9 6 3" xfId="22460"/>
    <cellStyle name="Normal 7 9 7" xfId="22461"/>
    <cellStyle name="Normal 7 9 7 2" xfId="22462"/>
    <cellStyle name="Normal 7 9 8" xfId="22463"/>
    <cellStyle name="Normal 7 9 8 2" xfId="36911"/>
    <cellStyle name="Normal 7 9 9" xfId="22464"/>
    <cellStyle name="Normal 8" xfId="178"/>
    <cellStyle name="Normal 8 10" xfId="182"/>
    <cellStyle name="Normal 8 10 2" xfId="22465"/>
    <cellStyle name="Normal 8 10 2 2" xfId="22466"/>
    <cellStyle name="Normal 8 10 2 2 2" xfId="22467"/>
    <cellStyle name="Normal 8 10 2 2 2 2" xfId="22468"/>
    <cellStyle name="Normal 8 10 2 2 2 3" xfId="22469"/>
    <cellStyle name="Normal 8 10 2 2 3" xfId="22470"/>
    <cellStyle name="Normal 8 10 2 2 3 2" xfId="22471"/>
    <cellStyle name="Normal 8 10 2 2 4" xfId="22472"/>
    <cellStyle name="Normal 8 10 2 3" xfId="22473"/>
    <cellStyle name="Normal 8 10 2 3 2" xfId="22474"/>
    <cellStyle name="Normal 8 10 2 3 2 2" xfId="22475"/>
    <cellStyle name="Normal 8 10 2 3 3" xfId="22476"/>
    <cellStyle name="Normal 8 10 2 4" xfId="22477"/>
    <cellStyle name="Normal 8 10 2 4 2" xfId="22478"/>
    <cellStyle name="Normal 8 10 2 4 3" xfId="22479"/>
    <cellStyle name="Normal 8 10 2 5" xfId="22480"/>
    <cellStyle name="Normal 8 10 2 5 2" xfId="22481"/>
    <cellStyle name="Normal 8 10 2 6" xfId="22482"/>
    <cellStyle name="Normal 8 10 2 6 2" xfId="36912"/>
    <cellStyle name="Normal 8 10 2 7" xfId="22483"/>
    <cellStyle name="Normal 8 10 3" xfId="22484"/>
    <cellStyle name="Normal 8 10 3 2" xfId="22485"/>
    <cellStyle name="Normal 8 10 3 2 2" xfId="22486"/>
    <cellStyle name="Normal 8 10 3 2 2 2" xfId="22487"/>
    <cellStyle name="Normal 8 10 3 2 3" xfId="22488"/>
    <cellStyle name="Normal 8 10 3 3" xfId="22489"/>
    <cellStyle name="Normal 8 10 3 3 2" xfId="22490"/>
    <cellStyle name="Normal 8 10 3 4" xfId="22491"/>
    <cellStyle name="Normal 8 10 4" xfId="22492"/>
    <cellStyle name="Normal 8 10 4 2" xfId="22493"/>
    <cellStyle name="Normal 8 10 4 2 2" xfId="22494"/>
    <cellStyle name="Normal 8 10 4 3" xfId="22495"/>
    <cellStyle name="Normal 8 10 5" xfId="22496"/>
    <cellStyle name="Normal 8 10 5 2" xfId="22497"/>
    <cellStyle name="Normal 8 10 5 2 2" xfId="22498"/>
    <cellStyle name="Normal 8 10 5 3" xfId="22499"/>
    <cellStyle name="Normal 8 10 6" xfId="22500"/>
    <cellStyle name="Normal 8 10 6 2" xfId="22501"/>
    <cellStyle name="Normal 8 10 7" xfId="22502"/>
    <cellStyle name="Normal 8 10 7 2" xfId="36913"/>
    <cellStyle name="Normal 8 10 8" xfId="22503"/>
    <cellStyle name="Normal 8 11" xfId="22504"/>
    <cellStyle name="Normal 8 11 2" xfId="22505"/>
    <cellStyle name="Normal 8 11 2 2" xfId="22506"/>
    <cellStyle name="Normal 8 11 2 2 2" xfId="22507"/>
    <cellStyle name="Normal 8 11 2 2 2 2" xfId="22508"/>
    <cellStyle name="Normal 8 11 2 2 2 3" xfId="22509"/>
    <cellStyle name="Normal 8 11 2 2 3" xfId="22510"/>
    <cellStyle name="Normal 8 11 2 2 3 2" xfId="22511"/>
    <cellStyle name="Normal 8 11 2 2 4" xfId="22512"/>
    <cellStyle name="Normal 8 11 2 3" xfId="22513"/>
    <cellStyle name="Normal 8 11 2 3 2" xfId="22514"/>
    <cellStyle name="Normal 8 11 2 3 2 2" xfId="22515"/>
    <cellStyle name="Normal 8 11 2 3 3" xfId="22516"/>
    <cellStyle name="Normal 8 11 2 4" xfId="22517"/>
    <cellStyle name="Normal 8 11 2 4 2" xfId="22518"/>
    <cellStyle name="Normal 8 11 2 4 3" xfId="22519"/>
    <cellStyle name="Normal 8 11 2 5" xfId="22520"/>
    <cellStyle name="Normal 8 11 2 5 2" xfId="22521"/>
    <cellStyle name="Normal 8 11 2 6" xfId="22522"/>
    <cellStyle name="Normal 8 11 2 6 2" xfId="36914"/>
    <cellStyle name="Normal 8 11 2 7" xfId="22523"/>
    <cellStyle name="Normal 8 11 3" xfId="22524"/>
    <cellStyle name="Normal 8 11 3 2" xfId="22525"/>
    <cellStyle name="Normal 8 11 3 2 2" xfId="22526"/>
    <cellStyle name="Normal 8 11 3 2 2 2" xfId="22527"/>
    <cellStyle name="Normal 8 11 3 2 3" xfId="22528"/>
    <cellStyle name="Normal 8 11 3 3" xfId="22529"/>
    <cellStyle name="Normal 8 11 3 3 2" xfId="22530"/>
    <cellStyle name="Normal 8 11 3 4" xfId="22531"/>
    <cellStyle name="Normal 8 11 4" xfId="22532"/>
    <cellStyle name="Normal 8 11 4 2" xfId="22533"/>
    <cellStyle name="Normal 8 11 4 2 2" xfId="22534"/>
    <cellStyle name="Normal 8 11 4 3" xfId="22535"/>
    <cellStyle name="Normal 8 11 5" xfId="22536"/>
    <cellStyle name="Normal 8 11 5 2" xfId="22537"/>
    <cellStyle name="Normal 8 11 5 2 2" xfId="22538"/>
    <cellStyle name="Normal 8 11 5 3" xfId="22539"/>
    <cellStyle name="Normal 8 11 6" xfId="22540"/>
    <cellStyle name="Normal 8 11 6 2" xfId="22541"/>
    <cellStyle name="Normal 8 11 7" xfId="22542"/>
    <cellStyle name="Normal 8 11 7 2" xfId="36915"/>
    <cellStyle name="Normal 8 11 8" xfId="22543"/>
    <cellStyle name="Normal 8 12" xfId="22544"/>
    <cellStyle name="Normal 8 12 2" xfId="22545"/>
    <cellStyle name="Normal 8 12 2 2" xfId="22546"/>
    <cellStyle name="Normal 8 12 2 2 2" xfId="22547"/>
    <cellStyle name="Normal 8 12 2 2 2 2" xfId="22548"/>
    <cellStyle name="Normal 8 12 2 2 2 3" xfId="22549"/>
    <cellStyle name="Normal 8 12 2 2 3" xfId="22550"/>
    <cellStyle name="Normal 8 12 2 2 3 2" xfId="22551"/>
    <cellStyle name="Normal 8 12 2 2 4" xfId="22552"/>
    <cellStyle name="Normal 8 12 2 3" xfId="22553"/>
    <cellStyle name="Normal 8 12 2 3 2" xfId="22554"/>
    <cellStyle name="Normal 8 12 2 3 2 2" xfId="22555"/>
    <cellStyle name="Normal 8 12 2 3 3" xfId="22556"/>
    <cellStyle name="Normal 8 12 2 4" xfId="22557"/>
    <cellStyle name="Normal 8 12 2 4 2" xfId="22558"/>
    <cellStyle name="Normal 8 12 2 4 3" xfId="22559"/>
    <cellStyle name="Normal 8 12 2 5" xfId="22560"/>
    <cellStyle name="Normal 8 12 2 5 2" xfId="22561"/>
    <cellStyle name="Normal 8 12 2 6" xfId="22562"/>
    <cellStyle name="Normal 8 12 2 6 2" xfId="36916"/>
    <cellStyle name="Normal 8 12 2 7" xfId="22563"/>
    <cellStyle name="Normal 8 12 3" xfId="22564"/>
    <cellStyle name="Normal 8 12 3 2" xfId="22565"/>
    <cellStyle name="Normal 8 12 3 2 2" xfId="22566"/>
    <cellStyle name="Normal 8 12 3 2 2 2" xfId="22567"/>
    <cellStyle name="Normal 8 12 3 2 3" xfId="22568"/>
    <cellStyle name="Normal 8 12 3 3" xfId="22569"/>
    <cellStyle name="Normal 8 12 3 3 2" xfId="22570"/>
    <cellStyle name="Normal 8 12 3 4" xfId="22571"/>
    <cellStyle name="Normal 8 12 4" xfId="22572"/>
    <cellStyle name="Normal 8 12 4 2" xfId="22573"/>
    <cellStyle name="Normal 8 12 4 2 2" xfId="22574"/>
    <cellStyle name="Normal 8 12 4 3" xfId="22575"/>
    <cellStyle name="Normal 8 12 5" xfId="22576"/>
    <cellStyle name="Normal 8 12 5 2" xfId="22577"/>
    <cellStyle name="Normal 8 12 5 2 2" xfId="22578"/>
    <cellStyle name="Normal 8 12 5 3" xfId="22579"/>
    <cellStyle name="Normal 8 12 6" xfId="22580"/>
    <cellStyle name="Normal 8 12 6 2" xfId="22581"/>
    <cellStyle name="Normal 8 12 7" xfId="22582"/>
    <cellStyle name="Normal 8 12 7 2" xfId="36917"/>
    <cellStyle name="Normal 8 12 8" xfId="22583"/>
    <cellStyle name="Normal 8 13" xfId="22584"/>
    <cellStyle name="Normal 8 13 2" xfId="22585"/>
    <cellStyle name="Normal 8 13 2 2" xfId="22586"/>
    <cellStyle name="Normal 8 13 2 2 2" xfId="22587"/>
    <cellStyle name="Normal 8 13 2 2 3" xfId="22588"/>
    <cellStyle name="Normal 8 13 2 3" xfId="22589"/>
    <cellStyle name="Normal 8 13 2 3 2" xfId="22590"/>
    <cellStyle name="Normal 8 13 2 4" xfId="22591"/>
    <cellStyle name="Normal 8 13 3" xfId="22592"/>
    <cellStyle name="Normal 8 13 3 2" xfId="22593"/>
    <cellStyle name="Normal 8 13 3 2 2" xfId="22594"/>
    <cellStyle name="Normal 8 13 3 3" xfId="22595"/>
    <cellStyle name="Normal 8 13 4" xfId="22596"/>
    <cellStyle name="Normal 8 13 4 2" xfId="22597"/>
    <cellStyle name="Normal 8 13 4 3" xfId="22598"/>
    <cellStyle name="Normal 8 13 5" xfId="22599"/>
    <cellStyle name="Normal 8 13 5 2" xfId="22600"/>
    <cellStyle name="Normal 8 13 6" xfId="22601"/>
    <cellStyle name="Normal 8 13 6 2" xfId="36918"/>
    <cellStyle name="Normal 8 13 7" xfId="22602"/>
    <cellStyle name="Normal 8 14" xfId="22603"/>
    <cellStyle name="Normal 8 14 2" xfId="22604"/>
    <cellStyle name="Normal 8 14 2 2" xfId="22605"/>
    <cellStyle name="Normal 8 14 2 2 2" xfId="22606"/>
    <cellStyle name="Normal 8 14 2 3" xfId="22607"/>
    <cellStyle name="Normal 8 14 3" xfId="22608"/>
    <cellStyle name="Normal 8 14 3 2" xfId="22609"/>
    <cellStyle name="Normal 8 14 4" xfId="22610"/>
    <cellStyle name="Normal 8 15" xfId="22611"/>
    <cellStyle name="Normal 8 15 2" xfId="22612"/>
    <cellStyle name="Normal 8 15 2 2" xfId="22613"/>
    <cellStyle name="Normal 8 15 3" xfId="22614"/>
    <cellStyle name="Normal 8 16" xfId="22615"/>
    <cellStyle name="Normal 8 16 2" xfId="22616"/>
    <cellStyle name="Normal 8 16 2 2" xfId="22617"/>
    <cellStyle name="Normal 8 16 3" xfId="22618"/>
    <cellStyle name="Normal 8 17" xfId="22619"/>
    <cellStyle name="Normal 8 17 2" xfId="22620"/>
    <cellStyle name="Normal 8 18" xfId="22621"/>
    <cellStyle name="Normal 8 18 2" xfId="36919"/>
    <cellStyle name="Normal 8 19" xfId="22622"/>
    <cellStyle name="Normal 8 2" xfId="22623"/>
    <cellStyle name="Normal 8 2 10" xfId="22624"/>
    <cellStyle name="Normal 8 2 10 2" xfId="22625"/>
    <cellStyle name="Normal 8 2 10 2 2" xfId="22626"/>
    <cellStyle name="Normal 8 2 10 2 2 2" xfId="22627"/>
    <cellStyle name="Normal 8 2 10 2 2 2 2" xfId="22628"/>
    <cellStyle name="Normal 8 2 10 2 2 2 3" xfId="22629"/>
    <cellStyle name="Normal 8 2 10 2 2 3" xfId="22630"/>
    <cellStyle name="Normal 8 2 10 2 2 3 2" xfId="22631"/>
    <cellStyle name="Normal 8 2 10 2 2 4" xfId="22632"/>
    <cellStyle name="Normal 8 2 10 2 3" xfId="22633"/>
    <cellStyle name="Normal 8 2 10 2 3 2" xfId="22634"/>
    <cellStyle name="Normal 8 2 10 2 3 2 2" xfId="22635"/>
    <cellStyle name="Normal 8 2 10 2 3 3" xfId="22636"/>
    <cellStyle name="Normal 8 2 10 2 4" xfId="22637"/>
    <cellStyle name="Normal 8 2 10 2 4 2" xfId="22638"/>
    <cellStyle name="Normal 8 2 10 2 4 3" xfId="22639"/>
    <cellStyle name="Normal 8 2 10 2 5" xfId="22640"/>
    <cellStyle name="Normal 8 2 10 2 5 2" xfId="22641"/>
    <cellStyle name="Normal 8 2 10 2 6" xfId="22642"/>
    <cellStyle name="Normal 8 2 10 2 6 2" xfId="36920"/>
    <cellStyle name="Normal 8 2 10 2 7" xfId="22643"/>
    <cellStyle name="Normal 8 2 10 3" xfId="22644"/>
    <cellStyle name="Normal 8 2 10 3 2" xfId="22645"/>
    <cellStyle name="Normal 8 2 10 3 2 2" xfId="22646"/>
    <cellStyle name="Normal 8 2 10 3 2 2 2" xfId="22647"/>
    <cellStyle name="Normal 8 2 10 3 2 3" xfId="22648"/>
    <cellStyle name="Normal 8 2 10 3 3" xfId="22649"/>
    <cellStyle name="Normal 8 2 10 3 3 2" xfId="22650"/>
    <cellStyle name="Normal 8 2 10 3 4" xfId="22651"/>
    <cellStyle name="Normal 8 2 10 4" xfId="22652"/>
    <cellStyle name="Normal 8 2 10 4 2" xfId="22653"/>
    <cellStyle name="Normal 8 2 10 4 2 2" xfId="22654"/>
    <cellStyle name="Normal 8 2 10 4 3" xfId="22655"/>
    <cellStyle name="Normal 8 2 10 5" xfId="22656"/>
    <cellStyle name="Normal 8 2 10 5 2" xfId="22657"/>
    <cellStyle name="Normal 8 2 10 5 2 2" xfId="22658"/>
    <cellStyle name="Normal 8 2 10 5 3" xfId="22659"/>
    <cellStyle name="Normal 8 2 10 6" xfId="22660"/>
    <cellStyle name="Normal 8 2 10 6 2" xfId="22661"/>
    <cellStyle name="Normal 8 2 10 7" xfId="22662"/>
    <cellStyle name="Normal 8 2 10 7 2" xfId="36921"/>
    <cellStyle name="Normal 8 2 10 8" xfId="22663"/>
    <cellStyle name="Normal 8 2 11" xfId="22664"/>
    <cellStyle name="Normal 8 2 11 2" xfId="22665"/>
    <cellStyle name="Normal 8 2 11 2 2" xfId="22666"/>
    <cellStyle name="Normal 8 2 11 2 2 2" xfId="22667"/>
    <cellStyle name="Normal 8 2 11 2 2 2 2" xfId="22668"/>
    <cellStyle name="Normal 8 2 11 2 2 2 3" xfId="22669"/>
    <cellStyle name="Normal 8 2 11 2 2 3" xfId="22670"/>
    <cellStyle name="Normal 8 2 11 2 2 3 2" xfId="22671"/>
    <cellStyle name="Normal 8 2 11 2 2 4" xfId="22672"/>
    <cellStyle name="Normal 8 2 11 2 3" xfId="22673"/>
    <cellStyle name="Normal 8 2 11 2 3 2" xfId="22674"/>
    <cellStyle name="Normal 8 2 11 2 3 2 2" xfId="22675"/>
    <cellStyle name="Normal 8 2 11 2 3 3" xfId="22676"/>
    <cellStyle name="Normal 8 2 11 2 4" xfId="22677"/>
    <cellStyle name="Normal 8 2 11 2 4 2" xfId="22678"/>
    <cellStyle name="Normal 8 2 11 2 4 3" xfId="22679"/>
    <cellStyle name="Normal 8 2 11 2 5" xfId="22680"/>
    <cellStyle name="Normal 8 2 11 2 5 2" xfId="22681"/>
    <cellStyle name="Normal 8 2 11 2 6" xfId="22682"/>
    <cellStyle name="Normal 8 2 11 2 6 2" xfId="36922"/>
    <cellStyle name="Normal 8 2 11 2 7" xfId="22683"/>
    <cellStyle name="Normal 8 2 11 3" xfId="22684"/>
    <cellStyle name="Normal 8 2 11 3 2" xfId="22685"/>
    <cellStyle name="Normal 8 2 11 3 2 2" xfId="22686"/>
    <cellStyle name="Normal 8 2 11 3 2 2 2" xfId="22687"/>
    <cellStyle name="Normal 8 2 11 3 2 3" xfId="22688"/>
    <cellStyle name="Normal 8 2 11 3 3" xfId="22689"/>
    <cellStyle name="Normal 8 2 11 3 3 2" xfId="22690"/>
    <cellStyle name="Normal 8 2 11 3 4" xfId="22691"/>
    <cellStyle name="Normal 8 2 11 4" xfId="22692"/>
    <cellStyle name="Normal 8 2 11 4 2" xfId="22693"/>
    <cellStyle name="Normal 8 2 11 4 2 2" xfId="22694"/>
    <cellStyle name="Normal 8 2 11 4 3" xfId="22695"/>
    <cellStyle name="Normal 8 2 11 5" xfId="22696"/>
    <cellStyle name="Normal 8 2 11 5 2" xfId="22697"/>
    <cellStyle name="Normal 8 2 11 5 2 2" xfId="22698"/>
    <cellStyle name="Normal 8 2 11 5 3" xfId="22699"/>
    <cellStyle name="Normal 8 2 11 6" xfId="22700"/>
    <cellStyle name="Normal 8 2 11 6 2" xfId="22701"/>
    <cellStyle name="Normal 8 2 11 7" xfId="22702"/>
    <cellStyle name="Normal 8 2 11 7 2" xfId="36923"/>
    <cellStyle name="Normal 8 2 11 8" xfId="22703"/>
    <cellStyle name="Normal 8 2 12" xfId="22704"/>
    <cellStyle name="Normal 8 2 12 2" xfId="22705"/>
    <cellStyle name="Normal 8 2 12 2 2" xfId="22706"/>
    <cellStyle name="Normal 8 2 12 2 2 2" xfId="22707"/>
    <cellStyle name="Normal 8 2 12 2 2 3" xfId="22708"/>
    <cellStyle name="Normal 8 2 12 2 3" xfId="22709"/>
    <cellStyle name="Normal 8 2 12 2 3 2" xfId="22710"/>
    <cellStyle name="Normal 8 2 12 2 4" xfId="22711"/>
    <cellStyle name="Normal 8 2 12 3" xfId="22712"/>
    <cellStyle name="Normal 8 2 12 3 2" xfId="22713"/>
    <cellStyle name="Normal 8 2 12 3 2 2" xfId="22714"/>
    <cellStyle name="Normal 8 2 12 3 3" xfId="22715"/>
    <cellStyle name="Normal 8 2 12 4" xfId="22716"/>
    <cellStyle name="Normal 8 2 12 4 2" xfId="22717"/>
    <cellStyle name="Normal 8 2 12 4 3" xfId="22718"/>
    <cellStyle name="Normal 8 2 12 5" xfId="22719"/>
    <cellStyle name="Normal 8 2 12 5 2" xfId="22720"/>
    <cellStyle name="Normal 8 2 12 6" xfId="22721"/>
    <cellStyle name="Normal 8 2 12 6 2" xfId="36924"/>
    <cellStyle name="Normal 8 2 12 7" xfId="22722"/>
    <cellStyle name="Normal 8 2 13" xfId="22723"/>
    <cellStyle name="Normal 8 2 13 2" xfId="22724"/>
    <cellStyle name="Normal 8 2 13 2 2" xfId="22725"/>
    <cellStyle name="Normal 8 2 13 2 2 2" xfId="22726"/>
    <cellStyle name="Normal 8 2 13 2 3" xfId="22727"/>
    <cellStyle name="Normal 8 2 13 3" xfId="22728"/>
    <cellStyle name="Normal 8 2 13 3 2" xfId="22729"/>
    <cellStyle name="Normal 8 2 13 4" xfId="22730"/>
    <cellStyle name="Normal 8 2 14" xfId="22731"/>
    <cellStyle name="Normal 8 2 14 2" xfId="22732"/>
    <cellStyle name="Normal 8 2 14 2 2" xfId="22733"/>
    <cellStyle name="Normal 8 2 14 3" xfId="22734"/>
    <cellStyle name="Normal 8 2 15" xfId="22735"/>
    <cellStyle name="Normal 8 2 15 2" xfId="22736"/>
    <cellStyle name="Normal 8 2 15 2 2" xfId="22737"/>
    <cellStyle name="Normal 8 2 15 3" xfId="22738"/>
    <cellStyle name="Normal 8 2 16" xfId="22739"/>
    <cellStyle name="Normal 8 2 16 2" xfId="22740"/>
    <cellStyle name="Normal 8 2 17" xfId="22741"/>
    <cellStyle name="Normal 8 2 17 2" xfId="36925"/>
    <cellStyle name="Normal 8 2 18" xfId="22742"/>
    <cellStyle name="Normal 8 2 2" xfId="22743"/>
    <cellStyle name="Normal 8 2 2 10" xfId="22744"/>
    <cellStyle name="Normal 8 2 2 10 2" xfId="22745"/>
    <cellStyle name="Normal 8 2 2 10 2 2" xfId="22746"/>
    <cellStyle name="Normal 8 2 2 10 3" xfId="22747"/>
    <cellStyle name="Normal 8 2 2 11" xfId="22748"/>
    <cellStyle name="Normal 8 2 2 11 2" xfId="22749"/>
    <cellStyle name="Normal 8 2 2 11 2 2" xfId="22750"/>
    <cellStyle name="Normal 8 2 2 11 3" xfId="22751"/>
    <cellStyle name="Normal 8 2 2 12" xfId="22752"/>
    <cellStyle name="Normal 8 2 2 12 2" xfId="22753"/>
    <cellStyle name="Normal 8 2 2 13" xfId="22754"/>
    <cellStyle name="Normal 8 2 2 13 2" xfId="36926"/>
    <cellStyle name="Normal 8 2 2 14" xfId="22755"/>
    <cellStyle name="Normal 8 2 2 2" xfId="22756"/>
    <cellStyle name="Normal 8 2 2 2 10" xfId="22757"/>
    <cellStyle name="Normal 8 2 2 2 2" xfId="22758"/>
    <cellStyle name="Normal 8 2 2 2 2 2" xfId="22759"/>
    <cellStyle name="Normal 8 2 2 2 2 2 2" xfId="22760"/>
    <cellStyle name="Normal 8 2 2 2 2 2 2 2" xfId="22761"/>
    <cellStyle name="Normal 8 2 2 2 2 2 2 2 2" xfId="22762"/>
    <cellStyle name="Normal 8 2 2 2 2 2 2 2 2 2" xfId="22763"/>
    <cellStyle name="Normal 8 2 2 2 2 2 2 2 2 3" xfId="22764"/>
    <cellStyle name="Normal 8 2 2 2 2 2 2 2 3" xfId="22765"/>
    <cellStyle name="Normal 8 2 2 2 2 2 2 2 3 2" xfId="22766"/>
    <cellStyle name="Normal 8 2 2 2 2 2 2 2 4" xfId="22767"/>
    <cellStyle name="Normal 8 2 2 2 2 2 2 3" xfId="22768"/>
    <cellStyle name="Normal 8 2 2 2 2 2 2 3 2" xfId="22769"/>
    <cellStyle name="Normal 8 2 2 2 2 2 2 3 2 2" xfId="22770"/>
    <cellStyle name="Normal 8 2 2 2 2 2 2 3 3" xfId="22771"/>
    <cellStyle name="Normal 8 2 2 2 2 2 2 4" xfId="22772"/>
    <cellStyle name="Normal 8 2 2 2 2 2 2 4 2" xfId="22773"/>
    <cellStyle name="Normal 8 2 2 2 2 2 2 4 3" xfId="22774"/>
    <cellStyle name="Normal 8 2 2 2 2 2 2 5" xfId="22775"/>
    <cellStyle name="Normal 8 2 2 2 2 2 2 5 2" xfId="22776"/>
    <cellStyle name="Normal 8 2 2 2 2 2 2 6" xfId="22777"/>
    <cellStyle name="Normal 8 2 2 2 2 2 2 6 2" xfId="36927"/>
    <cellStyle name="Normal 8 2 2 2 2 2 2 7" xfId="22778"/>
    <cellStyle name="Normal 8 2 2 2 2 2 3" xfId="22779"/>
    <cellStyle name="Normal 8 2 2 2 2 2 3 2" xfId="22780"/>
    <cellStyle name="Normal 8 2 2 2 2 2 3 2 2" xfId="22781"/>
    <cellStyle name="Normal 8 2 2 2 2 2 3 2 2 2" xfId="22782"/>
    <cellStyle name="Normal 8 2 2 2 2 2 3 2 3" xfId="22783"/>
    <cellStyle name="Normal 8 2 2 2 2 2 3 3" xfId="22784"/>
    <cellStyle name="Normal 8 2 2 2 2 2 3 3 2" xfId="22785"/>
    <cellStyle name="Normal 8 2 2 2 2 2 3 4" xfId="22786"/>
    <cellStyle name="Normal 8 2 2 2 2 2 4" xfId="22787"/>
    <cellStyle name="Normal 8 2 2 2 2 2 4 2" xfId="22788"/>
    <cellStyle name="Normal 8 2 2 2 2 2 4 2 2" xfId="22789"/>
    <cellStyle name="Normal 8 2 2 2 2 2 4 3" xfId="22790"/>
    <cellStyle name="Normal 8 2 2 2 2 2 5" xfId="22791"/>
    <cellStyle name="Normal 8 2 2 2 2 2 5 2" xfId="22792"/>
    <cellStyle name="Normal 8 2 2 2 2 2 5 2 2" xfId="22793"/>
    <cellStyle name="Normal 8 2 2 2 2 2 5 3" xfId="22794"/>
    <cellStyle name="Normal 8 2 2 2 2 2 6" xfId="22795"/>
    <cellStyle name="Normal 8 2 2 2 2 2 6 2" xfId="22796"/>
    <cellStyle name="Normal 8 2 2 2 2 2 7" xfId="22797"/>
    <cellStyle name="Normal 8 2 2 2 2 2 7 2" xfId="36928"/>
    <cellStyle name="Normal 8 2 2 2 2 2 8" xfId="22798"/>
    <cellStyle name="Normal 8 2 2 2 2 3" xfId="22799"/>
    <cellStyle name="Normal 8 2 2 2 2 3 2" xfId="22800"/>
    <cellStyle name="Normal 8 2 2 2 2 3 2 2" xfId="22801"/>
    <cellStyle name="Normal 8 2 2 2 2 3 2 2 2" xfId="22802"/>
    <cellStyle name="Normal 8 2 2 2 2 3 2 2 3" xfId="22803"/>
    <cellStyle name="Normal 8 2 2 2 2 3 2 3" xfId="22804"/>
    <cellStyle name="Normal 8 2 2 2 2 3 2 3 2" xfId="22805"/>
    <cellStyle name="Normal 8 2 2 2 2 3 2 4" xfId="22806"/>
    <cellStyle name="Normal 8 2 2 2 2 3 3" xfId="22807"/>
    <cellStyle name="Normal 8 2 2 2 2 3 3 2" xfId="22808"/>
    <cellStyle name="Normal 8 2 2 2 2 3 3 2 2" xfId="22809"/>
    <cellStyle name="Normal 8 2 2 2 2 3 3 3" xfId="22810"/>
    <cellStyle name="Normal 8 2 2 2 2 3 4" xfId="22811"/>
    <cellStyle name="Normal 8 2 2 2 2 3 4 2" xfId="22812"/>
    <cellStyle name="Normal 8 2 2 2 2 3 4 3" xfId="22813"/>
    <cellStyle name="Normal 8 2 2 2 2 3 5" xfId="22814"/>
    <cellStyle name="Normal 8 2 2 2 2 3 5 2" xfId="22815"/>
    <cellStyle name="Normal 8 2 2 2 2 3 6" xfId="22816"/>
    <cellStyle name="Normal 8 2 2 2 2 3 6 2" xfId="36929"/>
    <cellStyle name="Normal 8 2 2 2 2 3 7" xfId="22817"/>
    <cellStyle name="Normal 8 2 2 2 2 4" xfId="22818"/>
    <cellStyle name="Normal 8 2 2 2 2 4 2" xfId="22819"/>
    <cellStyle name="Normal 8 2 2 2 2 4 2 2" xfId="22820"/>
    <cellStyle name="Normal 8 2 2 2 2 4 2 2 2" xfId="22821"/>
    <cellStyle name="Normal 8 2 2 2 2 4 2 3" xfId="22822"/>
    <cellStyle name="Normal 8 2 2 2 2 4 3" xfId="22823"/>
    <cellStyle name="Normal 8 2 2 2 2 4 3 2" xfId="22824"/>
    <cellStyle name="Normal 8 2 2 2 2 4 4" xfId="22825"/>
    <cellStyle name="Normal 8 2 2 2 2 5" xfId="22826"/>
    <cellStyle name="Normal 8 2 2 2 2 5 2" xfId="22827"/>
    <cellStyle name="Normal 8 2 2 2 2 5 2 2" xfId="22828"/>
    <cellStyle name="Normal 8 2 2 2 2 5 3" xfId="22829"/>
    <cellStyle name="Normal 8 2 2 2 2 6" xfId="22830"/>
    <cellStyle name="Normal 8 2 2 2 2 6 2" xfId="22831"/>
    <cellStyle name="Normal 8 2 2 2 2 6 2 2" xfId="22832"/>
    <cellStyle name="Normal 8 2 2 2 2 6 3" xfId="22833"/>
    <cellStyle name="Normal 8 2 2 2 2 7" xfId="22834"/>
    <cellStyle name="Normal 8 2 2 2 2 7 2" xfId="22835"/>
    <cellStyle name="Normal 8 2 2 2 2 8" xfId="22836"/>
    <cellStyle name="Normal 8 2 2 2 2 8 2" xfId="36930"/>
    <cellStyle name="Normal 8 2 2 2 2 9" xfId="22837"/>
    <cellStyle name="Normal 8 2 2 2 3" xfId="22838"/>
    <cellStyle name="Normal 8 2 2 2 3 2" xfId="22839"/>
    <cellStyle name="Normal 8 2 2 2 3 2 2" xfId="22840"/>
    <cellStyle name="Normal 8 2 2 2 3 2 2 2" xfId="22841"/>
    <cellStyle name="Normal 8 2 2 2 3 2 2 2 2" xfId="22842"/>
    <cellStyle name="Normal 8 2 2 2 3 2 2 2 3" xfId="22843"/>
    <cellStyle name="Normal 8 2 2 2 3 2 2 3" xfId="22844"/>
    <cellStyle name="Normal 8 2 2 2 3 2 2 3 2" xfId="22845"/>
    <cellStyle name="Normal 8 2 2 2 3 2 2 4" xfId="22846"/>
    <cellStyle name="Normal 8 2 2 2 3 2 3" xfId="22847"/>
    <cellStyle name="Normal 8 2 2 2 3 2 3 2" xfId="22848"/>
    <cellStyle name="Normal 8 2 2 2 3 2 3 2 2" xfId="22849"/>
    <cellStyle name="Normal 8 2 2 2 3 2 3 3" xfId="22850"/>
    <cellStyle name="Normal 8 2 2 2 3 2 4" xfId="22851"/>
    <cellStyle name="Normal 8 2 2 2 3 2 4 2" xfId="22852"/>
    <cellStyle name="Normal 8 2 2 2 3 2 4 3" xfId="22853"/>
    <cellStyle name="Normal 8 2 2 2 3 2 5" xfId="22854"/>
    <cellStyle name="Normal 8 2 2 2 3 2 5 2" xfId="22855"/>
    <cellStyle name="Normal 8 2 2 2 3 2 6" xfId="22856"/>
    <cellStyle name="Normal 8 2 2 2 3 2 6 2" xfId="36931"/>
    <cellStyle name="Normal 8 2 2 2 3 2 7" xfId="22857"/>
    <cellStyle name="Normal 8 2 2 2 3 3" xfId="22858"/>
    <cellStyle name="Normal 8 2 2 2 3 3 2" xfId="22859"/>
    <cellStyle name="Normal 8 2 2 2 3 3 2 2" xfId="22860"/>
    <cellStyle name="Normal 8 2 2 2 3 3 2 2 2" xfId="22861"/>
    <cellStyle name="Normal 8 2 2 2 3 3 2 3" xfId="22862"/>
    <cellStyle name="Normal 8 2 2 2 3 3 3" xfId="22863"/>
    <cellStyle name="Normal 8 2 2 2 3 3 3 2" xfId="22864"/>
    <cellStyle name="Normal 8 2 2 2 3 3 4" xfId="22865"/>
    <cellStyle name="Normal 8 2 2 2 3 4" xfId="22866"/>
    <cellStyle name="Normal 8 2 2 2 3 4 2" xfId="22867"/>
    <cellStyle name="Normal 8 2 2 2 3 4 2 2" xfId="22868"/>
    <cellStyle name="Normal 8 2 2 2 3 4 3" xfId="22869"/>
    <cellStyle name="Normal 8 2 2 2 3 5" xfId="22870"/>
    <cellStyle name="Normal 8 2 2 2 3 5 2" xfId="22871"/>
    <cellStyle name="Normal 8 2 2 2 3 5 2 2" xfId="22872"/>
    <cellStyle name="Normal 8 2 2 2 3 5 3" xfId="22873"/>
    <cellStyle name="Normal 8 2 2 2 3 6" xfId="22874"/>
    <cellStyle name="Normal 8 2 2 2 3 6 2" xfId="22875"/>
    <cellStyle name="Normal 8 2 2 2 3 7" xfId="22876"/>
    <cellStyle name="Normal 8 2 2 2 3 7 2" xfId="36932"/>
    <cellStyle name="Normal 8 2 2 2 3 8" xfId="22877"/>
    <cellStyle name="Normal 8 2 2 2 4" xfId="22878"/>
    <cellStyle name="Normal 8 2 2 2 4 2" xfId="22879"/>
    <cellStyle name="Normal 8 2 2 2 4 2 2" xfId="22880"/>
    <cellStyle name="Normal 8 2 2 2 4 2 2 2" xfId="22881"/>
    <cellStyle name="Normal 8 2 2 2 4 2 2 3" xfId="22882"/>
    <cellStyle name="Normal 8 2 2 2 4 2 3" xfId="22883"/>
    <cellStyle name="Normal 8 2 2 2 4 2 3 2" xfId="22884"/>
    <cellStyle name="Normal 8 2 2 2 4 2 4" xfId="22885"/>
    <cellStyle name="Normal 8 2 2 2 4 3" xfId="22886"/>
    <cellStyle name="Normal 8 2 2 2 4 3 2" xfId="22887"/>
    <cellStyle name="Normal 8 2 2 2 4 3 2 2" xfId="22888"/>
    <cellStyle name="Normal 8 2 2 2 4 3 3" xfId="22889"/>
    <cellStyle name="Normal 8 2 2 2 4 4" xfId="22890"/>
    <cellStyle name="Normal 8 2 2 2 4 4 2" xfId="22891"/>
    <cellStyle name="Normal 8 2 2 2 4 4 3" xfId="22892"/>
    <cellStyle name="Normal 8 2 2 2 4 5" xfId="22893"/>
    <cellStyle name="Normal 8 2 2 2 4 5 2" xfId="22894"/>
    <cellStyle name="Normal 8 2 2 2 4 6" xfId="22895"/>
    <cellStyle name="Normal 8 2 2 2 4 6 2" xfId="36933"/>
    <cellStyle name="Normal 8 2 2 2 4 7" xfId="22896"/>
    <cellStyle name="Normal 8 2 2 2 5" xfId="22897"/>
    <cellStyle name="Normal 8 2 2 2 5 2" xfId="22898"/>
    <cellStyle name="Normal 8 2 2 2 5 2 2" xfId="22899"/>
    <cellStyle name="Normal 8 2 2 2 5 2 2 2" xfId="22900"/>
    <cellStyle name="Normal 8 2 2 2 5 2 3" xfId="22901"/>
    <cellStyle name="Normal 8 2 2 2 5 3" xfId="22902"/>
    <cellStyle name="Normal 8 2 2 2 5 3 2" xfId="22903"/>
    <cellStyle name="Normal 8 2 2 2 5 4" xfId="22904"/>
    <cellStyle name="Normal 8 2 2 2 6" xfId="22905"/>
    <cellStyle name="Normal 8 2 2 2 6 2" xfId="22906"/>
    <cellStyle name="Normal 8 2 2 2 6 2 2" xfId="22907"/>
    <cellStyle name="Normal 8 2 2 2 6 3" xfId="22908"/>
    <cellStyle name="Normal 8 2 2 2 7" xfId="22909"/>
    <cellStyle name="Normal 8 2 2 2 7 2" xfId="22910"/>
    <cellStyle name="Normal 8 2 2 2 7 2 2" xfId="22911"/>
    <cellStyle name="Normal 8 2 2 2 7 3" xfId="22912"/>
    <cellStyle name="Normal 8 2 2 2 8" xfId="22913"/>
    <cellStyle name="Normal 8 2 2 2 8 2" xfId="22914"/>
    <cellStyle name="Normal 8 2 2 2 9" xfId="22915"/>
    <cellStyle name="Normal 8 2 2 2 9 2" xfId="36934"/>
    <cellStyle name="Normal 8 2 2 3" xfId="22916"/>
    <cellStyle name="Normal 8 2 2 3 2" xfId="22917"/>
    <cellStyle name="Normal 8 2 2 3 2 2" xfId="22918"/>
    <cellStyle name="Normal 8 2 2 3 2 2 2" xfId="22919"/>
    <cellStyle name="Normal 8 2 2 3 2 2 2 2" xfId="22920"/>
    <cellStyle name="Normal 8 2 2 3 2 2 2 2 2" xfId="22921"/>
    <cellStyle name="Normal 8 2 2 3 2 2 2 2 3" xfId="22922"/>
    <cellStyle name="Normal 8 2 2 3 2 2 2 3" xfId="22923"/>
    <cellStyle name="Normal 8 2 2 3 2 2 2 3 2" xfId="22924"/>
    <cellStyle name="Normal 8 2 2 3 2 2 2 4" xfId="22925"/>
    <cellStyle name="Normal 8 2 2 3 2 2 3" xfId="22926"/>
    <cellStyle name="Normal 8 2 2 3 2 2 3 2" xfId="22927"/>
    <cellStyle name="Normal 8 2 2 3 2 2 3 2 2" xfId="22928"/>
    <cellStyle name="Normal 8 2 2 3 2 2 3 3" xfId="22929"/>
    <cellStyle name="Normal 8 2 2 3 2 2 4" xfId="22930"/>
    <cellStyle name="Normal 8 2 2 3 2 2 4 2" xfId="22931"/>
    <cellStyle name="Normal 8 2 2 3 2 2 4 3" xfId="22932"/>
    <cellStyle name="Normal 8 2 2 3 2 2 5" xfId="22933"/>
    <cellStyle name="Normal 8 2 2 3 2 2 5 2" xfId="22934"/>
    <cellStyle name="Normal 8 2 2 3 2 2 6" xfId="22935"/>
    <cellStyle name="Normal 8 2 2 3 2 2 6 2" xfId="36935"/>
    <cellStyle name="Normal 8 2 2 3 2 2 7" xfId="22936"/>
    <cellStyle name="Normal 8 2 2 3 2 3" xfId="22937"/>
    <cellStyle name="Normal 8 2 2 3 2 3 2" xfId="22938"/>
    <cellStyle name="Normal 8 2 2 3 2 3 2 2" xfId="22939"/>
    <cellStyle name="Normal 8 2 2 3 2 3 2 2 2" xfId="22940"/>
    <cellStyle name="Normal 8 2 2 3 2 3 2 3" xfId="22941"/>
    <cellStyle name="Normal 8 2 2 3 2 3 3" xfId="22942"/>
    <cellStyle name="Normal 8 2 2 3 2 3 3 2" xfId="22943"/>
    <cellStyle name="Normal 8 2 2 3 2 3 4" xfId="22944"/>
    <cellStyle name="Normal 8 2 2 3 2 4" xfId="22945"/>
    <cellStyle name="Normal 8 2 2 3 2 4 2" xfId="22946"/>
    <cellStyle name="Normal 8 2 2 3 2 4 2 2" xfId="22947"/>
    <cellStyle name="Normal 8 2 2 3 2 4 3" xfId="22948"/>
    <cellStyle name="Normal 8 2 2 3 2 5" xfId="22949"/>
    <cellStyle name="Normal 8 2 2 3 2 5 2" xfId="22950"/>
    <cellStyle name="Normal 8 2 2 3 2 5 2 2" xfId="22951"/>
    <cellStyle name="Normal 8 2 2 3 2 5 3" xfId="22952"/>
    <cellStyle name="Normal 8 2 2 3 2 6" xfId="22953"/>
    <cellStyle name="Normal 8 2 2 3 2 6 2" xfId="22954"/>
    <cellStyle name="Normal 8 2 2 3 2 7" xfId="22955"/>
    <cellStyle name="Normal 8 2 2 3 2 7 2" xfId="36936"/>
    <cellStyle name="Normal 8 2 2 3 2 8" xfId="22956"/>
    <cellStyle name="Normal 8 2 2 3 3" xfId="22957"/>
    <cellStyle name="Normal 8 2 2 3 3 2" xfId="22958"/>
    <cellStyle name="Normal 8 2 2 3 3 2 2" xfId="22959"/>
    <cellStyle name="Normal 8 2 2 3 3 2 2 2" xfId="22960"/>
    <cellStyle name="Normal 8 2 2 3 3 2 2 3" xfId="22961"/>
    <cellStyle name="Normal 8 2 2 3 3 2 3" xfId="22962"/>
    <cellStyle name="Normal 8 2 2 3 3 2 3 2" xfId="22963"/>
    <cellStyle name="Normal 8 2 2 3 3 2 4" xfId="22964"/>
    <cellStyle name="Normal 8 2 2 3 3 3" xfId="22965"/>
    <cellStyle name="Normal 8 2 2 3 3 3 2" xfId="22966"/>
    <cellStyle name="Normal 8 2 2 3 3 3 2 2" xfId="22967"/>
    <cellStyle name="Normal 8 2 2 3 3 3 3" xfId="22968"/>
    <cellStyle name="Normal 8 2 2 3 3 4" xfId="22969"/>
    <cellStyle name="Normal 8 2 2 3 3 4 2" xfId="22970"/>
    <cellStyle name="Normal 8 2 2 3 3 4 3" xfId="22971"/>
    <cellStyle name="Normal 8 2 2 3 3 5" xfId="22972"/>
    <cellStyle name="Normal 8 2 2 3 3 5 2" xfId="22973"/>
    <cellStyle name="Normal 8 2 2 3 3 6" xfId="22974"/>
    <cellStyle name="Normal 8 2 2 3 3 6 2" xfId="36937"/>
    <cellStyle name="Normal 8 2 2 3 3 7" xfId="22975"/>
    <cellStyle name="Normal 8 2 2 3 4" xfId="22976"/>
    <cellStyle name="Normal 8 2 2 3 4 2" xfId="22977"/>
    <cellStyle name="Normal 8 2 2 3 4 2 2" xfId="22978"/>
    <cellStyle name="Normal 8 2 2 3 4 2 2 2" xfId="22979"/>
    <cellStyle name="Normal 8 2 2 3 4 2 3" xfId="22980"/>
    <cellStyle name="Normal 8 2 2 3 4 3" xfId="22981"/>
    <cellStyle name="Normal 8 2 2 3 4 3 2" xfId="22982"/>
    <cellStyle name="Normal 8 2 2 3 4 4" xfId="22983"/>
    <cellStyle name="Normal 8 2 2 3 5" xfId="22984"/>
    <cellStyle name="Normal 8 2 2 3 5 2" xfId="22985"/>
    <cellStyle name="Normal 8 2 2 3 5 2 2" xfId="22986"/>
    <cellStyle name="Normal 8 2 2 3 5 3" xfId="22987"/>
    <cellStyle name="Normal 8 2 2 3 6" xfId="22988"/>
    <cellStyle name="Normal 8 2 2 3 6 2" xfId="22989"/>
    <cellStyle name="Normal 8 2 2 3 6 2 2" xfId="22990"/>
    <cellStyle name="Normal 8 2 2 3 6 3" xfId="22991"/>
    <cellStyle name="Normal 8 2 2 3 7" xfId="22992"/>
    <cellStyle name="Normal 8 2 2 3 7 2" xfId="22993"/>
    <cellStyle name="Normal 8 2 2 3 8" xfId="22994"/>
    <cellStyle name="Normal 8 2 2 3 8 2" xfId="36938"/>
    <cellStyle name="Normal 8 2 2 3 9" xfId="22995"/>
    <cellStyle name="Normal 8 2 2 4" xfId="22996"/>
    <cellStyle name="Normal 8 2 2 4 2" xfId="22997"/>
    <cellStyle name="Normal 8 2 2 4 2 2" xfId="22998"/>
    <cellStyle name="Normal 8 2 2 4 2 2 2" xfId="22999"/>
    <cellStyle name="Normal 8 2 2 4 2 2 2 2" xfId="23000"/>
    <cellStyle name="Normal 8 2 2 4 2 2 2 2 2" xfId="23001"/>
    <cellStyle name="Normal 8 2 2 4 2 2 2 2 3" xfId="23002"/>
    <cellStyle name="Normal 8 2 2 4 2 2 2 3" xfId="23003"/>
    <cellStyle name="Normal 8 2 2 4 2 2 2 3 2" xfId="23004"/>
    <cellStyle name="Normal 8 2 2 4 2 2 2 4" xfId="23005"/>
    <cellStyle name="Normal 8 2 2 4 2 2 3" xfId="23006"/>
    <cellStyle name="Normal 8 2 2 4 2 2 3 2" xfId="23007"/>
    <cellStyle name="Normal 8 2 2 4 2 2 3 2 2" xfId="23008"/>
    <cellStyle name="Normal 8 2 2 4 2 2 3 3" xfId="23009"/>
    <cellStyle name="Normal 8 2 2 4 2 2 4" xfId="23010"/>
    <cellStyle name="Normal 8 2 2 4 2 2 4 2" xfId="23011"/>
    <cellStyle name="Normal 8 2 2 4 2 2 4 3" xfId="23012"/>
    <cellStyle name="Normal 8 2 2 4 2 2 5" xfId="23013"/>
    <cellStyle name="Normal 8 2 2 4 2 2 5 2" xfId="23014"/>
    <cellStyle name="Normal 8 2 2 4 2 2 6" xfId="23015"/>
    <cellStyle name="Normal 8 2 2 4 2 2 6 2" xfId="36939"/>
    <cellStyle name="Normal 8 2 2 4 2 2 7" xfId="23016"/>
    <cellStyle name="Normal 8 2 2 4 2 3" xfId="23017"/>
    <cellStyle name="Normal 8 2 2 4 2 3 2" xfId="23018"/>
    <cellStyle name="Normal 8 2 2 4 2 3 2 2" xfId="23019"/>
    <cellStyle name="Normal 8 2 2 4 2 3 2 2 2" xfId="23020"/>
    <cellStyle name="Normal 8 2 2 4 2 3 2 3" xfId="23021"/>
    <cellStyle name="Normal 8 2 2 4 2 3 3" xfId="23022"/>
    <cellStyle name="Normal 8 2 2 4 2 3 3 2" xfId="23023"/>
    <cellStyle name="Normal 8 2 2 4 2 3 4" xfId="23024"/>
    <cellStyle name="Normal 8 2 2 4 2 4" xfId="23025"/>
    <cellStyle name="Normal 8 2 2 4 2 4 2" xfId="23026"/>
    <cellStyle name="Normal 8 2 2 4 2 4 2 2" xfId="23027"/>
    <cellStyle name="Normal 8 2 2 4 2 4 3" xfId="23028"/>
    <cellStyle name="Normal 8 2 2 4 2 5" xfId="23029"/>
    <cellStyle name="Normal 8 2 2 4 2 5 2" xfId="23030"/>
    <cellStyle name="Normal 8 2 2 4 2 5 2 2" xfId="23031"/>
    <cellStyle name="Normal 8 2 2 4 2 5 3" xfId="23032"/>
    <cellStyle name="Normal 8 2 2 4 2 6" xfId="23033"/>
    <cellStyle name="Normal 8 2 2 4 2 6 2" xfId="23034"/>
    <cellStyle name="Normal 8 2 2 4 2 7" xfId="23035"/>
    <cellStyle name="Normal 8 2 2 4 2 7 2" xfId="36940"/>
    <cellStyle name="Normal 8 2 2 4 2 8" xfId="23036"/>
    <cellStyle name="Normal 8 2 2 4 3" xfId="23037"/>
    <cellStyle name="Normal 8 2 2 4 3 2" xfId="23038"/>
    <cellStyle name="Normal 8 2 2 4 3 2 2" xfId="23039"/>
    <cellStyle name="Normal 8 2 2 4 3 2 2 2" xfId="23040"/>
    <cellStyle name="Normal 8 2 2 4 3 2 2 3" xfId="23041"/>
    <cellStyle name="Normal 8 2 2 4 3 2 3" xfId="23042"/>
    <cellStyle name="Normal 8 2 2 4 3 2 3 2" xfId="23043"/>
    <cellStyle name="Normal 8 2 2 4 3 2 4" xfId="23044"/>
    <cellStyle name="Normal 8 2 2 4 3 3" xfId="23045"/>
    <cellStyle name="Normal 8 2 2 4 3 3 2" xfId="23046"/>
    <cellStyle name="Normal 8 2 2 4 3 3 2 2" xfId="23047"/>
    <cellStyle name="Normal 8 2 2 4 3 3 3" xfId="23048"/>
    <cellStyle name="Normal 8 2 2 4 3 4" xfId="23049"/>
    <cellStyle name="Normal 8 2 2 4 3 4 2" xfId="23050"/>
    <cellStyle name="Normal 8 2 2 4 3 4 3" xfId="23051"/>
    <cellStyle name="Normal 8 2 2 4 3 5" xfId="23052"/>
    <cellStyle name="Normal 8 2 2 4 3 5 2" xfId="23053"/>
    <cellStyle name="Normal 8 2 2 4 3 6" xfId="23054"/>
    <cellStyle name="Normal 8 2 2 4 3 6 2" xfId="36941"/>
    <cellStyle name="Normal 8 2 2 4 3 7" xfId="23055"/>
    <cellStyle name="Normal 8 2 2 4 4" xfId="23056"/>
    <cellStyle name="Normal 8 2 2 4 4 2" xfId="23057"/>
    <cellStyle name="Normal 8 2 2 4 4 2 2" xfId="23058"/>
    <cellStyle name="Normal 8 2 2 4 4 2 2 2" xfId="23059"/>
    <cellStyle name="Normal 8 2 2 4 4 2 3" xfId="23060"/>
    <cellStyle name="Normal 8 2 2 4 4 3" xfId="23061"/>
    <cellStyle name="Normal 8 2 2 4 4 3 2" xfId="23062"/>
    <cellStyle name="Normal 8 2 2 4 4 4" xfId="23063"/>
    <cellStyle name="Normal 8 2 2 4 5" xfId="23064"/>
    <cellStyle name="Normal 8 2 2 4 5 2" xfId="23065"/>
    <cellStyle name="Normal 8 2 2 4 5 2 2" xfId="23066"/>
    <cellStyle name="Normal 8 2 2 4 5 3" xfId="23067"/>
    <cellStyle name="Normal 8 2 2 4 6" xfId="23068"/>
    <cellStyle name="Normal 8 2 2 4 6 2" xfId="23069"/>
    <cellStyle name="Normal 8 2 2 4 6 2 2" xfId="23070"/>
    <cellStyle name="Normal 8 2 2 4 6 3" xfId="23071"/>
    <cellStyle name="Normal 8 2 2 4 7" xfId="23072"/>
    <cellStyle name="Normal 8 2 2 4 7 2" xfId="23073"/>
    <cellStyle name="Normal 8 2 2 4 8" xfId="23074"/>
    <cellStyle name="Normal 8 2 2 4 8 2" xfId="36942"/>
    <cellStyle name="Normal 8 2 2 4 9" xfId="23075"/>
    <cellStyle name="Normal 8 2 2 5" xfId="23076"/>
    <cellStyle name="Normal 8 2 2 5 2" xfId="23077"/>
    <cellStyle name="Normal 8 2 2 5 2 2" xfId="23078"/>
    <cellStyle name="Normal 8 2 2 5 2 2 2" xfId="23079"/>
    <cellStyle name="Normal 8 2 2 5 2 2 2 2" xfId="23080"/>
    <cellStyle name="Normal 8 2 2 5 2 2 2 3" xfId="23081"/>
    <cellStyle name="Normal 8 2 2 5 2 2 3" xfId="23082"/>
    <cellStyle name="Normal 8 2 2 5 2 2 3 2" xfId="23083"/>
    <cellStyle name="Normal 8 2 2 5 2 2 4" xfId="23084"/>
    <cellStyle name="Normal 8 2 2 5 2 3" xfId="23085"/>
    <cellStyle name="Normal 8 2 2 5 2 3 2" xfId="23086"/>
    <cellStyle name="Normal 8 2 2 5 2 3 2 2" xfId="23087"/>
    <cellStyle name="Normal 8 2 2 5 2 3 3" xfId="23088"/>
    <cellStyle name="Normal 8 2 2 5 2 4" xfId="23089"/>
    <cellStyle name="Normal 8 2 2 5 2 4 2" xfId="23090"/>
    <cellStyle name="Normal 8 2 2 5 2 4 3" xfId="23091"/>
    <cellStyle name="Normal 8 2 2 5 2 5" xfId="23092"/>
    <cellStyle name="Normal 8 2 2 5 2 5 2" xfId="23093"/>
    <cellStyle name="Normal 8 2 2 5 2 6" xfId="23094"/>
    <cellStyle name="Normal 8 2 2 5 2 6 2" xfId="36943"/>
    <cellStyle name="Normal 8 2 2 5 2 7" xfId="23095"/>
    <cellStyle name="Normal 8 2 2 5 3" xfId="23096"/>
    <cellStyle name="Normal 8 2 2 5 3 2" xfId="23097"/>
    <cellStyle name="Normal 8 2 2 5 3 2 2" xfId="23098"/>
    <cellStyle name="Normal 8 2 2 5 3 2 2 2" xfId="23099"/>
    <cellStyle name="Normal 8 2 2 5 3 2 3" xfId="23100"/>
    <cellStyle name="Normal 8 2 2 5 3 3" xfId="23101"/>
    <cellStyle name="Normal 8 2 2 5 3 3 2" xfId="23102"/>
    <cellStyle name="Normal 8 2 2 5 3 4" xfId="23103"/>
    <cellStyle name="Normal 8 2 2 5 4" xfId="23104"/>
    <cellStyle name="Normal 8 2 2 5 4 2" xfId="23105"/>
    <cellStyle name="Normal 8 2 2 5 4 2 2" xfId="23106"/>
    <cellStyle name="Normal 8 2 2 5 4 3" xfId="23107"/>
    <cellStyle name="Normal 8 2 2 5 5" xfId="23108"/>
    <cellStyle name="Normal 8 2 2 5 5 2" xfId="23109"/>
    <cellStyle name="Normal 8 2 2 5 5 2 2" xfId="23110"/>
    <cellStyle name="Normal 8 2 2 5 5 3" xfId="23111"/>
    <cellStyle name="Normal 8 2 2 5 6" xfId="23112"/>
    <cellStyle name="Normal 8 2 2 5 6 2" xfId="23113"/>
    <cellStyle name="Normal 8 2 2 5 7" xfId="23114"/>
    <cellStyle name="Normal 8 2 2 5 7 2" xfId="36944"/>
    <cellStyle name="Normal 8 2 2 5 8" xfId="23115"/>
    <cellStyle name="Normal 8 2 2 6" xfId="23116"/>
    <cellStyle name="Normal 8 2 2 6 2" xfId="23117"/>
    <cellStyle name="Normal 8 2 2 6 2 2" xfId="23118"/>
    <cellStyle name="Normal 8 2 2 6 2 2 2" xfId="23119"/>
    <cellStyle name="Normal 8 2 2 6 2 2 2 2" xfId="23120"/>
    <cellStyle name="Normal 8 2 2 6 2 2 2 3" xfId="23121"/>
    <cellStyle name="Normal 8 2 2 6 2 2 3" xfId="23122"/>
    <cellStyle name="Normal 8 2 2 6 2 2 3 2" xfId="23123"/>
    <cellStyle name="Normal 8 2 2 6 2 2 4" xfId="23124"/>
    <cellStyle name="Normal 8 2 2 6 2 3" xfId="23125"/>
    <cellStyle name="Normal 8 2 2 6 2 3 2" xfId="23126"/>
    <cellStyle name="Normal 8 2 2 6 2 3 2 2" xfId="23127"/>
    <cellStyle name="Normal 8 2 2 6 2 3 3" xfId="23128"/>
    <cellStyle name="Normal 8 2 2 6 2 4" xfId="23129"/>
    <cellStyle name="Normal 8 2 2 6 2 4 2" xfId="23130"/>
    <cellStyle name="Normal 8 2 2 6 2 4 3" xfId="23131"/>
    <cellStyle name="Normal 8 2 2 6 2 5" xfId="23132"/>
    <cellStyle name="Normal 8 2 2 6 2 5 2" xfId="23133"/>
    <cellStyle name="Normal 8 2 2 6 2 6" xfId="23134"/>
    <cellStyle name="Normal 8 2 2 6 2 6 2" xfId="36945"/>
    <cellStyle name="Normal 8 2 2 6 2 7" xfId="23135"/>
    <cellStyle name="Normal 8 2 2 6 3" xfId="23136"/>
    <cellStyle name="Normal 8 2 2 6 3 2" xfId="23137"/>
    <cellStyle name="Normal 8 2 2 6 3 2 2" xfId="23138"/>
    <cellStyle name="Normal 8 2 2 6 3 2 2 2" xfId="23139"/>
    <cellStyle name="Normal 8 2 2 6 3 2 3" xfId="23140"/>
    <cellStyle name="Normal 8 2 2 6 3 3" xfId="23141"/>
    <cellStyle name="Normal 8 2 2 6 3 3 2" xfId="23142"/>
    <cellStyle name="Normal 8 2 2 6 3 4" xfId="23143"/>
    <cellStyle name="Normal 8 2 2 6 4" xfId="23144"/>
    <cellStyle name="Normal 8 2 2 6 4 2" xfId="23145"/>
    <cellStyle name="Normal 8 2 2 6 4 2 2" xfId="23146"/>
    <cellStyle name="Normal 8 2 2 6 4 3" xfId="23147"/>
    <cellStyle name="Normal 8 2 2 6 5" xfId="23148"/>
    <cellStyle name="Normal 8 2 2 6 5 2" xfId="23149"/>
    <cellStyle name="Normal 8 2 2 6 5 2 2" xfId="23150"/>
    <cellStyle name="Normal 8 2 2 6 5 3" xfId="23151"/>
    <cellStyle name="Normal 8 2 2 6 6" xfId="23152"/>
    <cellStyle name="Normal 8 2 2 6 6 2" xfId="23153"/>
    <cellStyle name="Normal 8 2 2 6 7" xfId="23154"/>
    <cellStyle name="Normal 8 2 2 6 7 2" xfId="36946"/>
    <cellStyle name="Normal 8 2 2 6 8" xfId="23155"/>
    <cellStyle name="Normal 8 2 2 7" xfId="23156"/>
    <cellStyle name="Normal 8 2 2 7 2" xfId="23157"/>
    <cellStyle name="Normal 8 2 2 7 2 2" xfId="23158"/>
    <cellStyle name="Normal 8 2 2 7 2 2 2" xfId="23159"/>
    <cellStyle name="Normal 8 2 2 7 2 2 2 2" xfId="23160"/>
    <cellStyle name="Normal 8 2 2 7 2 2 2 3" xfId="23161"/>
    <cellStyle name="Normal 8 2 2 7 2 2 3" xfId="23162"/>
    <cellStyle name="Normal 8 2 2 7 2 2 3 2" xfId="23163"/>
    <cellStyle name="Normal 8 2 2 7 2 2 4" xfId="23164"/>
    <cellStyle name="Normal 8 2 2 7 2 3" xfId="23165"/>
    <cellStyle name="Normal 8 2 2 7 2 3 2" xfId="23166"/>
    <cellStyle name="Normal 8 2 2 7 2 3 2 2" xfId="23167"/>
    <cellStyle name="Normal 8 2 2 7 2 3 3" xfId="23168"/>
    <cellStyle name="Normal 8 2 2 7 2 4" xfId="23169"/>
    <cellStyle name="Normal 8 2 2 7 2 4 2" xfId="23170"/>
    <cellStyle name="Normal 8 2 2 7 2 4 3" xfId="23171"/>
    <cellStyle name="Normal 8 2 2 7 2 5" xfId="23172"/>
    <cellStyle name="Normal 8 2 2 7 2 5 2" xfId="23173"/>
    <cellStyle name="Normal 8 2 2 7 2 6" xfId="23174"/>
    <cellStyle name="Normal 8 2 2 7 2 6 2" xfId="36947"/>
    <cellStyle name="Normal 8 2 2 7 2 7" xfId="23175"/>
    <cellStyle name="Normal 8 2 2 7 3" xfId="23176"/>
    <cellStyle name="Normal 8 2 2 7 3 2" xfId="23177"/>
    <cellStyle name="Normal 8 2 2 7 3 2 2" xfId="23178"/>
    <cellStyle name="Normal 8 2 2 7 3 2 2 2" xfId="23179"/>
    <cellStyle name="Normal 8 2 2 7 3 2 3" xfId="23180"/>
    <cellStyle name="Normal 8 2 2 7 3 3" xfId="23181"/>
    <cellStyle name="Normal 8 2 2 7 3 3 2" xfId="23182"/>
    <cellStyle name="Normal 8 2 2 7 3 4" xfId="23183"/>
    <cellStyle name="Normal 8 2 2 7 4" xfId="23184"/>
    <cellStyle name="Normal 8 2 2 7 4 2" xfId="23185"/>
    <cellStyle name="Normal 8 2 2 7 4 2 2" xfId="23186"/>
    <cellStyle name="Normal 8 2 2 7 4 3" xfId="23187"/>
    <cellStyle name="Normal 8 2 2 7 5" xfId="23188"/>
    <cellStyle name="Normal 8 2 2 7 5 2" xfId="23189"/>
    <cellStyle name="Normal 8 2 2 7 5 2 2" xfId="23190"/>
    <cellStyle name="Normal 8 2 2 7 5 3" xfId="23191"/>
    <cellStyle name="Normal 8 2 2 7 6" xfId="23192"/>
    <cellStyle name="Normal 8 2 2 7 6 2" xfId="23193"/>
    <cellStyle name="Normal 8 2 2 7 7" xfId="23194"/>
    <cellStyle name="Normal 8 2 2 7 7 2" xfId="36948"/>
    <cellStyle name="Normal 8 2 2 7 8" xfId="23195"/>
    <cellStyle name="Normal 8 2 2 8" xfId="23196"/>
    <cellStyle name="Normal 8 2 2 8 2" xfId="23197"/>
    <cellStyle name="Normal 8 2 2 8 2 2" xfId="23198"/>
    <cellStyle name="Normal 8 2 2 8 2 2 2" xfId="23199"/>
    <cellStyle name="Normal 8 2 2 8 2 2 3" xfId="23200"/>
    <cellStyle name="Normal 8 2 2 8 2 3" xfId="23201"/>
    <cellStyle name="Normal 8 2 2 8 2 3 2" xfId="23202"/>
    <cellStyle name="Normal 8 2 2 8 2 4" xfId="23203"/>
    <cellStyle name="Normal 8 2 2 8 3" xfId="23204"/>
    <cellStyle name="Normal 8 2 2 8 3 2" xfId="23205"/>
    <cellStyle name="Normal 8 2 2 8 3 2 2" xfId="23206"/>
    <cellStyle name="Normal 8 2 2 8 3 3" xfId="23207"/>
    <cellStyle name="Normal 8 2 2 8 4" xfId="23208"/>
    <cellStyle name="Normal 8 2 2 8 4 2" xfId="23209"/>
    <cellStyle name="Normal 8 2 2 8 4 3" xfId="23210"/>
    <cellStyle name="Normal 8 2 2 8 5" xfId="23211"/>
    <cellStyle name="Normal 8 2 2 8 5 2" xfId="23212"/>
    <cellStyle name="Normal 8 2 2 8 6" xfId="23213"/>
    <cellStyle name="Normal 8 2 2 8 6 2" xfId="36949"/>
    <cellStyle name="Normal 8 2 2 8 7" xfId="23214"/>
    <cellStyle name="Normal 8 2 2 9" xfId="23215"/>
    <cellStyle name="Normal 8 2 2 9 2" xfId="23216"/>
    <cellStyle name="Normal 8 2 2 9 2 2" xfId="23217"/>
    <cellStyle name="Normal 8 2 2 9 2 2 2" xfId="23218"/>
    <cellStyle name="Normal 8 2 2 9 2 3" xfId="23219"/>
    <cellStyle name="Normal 8 2 2 9 3" xfId="23220"/>
    <cellStyle name="Normal 8 2 2 9 3 2" xfId="23221"/>
    <cellStyle name="Normal 8 2 2 9 4" xfId="23222"/>
    <cellStyle name="Normal 8 2 3" xfId="23223"/>
    <cellStyle name="Normal 8 2 3 10" xfId="23224"/>
    <cellStyle name="Normal 8 2 3 10 2" xfId="23225"/>
    <cellStyle name="Normal 8 2 3 10 2 2" xfId="23226"/>
    <cellStyle name="Normal 8 2 3 10 3" xfId="23227"/>
    <cellStyle name="Normal 8 2 3 11" xfId="23228"/>
    <cellStyle name="Normal 8 2 3 11 2" xfId="23229"/>
    <cellStyle name="Normal 8 2 3 11 2 2" xfId="23230"/>
    <cellStyle name="Normal 8 2 3 11 3" xfId="23231"/>
    <cellStyle name="Normal 8 2 3 12" xfId="23232"/>
    <cellStyle name="Normal 8 2 3 12 2" xfId="23233"/>
    <cellStyle name="Normal 8 2 3 13" xfId="23234"/>
    <cellStyle name="Normal 8 2 3 13 2" xfId="36950"/>
    <cellStyle name="Normal 8 2 3 14" xfId="23235"/>
    <cellStyle name="Normal 8 2 3 2" xfId="23236"/>
    <cellStyle name="Normal 8 2 3 2 10" xfId="23237"/>
    <cellStyle name="Normal 8 2 3 2 2" xfId="23238"/>
    <cellStyle name="Normal 8 2 3 2 2 2" xfId="23239"/>
    <cellStyle name="Normal 8 2 3 2 2 2 2" xfId="23240"/>
    <cellStyle name="Normal 8 2 3 2 2 2 2 2" xfId="23241"/>
    <cellStyle name="Normal 8 2 3 2 2 2 2 2 2" xfId="23242"/>
    <cellStyle name="Normal 8 2 3 2 2 2 2 2 2 2" xfId="23243"/>
    <cellStyle name="Normal 8 2 3 2 2 2 2 2 2 3" xfId="23244"/>
    <cellStyle name="Normal 8 2 3 2 2 2 2 2 3" xfId="23245"/>
    <cellStyle name="Normal 8 2 3 2 2 2 2 2 3 2" xfId="23246"/>
    <cellStyle name="Normal 8 2 3 2 2 2 2 2 4" xfId="23247"/>
    <cellStyle name="Normal 8 2 3 2 2 2 2 3" xfId="23248"/>
    <cellStyle name="Normal 8 2 3 2 2 2 2 3 2" xfId="23249"/>
    <cellStyle name="Normal 8 2 3 2 2 2 2 3 2 2" xfId="23250"/>
    <cellStyle name="Normal 8 2 3 2 2 2 2 3 3" xfId="23251"/>
    <cellStyle name="Normal 8 2 3 2 2 2 2 4" xfId="23252"/>
    <cellStyle name="Normal 8 2 3 2 2 2 2 4 2" xfId="23253"/>
    <cellStyle name="Normal 8 2 3 2 2 2 2 4 3" xfId="23254"/>
    <cellStyle name="Normal 8 2 3 2 2 2 2 5" xfId="23255"/>
    <cellStyle name="Normal 8 2 3 2 2 2 2 5 2" xfId="23256"/>
    <cellStyle name="Normal 8 2 3 2 2 2 2 6" xfId="23257"/>
    <cellStyle name="Normal 8 2 3 2 2 2 2 6 2" xfId="36951"/>
    <cellStyle name="Normal 8 2 3 2 2 2 2 7" xfId="23258"/>
    <cellStyle name="Normal 8 2 3 2 2 2 3" xfId="23259"/>
    <cellStyle name="Normal 8 2 3 2 2 2 3 2" xfId="23260"/>
    <cellStyle name="Normal 8 2 3 2 2 2 3 2 2" xfId="23261"/>
    <cellStyle name="Normal 8 2 3 2 2 2 3 2 2 2" xfId="23262"/>
    <cellStyle name="Normal 8 2 3 2 2 2 3 2 3" xfId="23263"/>
    <cellStyle name="Normal 8 2 3 2 2 2 3 3" xfId="23264"/>
    <cellStyle name="Normal 8 2 3 2 2 2 3 3 2" xfId="23265"/>
    <cellStyle name="Normal 8 2 3 2 2 2 3 4" xfId="23266"/>
    <cellStyle name="Normal 8 2 3 2 2 2 4" xfId="23267"/>
    <cellStyle name="Normal 8 2 3 2 2 2 4 2" xfId="23268"/>
    <cellStyle name="Normal 8 2 3 2 2 2 4 2 2" xfId="23269"/>
    <cellStyle name="Normal 8 2 3 2 2 2 4 3" xfId="23270"/>
    <cellStyle name="Normal 8 2 3 2 2 2 5" xfId="23271"/>
    <cellStyle name="Normal 8 2 3 2 2 2 5 2" xfId="23272"/>
    <cellStyle name="Normal 8 2 3 2 2 2 5 2 2" xfId="23273"/>
    <cellStyle name="Normal 8 2 3 2 2 2 5 3" xfId="23274"/>
    <cellStyle name="Normal 8 2 3 2 2 2 6" xfId="23275"/>
    <cellStyle name="Normal 8 2 3 2 2 2 6 2" xfId="23276"/>
    <cellStyle name="Normal 8 2 3 2 2 2 7" xfId="23277"/>
    <cellStyle name="Normal 8 2 3 2 2 2 7 2" xfId="36952"/>
    <cellStyle name="Normal 8 2 3 2 2 2 8" xfId="23278"/>
    <cellStyle name="Normal 8 2 3 2 2 3" xfId="23279"/>
    <cellStyle name="Normal 8 2 3 2 2 3 2" xfId="23280"/>
    <cellStyle name="Normal 8 2 3 2 2 3 2 2" xfId="23281"/>
    <cellStyle name="Normal 8 2 3 2 2 3 2 2 2" xfId="23282"/>
    <cellStyle name="Normal 8 2 3 2 2 3 2 2 3" xfId="23283"/>
    <cellStyle name="Normal 8 2 3 2 2 3 2 3" xfId="23284"/>
    <cellStyle name="Normal 8 2 3 2 2 3 2 3 2" xfId="23285"/>
    <cellStyle name="Normal 8 2 3 2 2 3 2 4" xfId="23286"/>
    <cellStyle name="Normal 8 2 3 2 2 3 3" xfId="23287"/>
    <cellStyle name="Normal 8 2 3 2 2 3 3 2" xfId="23288"/>
    <cellStyle name="Normal 8 2 3 2 2 3 3 2 2" xfId="23289"/>
    <cellStyle name="Normal 8 2 3 2 2 3 3 3" xfId="23290"/>
    <cellStyle name="Normal 8 2 3 2 2 3 4" xfId="23291"/>
    <cellStyle name="Normal 8 2 3 2 2 3 4 2" xfId="23292"/>
    <cellStyle name="Normal 8 2 3 2 2 3 4 3" xfId="23293"/>
    <cellStyle name="Normal 8 2 3 2 2 3 5" xfId="23294"/>
    <cellStyle name="Normal 8 2 3 2 2 3 5 2" xfId="23295"/>
    <cellStyle name="Normal 8 2 3 2 2 3 6" xfId="23296"/>
    <cellStyle name="Normal 8 2 3 2 2 3 6 2" xfId="36953"/>
    <cellStyle name="Normal 8 2 3 2 2 3 7" xfId="23297"/>
    <cellStyle name="Normal 8 2 3 2 2 4" xfId="23298"/>
    <cellStyle name="Normal 8 2 3 2 2 4 2" xfId="23299"/>
    <cellStyle name="Normal 8 2 3 2 2 4 2 2" xfId="23300"/>
    <cellStyle name="Normal 8 2 3 2 2 4 2 2 2" xfId="23301"/>
    <cellStyle name="Normal 8 2 3 2 2 4 2 3" xfId="23302"/>
    <cellStyle name="Normal 8 2 3 2 2 4 3" xfId="23303"/>
    <cellStyle name="Normal 8 2 3 2 2 4 3 2" xfId="23304"/>
    <cellStyle name="Normal 8 2 3 2 2 4 4" xfId="23305"/>
    <cellStyle name="Normal 8 2 3 2 2 5" xfId="23306"/>
    <cellStyle name="Normal 8 2 3 2 2 5 2" xfId="23307"/>
    <cellStyle name="Normal 8 2 3 2 2 5 2 2" xfId="23308"/>
    <cellStyle name="Normal 8 2 3 2 2 5 3" xfId="23309"/>
    <cellStyle name="Normal 8 2 3 2 2 6" xfId="23310"/>
    <cellStyle name="Normal 8 2 3 2 2 6 2" xfId="23311"/>
    <cellStyle name="Normal 8 2 3 2 2 6 2 2" xfId="23312"/>
    <cellStyle name="Normal 8 2 3 2 2 6 3" xfId="23313"/>
    <cellStyle name="Normal 8 2 3 2 2 7" xfId="23314"/>
    <cellStyle name="Normal 8 2 3 2 2 7 2" xfId="23315"/>
    <cellStyle name="Normal 8 2 3 2 2 8" xfId="23316"/>
    <cellStyle name="Normal 8 2 3 2 2 8 2" xfId="36954"/>
    <cellStyle name="Normal 8 2 3 2 2 9" xfId="23317"/>
    <cellStyle name="Normal 8 2 3 2 3" xfId="23318"/>
    <cellStyle name="Normal 8 2 3 2 3 2" xfId="23319"/>
    <cellStyle name="Normal 8 2 3 2 3 2 2" xfId="23320"/>
    <cellStyle name="Normal 8 2 3 2 3 2 2 2" xfId="23321"/>
    <cellStyle name="Normal 8 2 3 2 3 2 2 2 2" xfId="23322"/>
    <cellStyle name="Normal 8 2 3 2 3 2 2 2 3" xfId="23323"/>
    <cellStyle name="Normal 8 2 3 2 3 2 2 3" xfId="23324"/>
    <cellStyle name="Normal 8 2 3 2 3 2 2 3 2" xfId="23325"/>
    <cellStyle name="Normal 8 2 3 2 3 2 2 4" xfId="23326"/>
    <cellStyle name="Normal 8 2 3 2 3 2 3" xfId="23327"/>
    <cellStyle name="Normal 8 2 3 2 3 2 3 2" xfId="23328"/>
    <cellStyle name="Normal 8 2 3 2 3 2 3 2 2" xfId="23329"/>
    <cellStyle name="Normal 8 2 3 2 3 2 3 3" xfId="23330"/>
    <cellStyle name="Normal 8 2 3 2 3 2 4" xfId="23331"/>
    <cellStyle name="Normal 8 2 3 2 3 2 4 2" xfId="23332"/>
    <cellStyle name="Normal 8 2 3 2 3 2 4 3" xfId="23333"/>
    <cellStyle name="Normal 8 2 3 2 3 2 5" xfId="23334"/>
    <cellStyle name="Normal 8 2 3 2 3 2 5 2" xfId="23335"/>
    <cellStyle name="Normal 8 2 3 2 3 2 6" xfId="23336"/>
    <cellStyle name="Normal 8 2 3 2 3 2 6 2" xfId="36955"/>
    <cellStyle name="Normal 8 2 3 2 3 2 7" xfId="23337"/>
    <cellStyle name="Normal 8 2 3 2 3 3" xfId="23338"/>
    <cellStyle name="Normal 8 2 3 2 3 3 2" xfId="23339"/>
    <cellStyle name="Normal 8 2 3 2 3 3 2 2" xfId="23340"/>
    <cellStyle name="Normal 8 2 3 2 3 3 2 2 2" xfId="23341"/>
    <cellStyle name="Normal 8 2 3 2 3 3 2 3" xfId="23342"/>
    <cellStyle name="Normal 8 2 3 2 3 3 3" xfId="23343"/>
    <cellStyle name="Normal 8 2 3 2 3 3 3 2" xfId="23344"/>
    <cellStyle name="Normal 8 2 3 2 3 3 4" xfId="23345"/>
    <cellStyle name="Normal 8 2 3 2 3 4" xfId="23346"/>
    <cellStyle name="Normal 8 2 3 2 3 4 2" xfId="23347"/>
    <cellStyle name="Normal 8 2 3 2 3 4 2 2" xfId="23348"/>
    <cellStyle name="Normal 8 2 3 2 3 4 3" xfId="23349"/>
    <cellStyle name="Normal 8 2 3 2 3 5" xfId="23350"/>
    <cellStyle name="Normal 8 2 3 2 3 5 2" xfId="23351"/>
    <cellStyle name="Normal 8 2 3 2 3 5 2 2" xfId="23352"/>
    <cellStyle name="Normal 8 2 3 2 3 5 3" xfId="23353"/>
    <cellStyle name="Normal 8 2 3 2 3 6" xfId="23354"/>
    <cellStyle name="Normal 8 2 3 2 3 6 2" xfId="23355"/>
    <cellStyle name="Normal 8 2 3 2 3 7" xfId="23356"/>
    <cellStyle name="Normal 8 2 3 2 3 7 2" xfId="36956"/>
    <cellStyle name="Normal 8 2 3 2 3 8" xfId="23357"/>
    <cellStyle name="Normal 8 2 3 2 4" xfId="23358"/>
    <cellStyle name="Normal 8 2 3 2 4 2" xfId="23359"/>
    <cellStyle name="Normal 8 2 3 2 4 2 2" xfId="23360"/>
    <cellStyle name="Normal 8 2 3 2 4 2 2 2" xfId="23361"/>
    <cellStyle name="Normal 8 2 3 2 4 2 2 3" xfId="23362"/>
    <cellStyle name="Normal 8 2 3 2 4 2 3" xfId="23363"/>
    <cellStyle name="Normal 8 2 3 2 4 2 3 2" xfId="23364"/>
    <cellStyle name="Normal 8 2 3 2 4 2 4" xfId="23365"/>
    <cellStyle name="Normal 8 2 3 2 4 3" xfId="23366"/>
    <cellStyle name="Normal 8 2 3 2 4 3 2" xfId="23367"/>
    <cellStyle name="Normal 8 2 3 2 4 3 2 2" xfId="23368"/>
    <cellStyle name="Normal 8 2 3 2 4 3 3" xfId="23369"/>
    <cellStyle name="Normal 8 2 3 2 4 4" xfId="23370"/>
    <cellStyle name="Normal 8 2 3 2 4 4 2" xfId="23371"/>
    <cellStyle name="Normal 8 2 3 2 4 4 3" xfId="23372"/>
    <cellStyle name="Normal 8 2 3 2 4 5" xfId="23373"/>
    <cellStyle name="Normal 8 2 3 2 4 5 2" xfId="23374"/>
    <cellStyle name="Normal 8 2 3 2 4 6" xfId="23375"/>
    <cellStyle name="Normal 8 2 3 2 4 6 2" xfId="36957"/>
    <cellStyle name="Normal 8 2 3 2 4 7" xfId="23376"/>
    <cellStyle name="Normal 8 2 3 2 5" xfId="23377"/>
    <cellStyle name="Normal 8 2 3 2 5 2" xfId="23378"/>
    <cellStyle name="Normal 8 2 3 2 5 2 2" xfId="23379"/>
    <cellStyle name="Normal 8 2 3 2 5 2 2 2" xfId="23380"/>
    <cellStyle name="Normal 8 2 3 2 5 2 3" xfId="23381"/>
    <cellStyle name="Normal 8 2 3 2 5 3" xfId="23382"/>
    <cellStyle name="Normal 8 2 3 2 5 3 2" xfId="23383"/>
    <cellStyle name="Normal 8 2 3 2 5 4" xfId="23384"/>
    <cellStyle name="Normal 8 2 3 2 6" xfId="23385"/>
    <cellStyle name="Normal 8 2 3 2 6 2" xfId="23386"/>
    <cellStyle name="Normal 8 2 3 2 6 2 2" xfId="23387"/>
    <cellStyle name="Normal 8 2 3 2 6 3" xfId="23388"/>
    <cellStyle name="Normal 8 2 3 2 7" xfId="23389"/>
    <cellStyle name="Normal 8 2 3 2 7 2" xfId="23390"/>
    <cellStyle name="Normal 8 2 3 2 7 2 2" xfId="23391"/>
    <cellStyle name="Normal 8 2 3 2 7 3" xfId="23392"/>
    <cellStyle name="Normal 8 2 3 2 8" xfId="23393"/>
    <cellStyle name="Normal 8 2 3 2 8 2" xfId="23394"/>
    <cellStyle name="Normal 8 2 3 2 9" xfId="23395"/>
    <cellStyle name="Normal 8 2 3 2 9 2" xfId="36958"/>
    <cellStyle name="Normal 8 2 3 3" xfId="23396"/>
    <cellStyle name="Normal 8 2 3 3 2" xfId="23397"/>
    <cellStyle name="Normal 8 2 3 3 2 2" xfId="23398"/>
    <cellStyle name="Normal 8 2 3 3 2 2 2" xfId="23399"/>
    <cellStyle name="Normal 8 2 3 3 2 2 2 2" xfId="23400"/>
    <cellStyle name="Normal 8 2 3 3 2 2 2 2 2" xfId="23401"/>
    <cellStyle name="Normal 8 2 3 3 2 2 2 2 3" xfId="23402"/>
    <cellStyle name="Normal 8 2 3 3 2 2 2 3" xfId="23403"/>
    <cellStyle name="Normal 8 2 3 3 2 2 2 3 2" xfId="23404"/>
    <cellStyle name="Normal 8 2 3 3 2 2 2 4" xfId="23405"/>
    <cellStyle name="Normal 8 2 3 3 2 2 3" xfId="23406"/>
    <cellStyle name="Normal 8 2 3 3 2 2 3 2" xfId="23407"/>
    <cellStyle name="Normal 8 2 3 3 2 2 3 2 2" xfId="23408"/>
    <cellStyle name="Normal 8 2 3 3 2 2 3 3" xfId="23409"/>
    <cellStyle name="Normal 8 2 3 3 2 2 4" xfId="23410"/>
    <cellStyle name="Normal 8 2 3 3 2 2 4 2" xfId="23411"/>
    <cellStyle name="Normal 8 2 3 3 2 2 4 3" xfId="23412"/>
    <cellStyle name="Normal 8 2 3 3 2 2 5" xfId="23413"/>
    <cellStyle name="Normal 8 2 3 3 2 2 5 2" xfId="23414"/>
    <cellStyle name="Normal 8 2 3 3 2 2 6" xfId="23415"/>
    <cellStyle name="Normal 8 2 3 3 2 2 6 2" xfId="36959"/>
    <cellStyle name="Normal 8 2 3 3 2 2 7" xfId="23416"/>
    <cellStyle name="Normal 8 2 3 3 2 3" xfId="23417"/>
    <cellStyle name="Normal 8 2 3 3 2 3 2" xfId="23418"/>
    <cellStyle name="Normal 8 2 3 3 2 3 2 2" xfId="23419"/>
    <cellStyle name="Normal 8 2 3 3 2 3 2 2 2" xfId="23420"/>
    <cellStyle name="Normal 8 2 3 3 2 3 2 3" xfId="23421"/>
    <cellStyle name="Normal 8 2 3 3 2 3 3" xfId="23422"/>
    <cellStyle name="Normal 8 2 3 3 2 3 3 2" xfId="23423"/>
    <cellStyle name="Normal 8 2 3 3 2 3 4" xfId="23424"/>
    <cellStyle name="Normal 8 2 3 3 2 4" xfId="23425"/>
    <cellStyle name="Normal 8 2 3 3 2 4 2" xfId="23426"/>
    <cellStyle name="Normal 8 2 3 3 2 4 2 2" xfId="23427"/>
    <cellStyle name="Normal 8 2 3 3 2 4 3" xfId="23428"/>
    <cellStyle name="Normal 8 2 3 3 2 5" xfId="23429"/>
    <cellStyle name="Normal 8 2 3 3 2 5 2" xfId="23430"/>
    <cellStyle name="Normal 8 2 3 3 2 5 2 2" xfId="23431"/>
    <cellStyle name="Normal 8 2 3 3 2 5 3" xfId="23432"/>
    <cellStyle name="Normal 8 2 3 3 2 6" xfId="23433"/>
    <cellStyle name="Normal 8 2 3 3 2 6 2" xfId="23434"/>
    <cellStyle name="Normal 8 2 3 3 2 7" xfId="23435"/>
    <cellStyle name="Normal 8 2 3 3 2 7 2" xfId="36960"/>
    <cellStyle name="Normal 8 2 3 3 2 8" xfId="23436"/>
    <cellStyle name="Normal 8 2 3 3 3" xfId="23437"/>
    <cellStyle name="Normal 8 2 3 3 3 2" xfId="23438"/>
    <cellStyle name="Normal 8 2 3 3 3 2 2" xfId="23439"/>
    <cellStyle name="Normal 8 2 3 3 3 2 2 2" xfId="23440"/>
    <cellStyle name="Normal 8 2 3 3 3 2 2 3" xfId="23441"/>
    <cellStyle name="Normal 8 2 3 3 3 2 3" xfId="23442"/>
    <cellStyle name="Normal 8 2 3 3 3 2 3 2" xfId="23443"/>
    <cellStyle name="Normal 8 2 3 3 3 2 4" xfId="23444"/>
    <cellStyle name="Normal 8 2 3 3 3 3" xfId="23445"/>
    <cellStyle name="Normal 8 2 3 3 3 3 2" xfId="23446"/>
    <cellStyle name="Normal 8 2 3 3 3 3 2 2" xfId="23447"/>
    <cellStyle name="Normal 8 2 3 3 3 3 3" xfId="23448"/>
    <cellStyle name="Normal 8 2 3 3 3 4" xfId="23449"/>
    <cellStyle name="Normal 8 2 3 3 3 4 2" xfId="23450"/>
    <cellStyle name="Normal 8 2 3 3 3 4 3" xfId="23451"/>
    <cellStyle name="Normal 8 2 3 3 3 5" xfId="23452"/>
    <cellStyle name="Normal 8 2 3 3 3 5 2" xfId="23453"/>
    <cellStyle name="Normal 8 2 3 3 3 6" xfId="23454"/>
    <cellStyle name="Normal 8 2 3 3 3 6 2" xfId="36961"/>
    <cellStyle name="Normal 8 2 3 3 3 7" xfId="23455"/>
    <cellStyle name="Normal 8 2 3 3 4" xfId="23456"/>
    <cellStyle name="Normal 8 2 3 3 4 2" xfId="23457"/>
    <cellStyle name="Normal 8 2 3 3 4 2 2" xfId="23458"/>
    <cellStyle name="Normal 8 2 3 3 4 2 2 2" xfId="23459"/>
    <cellStyle name="Normal 8 2 3 3 4 2 3" xfId="23460"/>
    <cellStyle name="Normal 8 2 3 3 4 3" xfId="23461"/>
    <cellStyle name="Normal 8 2 3 3 4 3 2" xfId="23462"/>
    <cellStyle name="Normal 8 2 3 3 4 4" xfId="23463"/>
    <cellStyle name="Normal 8 2 3 3 5" xfId="23464"/>
    <cellStyle name="Normal 8 2 3 3 5 2" xfId="23465"/>
    <cellStyle name="Normal 8 2 3 3 5 2 2" xfId="23466"/>
    <cellStyle name="Normal 8 2 3 3 5 3" xfId="23467"/>
    <cellStyle name="Normal 8 2 3 3 6" xfId="23468"/>
    <cellStyle name="Normal 8 2 3 3 6 2" xfId="23469"/>
    <cellStyle name="Normal 8 2 3 3 6 2 2" xfId="23470"/>
    <cellStyle name="Normal 8 2 3 3 6 3" xfId="23471"/>
    <cellStyle name="Normal 8 2 3 3 7" xfId="23472"/>
    <cellStyle name="Normal 8 2 3 3 7 2" xfId="23473"/>
    <cellStyle name="Normal 8 2 3 3 8" xfId="23474"/>
    <cellStyle name="Normal 8 2 3 3 8 2" xfId="36962"/>
    <cellStyle name="Normal 8 2 3 3 9" xfId="23475"/>
    <cellStyle name="Normal 8 2 3 4" xfId="23476"/>
    <cellStyle name="Normal 8 2 3 4 2" xfId="23477"/>
    <cellStyle name="Normal 8 2 3 4 2 2" xfId="23478"/>
    <cellStyle name="Normal 8 2 3 4 2 2 2" xfId="23479"/>
    <cellStyle name="Normal 8 2 3 4 2 2 2 2" xfId="23480"/>
    <cellStyle name="Normal 8 2 3 4 2 2 2 2 2" xfId="23481"/>
    <cellStyle name="Normal 8 2 3 4 2 2 2 2 3" xfId="23482"/>
    <cellStyle name="Normal 8 2 3 4 2 2 2 3" xfId="23483"/>
    <cellStyle name="Normal 8 2 3 4 2 2 2 3 2" xfId="23484"/>
    <cellStyle name="Normal 8 2 3 4 2 2 2 4" xfId="23485"/>
    <cellStyle name="Normal 8 2 3 4 2 2 3" xfId="23486"/>
    <cellStyle name="Normal 8 2 3 4 2 2 3 2" xfId="23487"/>
    <cellStyle name="Normal 8 2 3 4 2 2 3 2 2" xfId="23488"/>
    <cellStyle name="Normal 8 2 3 4 2 2 3 3" xfId="23489"/>
    <cellStyle name="Normal 8 2 3 4 2 2 4" xfId="23490"/>
    <cellStyle name="Normal 8 2 3 4 2 2 4 2" xfId="23491"/>
    <cellStyle name="Normal 8 2 3 4 2 2 4 3" xfId="23492"/>
    <cellStyle name="Normal 8 2 3 4 2 2 5" xfId="23493"/>
    <cellStyle name="Normal 8 2 3 4 2 2 5 2" xfId="23494"/>
    <cellStyle name="Normal 8 2 3 4 2 2 6" xfId="23495"/>
    <cellStyle name="Normal 8 2 3 4 2 2 6 2" xfId="36963"/>
    <cellStyle name="Normal 8 2 3 4 2 2 7" xfId="23496"/>
    <cellStyle name="Normal 8 2 3 4 2 3" xfId="23497"/>
    <cellStyle name="Normal 8 2 3 4 2 3 2" xfId="23498"/>
    <cellStyle name="Normal 8 2 3 4 2 3 2 2" xfId="23499"/>
    <cellStyle name="Normal 8 2 3 4 2 3 2 2 2" xfId="23500"/>
    <cellStyle name="Normal 8 2 3 4 2 3 2 3" xfId="23501"/>
    <cellStyle name="Normal 8 2 3 4 2 3 3" xfId="23502"/>
    <cellStyle name="Normal 8 2 3 4 2 3 3 2" xfId="23503"/>
    <cellStyle name="Normal 8 2 3 4 2 3 4" xfId="23504"/>
    <cellStyle name="Normal 8 2 3 4 2 4" xfId="23505"/>
    <cellStyle name="Normal 8 2 3 4 2 4 2" xfId="23506"/>
    <cellStyle name="Normal 8 2 3 4 2 4 2 2" xfId="23507"/>
    <cellStyle name="Normal 8 2 3 4 2 4 3" xfId="23508"/>
    <cellStyle name="Normal 8 2 3 4 2 5" xfId="23509"/>
    <cellStyle name="Normal 8 2 3 4 2 5 2" xfId="23510"/>
    <cellStyle name="Normal 8 2 3 4 2 5 2 2" xfId="23511"/>
    <cellStyle name="Normal 8 2 3 4 2 5 3" xfId="23512"/>
    <cellStyle name="Normal 8 2 3 4 2 6" xfId="23513"/>
    <cellStyle name="Normal 8 2 3 4 2 6 2" xfId="23514"/>
    <cellStyle name="Normal 8 2 3 4 2 7" xfId="23515"/>
    <cellStyle name="Normal 8 2 3 4 2 7 2" xfId="36964"/>
    <cellStyle name="Normal 8 2 3 4 2 8" xfId="23516"/>
    <cellStyle name="Normal 8 2 3 4 3" xfId="23517"/>
    <cellStyle name="Normal 8 2 3 4 3 2" xfId="23518"/>
    <cellStyle name="Normal 8 2 3 4 3 2 2" xfId="23519"/>
    <cellStyle name="Normal 8 2 3 4 3 2 2 2" xfId="23520"/>
    <cellStyle name="Normal 8 2 3 4 3 2 2 3" xfId="23521"/>
    <cellStyle name="Normal 8 2 3 4 3 2 3" xfId="23522"/>
    <cellStyle name="Normal 8 2 3 4 3 2 3 2" xfId="23523"/>
    <cellStyle name="Normal 8 2 3 4 3 2 4" xfId="23524"/>
    <cellStyle name="Normal 8 2 3 4 3 3" xfId="23525"/>
    <cellStyle name="Normal 8 2 3 4 3 3 2" xfId="23526"/>
    <cellStyle name="Normal 8 2 3 4 3 3 2 2" xfId="23527"/>
    <cellStyle name="Normal 8 2 3 4 3 3 3" xfId="23528"/>
    <cellStyle name="Normal 8 2 3 4 3 4" xfId="23529"/>
    <cellStyle name="Normal 8 2 3 4 3 4 2" xfId="23530"/>
    <cellStyle name="Normal 8 2 3 4 3 4 3" xfId="23531"/>
    <cellStyle name="Normal 8 2 3 4 3 5" xfId="23532"/>
    <cellStyle name="Normal 8 2 3 4 3 5 2" xfId="23533"/>
    <cellStyle name="Normal 8 2 3 4 3 6" xfId="23534"/>
    <cellStyle name="Normal 8 2 3 4 3 6 2" xfId="36965"/>
    <cellStyle name="Normal 8 2 3 4 3 7" xfId="23535"/>
    <cellStyle name="Normal 8 2 3 4 4" xfId="23536"/>
    <cellStyle name="Normal 8 2 3 4 4 2" xfId="23537"/>
    <cellStyle name="Normal 8 2 3 4 4 2 2" xfId="23538"/>
    <cellStyle name="Normal 8 2 3 4 4 2 2 2" xfId="23539"/>
    <cellStyle name="Normal 8 2 3 4 4 2 3" xfId="23540"/>
    <cellStyle name="Normal 8 2 3 4 4 3" xfId="23541"/>
    <cellStyle name="Normal 8 2 3 4 4 3 2" xfId="23542"/>
    <cellStyle name="Normal 8 2 3 4 4 4" xfId="23543"/>
    <cellStyle name="Normal 8 2 3 4 5" xfId="23544"/>
    <cellStyle name="Normal 8 2 3 4 5 2" xfId="23545"/>
    <cellStyle name="Normal 8 2 3 4 5 2 2" xfId="23546"/>
    <cellStyle name="Normal 8 2 3 4 5 3" xfId="23547"/>
    <cellStyle name="Normal 8 2 3 4 6" xfId="23548"/>
    <cellStyle name="Normal 8 2 3 4 6 2" xfId="23549"/>
    <cellStyle name="Normal 8 2 3 4 6 2 2" xfId="23550"/>
    <cellStyle name="Normal 8 2 3 4 6 3" xfId="23551"/>
    <cellStyle name="Normal 8 2 3 4 7" xfId="23552"/>
    <cellStyle name="Normal 8 2 3 4 7 2" xfId="23553"/>
    <cellStyle name="Normal 8 2 3 4 8" xfId="23554"/>
    <cellStyle name="Normal 8 2 3 4 8 2" xfId="36966"/>
    <cellStyle name="Normal 8 2 3 4 9" xfId="23555"/>
    <cellStyle name="Normal 8 2 3 5" xfId="23556"/>
    <cellStyle name="Normal 8 2 3 5 2" xfId="23557"/>
    <cellStyle name="Normal 8 2 3 5 2 2" xfId="23558"/>
    <cellStyle name="Normal 8 2 3 5 2 2 2" xfId="23559"/>
    <cellStyle name="Normal 8 2 3 5 2 2 2 2" xfId="23560"/>
    <cellStyle name="Normal 8 2 3 5 2 2 2 3" xfId="23561"/>
    <cellStyle name="Normal 8 2 3 5 2 2 3" xfId="23562"/>
    <cellStyle name="Normal 8 2 3 5 2 2 3 2" xfId="23563"/>
    <cellStyle name="Normal 8 2 3 5 2 2 4" xfId="23564"/>
    <cellStyle name="Normal 8 2 3 5 2 3" xfId="23565"/>
    <cellStyle name="Normal 8 2 3 5 2 3 2" xfId="23566"/>
    <cellStyle name="Normal 8 2 3 5 2 3 2 2" xfId="23567"/>
    <cellStyle name="Normal 8 2 3 5 2 3 3" xfId="23568"/>
    <cellStyle name="Normal 8 2 3 5 2 4" xfId="23569"/>
    <cellStyle name="Normal 8 2 3 5 2 4 2" xfId="23570"/>
    <cellStyle name="Normal 8 2 3 5 2 4 3" xfId="23571"/>
    <cellStyle name="Normal 8 2 3 5 2 5" xfId="23572"/>
    <cellStyle name="Normal 8 2 3 5 2 5 2" xfId="23573"/>
    <cellStyle name="Normal 8 2 3 5 2 6" xfId="23574"/>
    <cellStyle name="Normal 8 2 3 5 2 6 2" xfId="36967"/>
    <cellStyle name="Normal 8 2 3 5 2 7" xfId="23575"/>
    <cellStyle name="Normal 8 2 3 5 3" xfId="23576"/>
    <cellStyle name="Normal 8 2 3 5 3 2" xfId="23577"/>
    <cellStyle name="Normal 8 2 3 5 3 2 2" xfId="23578"/>
    <cellStyle name="Normal 8 2 3 5 3 2 2 2" xfId="23579"/>
    <cellStyle name="Normal 8 2 3 5 3 2 3" xfId="23580"/>
    <cellStyle name="Normal 8 2 3 5 3 3" xfId="23581"/>
    <cellStyle name="Normal 8 2 3 5 3 3 2" xfId="23582"/>
    <cellStyle name="Normal 8 2 3 5 3 4" xfId="23583"/>
    <cellStyle name="Normal 8 2 3 5 4" xfId="23584"/>
    <cellStyle name="Normal 8 2 3 5 4 2" xfId="23585"/>
    <cellStyle name="Normal 8 2 3 5 4 2 2" xfId="23586"/>
    <cellStyle name="Normal 8 2 3 5 4 3" xfId="23587"/>
    <cellStyle name="Normal 8 2 3 5 5" xfId="23588"/>
    <cellStyle name="Normal 8 2 3 5 5 2" xfId="23589"/>
    <cellStyle name="Normal 8 2 3 5 5 2 2" xfId="23590"/>
    <cellStyle name="Normal 8 2 3 5 5 3" xfId="23591"/>
    <cellStyle name="Normal 8 2 3 5 6" xfId="23592"/>
    <cellStyle name="Normal 8 2 3 5 6 2" xfId="23593"/>
    <cellStyle name="Normal 8 2 3 5 7" xfId="23594"/>
    <cellStyle name="Normal 8 2 3 5 7 2" xfId="36968"/>
    <cellStyle name="Normal 8 2 3 5 8" xfId="23595"/>
    <cellStyle name="Normal 8 2 3 6" xfId="23596"/>
    <cellStyle name="Normal 8 2 3 6 2" xfId="23597"/>
    <cellStyle name="Normal 8 2 3 6 2 2" xfId="23598"/>
    <cellStyle name="Normal 8 2 3 6 2 2 2" xfId="23599"/>
    <cellStyle name="Normal 8 2 3 6 2 2 2 2" xfId="23600"/>
    <cellStyle name="Normal 8 2 3 6 2 2 2 3" xfId="23601"/>
    <cellStyle name="Normal 8 2 3 6 2 2 3" xfId="23602"/>
    <cellStyle name="Normal 8 2 3 6 2 2 3 2" xfId="23603"/>
    <cellStyle name="Normal 8 2 3 6 2 2 4" xfId="23604"/>
    <cellStyle name="Normal 8 2 3 6 2 3" xfId="23605"/>
    <cellStyle name="Normal 8 2 3 6 2 3 2" xfId="23606"/>
    <cellStyle name="Normal 8 2 3 6 2 3 2 2" xfId="23607"/>
    <cellStyle name="Normal 8 2 3 6 2 3 3" xfId="23608"/>
    <cellStyle name="Normal 8 2 3 6 2 4" xfId="23609"/>
    <cellStyle name="Normal 8 2 3 6 2 4 2" xfId="23610"/>
    <cellStyle name="Normal 8 2 3 6 2 4 3" xfId="23611"/>
    <cellStyle name="Normal 8 2 3 6 2 5" xfId="23612"/>
    <cellStyle name="Normal 8 2 3 6 2 5 2" xfId="23613"/>
    <cellStyle name="Normal 8 2 3 6 2 6" xfId="23614"/>
    <cellStyle name="Normal 8 2 3 6 2 6 2" xfId="36969"/>
    <cellStyle name="Normal 8 2 3 6 2 7" xfId="23615"/>
    <cellStyle name="Normal 8 2 3 6 3" xfId="23616"/>
    <cellStyle name="Normal 8 2 3 6 3 2" xfId="23617"/>
    <cellStyle name="Normal 8 2 3 6 3 2 2" xfId="23618"/>
    <cellStyle name="Normal 8 2 3 6 3 2 2 2" xfId="23619"/>
    <cellStyle name="Normal 8 2 3 6 3 2 3" xfId="23620"/>
    <cellStyle name="Normal 8 2 3 6 3 3" xfId="23621"/>
    <cellStyle name="Normal 8 2 3 6 3 3 2" xfId="23622"/>
    <cellStyle name="Normal 8 2 3 6 3 4" xfId="23623"/>
    <cellStyle name="Normal 8 2 3 6 4" xfId="23624"/>
    <cellStyle name="Normal 8 2 3 6 4 2" xfId="23625"/>
    <cellStyle name="Normal 8 2 3 6 4 2 2" xfId="23626"/>
    <cellStyle name="Normal 8 2 3 6 4 3" xfId="23627"/>
    <cellStyle name="Normal 8 2 3 6 5" xfId="23628"/>
    <cellStyle name="Normal 8 2 3 6 5 2" xfId="23629"/>
    <cellStyle name="Normal 8 2 3 6 5 2 2" xfId="23630"/>
    <cellStyle name="Normal 8 2 3 6 5 3" xfId="23631"/>
    <cellStyle name="Normal 8 2 3 6 6" xfId="23632"/>
    <cellStyle name="Normal 8 2 3 6 6 2" xfId="23633"/>
    <cellStyle name="Normal 8 2 3 6 7" xfId="23634"/>
    <cellStyle name="Normal 8 2 3 6 7 2" xfId="36970"/>
    <cellStyle name="Normal 8 2 3 6 8" xfId="23635"/>
    <cellStyle name="Normal 8 2 3 7" xfId="23636"/>
    <cellStyle name="Normal 8 2 3 7 2" xfId="23637"/>
    <cellStyle name="Normal 8 2 3 7 2 2" xfId="23638"/>
    <cellStyle name="Normal 8 2 3 7 2 2 2" xfId="23639"/>
    <cellStyle name="Normal 8 2 3 7 2 2 2 2" xfId="23640"/>
    <cellStyle name="Normal 8 2 3 7 2 2 2 3" xfId="23641"/>
    <cellStyle name="Normal 8 2 3 7 2 2 3" xfId="23642"/>
    <cellStyle name="Normal 8 2 3 7 2 2 3 2" xfId="23643"/>
    <cellStyle name="Normal 8 2 3 7 2 2 4" xfId="23644"/>
    <cellStyle name="Normal 8 2 3 7 2 3" xfId="23645"/>
    <cellStyle name="Normal 8 2 3 7 2 3 2" xfId="23646"/>
    <cellStyle name="Normal 8 2 3 7 2 3 2 2" xfId="23647"/>
    <cellStyle name="Normal 8 2 3 7 2 3 3" xfId="23648"/>
    <cellStyle name="Normal 8 2 3 7 2 4" xfId="23649"/>
    <cellStyle name="Normal 8 2 3 7 2 4 2" xfId="23650"/>
    <cellStyle name="Normal 8 2 3 7 2 4 3" xfId="23651"/>
    <cellStyle name="Normal 8 2 3 7 2 5" xfId="23652"/>
    <cellStyle name="Normal 8 2 3 7 2 5 2" xfId="23653"/>
    <cellStyle name="Normal 8 2 3 7 2 6" xfId="23654"/>
    <cellStyle name="Normal 8 2 3 7 2 6 2" xfId="36971"/>
    <cellStyle name="Normal 8 2 3 7 2 7" xfId="23655"/>
    <cellStyle name="Normal 8 2 3 7 3" xfId="23656"/>
    <cellStyle name="Normal 8 2 3 7 3 2" xfId="23657"/>
    <cellStyle name="Normal 8 2 3 7 3 2 2" xfId="23658"/>
    <cellStyle name="Normal 8 2 3 7 3 2 2 2" xfId="23659"/>
    <cellStyle name="Normal 8 2 3 7 3 2 3" xfId="23660"/>
    <cellStyle name="Normal 8 2 3 7 3 3" xfId="23661"/>
    <cellStyle name="Normal 8 2 3 7 3 3 2" xfId="23662"/>
    <cellStyle name="Normal 8 2 3 7 3 4" xfId="23663"/>
    <cellStyle name="Normal 8 2 3 7 4" xfId="23664"/>
    <cellStyle name="Normal 8 2 3 7 4 2" xfId="23665"/>
    <cellStyle name="Normal 8 2 3 7 4 2 2" xfId="23666"/>
    <cellStyle name="Normal 8 2 3 7 4 3" xfId="23667"/>
    <cellStyle name="Normal 8 2 3 7 5" xfId="23668"/>
    <cellStyle name="Normal 8 2 3 7 5 2" xfId="23669"/>
    <cellStyle name="Normal 8 2 3 7 5 2 2" xfId="23670"/>
    <cellStyle name="Normal 8 2 3 7 5 3" xfId="23671"/>
    <cellStyle name="Normal 8 2 3 7 6" xfId="23672"/>
    <cellStyle name="Normal 8 2 3 7 6 2" xfId="23673"/>
    <cellStyle name="Normal 8 2 3 7 7" xfId="23674"/>
    <cellStyle name="Normal 8 2 3 7 7 2" xfId="36972"/>
    <cellStyle name="Normal 8 2 3 7 8" xfId="23675"/>
    <cellStyle name="Normal 8 2 3 8" xfId="23676"/>
    <cellStyle name="Normal 8 2 3 8 2" xfId="23677"/>
    <cellStyle name="Normal 8 2 3 8 2 2" xfId="23678"/>
    <cellStyle name="Normal 8 2 3 8 2 2 2" xfId="23679"/>
    <cellStyle name="Normal 8 2 3 8 2 2 3" xfId="23680"/>
    <cellStyle name="Normal 8 2 3 8 2 3" xfId="23681"/>
    <cellStyle name="Normal 8 2 3 8 2 3 2" xfId="23682"/>
    <cellStyle name="Normal 8 2 3 8 2 4" xfId="23683"/>
    <cellStyle name="Normal 8 2 3 8 3" xfId="23684"/>
    <cellStyle name="Normal 8 2 3 8 3 2" xfId="23685"/>
    <cellStyle name="Normal 8 2 3 8 3 2 2" xfId="23686"/>
    <cellStyle name="Normal 8 2 3 8 3 3" xfId="23687"/>
    <cellStyle name="Normal 8 2 3 8 4" xfId="23688"/>
    <cellStyle name="Normal 8 2 3 8 4 2" xfId="23689"/>
    <cellStyle name="Normal 8 2 3 8 4 3" xfId="23690"/>
    <cellStyle name="Normal 8 2 3 8 5" xfId="23691"/>
    <cellStyle name="Normal 8 2 3 8 5 2" xfId="23692"/>
    <cellStyle name="Normal 8 2 3 8 6" xfId="23693"/>
    <cellStyle name="Normal 8 2 3 8 6 2" xfId="36973"/>
    <cellStyle name="Normal 8 2 3 8 7" xfId="23694"/>
    <cellStyle name="Normal 8 2 3 9" xfId="23695"/>
    <cellStyle name="Normal 8 2 3 9 2" xfId="23696"/>
    <cellStyle name="Normal 8 2 3 9 2 2" xfId="23697"/>
    <cellStyle name="Normal 8 2 3 9 2 2 2" xfId="23698"/>
    <cellStyle name="Normal 8 2 3 9 2 3" xfId="23699"/>
    <cellStyle name="Normal 8 2 3 9 3" xfId="23700"/>
    <cellStyle name="Normal 8 2 3 9 3 2" xfId="23701"/>
    <cellStyle name="Normal 8 2 3 9 4" xfId="23702"/>
    <cellStyle name="Normal 8 2 4" xfId="23703"/>
    <cellStyle name="Normal 8 2 4 10" xfId="23704"/>
    <cellStyle name="Normal 8 2 4 10 2" xfId="23705"/>
    <cellStyle name="Normal 8 2 4 11" xfId="23706"/>
    <cellStyle name="Normal 8 2 4 11 2" xfId="36974"/>
    <cellStyle name="Normal 8 2 4 12" xfId="23707"/>
    <cellStyle name="Normal 8 2 4 2" xfId="23708"/>
    <cellStyle name="Normal 8 2 4 2 10" xfId="23709"/>
    <cellStyle name="Normal 8 2 4 2 2" xfId="23710"/>
    <cellStyle name="Normal 8 2 4 2 2 2" xfId="23711"/>
    <cellStyle name="Normal 8 2 4 2 2 2 2" xfId="23712"/>
    <cellStyle name="Normal 8 2 4 2 2 2 2 2" xfId="23713"/>
    <cellStyle name="Normal 8 2 4 2 2 2 2 2 2" xfId="23714"/>
    <cellStyle name="Normal 8 2 4 2 2 2 2 2 2 2" xfId="23715"/>
    <cellStyle name="Normal 8 2 4 2 2 2 2 2 2 3" xfId="23716"/>
    <cellStyle name="Normal 8 2 4 2 2 2 2 2 3" xfId="23717"/>
    <cellStyle name="Normal 8 2 4 2 2 2 2 2 3 2" xfId="23718"/>
    <cellStyle name="Normal 8 2 4 2 2 2 2 2 4" xfId="23719"/>
    <cellStyle name="Normal 8 2 4 2 2 2 2 3" xfId="23720"/>
    <cellStyle name="Normal 8 2 4 2 2 2 2 3 2" xfId="23721"/>
    <cellStyle name="Normal 8 2 4 2 2 2 2 3 2 2" xfId="23722"/>
    <cellStyle name="Normal 8 2 4 2 2 2 2 3 3" xfId="23723"/>
    <cellStyle name="Normal 8 2 4 2 2 2 2 4" xfId="23724"/>
    <cellStyle name="Normal 8 2 4 2 2 2 2 4 2" xfId="23725"/>
    <cellStyle name="Normal 8 2 4 2 2 2 2 4 3" xfId="23726"/>
    <cellStyle name="Normal 8 2 4 2 2 2 2 5" xfId="23727"/>
    <cellStyle name="Normal 8 2 4 2 2 2 2 5 2" xfId="23728"/>
    <cellStyle name="Normal 8 2 4 2 2 2 2 6" xfId="23729"/>
    <cellStyle name="Normal 8 2 4 2 2 2 2 6 2" xfId="36975"/>
    <cellStyle name="Normal 8 2 4 2 2 2 2 7" xfId="23730"/>
    <cellStyle name="Normal 8 2 4 2 2 2 3" xfId="23731"/>
    <cellStyle name="Normal 8 2 4 2 2 2 3 2" xfId="23732"/>
    <cellStyle name="Normal 8 2 4 2 2 2 3 2 2" xfId="23733"/>
    <cellStyle name="Normal 8 2 4 2 2 2 3 2 2 2" xfId="23734"/>
    <cellStyle name="Normal 8 2 4 2 2 2 3 2 3" xfId="23735"/>
    <cellStyle name="Normal 8 2 4 2 2 2 3 3" xfId="23736"/>
    <cellStyle name="Normal 8 2 4 2 2 2 3 3 2" xfId="23737"/>
    <cellStyle name="Normal 8 2 4 2 2 2 3 4" xfId="23738"/>
    <cellStyle name="Normal 8 2 4 2 2 2 4" xfId="23739"/>
    <cellStyle name="Normal 8 2 4 2 2 2 4 2" xfId="23740"/>
    <cellStyle name="Normal 8 2 4 2 2 2 4 2 2" xfId="23741"/>
    <cellStyle name="Normal 8 2 4 2 2 2 4 3" xfId="23742"/>
    <cellStyle name="Normal 8 2 4 2 2 2 5" xfId="23743"/>
    <cellStyle name="Normal 8 2 4 2 2 2 5 2" xfId="23744"/>
    <cellStyle name="Normal 8 2 4 2 2 2 5 2 2" xfId="23745"/>
    <cellStyle name="Normal 8 2 4 2 2 2 5 3" xfId="23746"/>
    <cellStyle name="Normal 8 2 4 2 2 2 6" xfId="23747"/>
    <cellStyle name="Normal 8 2 4 2 2 2 6 2" xfId="23748"/>
    <cellStyle name="Normal 8 2 4 2 2 2 7" xfId="23749"/>
    <cellStyle name="Normal 8 2 4 2 2 2 7 2" xfId="36976"/>
    <cellStyle name="Normal 8 2 4 2 2 2 8" xfId="23750"/>
    <cellStyle name="Normal 8 2 4 2 2 3" xfId="23751"/>
    <cellStyle name="Normal 8 2 4 2 2 3 2" xfId="23752"/>
    <cellStyle name="Normal 8 2 4 2 2 3 2 2" xfId="23753"/>
    <cellStyle name="Normal 8 2 4 2 2 3 2 2 2" xfId="23754"/>
    <cellStyle name="Normal 8 2 4 2 2 3 2 2 3" xfId="23755"/>
    <cellStyle name="Normal 8 2 4 2 2 3 2 3" xfId="23756"/>
    <cellStyle name="Normal 8 2 4 2 2 3 2 3 2" xfId="23757"/>
    <cellStyle name="Normal 8 2 4 2 2 3 2 4" xfId="23758"/>
    <cellStyle name="Normal 8 2 4 2 2 3 3" xfId="23759"/>
    <cellStyle name="Normal 8 2 4 2 2 3 3 2" xfId="23760"/>
    <cellStyle name="Normal 8 2 4 2 2 3 3 2 2" xfId="23761"/>
    <cellStyle name="Normal 8 2 4 2 2 3 3 3" xfId="23762"/>
    <cellStyle name="Normal 8 2 4 2 2 3 4" xfId="23763"/>
    <cellStyle name="Normal 8 2 4 2 2 3 4 2" xfId="23764"/>
    <cellStyle name="Normal 8 2 4 2 2 3 4 3" xfId="23765"/>
    <cellStyle name="Normal 8 2 4 2 2 3 5" xfId="23766"/>
    <cellStyle name="Normal 8 2 4 2 2 3 5 2" xfId="23767"/>
    <cellStyle name="Normal 8 2 4 2 2 3 6" xfId="23768"/>
    <cellStyle name="Normal 8 2 4 2 2 3 6 2" xfId="36977"/>
    <cellStyle name="Normal 8 2 4 2 2 3 7" xfId="23769"/>
    <cellStyle name="Normal 8 2 4 2 2 4" xfId="23770"/>
    <cellStyle name="Normal 8 2 4 2 2 4 2" xfId="23771"/>
    <cellStyle name="Normal 8 2 4 2 2 4 2 2" xfId="23772"/>
    <cellStyle name="Normal 8 2 4 2 2 4 2 2 2" xfId="23773"/>
    <cellStyle name="Normal 8 2 4 2 2 4 2 3" xfId="23774"/>
    <cellStyle name="Normal 8 2 4 2 2 4 3" xfId="23775"/>
    <cellStyle name="Normal 8 2 4 2 2 4 3 2" xfId="23776"/>
    <cellStyle name="Normal 8 2 4 2 2 4 4" xfId="23777"/>
    <cellStyle name="Normal 8 2 4 2 2 5" xfId="23778"/>
    <cellStyle name="Normal 8 2 4 2 2 5 2" xfId="23779"/>
    <cellStyle name="Normal 8 2 4 2 2 5 2 2" xfId="23780"/>
    <cellStyle name="Normal 8 2 4 2 2 5 3" xfId="23781"/>
    <cellStyle name="Normal 8 2 4 2 2 6" xfId="23782"/>
    <cellStyle name="Normal 8 2 4 2 2 6 2" xfId="23783"/>
    <cellStyle name="Normal 8 2 4 2 2 6 2 2" xfId="23784"/>
    <cellStyle name="Normal 8 2 4 2 2 6 3" xfId="23785"/>
    <cellStyle name="Normal 8 2 4 2 2 7" xfId="23786"/>
    <cellStyle name="Normal 8 2 4 2 2 7 2" xfId="23787"/>
    <cellStyle name="Normal 8 2 4 2 2 8" xfId="23788"/>
    <cellStyle name="Normal 8 2 4 2 2 8 2" xfId="36978"/>
    <cellStyle name="Normal 8 2 4 2 2 9" xfId="23789"/>
    <cellStyle name="Normal 8 2 4 2 3" xfId="23790"/>
    <cellStyle name="Normal 8 2 4 2 3 2" xfId="23791"/>
    <cellStyle name="Normal 8 2 4 2 3 2 2" xfId="23792"/>
    <cellStyle name="Normal 8 2 4 2 3 2 2 2" xfId="23793"/>
    <cellStyle name="Normal 8 2 4 2 3 2 2 2 2" xfId="23794"/>
    <cellStyle name="Normal 8 2 4 2 3 2 2 2 3" xfId="23795"/>
    <cellStyle name="Normal 8 2 4 2 3 2 2 3" xfId="23796"/>
    <cellStyle name="Normal 8 2 4 2 3 2 2 3 2" xfId="23797"/>
    <cellStyle name="Normal 8 2 4 2 3 2 2 4" xfId="23798"/>
    <cellStyle name="Normal 8 2 4 2 3 2 3" xfId="23799"/>
    <cellStyle name="Normal 8 2 4 2 3 2 3 2" xfId="23800"/>
    <cellStyle name="Normal 8 2 4 2 3 2 3 2 2" xfId="23801"/>
    <cellStyle name="Normal 8 2 4 2 3 2 3 3" xfId="23802"/>
    <cellStyle name="Normal 8 2 4 2 3 2 4" xfId="23803"/>
    <cellStyle name="Normal 8 2 4 2 3 2 4 2" xfId="23804"/>
    <cellStyle name="Normal 8 2 4 2 3 2 4 3" xfId="23805"/>
    <cellStyle name="Normal 8 2 4 2 3 2 5" xfId="23806"/>
    <cellStyle name="Normal 8 2 4 2 3 2 5 2" xfId="23807"/>
    <cellStyle name="Normal 8 2 4 2 3 2 6" xfId="23808"/>
    <cellStyle name="Normal 8 2 4 2 3 2 6 2" xfId="36979"/>
    <cellStyle name="Normal 8 2 4 2 3 2 7" xfId="23809"/>
    <cellStyle name="Normal 8 2 4 2 3 3" xfId="23810"/>
    <cellStyle name="Normal 8 2 4 2 3 3 2" xfId="23811"/>
    <cellStyle name="Normal 8 2 4 2 3 3 2 2" xfId="23812"/>
    <cellStyle name="Normal 8 2 4 2 3 3 2 2 2" xfId="23813"/>
    <cellStyle name="Normal 8 2 4 2 3 3 2 3" xfId="23814"/>
    <cellStyle name="Normal 8 2 4 2 3 3 3" xfId="23815"/>
    <cellStyle name="Normal 8 2 4 2 3 3 3 2" xfId="23816"/>
    <cellStyle name="Normal 8 2 4 2 3 3 4" xfId="23817"/>
    <cellStyle name="Normal 8 2 4 2 3 4" xfId="23818"/>
    <cellStyle name="Normal 8 2 4 2 3 4 2" xfId="23819"/>
    <cellStyle name="Normal 8 2 4 2 3 4 2 2" xfId="23820"/>
    <cellStyle name="Normal 8 2 4 2 3 4 3" xfId="23821"/>
    <cellStyle name="Normal 8 2 4 2 3 5" xfId="23822"/>
    <cellStyle name="Normal 8 2 4 2 3 5 2" xfId="23823"/>
    <cellStyle name="Normal 8 2 4 2 3 5 2 2" xfId="23824"/>
    <cellStyle name="Normal 8 2 4 2 3 5 3" xfId="23825"/>
    <cellStyle name="Normal 8 2 4 2 3 6" xfId="23826"/>
    <cellStyle name="Normal 8 2 4 2 3 6 2" xfId="23827"/>
    <cellStyle name="Normal 8 2 4 2 3 7" xfId="23828"/>
    <cellStyle name="Normal 8 2 4 2 3 7 2" xfId="36980"/>
    <cellStyle name="Normal 8 2 4 2 3 8" xfId="23829"/>
    <cellStyle name="Normal 8 2 4 2 4" xfId="23830"/>
    <cellStyle name="Normal 8 2 4 2 4 2" xfId="23831"/>
    <cellStyle name="Normal 8 2 4 2 4 2 2" xfId="23832"/>
    <cellStyle name="Normal 8 2 4 2 4 2 2 2" xfId="23833"/>
    <cellStyle name="Normal 8 2 4 2 4 2 2 3" xfId="23834"/>
    <cellStyle name="Normal 8 2 4 2 4 2 3" xfId="23835"/>
    <cellStyle name="Normal 8 2 4 2 4 2 3 2" xfId="23836"/>
    <cellStyle name="Normal 8 2 4 2 4 2 4" xfId="23837"/>
    <cellStyle name="Normal 8 2 4 2 4 3" xfId="23838"/>
    <cellStyle name="Normal 8 2 4 2 4 3 2" xfId="23839"/>
    <cellStyle name="Normal 8 2 4 2 4 3 2 2" xfId="23840"/>
    <cellStyle name="Normal 8 2 4 2 4 3 3" xfId="23841"/>
    <cellStyle name="Normal 8 2 4 2 4 4" xfId="23842"/>
    <cellStyle name="Normal 8 2 4 2 4 4 2" xfId="23843"/>
    <cellStyle name="Normal 8 2 4 2 4 4 3" xfId="23844"/>
    <cellStyle name="Normal 8 2 4 2 4 5" xfId="23845"/>
    <cellStyle name="Normal 8 2 4 2 4 5 2" xfId="23846"/>
    <cellStyle name="Normal 8 2 4 2 4 6" xfId="23847"/>
    <cellStyle name="Normal 8 2 4 2 4 6 2" xfId="36981"/>
    <cellStyle name="Normal 8 2 4 2 4 7" xfId="23848"/>
    <cellStyle name="Normal 8 2 4 2 5" xfId="23849"/>
    <cellStyle name="Normal 8 2 4 2 5 2" xfId="23850"/>
    <cellStyle name="Normal 8 2 4 2 5 2 2" xfId="23851"/>
    <cellStyle name="Normal 8 2 4 2 5 2 2 2" xfId="23852"/>
    <cellStyle name="Normal 8 2 4 2 5 2 3" xfId="23853"/>
    <cellStyle name="Normal 8 2 4 2 5 3" xfId="23854"/>
    <cellStyle name="Normal 8 2 4 2 5 3 2" xfId="23855"/>
    <cellStyle name="Normal 8 2 4 2 5 4" xfId="23856"/>
    <cellStyle name="Normal 8 2 4 2 6" xfId="23857"/>
    <cellStyle name="Normal 8 2 4 2 6 2" xfId="23858"/>
    <cellStyle name="Normal 8 2 4 2 6 2 2" xfId="23859"/>
    <cellStyle name="Normal 8 2 4 2 6 3" xfId="23860"/>
    <cellStyle name="Normal 8 2 4 2 7" xfId="23861"/>
    <cellStyle name="Normal 8 2 4 2 7 2" xfId="23862"/>
    <cellStyle name="Normal 8 2 4 2 7 2 2" xfId="23863"/>
    <cellStyle name="Normal 8 2 4 2 7 3" xfId="23864"/>
    <cellStyle name="Normal 8 2 4 2 8" xfId="23865"/>
    <cellStyle name="Normal 8 2 4 2 8 2" xfId="23866"/>
    <cellStyle name="Normal 8 2 4 2 9" xfId="23867"/>
    <cellStyle name="Normal 8 2 4 2 9 2" xfId="36982"/>
    <cellStyle name="Normal 8 2 4 3" xfId="23868"/>
    <cellStyle name="Normal 8 2 4 3 2" xfId="23869"/>
    <cellStyle name="Normal 8 2 4 3 2 2" xfId="23870"/>
    <cellStyle name="Normal 8 2 4 3 2 2 2" xfId="23871"/>
    <cellStyle name="Normal 8 2 4 3 2 2 2 2" xfId="23872"/>
    <cellStyle name="Normal 8 2 4 3 2 2 2 2 2" xfId="23873"/>
    <cellStyle name="Normal 8 2 4 3 2 2 2 2 3" xfId="23874"/>
    <cellStyle name="Normal 8 2 4 3 2 2 2 3" xfId="23875"/>
    <cellStyle name="Normal 8 2 4 3 2 2 2 3 2" xfId="23876"/>
    <cellStyle name="Normal 8 2 4 3 2 2 2 4" xfId="23877"/>
    <cellStyle name="Normal 8 2 4 3 2 2 3" xfId="23878"/>
    <cellStyle name="Normal 8 2 4 3 2 2 3 2" xfId="23879"/>
    <cellStyle name="Normal 8 2 4 3 2 2 3 2 2" xfId="23880"/>
    <cellStyle name="Normal 8 2 4 3 2 2 3 3" xfId="23881"/>
    <cellStyle name="Normal 8 2 4 3 2 2 4" xfId="23882"/>
    <cellStyle name="Normal 8 2 4 3 2 2 4 2" xfId="23883"/>
    <cellStyle name="Normal 8 2 4 3 2 2 4 3" xfId="23884"/>
    <cellStyle name="Normal 8 2 4 3 2 2 5" xfId="23885"/>
    <cellStyle name="Normal 8 2 4 3 2 2 5 2" xfId="23886"/>
    <cellStyle name="Normal 8 2 4 3 2 2 6" xfId="23887"/>
    <cellStyle name="Normal 8 2 4 3 2 2 6 2" xfId="36983"/>
    <cellStyle name="Normal 8 2 4 3 2 2 7" xfId="23888"/>
    <cellStyle name="Normal 8 2 4 3 2 3" xfId="23889"/>
    <cellStyle name="Normal 8 2 4 3 2 3 2" xfId="23890"/>
    <cellStyle name="Normal 8 2 4 3 2 3 2 2" xfId="23891"/>
    <cellStyle name="Normal 8 2 4 3 2 3 2 2 2" xfId="23892"/>
    <cellStyle name="Normal 8 2 4 3 2 3 2 3" xfId="23893"/>
    <cellStyle name="Normal 8 2 4 3 2 3 3" xfId="23894"/>
    <cellStyle name="Normal 8 2 4 3 2 3 3 2" xfId="23895"/>
    <cellStyle name="Normal 8 2 4 3 2 3 4" xfId="23896"/>
    <cellStyle name="Normal 8 2 4 3 2 4" xfId="23897"/>
    <cellStyle name="Normal 8 2 4 3 2 4 2" xfId="23898"/>
    <cellStyle name="Normal 8 2 4 3 2 4 2 2" xfId="23899"/>
    <cellStyle name="Normal 8 2 4 3 2 4 3" xfId="23900"/>
    <cellStyle name="Normal 8 2 4 3 2 5" xfId="23901"/>
    <cellStyle name="Normal 8 2 4 3 2 5 2" xfId="23902"/>
    <cellStyle name="Normal 8 2 4 3 2 5 2 2" xfId="23903"/>
    <cellStyle name="Normal 8 2 4 3 2 5 3" xfId="23904"/>
    <cellStyle name="Normal 8 2 4 3 2 6" xfId="23905"/>
    <cellStyle name="Normal 8 2 4 3 2 6 2" xfId="23906"/>
    <cellStyle name="Normal 8 2 4 3 2 7" xfId="23907"/>
    <cellStyle name="Normal 8 2 4 3 2 7 2" xfId="36984"/>
    <cellStyle name="Normal 8 2 4 3 2 8" xfId="23908"/>
    <cellStyle name="Normal 8 2 4 3 3" xfId="23909"/>
    <cellStyle name="Normal 8 2 4 3 3 2" xfId="23910"/>
    <cellStyle name="Normal 8 2 4 3 3 2 2" xfId="23911"/>
    <cellStyle name="Normal 8 2 4 3 3 2 2 2" xfId="23912"/>
    <cellStyle name="Normal 8 2 4 3 3 2 2 3" xfId="23913"/>
    <cellStyle name="Normal 8 2 4 3 3 2 3" xfId="23914"/>
    <cellStyle name="Normal 8 2 4 3 3 2 3 2" xfId="23915"/>
    <cellStyle name="Normal 8 2 4 3 3 2 4" xfId="23916"/>
    <cellStyle name="Normal 8 2 4 3 3 3" xfId="23917"/>
    <cellStyle name="Normal 8 2 4 3 3 3 2" xfId="23918"/>
    <cellStyle name="Normal 8 2 4 3 3 3 2 2" xfId="23919"/>
    <cellStyle name="Normal 8 2 4 3 3 3 3" xfId="23920"/>
    <cellStyle name="Normal 8 2 4 3 3 4" xfId="23921"/>
    <cellStyle name="Normal 8 2 4 3 3 4 2" xfId="23922"/>
    <cellStyle name="Normal 8 2 4 3 3 4 3" xfId="23923"/>
    <cellStyle name="Normal 8 2 4 3 3 5" xfId="23924"/>
    <cellStyle name="Normal 8 2 4 3 3 5 2" xfId="23925"/>
    <cellStyle name="Normal 8 2 4 3 3 6" xfId="23926"/>
    <cellStyle name="Normal 8 2 4 3 3 6 2" xfId="36985"/>
    <cellStyle name="Normal 8 2 4 3 3 7" xfId="23927"/>
    <cellStyle name="Normal 8 2 4 3 4" xfId="23928"/>
    <cellStyle name="Normal 8 2 4 3 4 2" xfId="23929"/>
    <cellStyle name="Normal 8 2 4 3 4 2 2" xfId="23930"/>
    <cellStyle name="Normal 8 2 4 3 4 2 2 2" xfId="23931"/>
    <cellStyle name="Normal 8 2 4 3 4 2 3" xfId="23932"/>
    <cellStyle name="Normal 8 2 4 3 4 3" xfId="23933"/>
    <cellStyle name="Normal 8 2 4 3 4 3 2" xfId="23934"/>
    <cellStyle name="Normal 8 2 4 3 4 4" xfId="23935"/>
    <cellStyle name="Normal 8 2 4 3 5" xfId="23936"/>
    <cellStyle name="Normal 8 2 4 3 5 2" xfId="23937"/>
    <cellStyle name="Normal 8 2 4 3 5 2 2" xfId="23938"/>
    <cellStyle name="Normal 8 2 4 3 5 3" xfId="23939"/>
    <cellStyle name="Normal 8 2 4 3 6" xfId="23940"/>
    <cellStyle name="Normal 8 2 4 3 6 2" xfId="23941"/>
    <cellStyle name="Normal 8 2 4 3 6 2 2" xfId="23942"/>
    <cellStyle name="Normal 8 2 4 3 6 3" xfId="23943"/>
    <cellStyle name="Normal 8 2 4 3 7" xfId="23944"/>
    <cellStyle name="Normal 8 2 4 3 7 2" xfId="23945"/>
    <cellStyle name="Normal 8 2 4 3 8" xfId="23946"/>
    <cellStyle name="Normal 8 2 4 3 8 2" xfId="36986"/>
    <cellStyle name="Normal 8 2 4 3 9" xfId="23947"/>
    <cellStyle name="Normal 8 2 4 4" xfId="23948"/>
    <cellStyle name="Normal 8 2 4 4 2" xfId="23949"/>
    <cellStyle name="Normal 8 2 4 4 2 2" xfId="23950"/>
    <cellStyle name="Normal 8 2 4 4 2 2 2" xfId="23951"/>
    <cellStyle name="Normal 8 2 4 4 2 2 2 2" xfId="23952"/>
    <cellStyle name="Normal 8 2 4 4 2 2 2 3" xfId="23953"/>
    <cellStyle name="Normal 8 2 4 4 2 2 3" xfId="23954"/>
    <cellStyle name="Normal 8 2 4 4 2 2 3 2" xfId="23955"/>
    <cellStyle name="Normal 8 2 4 4 2 2 4" xfId="23956"/>
    <cellStyle name="Normal 8 2 4 4 2 3" xfId="23957"/>
    <cellStyle name="Normal 8 2 4 4 2 3 2" xfId="23958"/>
    <cellStyle name="Normal 8 2 4 4 2 3 2 2" xfId="23959"/>
    <cellStyle name="Normal 8 2 4 4 2 3 3" xfId="23960"/>
    <cellStyle name="Normal 8 2 4 4 2 4" xfId="23961"/>
    <cellStyle name="Normal 8 2 4 4 2 4 2" xfId="23962"/>
    <cellStyle name="Normal 8 2 4 4 2 4 3" xfId="23963"/>
    <cellStyle name="Normal 8 2 4 4 2 5" xfId="23964"/>
    <cellStyle name="Normal 8 2 4 4 2 5 2" xfId="23965"/>
    <cellStyle name="Normal 8 2 4 4 2 6" xfId="23966"/>
    <cellStyle name="Normal 8 2 4 4 2 6 2" xfId="36987"/>
    <cellStyle name="Normal 8 2 4 4 2 7" xfId="23967"/>
    <cellStyle name="Normal 8 2 4 4 3" xfId="23968"/>
    <cellStyle name="Normal 8 2 4 4 3 2" xfId="23969"/>
    <cellStyle name="Normal 8 2 4 4 3 2 2" xfId="23970"/>
    <cellStyle name="Normal 8 2 4 4 3 2 2 2" xfId="23971"/>
    <cellStyle name="Normal 8 2 4 4 3 2 3" xfId="23972"/>
    <cellStyle name="Normal 8 2 4 4 3 3" xfId="23973"/>
    <cellStyle name="Normal 8 2 4 4 3 3 2" xfId="23974"/>
    <cellStyle name="Normal 8 2 4 4 3 4" xfId="23975"/>
    <cellStyle name="Normal 8 2 4 4 4" xfId="23976"/>
    <cellStyle name="Normal 8 2 4 4 4 2" xfId="23977"/>
    <cellStyle name="Normal 8 2 4 4 4 2 2" xfId="23978"/>
    <cellStyle name="Normal 8 2 4 4 4 3" xfId="23979"/>
    <cellStyle name="Normal 8 2 4 4 5" xfId="23980"/>
    <cellStyle name="Normal 8 2 4 4 5 2" xfId="23981"/>
    <cellStyle name="Normal 8 2 4 4 5 2 2" xfId="23982"/>
    <cellStyle name="Normal 8 2 4 4 5 3" xfId="23983"/>
    <cellStyle name="Normal 8 2 4 4 6" xfId="23984"/>
    <cellStyle name="Normal 8 2 4 4 6 2" xfId="23985"/>
    <cellStyle name="Normal 8 2 4 4 7" xfId="23986"/>
    <cellStyle name="Normal 8 2 4 4 7 2" xfId="36988"/>
    <cellStyle name="Normal 8 2 4 4 8" xfId="23987"/>
    <cellStyle name="Normal 8 2 4 5" xfId="23988"/>
    <cellStyle name="Normal 8 2 4 5 2" xfId="23989"/>
    <cellStyle name="Normal 8 2 4 5 2 2" xfId="23990"/>
    <cellStyle name="Normal 8 2 4 5 2 2 2" xfId="23991"/>
    <cellStyle name="Normal 8 2 4 5 2 2 2 2" xfId="23992"/>
    <cellStyle name="Normal 8 2 4 5 2 2 2 3" xfId="23993"/>
    <cellStyle name="Normal 8 2 4 5 2 2 3" xfId="23994"/>
    <cellStyle name="Normal 8 2 4 5 2 2 3 2" xfId="23995"/>
    <cellStyle name="Normal 8 2 4 5 2 2 4" xfId="23996"/>
    <cellStyle name="Normal 8 2 4 5 2 3" xfId="23997"/>
    <cellStyle name="Normal 8 2 4 5 2 3 2" xfId="23998"/>
    <cellStyle name="Normal 8 2 4 5 2 3 2 2" xfId="23999"/>
    <cellStyle name="Normal 8 2 4 5 2 3 3" xfId="24000"/>
    <cellStyle name="Normal 8 2 4 5 2 4" xfId="24001"/>
    <cellStyle name="Normal 8 2 4 5 2 4 2" xfId="24002"/>
    <cellStyle name="Normal 8 2 4 5 2 4 3" xfId="24003"/>
    <cellStyle name="Normal 8 2 4 5 2 5" xfId="24004"/>
    <cellStyle name="Normal 8 2 4 5 2 5 2" xfId="24005"/>
    <cellStyle name="Normal 8 2 4 5 2 6" xfId="24006"/>
    <cellStyle name="Normal 8 2 4 5 2 6 2" xfId="36989"/>
    <cellStyle name="Normal 8 2 4 5 2 7" xfId="24007"/>
    <cellStyle name="Normal 8 2 4 5 3" xfId="24008"/>
    <cellStyle name="Normal 8 2 4 5 3 2" xfId="24009"/>
    <cellStyle name="Normal 8 2 4 5 3 2 2" xfId="24010"/>
    <cellStyle name="Normal 8 2 4 5 3 2 2 2" xfId="24011"/>
    <cellStyle name="Normal 8 2 4 5 3 2 3" xfId="24012"/>
    <cellStyle name="Normal 8 2 4 5 3 3" xfId="24013"/>
    <cellStyle name="Normal 8 2 4 5 3 3 2" xfId="24014"/>
    <cellStyle name="Normal 8 2 4 5 3 4" xfId="24015"/>
    <cellStyle name="Normal 8 2 4 5 4" xfId="24016"/>
    <cellStyle name="Normal 8 2 4 5 4 2" xfId="24017"/>
    <cellStyle name="Normal 8 2 4 5 4 2 2" xfId="24018"/>
    <cellStyle name="Normal 8 2 4 5 4 3" xfId="24019"/>
    <cellStyle name="Normal 8 2 4 5 5" xfId="24020"/>
    <cellStyle name="Normal 8 2 4 5 5 2" xfId="24021"/>
    <cellStyle name="Normal 8 2 4 5 5 2 2" xfId="24022"/>
    <cellStyle name="Normal 8 2 4 5 5 3" xfId="24023"/>
    <cellStyle name="Normal 8 2 4 5 6" xfId="24024"/>
    <cellStyle name="Normal 8 2 4 5 6 2" xfId="24025"/>
    <cellStyle name="Normal 8 2 4 5 7" xfId="24026"/>
    <cellStyle name="Normal 8 2 4 5 7 2" xfId="36990"/>
    <cellStyle name="Normal 8 2 4 5 8" xfId="24027"/>
    <cellStyle name="Normal 8 2 4 6" xfId="24028"/>
    <cellStyle name="Normal 8 2 4 6 2" xfId="24029"/>
    <cellStyle name="Normal 8 2 4 6 2 2" xfId="24030"/>
    <cellStyle name="Normal 8 2 4 6 2 2 2" xfId="24031"/>
    <cellStyle name="Normal 8 2 4 6 2 2 3" xfId="24032"/>
    <cellStyle name="Normal 8 2 4 6 2 3" xfId="24033"/>
    <cellStyle name="Normal 8 2 4 6 2 3 2" xfId="24034"/>
    <cellStyle name="Normal 8 2 4 6 2 4" xfId="24035"/>
    <cellStyle name="Normal 8 2 4 6 3" xfId="24036"/>
    <cellStyle name="Normal 8 2 4 6 3 2" xfId="24037"/>
    <cellStyle name="Normal 8 2 4 6 3 2 2" xfId="24038"/>
    <cellStyle name="Normal 8 2 4 6 3 3" xfId="24039"/>
    <cellStyle name="Normal 8 2 4 6 4" xfId="24040"/>
    <cellStyle name="Normal 8 2 4 6 4 2" xfId="24041"/>
    <cellStyle name="Normal 8 2 4 6 4 3" xfId="24042"/>
    <cellStyle name="Normal 8 2 4 6 5" xfId="24043"/>
    <cellStyle name="Normal 8 2 4 6 5 2" xfId="24044"/>
    <cellStyle name="Normal 8 2 4 6 6" xfId="24045"/>
    <cellStyle name="Normal 8 2 4 6 6 2" xfId="36991"/>
    <cellStyle name="Normal 8 2 4 6 7" xfId="24046"/>
    <cellStyle name="Normal 8 2 4 7" xfId="24047"/>
    <cellStyle name="Normal 8 2 4 7 2" xfId="24048"/>
    <cellStyle name="Normal 8 2 4 7 2 2" xfId="24049"/>
    <cellStyle name="Normal 8 2 4 7 2 2 2" xfId="24050"/>
    <cellStyle name="Normal 8 2 4 7 2 3" xfId="24051"/>
    <cellStyle name="Normal 8 2 4 7 3" xfId="24052"/>
    <cellStyle name="Normal 8 2 4 7 3 2" xfId="24053"/>
    <cellStyle name="Normal 8 2 4 7 4" xfId="24054"/>
    <cellStyle name="Normal 8 2 4 8" xfId="24055"/>
    <cellStyle name="Normal 8 2 4 8 2" xfId="24056"/>
    <cellStyle name="Normal 8 2 4 8 2 2" xfId="24057"/>
    <cellStyle name="Normal 8 2 4 8 3" xfId="24058"/>
    <cellStyle name="Normal 8 2 4 9" xfId="24059"/>
    <cellStyle name="Normal 8 2 4 9 2" xfId="24060"/>
    <cellStyle name="Normal 8 2 4 9 2 2" xfId="24061"/>
    <cellStyle name="Normal 8 2 4 9 3" xfId="24062"/>
    <cellStyle name="Normal 8 2 5" xfId="24063"/>
    <cellStyle name="Normal 8 2 5 10" xfId="24064"/>
    <cellStyle name="Normal 8 2 5 10 2" xfId="24065"/>
    <cellStyle name="Normal 8 2 5 11" xfId="24066"/>
    <cellStyle name="Normal 8 2 5 11 2" xfId="36992"/>
    <cellStyle name="Normal 8 2 5 12" xfId="24067"/>
    <cellStyle name="Normal 8 2 5 2" xfId="24068"/>
    <cellStyle name="Normal 8 2 5 2 10" xfId="24069"/>
    <cellStyle name="Normal 8 2 5 2 2" xfId="24070"/>
    <cellStyle name="Normal 8 2 5 2 2 2" xfId="24071"/>
    <cellStyle name="Normal 8 2 5 2 2 2 2" xfId="24072"/>
    <cellStyle name="Normal 8 2 5 2 2 2 2 2" xfId="24073"/>
    <cellStyle name="Normal 8 2 5 2 2 2 2 2 2" xfId="24074"/>
    <cellStyle name="Normal 8 2 5 2 2 2 2 2 2 2" xfId="24075"/>
    <cellStyle name="Normal 8 2 5 2 2 2 2 2 2 3" xfId="24076"/>
    <cellStyle name="Normal 8 2 5 2 2 2 2 2 3" xfId="24077"/>
    <cellStyle name="Normal 8 2 5 2 2 2 2 2 3 2" xfId="24078"/>
    <cellStyle name="Normal 8 2 5 2 2 2 2 2 4" xfId="24079"/>
    <cellStyle name="Normal 8 2 5 2 2 2 2 3" xfId="24080"/>
    <cellStyle name="Normal 8 2 5 2 2 2 2 3 2" xfId="24081"/>
    <cellStyle name="Normal 8 2 5 2 2 2 2 3 2 2" xfId="24082"/>
    <cellStyle name="Normal 8 2 5 2 2 2 2 3 3" xfId="24083"/>
    <cellStyle name="Normal 8 2 5 2 2 2 2 4" xfId="24084"/>
    <cellStyle name="Normal 8 2 5 2 2 2 2 4 2" xfId="24085"/>
    <cellStyle name="Normal 8 2 5 2 2 2 2 4 3" xfId="24086"/>
    <cellStyle name="Normal 8 2 5 2 2 2 2 5" xfId="24087"/>
    <cellStyle name="Normal 8 2 5 2 2 2 2 5 2" xfId="24088"/>
    <cellStyle name="Normal 8 2 5 2 2 2 2 6" xfId="24089"/>
    <cellStyle name="Normal 8 2 5 2 2 2 2 6 2" xfId="36993"/>
    <cellStyle name="Normal 8 2 5 2 2 2 2 7" xfId="24090"/>
    <cellStyle name="Normal 8 2 5 2 2 2 3" xfId="24091"/>
    <cellStyle name="Normal 8 2 5 2 2 2 3 2" xfId="24092"/>
    <cellStyle name="Normal 8 2 5 2 2 2 3 2 2" xfId="24093"/>
    <cellStyle name="Normal 8 2 5 2 2 2 3 2 2 2" xfId="24094"/>
    <cellStyle name="Normal 8 2 5 2 2 2 3 2 3" xfId="24095"/>
    <cellStyle name="Normal 8 2 5 2 2 2 3 3" xfId="24096"/>
    <cellStyle name="Normal 8 2 5 2 2 2 3 3 2" xfId="24097"/>
    <cellStyle name="Normal 8 2 5 2 2 2 3 4" xfId="24098"/>
    <cellStyle name="Normal 8 2 5 2 2 2 4" xfId="24099"/>
    <cellStyle name="Normal 8 2 5 2 2 2 4 2" xfId="24100"/>
    <cellStyle name="Normal 8 2 5 2 2 2 4 2 2" xfId="24101"/>
    <cellStyle name="Normal 8 2 5 2 2 2 4 3" xfId="24102"/>
    <cellStyle name="Normal 8 2 5 2 2 2 5" xfId="24103"/>
    <cellStyle name="Normal 8 2 5 2 2 2 5 2" xfId="24104"/>
    <cellStyle name="Normal 8 2 5 2 2 2 5 2 2" xfId="24105"/>
    <cellStyle name="Normal 8 2 5 2 2 2 5 3" xfId="24106"/>
    <cellStyle name="Normal 8 2 5 2 2 2 6" xfId="24107"/>
    <cellStyle name="Normal 8 2 5 2 2 2 6 2" xfId="24108"/>
    <cellStyle name="Normal 8 2 5 2 2 2 7" xfId="24109"/>
    <cellStyle name="Normal 8 2 5 2 2 2 7 2" xfId="36994"/>
    <cellStyle name="Normal 8 2 5 2 2 2 8" xfId="24110"/>
    <cellStyle name="Normal 8 2 5 2 2 3" xfId="24111"/>
    <cellStyle name="Normal 8 2 5 2 2 3 2" xfId="24112"/>
    <cellStyle name="Normal 8 2 5 2 2 3 2 2" xfId="24113"/>
    <cellStyle name="Normal 8 2 5 2 2 3 2 2 2" xfId="24114"/>
    <cellStyle name="Normal 8 2 5 2 2 3 2 2 3" xfId="24115"/>
    <cellStyle name="Normal 8 2 5 2 2 3 2 3" xfId="24116"/>
    <cellStyle name="Normal 8 2 5 2 2 3 2 3 2" xfId="24117"/>
    <cellStyle name="Normal 8 2 5 2 2 3 2 4" xfId="24118"/>
    <cellStyle name="Normal 8 2 5 2 2 3 3" xfId="24119"/>
    <cellStyle name="Normal 8 2 5 2 2 3 3 2" xfId="24120"/>
    <cellStyle name="Normal 8 2 5 2 2 3 3 2 2" xfId="24121"/>
    <cellStyle name="Normal 8 2 5 2 2 3 3 3" xfId="24122"/>
    <cellStyle name="Normal 8 2 5 2 2 3 4" xfId="24123"/>
    <cellStyle name="Normal 8 2 5 2 2 3 4 2" xfId="24124"/>
    <cellStyle name="Normal 8 2 5 2 2 3 4 3" xfId="24125"/>
    <cellStyle name="Normal 8 2 5 2 2 3 5" xfId="24126"/>
    <cellStyle name="Normal 8 2 5 2 2 3 5 2" xfId="24127"/>
    <cellStyle name="Normal 8 2 5 2 2 3 6" xfId="24128"/>
    <cellStyle name="Normal 8 2 5 2 2 3 6 2" xfId="36995"/>
    <cellStyle name="Normal 8 2 5 2 2 3 7" xfId="24129"/>
    <cellStyle name="Normal 8 2 5 2 2 4" xfId="24130"/>
    <cellStyle name="Normal 8 2 5 2 2 4 2" xfId="24131"/>
    <cellStyle name="Normal 8 2 5 2 2 4 2 2" xfId="24132"/>
    <cellStyle name="Normal 8 2 5 2 2 4 2 2 2" xfId="24133"/>
    <cellStyle name="Normal 8 2 5 2 2 4 2 3" xfId="24134"/>
    <cellStyle name="Normal 8 2 5 2 2 4 3" xfId="24135"/>
    <cellStyle name="Normal 8 2 5 2 2 4 3 2" xfId="24136"/>
    <cellStyle name="Normal 8 2 5 2 2 4 4" xfId="24137"/>
    <cellStyle name="Normal 8 2 5 2 2 5" xfId="24138"/>
    <cellStyle name="Normal 8 2 5 2 2 5 2" xfId="24139"/>
    <cellStyle name="Normal 8 2 5 2 2 5 2 2" xfId="24140"/>
    <cellStyle name="Normal 8 2 5 2 2 5 3" xfId="24141"/>
    <cellStyle name="Normal 8 2 5 2 2 6" xfId="24142"/>
    <cellStyle name="Normal 8 2 5 2 2 6 2" xfId="24143"/>
    <cellStyle name="Normal 8 2 5 2 2 6 2 2" xfId="24144"/>
    <cellStyle name="Normal 8 2 5 2 2 6 3" xfId="24145"/>
    <cellStyle name="Normal 8 2 5 2 2 7" xfId="24146"/>
    <cellStyle name="Normal 8 2 5 2 2 7 2" xfId="24147"/>
    <cellStyle name="Normal 8 2 5 2 2 8" xfId="24148"/>
    <cellStyle name="Normal 8 2 5 2 2 8 2" xfId="36996"/>
    <cellStyle name="Normal 8 2 5 2 2 9" xfId="24149"/>
    <cellStyle name="Normal 8 2 5 2 3" xfId="24150"/>
    <cellStyle name="Normal 8 2 5 2 3 2" xfId="24151"/>
    <cellStyle name="Normal 8 2 5 2 3 2 2" xfId="24152"/>
    <cellStyle name="Normal 8 2 5 2 3 2 2 2" xfId="24153"/>
    <cellStyle name="Normal 8 2 5 2 3 2 2 2 2" xfId="24154"/>
    <cellStyle name="Normal 8 2 5 2 3 2 2 2 3" xfId="24155"/>
    <cellStyle name="Normal 8 2 5 2 3 2 2 3" xfId="24156"/>
    <cellStyle name="Normal 8 2 5 2 3 2 2 3 2" xfId="24157"/>
    <cellStyle name="Normal 8 2 5 2 3 2 2 4" xfId="24158"/>
    <cellStyle name="Normal 8 2 5 2 3 2 3" xfId="24159"/>
    <cellStyle name="Normal 8 2 5 2 3 2 3 2" xfId="24160"/>
    <cellStyle name="Normal 8 2 5 2 3 2 3 2 2" xfId="24161"/>
    <cellStyle name="Normal 8 2 5 2 3 2 3 3" xfId="24162"/>
    <cellStyle name="Normal 8 2 5 2 3 2 4" xfId="24163"/>
    <cellStyle name="Normal 8 2 5 2 3 2 4 2" xfId="24164"/>
    <cellStyle name="Normal 8 2 5 2 3 2 4 3" xfId="24165"/>
    <cellStyle name="Normal 8 2 5 2 3 2 5" xfId="24166"/>
    <cellStyle name="Normal 8 2 5 2 3 2 5 2" xfId="24167"/>
    <cellStyle name="Normal 8 2 5 2 3 2 6" xfId="24168"/>
    <cellStyle name="Normal 8 2 5 2 3 2 6 2" xfId="36997"/>
    <cellStyle name="Normal 8 2 5 2 3 2 7" xfId="24169"/>
    <cellStyle name="Normal 8 2 5 2 3 3" xfId="24170"/>
    <cellStyle name="Normal 8 2 5 2 3 3 2" xfId="24171"/>
    <cellStyle name="Normal 8 2 5 2 3 3 2 2" xfId="24172"/>
    <cellStyle name="Normal 8 2 5 2 3 3 2 2 2" xfId="24173"/>
    <cellStyle name="Normal 8 2 5 2 3 3 2 3" xfId="24174"/>
    <cellStyle name="Normal 8 2 5 2 3 3 3" xfId="24175"/>
    <cellStyle name="Normal 8 2 5 2 3 3 3 2" xfId="24176"/>
    <cellStyle name="Normal 8 2 5 2 3 3 4" xfId="24177"/>
    <cellStyle name="Normal 8 2 5 2 3 4" xfId="24178"/>
    <cellStyle name="Normal 8 2 5 2 3 4 2" xfId="24179"/>
    <cellStyle name="Normal 8 2 5 2 3 4 2 2" xfId="24180"/>
    <cellStyle name="Normal 8 2 5 2 3 4 3" xfId="24181"/>
    <cellStyle name="Normal 8 2 5 2 3 5" xfId="24182"/>
    <cellStyle name="Normal 8 2 5 2 3 5 2" xfId="24183"/>
    <cellStyle name="Normal 8 2 5 2 3 5 2 2" xfId="24184"/>
    <cellStyle name="Normal 8 2 5 2 3 5 3" xfId="24185"/>
    <cellStyle name="Normal 8 2 5 2 3 6" xfId="24186"/>
    <cellStyle name="Normal 8 2 5 2 3 6 2" xfId="24187"/>
    <cellStyle name="Normal 8 2 5 2 3 7" xfId="24188"/>
    <cellStyle name="Normal 8 2 5 2 3 7 2" xfId="36998"/>
    <cellStyle name="Normal 8 2 5 2 3 8" xfId="24189"/>
    <cellStyle name="Normal 8 2 5 2 4" xfId="24190"/>
    <cellStyle name="Normal 8 2 5 2 4 2" xfId="24191"/>
    <cellStyle name="Normal 8 2 5 2 4 2 2" xfId="24192"/>
    <cellStyle name="Normal 8 2 5 2 4 2 2 2" xfId="24193"/>
    <cellStyle name="Normal 8 2 5 2 4 2 2 3" xfId="24194"/>
    <cellStyle name="Normal 8 2 5 2 4 2 3" xfId="24195"/>
    <cellStyle name="Normal 8 2 5 2 4 2 3 2" xfId="24196"/>
    <cellStyle name="Normal 8 2 5 2 4 2 4" xfId="24197"/>
    <cellStyle name="Normal 8 2 5 2 4 3" xfId="24198"/>
    <cellStyle name="Normal 8 2 5 2 4 3 2" xfId="24199"/>
    <cellStyle name="Normal 8 2 5 2 4 3 2 2" xfId="24200"/>
    <cellStyle name="Normal 8 2 5 2 4 3 3" xfId="24201"/>
    <cellStyle name="Normal 8 2 5 2 4 4" xfId="24202"/>
    <cellStyle name="Normal 8 2 5 2 4 4 2" xfId="24203"/>
    <cellStyle name="Normal 8 2 5 2 4 4 3" xfId="24204"/>
    <cellStyle name="Normal 8 2 5 2 4 5" xfId="24205"/>
    <cellStyle name="Normal 8 2 5 2 4 5 2" xfId="24206"/>
    <cellStyle name="Normal 8 2 5 2 4 6" xfId="24207"/>
    <cellStyle name="Normal 8 2 5 2 4 6 2" xfId="36999"/>
    <cellStyle name="Normal 8 2 5 2 4 7" xfId="24208"/>
    <cellStyle name="Normal 8 2 5 2 5" xfId="24209"/>
    <cellStyle name="Normal 8 2 5 2 5 2" xfId="24210"/>
    <cellStyle name="Normal 8 2 5 2 5 2 2" xfId="24211"/>
    <cellStyle name="Normal 8 2 5 2 5 2 2 2" xfId="24212"/>
    <cellStyle name="Normal 8 2 5 2 5 2 3" xfId="24213"/>
    <cellStyle name="Normal 8 2 5 2 5 3" xfId="24214"/>
    <cellStyle name="Normal 8 2 5 2 5 3 2" xfId="24215"/>
    <cellStyle name="Normal 8 2 5 2 5 4" xfId="24216"/>
    <cellStyle name="Normal 8 2 5 2 6" xfId="24217"/>
    <cellStyle name="Normal 8 2 5 2 6 2" xfId="24218"/>
    <cellStyle name="Normal 8 2 5 2 6 2 2" xfId="24219"/>
    <cellStyle name="Normal 8 2 5 2 6 3" xfId="24220"/>
    <cellStyle name="Normal 8 2 5 2 7" xfId="24221"/>
    <cellStyle name="Normal 8 2 5 2 7 2" xfId="24222"/>
    <cellStyle name="Normal 8 2 5 2 7 2 2" xfId="24223"/>
    <cellStyle name="Normal 8 2 5 2 7 3" xfId="24224"/>
    <cellStyle name="Normal 8 2 5 2 8" xfId="24225"/>
    <cellStyle name="Normal 8 2 5 2 8 2" xfId="24226"/>
    <cellStyle name="Normal 8 2 5 2 9" xfId="24227"/>
    <cellStyle name="Normal 8 2 5 2 9 2" xfId="37000"/>
    <cellStyle name="Normal 8 2 5 3" xfId="24228"/>
    <cellStyle name="Normal 8 2 5 3 2" xfId="24229"/>
    <cellStyle name="Normal 8 2 5 3 2 2" xfId="24230"/>
    <cellStyle name="Normal 8 2 5 3 2 2 2" xfId="24231"/>
    <cellStyle name="Normal 8 2 5 3 2 2 2 2" xfId="24232"/>
    <cellStyle name="Normal 8 2 5 3 2 2 2 2 2" xfId="24233"/>
    <cellStyle name="Normal 8 2 5 3 2 2 2 2 3" xfId="24234"/>
    <cellStyle name="Normal 8 2 5 3 2 2 2 3" xfId="24235"/>
    <cellStyle name="Normal 8 2 5 3 2 2 2 3 2" xfId="24236"/>
    <cellStyle name="Normal 8 2 5 3 2 2 2 4" xfId="24237"/>
    <cellStyle name="Normal 8 2 5 3 2 2 3" xfId="24238"/>
    <cellStyle name="Normal 8 2 5 3 2 2 3 2" xfId="24239"/>
    <cellStyle name="Normal 8 2 5 3 2 2 3 2 2" xfId="24240"/>
    <cellStyle name="Normal 8 2 5 3 2 2 3 3" xfId="24241"/>
    <cellStyle name="Normal 8 2 5 3 2 2 4" xfId="24242"/>
    <cellStyle name="Normal 8 2 5 3 2 2 4 2" xfId="24243"/>
    <cellStyle name="Normal 8 2 5 3 2 2 4 3" xfId="24244"/>
    <cellStyle name="Normal 8 2 5 3 2 2 5" xfId="24245"/>
    <cellStyle name="Normal 8 2 5 3 2 2 5 2" xfId="24246"/>
    <cellStyle name="Normal 8 2 5 3 2 2 6" xfId="24247"/>
    <cellStyle name="Normal 8 2 5 3 2 2 6 2" xfId="37001"/>
    <cellStyle name="Normal 8 2 5 3 2 2 7" xfId="24248"/>
    <cellStyle name="Normal 8 2 5 3 2 3" xfId="24249"/>
    <cellStyle name="Normal 8 2 5 3 2 3 2" xfId="24250"/>
    <cellStyle name="Normal 8 2 5 3 2 3 2 2" xfId="24251"/>
    <cellStyle name="Normal 8 2 5 3 2 3 2 2 2" xfId="24252"/>
    <cellStyle name="Normal 8 2 5 3 2 3 2 3" xfId="24253"/>
    <cellStyle name="Normal 8 2 5 3 2 3 3" xfId="24254"/>
    <cellStyle name="Normal 8 2 5 3 2 3 3 2" xfId="24255"/>
    <cellStyle name="Normal 8 2 5 3 2 3 4" xfId="24256"/>
    <cellStyle name="Normal 8 2 5 3 2 4" xfId="24257"/>
    <cellStyle name="Normal 8 2 5 3 2 4 2" xfId="24258"/>
    <cellStyle name="Normal 8 2 5 3 2 4 2 2" xfId="24259"/>
    <cellStyle name="Normal 8 2 5 3 2 4 3" xfId="24260"/>
    <cellStyle name="Normal 8 2 5 3 2 5" xfId="24261"/>
    <cellStyle name="Normal 8 2 5 3 2 5 2" xfId="24262"/>
    <cellStyle name="Normal 8 2 5 3 2 5 2 2" xfId="24263"/>
    <cellStyle name="Normal 8 2 5 3 2 5 3" xfId="24264"/>
    <cellStyle name="Normal 8 2 5 3 2 6" xfId="24265"/>
    <cellStyle name="Normal 8 2 5 3 2 6 2" xfId="24266"/>
    <cellStyle name="Normal 8 2 5 3 2 7" xfId="24267"/>
    <cellStyle name="Normal 8 2 5 3 2 7 2" xfId="37002"/>
    <cellStyle name="Normal 8 2 5 3 2 8" xfId="24268"/>
    <cellStyle name="Normal 8 2 5 3 3" xfId="24269"/>
    <cellStyle name="Normal 8 2 5 3 3 2" xfId="24270"/>
    <cellStyle name="Normal 8 2 5 3 3 2 2" xfId="24271"/>
    <cellStyle name="Normal 8 2 5 3 3 2 2 2" xfId="24272"/>
    <cellStyle name="Normal 8 2 5 3 3 2 2 3" xfId="24273"/>
    <cellStyle name="Normal 8 2 5 3 3 2 3" xfId="24274"/>
    <cellStyle name="Normal 8 2 5 3 3 2 3 2" xfId="24275"/>
    <cellStyle name="Normal 8 2 5 3 3 2 4" xfId="24276"/>
    <cellStyle name="Normal 8 2 5 3 3 3" xfId="24277"/>
    <cellStyle name="Normal 8 2 5 3 3 3 2" xfId="24278"/>
    <cellStyle name="Normal 8 2 5 3 3 3 2 2" xfId="24279"/>
    <cellStyle name="Normal 8 2 5 3 3 3 3" xfId="24280"/>
    <cellStyle name="Normal 8 2 5 3 3 4" xfId="24281"/>
    <cellStyle name="Normal 8 2 5 3 3 4 2" xfId="24282"/>
    <cellStyle name="Normal 8 2 5 3 3 4 3" xfId="24283"/>
    <cellStyle name="Normal 8 2 5 3 3 5" xfId="24284"/>
    <cellStyle name="Normal 8 2 5 3 3 5 2" xfId="24285"/>
    <cellStyle name="Normal 8 2 5 3 3 6" xfId="24286"/>
    <cellStyle name="Normal 8 2 5 3 3 6 2" xfId="37003"/>
    <cellStyle name="Normal 8 2 5 3 3 7" xfId="24287"/>
    <cellStyle name="Normal 8 2 5 3 4" xfId="24288"/>
    <cellStyle name="Normal 8 2 5 3 4 2" xfId="24289"/>
    <cellStyle name="Normal 8 2 5 3 4 2 2" xfId="24290"/>
    <cellStyle name="Normal 8 2 5 3 4 2 2 2" xfId="24291"/>
    <cellStyle name="Normal 8 2 5 3 4 2 3" xfId="24292"/>
    <cellStyle name="Normal 8 2 5 3 4 3" xfId="24293"/>
    <cellStyle name="Normal 8 2 5 3 4 3 2" xfId="24294"/>
    <cellStyle name="Normal 8 2 5 3 4 4" xfId="24295"/>
    <cellStyle name="Normal 8 2 5 3 5" xfId="24296"/>
    <cellStyle name="Normal 8 2 5 3 5 2" xfId="24297"/>
    <cellStyle name="Normal 8 2 5 3 5 2 2" xfId="24298"/>
    <cellStyle name="Normal 8 2 5 3 5 3" xfId="24299"/>
    <cellStyle name="Normal 8 2 5 3 6" xfId="24300"/>
    <cellStyle name="Normal 8 2 5 3 6 2" xfId="24301"/>
    <cellStyle name="Normal 8 2 5 3 6 2 2" xfId="24302"/>
    <cellStyle name="Normal 8 2 5 3 6 3" xfId="24303"/>
    <cellStyle name="Normal 8 2 5 3 7" xfId="24304"/>
    <cellStyle name="Normal 8 2 5 3 7 2" xfId="24305"/>
    <cellStyle name="Normal 8 2 5 3 8" xfId="24306"/>
    <cellStyle name="Normal 8 2 5 3 8 2" xfId="37004"/>
    <cellStyle name="Normal 8 2 5 3 9" xfId="24307"/>
    <cellStyle name="Normal 8 2 5 4" xfId="24308"/>
    <cellStyle name="Normal 8 2 5 4 2" xfId="24309"/>
    <cellStyle name="Normal 8 2 5 4 2 2" xfId="24310"/>
    <cellStyle name="Normal 8 2 5 4 2 2 2" xfId="24311"/>
    <cellStyle name="Normal 8 2 5 4 2 2 2 2" xfId="24312"/>
    <cellStyle name="Normal 8 2 5 4 2 2 2 3" xfId="24313"/>
    <cellStyle name="Normal 8 2 5 4 2 2 3" xfId="24314"/>
    <cellStyle name="Normal 8 2 5 4 2 2 3 2" xfId="24315"/>
    <cellStyle name="Normal 8 2 5 4 2 2 4" xfId="24316"/>
    <cellStyle name="Normal 8 2 5 4 2 3" xfId="24317"/>
    <cellStyle name="Normal 8 2 5 4 2 3 2" xfId="24318"/>
    <cellStyle name="Normal 8 2 5 4 2 3 2 2" xfId="24319"/>
    <cellStyle name="Normal 8 2 5 4 2 3 3" xfId="24320"/>
    <cellStyle name="Normal 8 2 5 4 2 4" xfId="24321"/>
    <cellStyle name="Normal 8 2 5 4 2 4 2" xfId="24322"/>
    <cellStyle name="Normal 8 2 5 4 2 4 3" xfId="24323"/>
    <cellStyle name="Normal 8 2 5 4 2 5" xfId="24324"/>
    <cellStyle name="Normal 8 2 5 4 2 5 2" xfId="24325"/>
    <cellStyle name="Normal 8 2 5 4 2 6" xfId="24326"/>
    <cellStyle name="Normal 8 2 5 4 2 6 2" xfId="37005"/>
    <cellStyle name="Normal 8 2 5 4 2 7" xfId="24327"/>
    <cellStyle name="Normal 8 2 5 4 3" xfId="24328"/>
    <cellStyle name="Normal 8 2 5 4 3 2" xfId="24329"/>
    <cellStyle name="Normal 8 2 5 4 3 2 2" xfId="24330"/>
    <cellStyle name="Normal 8 2 5 4 3 2 2 2" xfId="24331"/>
    <cellStyle name="Normal 8 2 5 4 3 2 3" xfId="24332"/>
    <cellStyle name="Normal 8 2 5 4 3 3" xfId="24333"/>
    <cellStyle name="Normal 8 2 5 4 3 3 2" xfId="24334"/>
    <cellStyle name="Normal 8 2 5 4 3 4" xfId="24335"/>
    <cellStyle name="Normal 8 2 5 4 4" xfId="24336"/>
    <cellStyle name="Normal 8 2 5 4 4 2" xfId="24337"/>
    <cellStyle name="Normal 8 2 5 4 4 2 2" xfId="24338"/>
    <cellStyle name="Normal 8 2 5 4 4 3" xfId="24339"/>
    <cellStyle name="Normal 8 2 5 4 5" xfId="24340"/>
    <cellStyle name="Normal 8 2 5 4 5 2" xfId="24341"/>
    <cellStyle name="Normal 8 2 5 4 5 2 2" xfId="24342"/>
    <cellStyle name="Normal 8 2 5 4 5 3" xfId="24343"/>
    <cellStyle name="Normal 8 2 5 4 6" xfId="24344"/>
    <cellStyle name="Normal 8 2 5 4 6 2" xfId="24345"/>
    <cellStyle name="Normal 8 2 5 4 7" xfId="24346"/>
    <cellStyle name="Normal 8 2 5 4 7 2" xfId="37006"/>
    <cellStyle name="Normal 8 2 5 4 8" xfId="24347"/>
    <cellStyle name="Normal 8 2 5 5" xfId="24348"/>
    <cellStyle name="Normal 8 2 5 5 2" xfId="24349"/>
    <cellStyle name="Normal 8 2 5 5 2 2" xfId="24350"/>
    <cellStyle name="Normal 8 2 5 5 2 2 2" xfId="24351"/>
    <cellStyle name="Normal 8 2 5 5 2 2 2 2" xfId="24352"/>
    <cellStyle name="Normal 8 2 5 5 2 2 2 3" xfId="24353"/>
    <cellStyle name="Normal 8 2 5 5 2 2 3" xfId="24354"/>
    <cellStyle name="Normal 8 2 5 5 2 2 3 2" xfId="24355"/>
    <cellStyle name="Normal 8 2 5 5 2 2 4" xfId="24356"/>
    <cellStyle name="Normal 8 2 5 5 2 3" xfId="24357"/>
    <cellStyle name="Normal 8 2 5 5 2 3 2" xfId="24358"/>
    <cellStyle name="Normal 8 2 5 5 2 3 2 2" xfId="24359"/>
    <cellStyle name="Normal 8 2 5 5 2 3 3" xfId="24360"/>
    <cellStyle name="Normal 8 2 5 5 2 4" xfId="24361"/>
    <cellStyle name="Normal 8 2 5 5 2 4 2" xfId="24362"/>
    <cellStyle name="Normal 8 2 5 5 2 4 3" xfId="24363"/>
    <cellStyle name="Normal 8 2 5 5 2 5" xfId="24364"/>
    <cellStyle name="Normal 8 2 5 5 2 5 2" xfId="24365"/>
    <cellStyle name="Normal 8 2 5 5 2 6" xfId="24366"/>
    <cellStyle name="Normal 8 2 5 5 2 6 2" xfId="37007"/>
    <cellStyle name="Normal 8 2 5 5 2 7" xfId="24367"/>
    <cellStyle name="Normal 8 2 5 5 3" xfId="24368"/>
    <cellStyle name="Normal 8 2 5 5 3 2" xfId="24369"/>
    <cellStyle name="Normal 8 2 5 5 3 2 2" xfId="24370"/>
    <cellStyle name="Normal 8 2 5 5 3 2 2 2" xfId="24371"/>
    <cellStyle name="Normal 8 2 5 5 3 2 3" xfId="24372"/>
    <cellStyle name="Normal 8 2 5 5 3 3" xfId="24373"/>
    <cellStyle name="Normal 8 2 5 5 3 3 2" xfId="24374"/>
    <cellStyle name="Normal 8 2 5 5 3 4" xfId="24375"/>
    <cellStyle name="Normal 8 2 5 5 4" xfId="24376"/>
    <cellStyle name="Normal 8 2 5 5 4 2" xfId="24377"/>
    <cellStyle name="Normal 8 2 5 5 4 2 2" xfId="24378"/>
    <cellStyle name="Normal 8 2 5 5 4 3" xfId="24379"/>
    <cellStyle name="Normal 8 2 5 5 5" xfId="24380"/>
    <cellStyle name="Normal 8 2 5 5 5 2" xfId="24381"/>
    <cellStyle name="Normal 8 2 5 5 5 2 2" xfId="24382"/>
    <cellStyle name="Normal 8 2 5 5 5 3" xfId="24383"/>
    <cellStyle name="Normal 8 2 5 5 6" xfId="24384"/>
    <cellStyle name="Normal 8 2 5 5 6 2" xfId="24385"/>
    <cellStyle name="Normal 8 2 5 5 7" xfId="24386"/>
    <cellStyle name="Normal 8 2 5 5 7 2" xfId="37008"/>
    <cellStyle name="Normal 8 2 5 5 8" xfId="24387"/>
    <cellStyle name="Normal 8 2 5 6" xfId="24388"/>
    <cellStyle name="Normal 8 2 5 6 2" xfId="24389"/>
    <cellStyle name="Normal 8 2 5 6 2 2" xfId="24390"/>
    <cellStyle name="Normal 8 2 5 6 2 2 2" xfId="24391"/>
    <cellStyle name="Normal 8 2 5 6 2 2 3" xfId="24392"/>
    <cellStyle name="Normal 8 2 5 6 2 3" xfId="24393"/>
    <cellStyle name="Normal 8 2 5 6 2 3 2" xfId="24394"/>
    <cellStyle name="Normal 8 2 5 6 2 4" xfId="24395"/>
    <cellStyle name="Normal 8 2 5 6 3" xfId="24396"/>
    <cellStyle name="Normal 8 2 5 6 3 2" xfId="24397"/>
    <cellStyle name="Normal 8 2 5 6 3 2 2" xfId="24398"/>
    <cellStyle name="Normal 8 2 5 6 3 3" xfId="24399"/>
    <cellStyle name="Normal 8 2 5 6 4" xfId="24400"/>
    <cellStyle name="Normal 8 2 5 6 4 2" xfId="24401"/>
    <cellStyle name="Normal 8 2 5 6 4 3" xfId="24402"/>
    <cellStyle name="Normal 8 2 5 6 5" xfId="24403"/>
    <cellStyle name="Normal 8 2 5 6 5 2" xfId="24404"/>
    <cellStyle name="Normal 8 2 5 6 6" xfId="24405"/>
    <cellStyle name="Normal 8 2 5 6 6 2" xfId="37009"/>
    <cellStyle name="Normal 8 2 5 6 7" xfId="24406"/>
    <cellStyle name="Normal 8 2 5 7" xfId="24407"/>
    <cellStyle name="Normal 8 2 5 7 2" xfId="24408"/>
    <cellStyle name="Normal 8 2 5 7 2 2" xfId="24409"/>
    <cellStyle name="Normal 8 2 5 7 2 2 2" xfId="24410"/>
    <cellStyle name="Normal 8 2 5 7 2 3" xfId="24411"/>
    <cellStyle name="Normal 8 2 5 7 3" xfId="24412"/>
    <cellStyle name="Normal 8 2 5 7 3 2" xfId="24413"/>
    <cellStyle name="Normal 8 2 5 7 4" xfId="24414"/>
    <cellStyle name="Normal 8 2 5 8" xfId="24415"/>
    <cellStyle name="Normal 8 2 5 8 2" xfId="24416"/>
    <cellStyle name="Normal 8 2 5 8 2 2" xfId="24417"/>
    <cellStyle name="Normal 8 2 5 8 3" xfId="24418"/>
    <cellStyle name="Normal 8 2 5 9" xfId="24419"/>
    <cellStyle name="Normal 8 2 5 9 2" xfId="24420"/>
    <cellStyle name="Normal 8 2 5 9 2 2" xfId="24421"/>
    <cellStyle name="Normal 8 2 5 9 3" xfId="24422"/>
    <cellStyle name="Normal 8 2 6" xfId="24423"/>
    <cellStyle name="Normal 8 2 6 10" xfId="24424"/>
    <cellStyle name="Normal 8 2 6 2" xfId="24425"/>
    <cellStyle name="Normal 8 2 6 2 2" xfId="24426"/>
    <cellStyle name="Normal 8 2 6 2 2 2" xfId="24427"/>
    <cellStyle name="Normal 8 2 6 2 2 2 2" xfId="24428"/>
    <cellStyle name="Normal 8 2 6 2 2 2 2 2" xfId="24429"/>
    <cellStyle name="Normal 8 2 6 2 2 2 2 2 2" xfId="24430"/>
    <cellStyle name="Normal 8 2 6 2 2 2 2 2 3" xfId="24431"/>
    <cellStyle name="Normal 8 2 6 2 2 2 2 3" xfId="24432"/>
    <cellStyle name="Normal 8 2 6 2 2 2 2 3 2" xfId="24433"/>
    <cellStyle name="Normal 8 2 6 2 2 2 2 4" xfId="24434"/>
    <cellStyle name="Normal 8 2 6 2 2 2 3" xfId="24435"/>
    <cellStyle name="Normal 8 2 6 2 2 2 3 2" xfId="24436"/>
    <cellStyle name="Normal 8 2 6 2 2 2 3 2 2" xfId="24437"/>
    <cellStyle name="Normal 8 2 6 2 2 2 3 3" xfId="24438"/>
    <cellStyle name="Normal 8 2 6 2 2 2 4" xfId="24439"/>
    <cellStyle name="Normal 8 2 6 2 2 2 4 2" xfId="24440"/>
    <cellStyle name="Normal 8 2 6 2 2 2 4 3" xfId="24441"/>
    <cellStyle name="Normal 8 2 6 2 2 2 5" xfId="24442"/>
    <cellStyle name="Normal 8 2 6 2 2 2 5 2" xfId="24443"/>
    <cellStyle name="Normal 8 2 6 2 2 2 6" xfId="24444"/>
    <cellStyle name="Normal 8 2 6 2 2 2 6 2" xfId="37010"/>
    <cellStyle name="Normal 8 2 6 2 2 2 7" xfId="24445"/>
    <cellStyle name="Normal 8 2 6 2 2 3" xfId="24446"/>
    <cellStyle name="Normal 8 2 6 2 2 3 2" xfId="24447"/>
    <cellStyle name="Normal 8 2 6 2 2 3 2 2" xfId="24448"/>
    <cellStyle name="Normal 8 2 6 2 2 3 2 2 2" xfId="24449"/>
    <cellStyle name="Normal 8 2 6 2 2 3 2 3" xfId="24450"/>
    <cellStyle name="Normal 8 2 6 2 2 3 3" xfId="24451"/>
    <cellStyle name="Normal 8 2 6 2 2 3 3 2" xfId="24452"/>
    <cellStyle name="Normal 8 2 6 2 2 3 4" xfId="24453"/>
    <cellStyle name="Normal 8 2 6 2 2 4" xfId="24454"/>
    <cellStyle name="Normal 8 2 6 2 2 4 2" xfId="24455"/>
    <cellStyle name="Normal 8 2 6 2 2 4 2 2" xfId="24456"/>
    <cellStyle name="Normal 8 2 6 2 2 4 3" xfId="24457"/>
    <cellStyle name="Normal 8 2 6 2 2 5" xfId="24458"/>
    <cellStyle name="Normal 8 2 6 2 2 5 2" xfId="24459"/>
    <cellStyle name="Normal 8 2 6 2 2 5 2 2" xfId="24460"/>
    <cellStyle name="Normal 8 2 6 2 2 5 3" xfId="24461"/>
    <cellStyle name="Normal 8 2 6 2 2 6" xfId="24462"/>
    <cellStyle name="Normal 8 2 6 2 2 6 2" xfId="24463"/>
    <cellStyle name="Normal 8 2 6 2 2 7" xfId="24464"/>
    <cellStyle name="Normal 8 2 6 2 2 7 2" xfId="37011"/>
    <cellStyle name="Normal 8 2 6 2 2 8" xfId="24465"/>
    <cellStyle name="Normal 8 2 6 2 3" xfId="24466"/>
    <cellStyle name="Normal 8 2 6 2 3 2" xfId="24467"/>
    <cellStyle name="Normal 8 2 6 2 3 2 2" xfId="24468"/>
    <cellStyle name="Normal 8 2 6 2 3 2 2 2" xfId="24469"/>
    <cellStyle name="Normal 8 2 6 2 3 2 2 3" xfId="24470"/>
    <cellStyle name="Normal 8 2 6 2 3 2 3" xfId="24471"/>
    <cellStyle name="Normal 8 2 6 2 3 2 3 2" xfId="24472"/>
    <cellStyle name="Normal 8 2 6 2 3 2 4" xfId="24473"/>
    <cellStyle name="Normal 8 2 6 2 3 3" xfId="24474"/>
    <cellStyle name="Normal 8 2 6 2 3 3 2" xfId="24475"/>
    <cellStyle name="Normal 8 2 6 2 3 3 2 2" xfId="24476"/>
    <cellStyle name="Normal 8 2 6 2 3 3 3" xfId="24477"/>
    <cellStyle name="Normal 8 2 6 2 3 4" xfId="24478"/>
    <cellStyle name="Normal 8 2 6 2 3 4 2" xfId="24479"/>
    <cellStyle name="Normal 8 2 6 2 3 4 3" xfId="24480"/>
    <cellStyle name="Normal 8 2 6 2 3 5" xfId="24481"/>
    <cellStyle name="Normal 8 2 6 2 3 5 2" xfId="24482"/>
    <cellStyle name="Normal 8 2 6 2 3 6" xfId="24483"/>
    <cellStyle name="Normal 8 2 6 2 3 6 2" xfId="37012"/>
    <cellStyle name="Normal 8 2 6 2 3 7" xfId="24484"/>
    <cellStyle name="Normal 8 2 6 2 4" xfId="24485"/>
    <cellStyle name="Normal 8 2 6 2 4 2" xfId="24486"/>
    <cellStyle name="Normal 8 2 6 2 4 2 2" xfId="24487"/>
    <cellStyle name="Normal 8 2 6 2 4 2 2 2" xfId="24488"/>
    <cellStyle name="Normal 8 2 6 2 4 2 3" xfId="24489"/>
    <cellStyle name="Normal 8 2 6 2 4 3" xfId="24490"/>
    <cellStyle name="Normal 8 2 6 2 4 3 2" xfId="24491"/>
    <cellStyle name="Normal 8 2 6 2 4 4" xfId="24492"/>
    <cellStyle name="Normal 8 2 6 2 5" xfId="24493"/>
    <cellStyle name="Normal 8 2 6 2 5 2" xfId="24494"/>
    <cellStyle name="Normal 8 2 6 2 5 2 2" xfId="24495"/>
    <cellStyle name="Normal 8 2 6 2 5 3" xfId="24496"/>
    <cellStyle name="Normal 8 2 6 2 6" xfId="24497"/>
    <cellStyle name="Normal 8 2 6 2 6 2" xfId="24498"/>
    <cellStyle name="Normal 8 2 6 2 6 2 2" xfId="24499"/>
    <cellStyle name="Normal 8 2 6 2 6 3" xfId="24500"/>
    <cellStyle name="Normal 8 2 6 2 7" xfId="24501"/>
    <cellStyle name="Normal 8 2 6 2 7 2" xfId="24502"/>
    <cellStyle name="Normal 8 2 6 2 8" xfId="24503"/>
    <cellStyle name="Normal 8 2 6 2 8 2" xfId="37013"/>
    <cellStyle name="Normal 8 2 6 2 9" xfId="24504"/>
    <cellStyle name="Normal 8 2 6 3" xfId="24505"/>
    <cellStyle name="Normal 8 2 6 3 2" xfId="24506"/>
    <cellStyle name="Normal 8 2 6 3 2 2" xfId="24507"/>
    <cellStyle name="Normal 8 2 6 3 2 2 2" xfId="24508"/>
    <cellStyle name="Normal 8 2 6 3 2 2 2 2" xfId="24509"/>
    <cellStyle name="Normal 8 2 6 3 2 2 2 3" xfId="24510"/>
    <cellStyle name="Normal 8 2 6 3 2 2 3" xfId="24511"/>
    <cellStyle name="Normal 8 2 6 3 2 2 3 2" xfId="24512"/>
    <cellStyle name="Normal 8 2 6 3 2 2 4" xfId="24513"/>
    <cellStyle name="Normal 8 2 6 3 2 3" xfId="24514"/>
    <cellStyle name="Normal 8 2 6 3 2 3 2" xfId="24515"/>
    <cellStyle name="Normal 8 2 6 3 2 3 2 2" xfId="24516"/>
    <cellStyle name="Normal 8 2 6 3 2 3 3" xfId="24517"/>
    <cellStyle name="Normal 8 2 6 3 2 4" xfId="24518"/>
    <cellStyle name="Normal 8 2 6 3 2 4 2" xfId="24519"/>
    <cellStyle name="Normal 8 2 6 3 2 4 3" xfId="24520"/>
    <cellStyle name="Normal 8 2 6 3 2 5" xfId="24521"/>
    <cellStyle name="Normal 8 2 6 3 2 5 2" xfId="24522"/>
    <cellStyle name="Normal 8 2 6 3 2 6" xfId="24523"/>
    <cellStyle name="Normal 8 2 6 3 2 6 2" xfId="37014"/>
    <cellStyle name="Normal 8 2 6 3 2 7" xfId="24524"/>
    <cellStyle name="Normal 8 2 6 3 3" xfId="24525"/>
    <cellStyle name="Normal 8 2 6 3 3 2" xfId="24526"/>
    <cellStyle name="Normal 8 2 6 3 3 2 2" xfId="24527"/>
    <cellStyle name="Normal 8 2 6 3 3 2 2 2" xfId="24528"/>
    <cellStyle name="Normal 8 2 6 3 3 2 3" xfId="24529"/>
    <cellStyle name="Normal 8 2 6 3 3 3" xfId="24530"/>
    <cellStyle name="Normal 8 2 6 3 3 3 2" xfId="24531"/>
    <cellStyle name="Normal 8 2 6 3 3 4" xfId="24532"/>
    <cellStyle name="Normal 8 2 6 3 4" xfId="24533"/>
    <cellStyle name="Normal 8 2 6 3 4 2" xfId="24534"/>
    <cellStyle name="Normal 8 2 6 3 4 2 2" xfId="24535"/>
    <cellStyle name="Normal 8 2 6 3 4 3" xfId="24536"/>
    <cellStyle name="Normal 8 2 6 3 5" xfId="24537"/>
    <cellStyle name="Normal 8 2 6 3 5 2" xfId="24538"/>
    <cellStyle name="Normal 8 2 6 3 5 2 2" xfId="24539"/>
    <cellStyle name="Normal 8 2 6 3 5 3" xfId="24540"/>
    <cellStyle name="Normal 8 2 6 3 6" xfId="24541"/>
    <cellStyle name="Normal 8 2 6 3 6 2" xfId="24542"/>
    <cellStyle name="Normal 8 2 6 3 7" xfId="24543"/>
    <cellStyle name="Normal 8 2 6 3 7 2" xfId="37015"/>
    <cellStyle name="Normal 8 2 6 3 8" xfId="24544"/>
    <cellStyle name="Normal 8 2 6 4" xfId="24545"/>
    <cellStyle name="Normal 8 2 6 4 2" xfId="24546"/>
    <cellStyle name="Normal 8 2 6 4 2 2" xfId="24547"/>
    <cellStyle name="Normal 8 2 6 4 2 2 2" xfId="24548"/>
    <cellStyle name="Normal 8 2 6 4 2 2 3" xfId="24549"/>
    <cellStyle name="Normal 8 2 6 4 2 3" xfId="24550"/>
    <cellStyle name="Normal 8 2 6 4 2 3 2" xfId="24551"/>
    <cellStyle name="Normal 8 2 6 4 2 4" xfId="24552"/>
    <cellStyle name="Normal 8 2 6 4 3" xfId="24553"/>
    <cellStyle name="Normal 8 2 6 4 3 2" xfId="24554"/>
    <cellStyle name="Normal 8 2 6 4 3 2 2" xfId="24555"/>
    <cellStyle name="Normal 8 2 6 4 3 3" xfId="24556"/>
    <cellStyle name="Normal 8 2 6 4 4" xfId="24557"/>
    <cellStyle name="Normal 8 2 6 4 4 2" xfId="24558"/>
    <cellStyle name="Normal 8 2 6 4 4 3" xfId="24559"/>
    <cellStyle name="Normal 8 2 6 4 5" xfId="24560"/>
    <cellStyle name="Normal 8 2 6 4 5 2" xfId="24561"/>
    <cellStyle name="Normal 8 2 6 4 6" xfId="24562"/>
    <cellStyle name="Normal 8 2 6 4 6 2" xfId="37016"/>
    <cellStyle name="Normal 8 2 6 4 7" xfId="24563"/>
    <cellStyle name="Normal 8 2 6 5" xfId="24564"/>
    <cellStyle name="Normal 8 2 6 5 2" xfId="24565"/>
    <cellStyle name="Normal 8 2 6 5 2 2" xfId="24566"/>
    <cellStyle name="Normal 8 2 6 5 2 2 2" xfId="24567"/>
    <cellStyle name="Normal 8 2 6 5 2 3" xfId="24568"/>
    <cellStyle name="Normal 8 2 6 5 3" xfId="24569"/>
    <cellStyle name="Normal 8 2 6 5 3 2" xfId="24570"/>
    <cellStyle name="Normal 8 2 6 5 4" xfId="24571"/>
    <cellStyle name="Normal 8 2 6 6" xfId="24572"/>
    <cellStyle name="Normal 8 2 6 6 2" xfId="24573"/>
    <cellStyle name="Normal 8 2 6 6 2 2" xfId="24574"/>
    <cellStyle name="Normal 8 2 6 6 3" xfId="24575"/>
    <cellStyle name="Normal 8 2 6 7" xfId="24576"/>
    <cellStyle name="Normal 8 2 6 7 2" xfId="24577"/>
    <cellStyle name="Normal 8 2 6 7 2 2" xfId="24578"/>
    <cellStyle name="Normal 8 2 6 7 3" xfId="24579"/>
    <cellStyle name="Normal 8 2 6 8" xfId="24580"/>
    <cellStyle name="Normal 8 2 6 8 2" xfId="24581"/>
    <cellStyle name="Normal 8 2 6 9" xfId="24582"/>
    <cellStyle name="Normal 8 2 6 9 2" xfId="37017"/>
    <cellStyle name="Normal 8 2 7" xfId="24583"/>
    <cellStyle name="Normal 8 2 7 2" xfId="24584"/>
    <cellStyle name="Normal 8 2 7 2 2" xfId="24585"/>
    <cellStyle name="Normal 8 2 7 2 2 2" xfId="24586"/>
    <cellStyle name="Normal 8 2 7 2 2 2 2" xfId="24587"/>
    <cellStyle name="Normal 8 2 7 2 2 2 2 2" xfId="24588"/>
    <cellStyle name="Normal 8 2 7 2 2 2 2 3" xfId="24589"/>
    <cellStyle name="Normal 8 2 7 2 2 2 3" xfId="24590"/>
    <cellStyle name="Normal 8 2 7 2 2 2 3 2" xfId="24591"/>
    <cellStyle name="Normal 8 2 7 2 2 2 4" xfId="24592"/>
    <cellStyle name="Normal 8 2 7 2 2 3" xfId="24593"/>
    <cellStyle name="Normal 8 2 7 2 2 3 2" xfId="24594"/>
    <cellStyle name="Normal 8 2 7 2 2 3 2 2" xfId="24595"/>
    <cellStyle name="Normal 8 2 7 2 2 3 3" xfId="24596"/>
    <cellStyle name="Normal 8 2 7 2 2 4" xfId="24597"/>
    <cellStyle name="Normal 8 2 7 2 2 4 2" xfId="24598"/>
    <cellStyle name="Normal 8 2 7 2 2 4 3" xfId="24599"/>
    <cellStyle name="Normal 8 2 7 2 2 5" xfId="24600"/>
    <cellStyle name="Normal 8 2 7 2 2 5 2" xfId="24601"/>
    <cellStyle name="Normal 8 2 7 2 2 6" xfId="24602"/>
    <cellStyle name="Normal 8 2 7 2 2 6 2" xfId="37018"/>
    <cellStyle name="Normal 8 2 7 2 2 7" xfId="24603"/>
    <cellStyle name="Normal 8 2 7 2 3" xfId="24604"/>
    <cellStyle name="Normal 8 2 7 2 3 2" xfId="24605"/>
    <cellStyle name="Normal 8 2 7 2 3 2 2" xfId="24606"/>
    <cellStyle name="Normal 8 2 7 2 3 2 2 2" xfId="24607"/>
    <cellStyle name="Normal 8 2 7 2 3 2 3" xfId="24608"/>
    <cellStyle name="Normal 8 2 7 2 3 3" xfId="24609"/>
    <cellStyle name="Normal 8 2 7 2 3 3 2" xfId="24610"/>
    <cellStyle name="Normal 8 2 7 2 3 4" xfId="24611"/>
    <cellStyle name="Normal 8 2 7 2 4" xfId="24612"/>
    <cellStyle name="Normal 8 2 7 2 4 2" xfId="24613"/>
    <cellStyle name="Normal 8 2 7 2 4 2 2" xfId="24614"/>
    <cellStyle name="Normal 8 2 7 2 4 3" xfId="24615"/>
    <cellStyle name="Normal 8 2 7 2 5" xfId="24616"/>
    <cellStyle name="Normal 8 2 7 2 5 2" xfId="24617"/>
    <cellStyle name="Normal 8 2 7 2 5 2 2" xfId="24618"/>
    <cellStyle name="Normal 8 2 7 2 5 3" xfId="24619"/>
    <cellStyle name="Normal 8 2 7 2 6" xfId="24620"/>
    <cellStyle name="Normal 8 2 7 2 6 2" xfId="24621"/>
    <cellStyle name="Normal 8 2 7 2 7" xfId="24622"/>
    <cellStyle name="Normal 8 2 7 2 7 2" xfId="37019"/>
    <cellStyle name="Normal 8 2 7 2 8" xfId="24623"/>
    <cellStyle name="Normal 8 2 7 3" xfId="24624"/>
    <cellStyle name="Normal 8 2 7 3 2" xfId="24625"/>
    <cellStyle name="Normal 8 2 7 3 2 2" xfId="24626"/>
    <cellStyle name="Normal 8 2 7 3 2 2 2" xfId="24627"/>
    <cellStyle name="Normal 8 2 7 3 2 2 3" xfId="24628"/>
    <cellStyle name="Normal 8 2 7 3 2 3" xfId="24629"/>
    <cellStyle name="Normal 8 2 7 3 2 3 2" xfId="24630"/>
    <cellStyle name="Normal 8 2 7 3 2 4" xfId="24631"/>
    <cellStyle name="Normal 8 2 7 3 3" xfId="24632"/>
    <cellStyle name="Normal 8 2 7 3 3 2" xfId="24633"/>
    <cellStyle name="Normal 8 2 7 3 3 2 2" xfId="24634"/>
    <cellStyle name="Normal 8 2 7 3 3 3" xfId="24635"/>
    <cellStyle name="Normal 8 2 7 3 4" xfId="24636"/>
    <cellStyle name="Normal 8 2 7 3 4 2" xfId="24637"/>
    <cellStyle name="Normal 8 2 7 3 4 3" xfId="24638"/>
    <cellStyle name="Normal 8 2 7 3 5" xfId="24639"/>
    <cellStyle name="Normal 8 2 7 3 5 2" xfId="24640"/>
    <cellStyle name="Normal 8 2 7 3 6" xfId="24641"/>
    <cellStyle name="Normal 8 2 7 3 6 2" xfId="37020"/>
    <cellStyle name="Normal 8 2 7 3 7" xfId="24642"/>
    <cellStyle name="Normal 8 2 7 4" xfId="24643"/>
    <cellStyle name="Normal 8 2 7 4 2" xfId="24644"/>
    <cellStyle name="Normal 8 2 7 4 2 2" xfId="24645"/>
    <cellStyle name="Normal 8 2 7 4 2 2 2" xfId="24646"/>
    <cellStyle name="Normal 8 2 7 4 2 3" xfId="24647"/>
    <cellStyle name="Normal 8 2 7 4 3" xfId="24648"/>
    <cellStyle name="Normal 8 2 7 4 3 2" xfId="24649"/>
    <cellStyle name="Normal 8 2 7 4 4" xfId="24650"/>
    <cellStyle name="Normal 8 2 7 5" xfId="24651"/>
    <cellStyle name="Normal 8 2 7 5 2" xfId="24652"/>
    <cellStyle name="Normal 8 2 7 5 2 2" xfId="24653"/>
    <cellStyle name="Normal 8 2 7 5 3" xfId="24654"/>
    <cellStyle name="Normal 8 2 7 6" xfId="24655"/>
    <cellStyle name="Normal 8 2 7 6 2" xfId="24656"/>
    <cellStyle name="Normal 8 2 7 6 2 2" xfId="24657"/>
    <cellStyle name="Normal 8 2 7 6 3" xfId="24658"/>
    <cellStyle name="Normal 8 2 7 7" xfId="24659"/>
    <cellStyle name="Normal 8 2 7 7 2" xfId="24660"/>
    <cellStyle name="Normal 8 2 7 8" xfId="24661"/>
    <cellStyle name="Normal 8 2 7 8 2" xfId="37021"/>
    <cellStyle name="Normal 8 2 7 9" xfId="24662"/>
    <cellStyle name="Normal 8 2 8" xfId="24663"/>
    <cellStyle name="Normal 8 2 8 2" xfId="24664"/>
    <cellStyle name="Normal 8 2 8 2 2" xfId="24665"/>
    <cellStyle name="Normal 8 2 8 2 2 2" xfId="24666"/>
    <cellStyle name="Normal 8 2 8 2 2 2 2" xfId="24667"/>
    <cellStyle name="Normal 8 2 8 2 2 2 2 2" xfId="24668"/>
    <cellStyle name="Normal 8 2 8 2 2 2 2 3" xfId="24669"/>
    <cellStyle name="Normal 8 2 8 2 2 2 3" xfId="24670"/>
    <cellStyle name="Normal 8 2 8 2 2 2 3 2" xfId="24671"/>
    <cellStyle name="Normal 8 2 8 2 2 2 4" xfId="24672"/>
    <cellStyle name="Normal 8 2 8 2 2 3" xfId="24673"/>
    <cellStyle name="Normal 8 2 8 2 2 3 2" xfId="24674"/>
    <cellStyle name="Normal 8 2 8 2 2 3 2 2" xfId="24675"/>
    <cellStyle name="Normal 8 2 8 2 2 3 3" xfId="24676"/>
    <cellStyle name="Normal 8 2 8 2 2 4" xfId="24677"/>
    <cellStyle name="Normal 8 2 8 2 2 4 2" xfId="24678"/>
    <cellStyle name="Normal 8 2 8 2 2 4 3" xfId="24679"/>
    <cellStyle name="Normal 8 2 8 2 2 5" xfId="24680"/>
    <cellStyle name="Normal 8 2 8 2 2 5 2" xfId="24681"/>
    <cellStyle name="Normal 8 2 8 2 2 6" xfId="24682"/>
    <cellStyle name="Normal 8 2 8 2 2 6 2" xfId="37022"/>
    <cellStyle name="Normal 8 2 8 2 2 7" xfId="24683"/>
    <cellStyle name="Normal 8 2 8 2 3" xfId="24684"/>
    <cellStyle name="Normal 8 2 8 2 3 2" xfId="24685"/>
    <cellStyle name="Normal 8 2 8 2 3 2 2" xfId="24686"/>
    <cellStyle name="Normal 8 2 8 2 3 2 2 2" xfId="24687"/>
    <cellStyle name="Normal 8 2 8 2 3 2 3" xfId="24688"/>
    <cellStyle name="Normal 8 2 8 2 3 3" xfId="24689"/>
    <cellStyle name="Normal 8 2 8 2 3 3 2" xfId="24690"/>
    <cellStyle name="Normal 8 2 8 2 3 4" xfId="24691"/>
    <cellStyle name="Normal 8 2 8 2 4" xfId="24692"/>
    <cellStyle name="Normal 8 2 8 2 4 2" xfId="24693"/>
    <cellStyle name="Normal 8 2 8 2 4 2 2" xfId="24694"/>
    <cellStyle name="Normal 8 2 8 2 4 3" xfId="24695"/>
    <cellStyle name="Normal 8 2 8 2 5" xfId="24696"/>
    <cellStyle name="Normal 8 2 8 2 5 2" xfId="24697"/>
    <cellStyle name="Normal 8 2 8 2 5 2 2" xfId="24698"/>
    <cellStyle name="Normal 8 2 8 2 5 3" xfId="24699"/>
    <cellStyle name="Normal 8 2 8 2 6" xfId="24700"/>
    <cellStyle name="Normal 8 2 8 2 6 2" xfId="24701"/>
    <cellStyle name="Normal 8 2 8 2 7" xfId="24702"/>
    <cellStyle name="Normal 8 2 8 2 7 2" xfId="37023"/>
    <cellStyle name="Normal 8 2 8 2 8" xfId="24703"/>
    <cellStyle name="Normal 8 2 8 3" xfId="24704"/>
    <cellStyle name="Normal 8 2 8 3 2" xfId="24705"/>
    <cellStyle name="Normal 8 2 8 3 2 2" xfId="24706"/>
    <cellStyle name="Normal 8 2 8 3 2 2 2" xfId="24707"/>
    <cellStyle name="Normal 8 2 8 3 2 2 3" xfId="24708"/>
    <cellStyle name="Normal 8 2 8 3 2 3" xfId="24709"/>
    <cellStyle name="Normal 8 2 8 3 2 3 2" xfId="24710"/>
    <cellStyle name="Normal 8 2 8 3 2 4" xfId="24711"/>
    <cellStyle name="Normal 8 2 8 3 3" xfId="24712"/>
    <cellStyle name="Normal 8 2 8 3 3 2" xfId="24713"/>
    <cellStyle name="Normal 8 2 8 3 3 2 2" xfId="24714"/>
    <cellStyle name="Normal 8 2 8 3 3 3" xfId="24715"/>
    <cellStyle name="Normal 8 2 8 3 4" xfId="24716"/>
    <cellStyle name="Normal 8 2 8 3 4 2" xfId="24717"/>
    <cellStyle name="Normal 8 2 8 3 4 3" xfId="24718"/>
    <cellStyle name="Normal 8 2 8 3 5" xfId="24719"/>
    <cellStyle name="Normal 8 2 8 3 5 2" xfId="24720"/>
    <cellStyle name="Normal 8 2 8 3 6" xfId="24721"/>
    <cellStyle name="Normal 8 2 8 3 6 2" xfId="37024"/>
    <cellStyle name="Normal 8 2 8 3 7" xfId="24722"/>
    <cellStyle name="Normal 8 2 8 4" xfId="24723"/>
    <cellStyle name="Normal 8 2 8 4 2" xfId="24724"/>
    <cellStyle name="Normal 8 2 8 4 2 2" xfId="24725"/>
    <cellStyle name="Normal 8 2 8 4 2 2 2" xfId="24726"/>
    <cellStyle name="Normal 8 2 8 4 2 3" xfId="24727"/>
    <cellStyle name="Normal 8 2 8 4 3" xfId="24728"/>
    <cellStyle name="Normal 8 2 8 4 3 2" xfId="24729"/>
    <cellStyle name="Normal 8 2 8 4 4" xfId="24730"/>
    <cellStyle name="Normal 8 2 8 5" xfId="24731"/>
    <cellStyle name="Normal 8 2 8 5 2" xfId="24732"/>
    <cellStyle name="Normal 8 2 8 5 2 2" xfId="24733"/>
    <cellStyle name="Normal 8 2 8 5 3" xfId="24734"/>
    <cellStyle name="Normal 8 2 8 6" xfId="24735"/>
    <cellStyle name="Normal 8 2 8 6 2" xfId="24736"/>
    <cellStyle name="Normal 8 2 8 6 2 2" xfId="24737"/>
    <cellStyle name="Normal 8 2 8 6 3" xfId="24738"/>
    <cellStyle name="Normal 8 2 8 7" xfId="24739"/>
    <cellStyle name="Normal 8 2 8 7 2" xfId="24740"/>
    <cellStyle name="Normal 8 2 8 8" xfId="24741"/>
    <cellStyle name="Normal 8 2 8 8 2" xfId="37025"/>
    <cellStyle name="Normal 8 2 8 9" xfId="24742"/>
    <cellStyle name="Normal 8 2 9" xfId="24743"/>
    <cellStyle name="Normal 8 2 9 2" xfId="24744"/>
    <cellStyle name="Normal 8 2 9 2 2" xfId="24745"/>
    <cellStyle name="Normal 8 2 9 2 2 2" xfId="24746"/>
    <cellStyle name="Normal 8 2 9 2 2 2 2" xfId="24747"/>
    <cellStyle name="Normal 8 2 9 2 2 2 3" xfId="24748"/>
    <cellStyle name="Normal 8 2 9 2 2 3" xfId="24749"/>
    <cellStyle name="Normal 8 2 9 2 2 3 2" xfId="24750"/>
    <cellStyle name="Normal 8 2 9 2 2 4" xfId="24751"/>
    <cellStyle name="Normal 8 2 9 2 3" xfId="24752"/>
    <cellStyle name="Normal 8 2 9 2 3 2" xfId="24753"/>
    <cellStyle name="Normal 8 2 9 2 3 2 2" xfId="24754"/>
    <cellStyle name="Normal 8 2 9 2 3 3" xfId="24755"/>
    <cellStyle name="Normal 8 2 9 2 4" xfId="24756"/>
    <cellStyle name="Normal 8 2 9 2 4 2" xfId="24757"/>
    <cellStyle name="Normal 8 2 9 2 4 3" xfId="24758"/>
    <cellStyle name="Normal 8 2 9 2 5" xfId="24759"/>
    <cellStyle name="Normal 8 2 9 2 5 2" xfId="24760"/>
    <cellStyle name="Normal 8 2 9 2 6" xfId="24761"/>
    <cellStyle name="Normal 8 2 9 2 6 2" xfId="37026"/>
    <cellStyle name="Normal 8 2 9 2 7" xfId="24762"/>
    <cellStyle name="Normal 8 2 9 3" xfId="24763"/>
    <cellStyle name="Normal 8 2 9 3 2" xfId="24764"/>
    <cellStyle name="Normal 8 2 9 3 2 2" xfId="24765"/>
    <cellStyle name="Normal 8 2 9 3 2 2 2" xfId="24766"/>
    <cellStyle name="Normal 8 2 9 3 2 3" xfId="24767"/>
    <cellStyle name="Normal 8 2 9 3 3" xfId="24768"/>
    <cellStyle name="Normal 8 2 9 3 3 2" xfId="24769"/>
    <cellStyle name="Normal 8 2 9 3 4" xfId="24770"/>
    <cellStyle name="Normal 8 2 9 4" xfId="24771"/>
    <cellStyle name="Normal 8 2 9 4 2" xfId="24772"/>
    <cellStyle name="Normal 8 2 9 4 2 2" xfId="24773"/>
    <cellStyle name="Normal 8 2 9 4 3" xfId="24774"/>
    <cellStyle name="Normal 8 2 9 5" xfId="24775"/>
    <cellStyle name="Normal 8 2 9 5 2" xfId="24776"/>
    <cellStyle name="Normal 8 2 9 5 2 2" xfId="24777"/>
    <cellStyle name="Normal 8 2 9 5 3" xfId="24778"/>
    <cellStyle name="Normal 8 2 9 6" xfId="24779"/>
    <cellStyle name="Normal 8 2 9 6 2" xfId="24780"/>
    <cellStyle name="Normal 8 2 9 7" xfId="24781"/>
    <cellStyle name="Normal 8 2 9 7 2" xfId="37027"/>
    <cellStyle name="Normal 8 2 9 8" xfId="24782"/>
    <cellStyle name="Normal 8 20" xfId="35796"/>
    <cellStyle name="Normal 8 3" xfId="24783"/>
    <cellStyle name="Normal 8 3 10" xfId="24784"/>
    <cellStyle name="Normal 8 3 10 2" xfId="24785"/>
    <cellStyle name="Normal 8 3 10 2 2" xfId="24786"/>
    <cellStyle name="Normal 8 3 10 3" xfId="24787"/>
    <cellStyle name="Normal 8 3 11" xfId="24788"/>
    <cellStyle name="Normal 8 3 11 2" xfId="24789"/>
    <cellStyle name="Normal 8 3 11 2 2" xfId="24790"/>
    <cellStyle name="Normal 8 3 11 3" xfId="24791"/>
    <cellStyle name="Normal 8 3 12" xfId="24792"/>
    <cellStyle name="Normal 8 3 12 2" xfId="24793"/>
    <cellStyle name="Normal 8 3 13" xfId="24794"/>
    <cellStyle name="Normal 8 3 13 2" xfId="37028"/>
    <cellStyle name="Normal 8 3 14" xfId="24795"/>
    <cellStyle name="Normal 8 3 2" xfId="24796"/>
    <cellStyle name="Normal 8 3 2 10" xfId="24797"/>
    <cellStyle name="Normal 8 3 2 2" xfId="24798"/>
    <cellStyle name="Normal 8 3 2 2 2" xfId="24799"/>
    <cellStyle name="Normal 8 3 2 2 2 2" xfId="24800"/>
    <cellStyle name="Normal 8 3 2 2 2 2 2" xfId="24801"/>
    <cellStyle name="Normal 8 3 2 2 2 2 2 2" xfId="24802"/>
    <cellStyle name="Normal 8 3 2 2 2 2 2 2 2" xfId="24803"/>
    <cellStyle name="Normal 8 3 2 2 2 2 2 2 3" xfId="24804"/>
    <cellStyle name="Normal 8 3 2 2 2 2 2 3" xfId="24805"/>
    <cellStyle name="Normal 8 3 2 2 2 2 2 3 2" xfId="24806"/>
    <cellStyle name="Normal 8 3 2 2 2 2 2 4" xfId="24807"/>
    <cellStyle name="Normal 8 3 2 2 2 2 3" xfId="24808"/>
    <cellStyle name="Normal 8 3 2 2 2 2 3 2" xfId="24809"/>
    <cellStyle name="Normal 8 3 2 2 2 2 3 2 2" xfId="24810"/>
    <cellStyle name="Normal 8 3 2 2 2 2 3 3" xfId="24811"/>
    <cellStyle name="Normal 8 3 2 2 2 2 4" xfId="24812"/>
    <cellStyle name="Normal 8 3 2 2 2 2 4 2" xfId="24813"/>
    <cellStyle name="Normal 8 3 2 2 2 2 4 3" xfId="24814"/>
    <cellStyle name="Normal 8 3 2 2 2 2 5" xfId="24815"/>
    <cellStyle name="Normal 8 3 2 2 2 2 5 2" xfId="24816"/>
    <cellStyle name="Normal 8 3 2 2 2 2 6" xfId="24817"/>
    <cellStyle name="Normal 8 3 2 2 2 2 6 2" xfId="37029"/>
    <cellStyle name="Normal 8 3 2 2 2 2 7" xfId="24818"/>
    <cellStyle name="Normal 8 3 2 2 2 3" xfId="24819"/>
    <cellStyle name="Normal 8 3 2 2 2 3 2" xfId="24820"/>
    <cellStyle name="Normal 8 3 2 2 2 3 2 2" xfId="24821"/>
    <cellStyle name="Normal 8 3 2 2 2 3 2 2 2" xfId="24822"/>
    <cellStyle name="Normal 8 3 2 2 2 3 2 3" xfId="24823"/>
    <cellStyle name="Normal 8 3 2 2 2 3 3" xfId="24824"/>
    <cellStyle name="Normal 8 3 2 2 2 3 3 2" xfId="24825"/>
    <cellStyle name="Normal 8 3 2 2 2 3 4" xfId="24826"/>
    <cellStyle name="Normal 8 3 2 2 2 4" xfId="24827"/>
    <cellStyle name="Normal 8 3 2 2 2 4 2" xfId="24828"/>
    <cellStyle name="Normal 8 3 2 2 2 4 2 2" xfId="24829"/>
    <cellStyle name="Normal 8 3 2 2 2 4 3" xfId="24830"/>
    <cellStyle name="Normal 8 3 2 2 2 5" xfId="24831"/>
    <cellStyle name="Normal 8 3 2 2 2 5 2" xfId="24832"/>
    <cellStyle name="Normal 8 3 2 2 2 5 2 2" xfId="24833"/>
    <cellStyle name="Normal 8 3 2 2 2 5 3" xfId="24834"/>
    <cellStyle name="Normal 8 3 2 2 2 6" xfId="24835"/>
    <cellStyle name="Normal 8 3 2 2 2 6 2" xfId="24836"/>
    <cellStyle name="Normal 8 3 2 2 2 7" xfId="24837"/>
    <cellStyle name="Normal 8 3 2 2 2 7 2" xfId="37030"/>
    <cellStyle name="Normal 8 3 2 2 2 8" xfId="24838"/>
    <cellStyle name="Normal 8 3 2 2 3" xfId="24839"/>
    <cellStyle name="Normal 8 3 2 2 3 2" xfId="24840"/>
    <cellStyle name="Normal 8 3 2 2 3 2 2" xfId="24841"/>
    <cellStyle name="Normal 8 3 2 2 3 2 2 2" xfId="24842"/>
    <cellStyle name="Normal 8 3 2 2 3 2 2 3" xfId="24843"/>
    <cellStyle name="Normal 8 3 2 2 3 2 3" xfId="24844"/>
    <cellStyle name="Normal 8 3 2 2 3 2 3 2" xfId="24845"/>
    <cellStyle name="Normal 8 3 2 2 3 2 4" xfId="24846"/>
    <cellStyle name="Normal 8 3 2 2 3 3" xfId="24847"/>
    <cellStyle name="Normal 8 3 2 2 3 3 2" xfId="24848"/>
    <cellStyle name="Normal 8 3 2 2 3 3 2 2" xfId="24849"/>
    <cellStyle name="Normal 8 3 2 2 3 3 3" xfId="24850"/>
    <cellStyle name="Normal 8 3 2 2 3 4" xfId="24851"/>
    <cellStyle name="Normal 8 3 2 2 3 4 2" xfId="24852"/>
    <cellStyle name="Normal 8 3 2 2 3 4 3" xfId="24853"/>
    <cellStyle name="Normal 8 3 2 2 3 5" xfId="24854"/>
    <cellStyle name="Normal 8 3 2 2 3 5 2" xfId="24855"/>
    <cellStyle name="Normal 8 3 2 2 3 6" xfId="24856"/>
    <cellStyle name="Normal 8 3 2 2 3 6 2" xfId="37031"/>
    <cellStyle name="Normal 8 3 2 2 3 7" xfId="24857"/>
    <cellStyle name="Normal 8 3 2 2 4" xfId="24858"/>
    <cellStyle name="Normal 8 3 2 2 4 2" xfId="24859"/>
    <cellStyle name="Normal 8 3 2 2 4 2 2" xfId="24860"/>
    <cellStyle name="Normal 8 3 2 2 4 2 2 2" xfId="24861"/>
    <cellStyle name="Normal 8 3 2 2 4 2 3" xfId="24862"/>
    <cellStyle name="Normal 8 3 2 2 4 3" xfId="24863"/>
    <cellStyle name="Normal 8 3 2 2 4 3 2" xfId="24864"/>
    <cellStyle name="Normal 8 3 2 2 4 4" xfId="24865"/>
    <cellStyle name="Normal 8 3 2 2 5" xfId="24866"/>
    <cellStyle name="Normal 8 3 2 2 5 2" xfId="24867"/>
    <cellStyle name="Normal 8 3 2 2 5 2 2" xfId="24868"/>
    <cellStyle name="Normal 8 3 2 2 5 3" xfId="24869"/>
    <cellStyle name="Normal 8 3 2 2 6" xfId="24870"/>
    <cellStyle name="Normal 8 3 2 2 6 2" xfId="24871"/>
    <cellStyle name="Normal 8 3 2 2 6 2 2" xfId="24872"/>
    <cellStyle name="Normal 8 3 2 2 6 3" xfId="24873"/>
    <cellStyle name="Normal 8 3 2 2 7" xfId="24874"/>
    <cellStyle name="Normal 8 3 2 2 7 2" xfId="24875"/>
    <cellStyle name="Normal 8 3 2 2 8" xfId="24876"/>
    <cellStyle name="Normal 8 3 2 2 8 2" xfId="37032"/>
    <cellStyle name="Normal 8 3 2 2 9" xfId="24877"/>
    <cellStyle name="Normal 8 3 2 3" xfId="24878"/>
    <cellStyle name="Normal 8 3 2 3 2" xfId="24879"/>
    <cellStyle name="Normal 8 3 2 3 2 2" xfId="24880"/>
    <cellStyle name="Normal 8 3 2 3 2 2 2" xfId="24881"/>
    <cellStyle name="Normal 8 3 2 3 2 2 2 2" xfId="24882"/>
    <cellStyle name="Normal 8 3 2 3 2 2 2 3" xfId="24883"/>
    <cellStyle name="Normal 8 3 2 3 2 2 3" xfId="24884"/>
    <cellStyle name="Normal 8 3 2 3 2 2 3 2" xfId="24885"/>
    <cellStyle name="Normal 8 3 2 3 2 2 4" xfId="24886"/>
    <cellStyle name="Normal 8 3 2 3 2 3" xfId="24887"/>
    <cellStyle name="Normal 8 3 2 3 2 3 2" xfId="24888"/>
    <cellStyle name="Normal 8 3 2 3 2 3 2 2" xfId="24889"/>
    <cellStyle name="Normal 8 3 2 3 2 3 3" xfId="24890"/>
    <cellStyle name="Normal 8 3 2 3 2 4" xfId="24891"/>
    <cellStyle name="Normal 8 3 2 3 2 4 2" xfId="24892"/>
    <cellStyle name="Normal 8 3 2 3 2 4 3" xfId="24893"/>
    <cellStyle name="Normal 8 3 2 3 2 5" xfId="24894"/>
    <cellStyle name="Normal 8 3 2 3 2 5 2" xfId="24895"/>
    <cellStyle name="Normal 8 3 2 3 2 6" xfId="24896"/>
    <cellStyle name="Normal 8 3 2 3 2 6 2" xfId="37033"/>
    <cellStyle name="Normal 8 3 2 3 2 7" xfId="24897"/>
    <cellStyle name="Normal 8 3 2 3 3" xfId="24898"/>
    <cellStyle name="Normal 8 3 2 3 3 2" xfId="24899"/>
    <cellStyle name="Normal 8 3 2 3 3 2 2" xfId="24900"/>
    <cellStyle name="Normal 8 3 2 3 3 2 2 2" xfId="24901"/>
    <cellStyle name="Normal 8 3 2 3 3 2 3" xfId="24902"/>
    <cellStyle name="Normal 8 3 2 3 3 3" xfId="24903"/>
    <cellStyle name="Normal 8 3 2 3 3 3 2" xfId="24904"/>
    <cellStyle name="Normal 8 3 2 3 3 4" xfId="24905"/>
    <cellStyle name="Normal 8 3 2 3 4" xfId="24906"/>
    <cellStyle name="Normal 8 3 2 3 4 2" xfId="24907"/>
    <cellStyle name="Normal 8 3 2 3 4 2 2" xfId="24908"/>
    <cellStyle name="Normal 8 3 2 3 4 3" xfId="24909"/>
    <cellStyle name="Normal 8 3 2 3 5" xfId="24910"/>
    <cellStyle name="Normal 8 3 2 3 5 2" xfId="24911"/>
    <cellStyle name="Normal 8 3 2 3 5 2 2" xfId="24912"/>
    <cellStyle name="Normal 8 3 2 3 5 3" xfId="24913"/>
    <cellStyle name="Normal 8 3 2 3 6" xfId="24914"/>
    <cellStyle name="Normal 8 3 2 3 6 2" xfId="24915"/>
    <cellStyle name="Normal 8 3 2 3 7" xfId="24916"/>
    <cellStyle name="Normal 8 3 2 3 7 2" xfId="37034"/>
    <cellStyle name="Normal 8 3 2 3 8" xfId="24917"/>
    <cellStyle name="Normal 8 3 2 4" xfId="24918"/>
    <cellStyle name="Normal 8 3 2 4 2" xfId="24919"/>
    <cellStyle name="Normal 8 3 2 4 2 2" xfId="24920"/>
    <cellStyle name="Normal 8 3 2 4 2 2 2" xfId="24921"/>
    <cellStyle name="Normal 8 3 2 4 2 2 3" xfId="24922"/>
    <cellStyle name="Normal 8 3 2 4 2 3" xfId="24923"/>
    <cellStyle name="Normal 8 3 2 4 2 3 2" xfId="24924"/>
    <cellStyle name="Normal 8 3 2 4 2 4" xfId="24925"/>
    <cellStyle name="Normal 8 3 2 4 3" xfId="24926"/>
    <cellStyle name="Normal 8 3 2 4 3 2" xfId="24927"/>
    <cellStyle name="Normal 8 3 2 4 3 2 2" xfId="24928"/>
    <cellStyle name="Normal 8 3 2 4 3 3" xfId="24929"/>
    <cellStyle name="Normal 8 3 2 4 4" xfId="24930"/>
    <cellStyle name="Normal 8 3 2 4 4 2" xfId="24931"/>
    <cellStyle name="Normal 8 3 2 4 4 3" xfId="24932"/>
    <cellStyle name="Normal 8 3 2 4 5" xfId="24933"/>
    <cellStyle name="Normal 8 3 2 4 5 2" xfId="24934"/>
    <cellStyle name="Normal 8 3 2 4 6" xfId="24935"/>
    <cellStyle name="Normal 8 3 2 4 6 2" xfId="37035"/>
    <cellStyle name="Normal 8 3 2 4 7" xfId="24936"/>
    <cellStyle name="Normal 8 3 2 5" xfId="24937"/>
    <cellStyle name="Normal 8 3 2 5 2" xfId="24938"/>
    <cellStyle name="Normal 8 3 2 5 2 2" xfId="24939"/>
    <cellStyle name="Normal 8 3 2 5 2 2 2" xfId="24940"/>
    <cellStyle name="Normal 8 3 2 5 2 3" xfId="24941"/>
    <cellStyle name="Normal 8 3 2 5 3" xfId="24942"/>
    <cellStyle name="Normal 8 3 2 5 3 2" xfId="24943"/>
    <cellStyle name="Normal 8 3 2 5 4" xfId="24944"/>
    <cellStyle name="Normal 8 3 2 6" xfId="24945"/>
    <cellStyle name="Normal 8 3 2 6 2" xfId="24946"/>
    <cellStyle name="Normal 8 3 2 6 2 2" xfId="24947"/>
    <cellStyle name="Normal 8 3 2 6 3" xfId="24948"/>
    <cellStyle name="Normal 8 3 2 7" xfId="24949"/>
    <cellStyle name="Normal 8 3 2 7 2" xfId="24950"/>
    <cellStyle name="Normal 8 3 2 7 2 2" xfId="24951"/>
    <cellStyle name="Normal 8 3 2 7 3" xfId="24952"/>
    <cellStyle name="Normal 8 3 2 8" xfId="24953"/>
    <cellStyle name="Normal 8 3 2 8 2" xfId="24954"/>
    <cellStyle name="Normal 8 3 2 9" xfId="24955"/>
    <cellStyle name="Normal 8 3 2 9 2" xfId="37036"/>
    <cellStyle name="Normal 8 3 3" xfId="24956"/>
    <cellStyle name="Normal 8 3 3 2" xfId="24957"/>
    <cellStyle name="Normal 8 3 3 2 2" xfId="24958"/>
    <cellStyle name="Normal 8 3 3 2 2 2" xfId="24959"/>
    <cellStyle name="Normal 8 3 3 2 2 2 2" xfId="24960"/>
    <cellStyle name="Normal 8 3 3 2 2 2 2 2" xfId="24961"/>
    <cellStyle name="Normal 8 3 3 2 2 2 2 3" xfId="24962"/>
    <cellStyle name="Normal 8 3 3 2 2 2 3" xfId="24963"/>
    <cellStyle name="Normal 8 3 3 2 2 2 3 2" xfId="24964"/>
    <cellStyle name="Normal 8 3 3 2 2 2 4" xfId="24965"/>
    <cellStyle name="Normal 8 3 3 2 2 3" xfId="24966"/>
    <cellStyle name="Normal 8 3 3 2 2 3 2" xfId="24967"/>
    <cellStyle name="Normal 8 3 3 2 2 3 2 2" xfId="24968"/>
    <cellStyle name="Normal 8 3 3 2 2 3 3" xfId="24969"/>
    <cellStyle name="Normal 8 3 3 2 2 4" xfId="24970"/>
    <cellStyle name="Normal 8 3 3 2 2 4 2" xfId="24971"/>
    <cellStyle name="Normal 8 3 3 2 2 4 3" xfId="24972"/>
    <cellStyle name="Normal 8 3 3 2 2 5" xfId="24973"/>
    <cellStyle name="Normal 8 3 3 2 2 5 2" xfId="24974"/>
    <cellStyle name="Normal 8 3 3 2 2 6" xfId="24975"/>
    <cellStyle name="Normal 8 3 3 2 2 6 2" xfId="37037"/>
    <cellStyle name="Normal 8 3 3 2 2 7" xfId="24976"/>
    <cellStyle name="Normal 8 3 3 2 3" xfId="24977"/>
    <cellStyle name="Normal 8 3 3 2 3 2" xfId="24978"/>
    <cellStyle name="Normal 8 3 3 2 3 2 2" xfId="24979"/>
    <cellStyle name="Normal 8 3 3 2 3 2 2 2" xfId="24980"/>
    <cellStyle name="Normal 8 3 3 2 3 2 3" xfId="24981"/>
    <cellStyle name="Normal 8 3 3 2 3 3" xfId="24982"/>
    <cellStyle name="Normal 8 3 3 2 3 3 2" xfId="24983"/>
    <cellStyle name="Normal 8 3 3 2 3 4" xfId="24984"/>
    <cellStyle name="Normal 8 3 3 2 4" xfId="24985"/>
    <cellStyle name="Normal 8 3 3 2 4 2" xfId="24986"/>
    <cellStyle name="Normal 8 3 3 2 4 2 2" xfId="24987"/>
    <cellStyle name="Normal 8 3 3 2 4 3" xfId="24988"/>
    <cellStyle name="Normal 8 3 3 2 5" xfId="24989"/>
    <cellStyle name="Normal 8 3 3 2 5 2" xfId="24990"/>
    <cellStyle name="Normal 8 3 3 2 5 2 2" xfId="24991"/>
    <cellStyle name="Normal 8 3 3 2 5 3" xfId="24992"/>
    <cellStyle name="Normal 8 3 3 2 6" xfId="24993"/>
    <cellStyle name="Normal 8 3 3 2 6 2" xfId="24994"/>
    <cellStyle name="Normal 8 3 3 2 7" xfId="24995"/>
    <cellStyle name="Normal 8 3 3 2 7 2" xfId="37038"/>
    <cellStyle name="Normal 8 3 3 2 8" xfId="24996"/>
    <cellStyle name="Normal 8 3 3 3" xfId="24997"/>
    <cellStyle name="Normal 8 3 3 3 2" xfId="24998"/>
    <cellStyle name="Normal 8 3 3 3 2 2" xfId="24999"/>
    <cellStyle name="Normal 8 3 3 3 2 2 2" xfId="25000"/>
    <cellStyle name="Normal 8 3 3 3 2 2 3" xfId="25001"/>
    <cellStyle name="Normal 8 3 3 3 2 3" xfId="25002"/>
    <cellStyle name="Normal 8 3 3 3 2 3 2" xfId="25003"/>
    <cellStyle name="Normal 8 3 3 3 2 4" xfId="25004"/>
    <cellStyle name="Normal 8 3 3 3 3" xfId="25005"/>
    <cellStyle name="Normal 8 3 3 3 3 2" xfId="25006"/>
    <cellStyle name="Normal 8 3 3 3 3 2 2" xfId="25007"/>
    <cellStyle name="Normal 8 3 3 3 3 3" xfId="25008"/>
    <cellStyle name="Normal 8 3 3 3 4" xfId="25009"/>
    <cellStyle name="Normal 8 3 3 3 4 2" xfId="25010"/>
    <cellStyle name="Normal 8 3 3 3 4 3" xfId="25011"/>
    <cellStyle name="Normal 8 3 3 3 5" xfId="25012"/>
    <cellStyle name="Normal 8 3 3 3 5 2" xfId="25013"/>
    <cellStyle name="Normal 8 3 3 3 6" xfId="25014"/>
    <cellStyle name="Normal 8 3 3 3 6 2" xfId="37039"/>
    <cellStyle name="Normal 8 3 3 3 7" xfId="25015"/>
    <cellStyle name="Normal 8 3 3 4" xfId="25016"/>
    <cellStyle name="Normal 8 3 3 4 2" xfId="25017"/>
    <cellStyle name="Normal 8 3 3 4 2 2" xfId="25018"/>
    <cellStyle name="Normal 8 3 3 4 2 2 2" xfId="25019"/>
    <cellStyle name="Normal 8 3 3 4 2 3" xfId="25020"/>
    <cellStyle name="Normal 8 3 3 4 3" xfId="25021"/>
    <cellStyle name="Normal 8 3 3 4 3 2" xfId="25022"/>
    <cellStyle name="Normal 8 3 3 4 4" xfId="25023"/>
    <cellStyle name="Normal 8 3 3 5" xfId="25024"/>
    <cellStyle name="Normal 8 3 3 5 2" xfId="25025"/>
    <cellStyle name="Normal 8 3 3 5 2 2" xfId="25026"/>
    <cellStyle name="Normal 8 3 3 5 3" xfId="25027"/>
    <cellStyle name="Normal 8 3 3 6" xfId="25028"/>
    <cellStyle name="Normal 8 3 3 6 2" xfId="25029"/>
    <cellStyle name="Normal 8 3 3 6 2 2" xfId="25030"/>
    <cellStyle name="Normal 8 3 3 6 3" xfId="25031"/>
    <cellStyle name="Normal 8 3 3 7" xfId="25032"/>
    <cellStyle name="Normal 8 3 3 7 2" xfId="25033"/>
    <cellStyle name="Normal 8 3 3 8" xfId="25034"/>
    <cellStyle name="Normal 8 3 3 8 2" xfId="37040"/>
    <cellStyle name="Normal 8 3 3 9" xfId="25035"/>
    <cellStyle name="Normal 8 3 4" xfId="25036"/>
    <cellStyle name="Normal 8 3 4 2" xfId="25037"/>
    <cellStyle name="Normal 8 3 4 2 2" xfId="25038"/>
    <cellStyle name="Normal 8 3 4 2 2 2" xfId="25039"/>
    <cellStyle name="Normal 8 3 4 2 2 2 2" xfId="25040"/>
    <cellStyle name="Normal 8 3 4 2 2 2 2 2" xfId="25041"/>
    <cellStyle name="Normal 8 3 4 2 2 2 2 3" xfId="25042"/>
    <cellStyle name="Normal 8 3 4 2 2 2 3" xfId="25043"/>
    <cellStyle name="Normal 8 3 4 2 2 2 3 2" xfId="25044"/>
    <cellStyle name="Normal 8 3 4 2 2 2 4" xfId="25045"/>
    <cellStyle name="Normal 8 3 4 2 2 3" xfId="25046"/>
    <cellStyle name="Normal 8 3 4 2 2 3 2" xfId="25047"/>
    <cellStyle name="Normal 8 3 4 2 2 3 2 2" xfId="25048"/>
    <cellStyle name="Normal 8 3 4 2 2 3 3" xfId="25049"/>
    <cellStyle name="Normal 8 3 4 2 2 4" xfId="25050"/>
    <cellStyle name="Normal 8 3 4 2 2 4 2" xfId="25051"/>
    <cellStyle name="Normal 8 3 4 2 2 4 3" xfId="25052"/>
    <cellStyle name="Normal 8 3 4 2 2 5" xfId="25053"/>
    <cellStyle name="Normal 8 3 4 2 2 5 2" xfId="25054"/>
    <cellStyle name="Normal 8 3 4 2 2 6" xfId="25055"/>
    <cellStyle name="Normal 8 3 4 2 2 6 2" xfId="37041"/>
    <cellStyle name="Normal 8 3 4 2 2 7" xfId="25056"/>
    <cellStyle name="Normal 8 3 4 2 3" xfId="25057"/>
    <cellStyle name="Normal 8 3 4 2 3 2" xfId="25058"/>
    <cellStyle name="Normal 8 3 4 2 3 2 2" xfId="25059"/>
    <cellStyle name="Normal 8 3 4 2 3 2 2 2" xfId="25060"/>
    <cellStyle name="Normal 8 3 4 2 3 2 3" xfId="25061"/>
    <cellStyle name="Normal 8 3 4 2 3 3" xfId="25062"/>
    <cellStyle name="Normal 8 3 4 2 3 3 2" xfId="25063"/>
    <cellStyle name="Normal 8 3 4 2 3 4" xfId="25064"/>
    <cellStyle name="Normal 8 3 4 2 4" xfId="25065"/>
    <cellStyle name="Normal 8 3 4 2 4 2" xfId="25066"/>
    <cellStyle name="Normal 8 3 4 2 4 2 2" xfId="25067"/>
    <cellStyle name="Normal 8 3 4 2 4 3" xfId="25068"/>
    <cellStyle name="Normal 8 3 4 2 5" xfId="25069"/>
    <cellStyle name="Normal 8 3 4 2 5 2" xfId="25070"/>
    <cellStyle name="Normal 8 3 4 2 5 2 2" xfId="25071"/>
    <cellStyle name="Normal 8 3 4 2 5 3" xfId="25072"/>
    <cellStyle name="Normal 8 3 4 2 6" xfId="25073"/>
    <cellStyle name="Normal 8 3 4 2 6 2" xfId="25074"/>
    <cellStyle name="Normal 8 3 4 2 7" xfId="25075"/>
    <cellStyle name="Normal 8 3 4 2 7 2" xfId="37042"/>
    <cellStyle name="Normal 8 3 4 2 8" xfId="25076"/>
    <cellStyle name="Normal 8 3 4 3" xfId="25077"/>
    <cellStyle name="Normal 8 3 4 3 2" xfId="25078"/>
    <cellStyle name="Normal 8 3 4 3 2 2" xfId="25079"/>
    <cellStyle name="Normal 8 3 4 3 2 2 2" xfId="25080"/>
    <cellStyle name="Normal 8 3 4 3 2 2 3" xfId="25081"/>
    <cellStyle name="Normal 8 3 4 3 2 3" xfId="25082"/>
    <cellStyle name="Normal 8 3 4 3 2 3 2" xfId="25083"/>
    <cellStyle name="Normal 8 3 4 3 2 4" xfId="25084"/>
    <cellStyle name="Normal 8 3 4 3 3" xfId="25085"/>
    <cellStyle name="Normal 8 3 4 3 3 2" xfId="25086"/>
    <cellStyle name="Normal 8 3 4 3 3 2 2" xfId="25087"/>
    <cellStyle name="Normal 8 3 4 3 3 3" xfId="25088"/>
    <cellStyle name="Normal 8 3 4 3 4" xfId="25089"/>
    <cellStyle name="Normal 8 3 4 3 4 2" xfId="25090"/>
    <cellStyle name="Normal 8 3 4 3 4 3" xfId="25091"/>
    <cellStyle name="Normal 8 3 4 3 5" xfId="25092"/>
    <cellStyle name="Normal 8 3 4 3 5 2" xfId="25093"/>
    <cellStyle name="Normal 8 3 4 3 6" xfId="25094"/>
    <cellStyle name="Normal 8 3 4 3 6 2" xfId="37043"/>
    <cellStyle name="Normal 8 3 4 3 7" xfId="25095"/>
    <cellStyle name="Normal 8 3 4 4" xfId="25096"/>
    <cellStyle name="Normal 8 3 4 4 2" xfId="25097"/>
    <cellStyle name="Normal 8 3 4 4 2 2" xfId="25098"/>
    <cellStyle name="Normal 8 3 4 4 2 2 2" xfId="25099"/>
    <cellStyle name="Normal 8 3 4 4 2 3" xfId="25100"/>
    <cellStyle name="Normal 8 3 4 4 3" xfId="25101"/>
    <cellStyle name="Normal 8 3 4 4 3 2" xfId="25102"/>
    <cellStyle name="Normal 8 3 4 4 4" xfId="25103"/>
    <cellStyle name="Normal 8 3 4 5" xfId="25104"/>
    <cellStyle name="Normal 8 3 4 5 2" xfId="25105"/>
    <cellStyle name="Normal 8 3 4 5 2 2" xfId="25106"/>
    <cellStyle name="Normal 8 3 4 5 3" xfId="25107"/>
    <cellStyle name="Normal 8 3 4 6" xfId="25108"/>
    <cellStyle name="Normal 8 3 4 6 2" xfId="25109"/>
    <cellStyle name="Normal 8 3 4 6 2 2" xfId="25110"/>
    <cellStyle name="Normal 8 3 4 6 3" xfId="25111"/>
    <cellStyle name="Normal 8 3 4 7" xfId="25112"/>
    <cellStyle name="Normal 8 3 4 7 2" xfId="25113"/>
    <cellStyle name="Normal 8 3 4 8" xfId="25114"/>
    <cellStyle name="Normal 8 3 4 8 2" xfId="37044"/>
    <cellStyle name="Normal 8 3 4 9" xfId="25115"/>
    <cellStyle name="Normal 8 3 5" xfId="25116"/>
    <cellStyle name="Normal 8 3 5 2" xfId="25117"/>
    <cellStyle name="Normal 8 3 5 2 2" xfId="25118"/>
    <cellStyle name="Normal 8 3 5 2 2 2" xfId="25119"/>
    <cellStyle name="Normal 8 3 5 2 2 2 2" xfId="25120"/>
    <cellStyle name="Normal 8 3 5 2 2 2 3" xfId="25121"/>
    <cellStyle name="Normal 8 3 5 2 2 3" xfId="25122"/>
    <cellStyle name="Normal 8 3 5 2 2 3 2" xfId="25123"/>
    <cellStyle name="Normal 8 3 5 2 2 4" xfId="25124"/>
    <cellStyle name="Normal 8 3 5 2 3" xfId="25125"/>
    <cellStyle name="Normal 8 3 5 2 3 2" xfId="25126"/>
    <cellStyle name="Normal 8 3 5 2 3 2 2" xfId="25127"/>
    <cellStyle name="Normal 8 3 5 2 3 3" xfId="25128"/>
    <cellStyle name="Normal 8 3 5 2 4" xfId="25129"/>
    <cellStyle name="Normal 8 3 5 2 4 2" xfId="25130"/>
    <cellStyle name="Normal 8 3 5 2 4 3" xfId="25131"/>
    <cellStyle name="Normal 8 3 5 2 5" xfId="25132"/>
    <cellStyle name="Normal 8 3 5 2 5 2" xfId="25133"/>
    <cellStyle name="Normal 8 3 5 2 6" xfId="25134"/>
    <cellStyle name="Normal 8 3 5 2 6 2" xfId="37045"/>
    <cellStyle name="Normal 8 3 5 2 7" xfId="25135"/>
    <cellStyle name="Normal 8 3 5 3" xfId="25136"/>
    <cellStyle name="Normal 8 3 5 3 2" xfId="25137"/>
    <cellStyle name="Normal 8 3 5 3 2 2" xfId="25138"/>
    <cellStyle name="Normal 8 3 5 3 2 2 2" xfId="25139"/>
    <cellStyle name="Normal 8 3 5 3 2 3" xfId="25140"/>
    <cellStyle name="Normal 8 3 5 3 3" xfId="25141"/>
    <cellStyle name="Normal 8 3 5 3 3 2" xfId="25142"/>
    <cellStyle name="Normal 8 3 5 3 4" xfId="25143"/>
    <cellStyle name="Normal 8 3 5 4" xfId="25144"/>
    <cellStyle name="Normal 8 3 5 4 2" xfId="25145"/>
    <cellStyle name="Normal 8 3 5 4 2 2" xfId="25146"/>
    <cellStyle name="Normal 8 3 5 4 3" xfId="25147"/>
    <cellStyle name="Normal 8 3 5 5" xfId="25148"/>
    <cellStyle name="Normal 8 3 5 5 2" xfId="25149"/>
    <cellStyle name="Normal 8 3 5 5 2 2" xfId="25150"/>
    <cellStyle name="Normal 8 3 5 5 3" xfId="25151"/>
    <cellStyle name="Normal 8 3 5 6" xfId="25152"/>
    <cellStyle name="Normal 8 3 5 6 2" xfId="25153"/>
    <cellStyle name="Normal 8 3 5 7" xfId="25154"/>
    <cellStyle name="Normal 8 3 5 7 2" xfId="37046"/>
    <cellStyle name="Normal 8 3 5 8" xfId="25155"/>
    <cellStyle name="Normal 8 3 6" xfId="25156"/>
    <cellStyle name="Normal 8 3 6 2" xfId="25157"/>
    <cellStyle name="Normal 8 3 6 2 2" xfId="25158"/>
    <cellStyle name="Normal 8 3 6 2 2 2" xfId="25159"/>
    <cellStyle name="Normal 8 3 6 2 2 2 2" xfId="25160"/>
    <cellStyle name="Normal 8 3 6 2 2 2 3" xfId="25161"/>
    <cellStyle name="Normal 8 3 6 2 2 3" xfId="25162"/>
    <cellStyle name="Normal 8 3 6 2 2 3 2" xfId="25163"/>
    <cellStyle name="Normal 8 3 6 2 2 4" xfId="25164"/>
    <cellStyle name="Normal 8 3 6 2 3" xfId="25165"/>
    <cellStyle name="Normal 8 3 6 2 3 2" xfId="25166"/>
    <cellStyle name="Normal 8 3 6 2 3 2 2" xfId="25167"/>
    <cellStyle name="Normal 8 3 6 2 3 3" xfId="25168"/>
    <cellStyle name="Normal 8 3 6 2 4" xfId="25169"/>
    <cellStyle name="Normal 8 3 6 2 4 2" xfId="25170"/>
    <cellStyle name="Normal 8 3 6 2 4 3" xfId="25171"/>
    <cellStyle name="Normal 8 3 6 2 5" xfId="25172"/>
    <cellStyle name="Normal 8 3 6 2 5 2" xfId="25173"/>
    <cellStyle name="Normal 8 3 6 2 6" xfId="25174"/>
    <cellStyle name="Normal 8 3 6 2 6 2" xfId="37047"/>
    <cellStyle name="Normal 8 3 6 2 7" xfId="25175"/>
    <cellStyle name="Normal 8 3 6 3" xfId="25176"/>
    <cellStyle name="Normal 8 3 6 3 2" xfId="25177"/>
    <cellStyle name="Normal 8 3 6 3 2 2" xfId="25178"/>
    <cellStyle name="Normal 8 3 6 3 2 2 2" xfId="25179"/>
    <cellStyle name="Normal 8 3 6 3 2 3" xfId="25180"/>
    <cellStyle name="Normal 8 3 6 3 3" xfId="25181"/>
    <cellStyle name="Normal 8 3 6 3 3 2" xfId="25182"/>
    <cellStyle name="Normal 8 3 6 3 4" xfId="25183"/>
    <cellStyle name="Normal 8 3 6 4" xfId="25184"/>
    <cellStyle name="Normal 8 3 6 4 2" xfId="25185"/>
    <cellStyle name="Normal 8 3 6 4 2 2" xfId="25186"/>
    <cellStyle name="Normal 8 3 6 4 3" xfId="25187"/>
    <cellStyle name="Normal 8 3 6 5" xfId="25188"/>
    <cellStyle name="Normal 8 3 6 5 2" xfId="25189"/>
    <cellStyle name="Normal 8 3 6 5 2 2" xfId="25190"/>
    <cellStyle name="Normal 8 3 6 5 3" xfId="25191"/>
    <cellStyle name="Normal 8 3 6 6" xfId="25192"/>
    <cellStyle name="Normal 8 3 6 6 2" xfId="25193"/>
    <cellStyle name="Normal 8 3 6 7" xfId="25194"/>
    <cellStyle name="Normal 8 3 6 7 2" xfId="37048"/>
    <cellStyle name="Normal 8 3 6 8" xfId="25195"/>
    <cellStyle name="Normal 8 3 7" xfId="25196"/>
    <cellStyle name="Normal 8 3 7 2" xfId="25197"/>
    <cellStyle name="Normal 8 3 7 2 2" xfId="25198"/>
    <cellStyle name="Normal 8 3 7 2 2 2" xfId="25199"/>
    <cellStyle name="Normal 8 3 7 2 2 2 2" xfId="25200"/>
    <cellStyle name="Normal 8 3 7 2 2 2 3" xfId="25201"/>
    <cellStyle name="Normal 8 3 7 2 2 3" xfId="25202"/>
    <cellStyle name="Normal 8 3 7 2 2 3 2" xfId="25203"/>
    <cellStyle name="Normal 8 3 7 2 2 4" xfId="25204"/>
    <cellStyle name="Normal 8 3 7 2 3" xfId="25205"/>
    <cellStyle name="Normal 8 3 7 2 3 2" xfId="25206"/>
    <cellStyle name="Normal 8 3 7 2 3 2 2" xfId="25207"/>
    <cellStyle name="Normal 8 3 7 2 3 3" xfId="25208"/>
    <cellStyle name="Normal 8 3 7 2 4" xfId="25209"/>
    <cellStyle name="Normal 8 3 7 2 4 2" xfId="25210"/>
    <cellStyle name="Normal 8 3 7 2 4 3" xfId="25211"/>
    <cellStyle name="Normal 8 3 7 2 5" xfId="25212"/>
    <cellStyle name="Normal 8 3 7 2 5 2" xfId="25213"/>
    <cellStyle name="Normal 8 3 7 2 6" xfId="25214"/>
    <cellStyle name="Normal 8 3 7 2 6 2" xfId="37049"/>
    <cellStyle name="Normal 8 3 7 2 7" xfId="25215"/>
    <cellStyle name="Normal 8 3 7 3" xfId="25216"/>
    <cellStyle name="Normal 8 3 7 3 2" xfId="25217"/>
    <cellStyle name="Normal 8 3 7 3 2 2" xfId="25218"/>
    <cellStyle name="Normal 8 3 7 3 2 2 2" xfId="25219"/>
    <cellStyle name="Normal 8 3 7 3 2 3" xfId="25220"/>
    <cellStyle name="Normal 8 3 7 3 3" xfId="25221"/>
    <cellStyle name="Normal 8 3 7 3 3 2" xfId="25222"/>
    <cellStyle name="Normal 8 3 7 3 4" xfId="25223"/>
    <cellStyle name="Normal 8 3 7 4" xfId="25224"/>
    <cellStyle name="Normal 8 3 7 4 2" xfId="25225"/>
    <cellStyle name="Normal 8 3 7 4 2 2" xfId="25226"/>
    <cellStyle name="Normal 8 3 7 4 3" xfId="25227"/>
    <cellStyle name="Normal 8 3 7 5" xfId="25228"/>
    <cellStyle name="Normal 8 3 7 5 2" xfId="25229"/>
    <cellStyle name="Normal 8 3 7 5 2 2" xfId="25230"/>
    <cellStyle name="Normal 8 3 7 5 3" xfId="25231"/>
    <cellStyle name="Normal 8 3 7 6" xfId="25232"/>
    <cellStyle name="Normal 8 3 7 6 2" xfId="25233"/>
    <cellStyle name="Normal 8 3 7 7" xfId="25234"/>
    <cellStyle name="Normal 8 3 7 7 2" xfId="37050"/>
    <cellStyle name="Normal 8 3 7 8" xfId="25235"/>
    <cellStyle name="Normal 8 3 8" xfId="25236"/>
    <cellStyle name="Normal 8 3 8 2" xfId="25237"/>
    <cellStyle name="Normal 8 3 8 2 2" xfId="25238"/>
    <cellStyle name="Normal 8 3 8 2 2 2" xfId="25239"/>
    <cellStyle name="Normal 8 3 8 2 2 3" xfId="25240"/>
    <cellStyle name="Normal 8 3 8 2 3" xfId="25241"/>
    <cellStyle name="Normal 8 3 8 2 3 2" xfId="25242"/>
    <cellStyle name="Normal 8 3 8 2 4" xfId="25243"/>
    <cellStyle name="Normal 8 3 8 3" xfId="25244"/>
    <cellStyle name="Normal 8 3 8 3 2" xfId="25245"/>
    <cellStyle name="Normal 8 3 8 3 2 2" xfId="25246"/>
    <cellStyle name="Normal 8 3 8 3 3" xfId="25247"/>
    <cellStyle name="Normal 8 3 8 4" xfId="25248"/>
    <cellStyle name="Normal 8 3 8 4 2" xfId="25249"/>
    <cellStyle name="Normal 8 3 8 4 3" xfId="25250"/>
    <cellStyle name="Normal 8 3 8 5" xfId="25251"/>
    <cellStyle name="Normal 8 3 8 5 2" xfId="25252"/>
    <cellStyle name="Normal 8 3 8 6" xfId="25253"/>
    <cellStyle name="Normal 8 3 8 6 2" xfId="37051"/>
    <cellStyle name="Normal 8 3 8 7" xfId="25254"/>
    <cellStyle name="Normal 8 3 9" xfId="25255"/>
    <cellStyle name="Normal 8 3 9 2" xfId="25256"/>
    <cellStyle name="Normal 8 3 9 2 2" xfId="25257"/>
    <cellStyle name="Normal 8 3 9 2 2 2" xfId="25258"/>
    <cellStyle name="Normal 8 3 9 2 3" xfId="25259"/>
    <cellStyle name="Normal 8 3 9 3" xfId="25260"/>
    <cellStyle name="Normal 8 3 9 3 2" xfId="25261"/>
    <cellStyle name="Normal 8 3 9 4" xfId="25262"/>
    <cellStyle name="Normal 8 4" xfId="25263"/>
    <cellStyle name="Normal 8 4 10" xfId="25264"/>
    <cellStyle name="Normal 8 4 10 2" xfId="25265"/>
    <cellStyle name="Normal 8 4 10 2 2" xfId="25266"/>
    <cellStyle name="Normal 8 4 10 3" xfId="25267"/>
    <cellStyle name="Normal 8 4 11" xfId="25268"/>
    <cellStyle name="Normal 8 4 11 2" xfId="25269"/>
    <cellStyle name="Normal 8 4 11 2 2" xfId="25270"/>
    <cellStyle name="Normal 8 4 11 3" xfId="25271"/>
    <cellStyle name="Normal 8 4 12" xfId="25272"/>
    <cellStyle name="Normal 8 4 12 2" xfId="25273"/>
    <cellStyle name="Normal 8 4 13" xfId="25274"/>
    <cellStyle name="Normal 8 4 13 2" xfId="37052"/>
    <cellStyle name="Normal 8 4 14" xfId="25275"/>
    <cellStyle name="Normal 8 4 2" xfId="25276"/>
    <cellStyle name="Normal 8 4 2 10" xfId="25277"/>
    <cellStyle name="Normal 8 4 2 2" xfId="25278"/>
    <cellStyle name="Normal 8 4 2 2 2" xfId="25279"/>
    <cellStyle name="Normal 8 4 2 2 2 2" xfId="25280"/>
    <cellStyle name="Normal 8 4 2 2 2 2 2" xfId="25281"/>
    <cellStyle name="Normal 8 4 2 2 2 2 2 2" xfId="25282"/>
    <cellStyle name="Normal 8 4 2 2 2 2 2 2 2" xfId="25283"/>
    <cellStyle name="Normal 8 4 2 2 2 2 2 2 3" xfId="25284"/>
    <cellStyle name="Normal 8 4 2 2 2 2 2 3" xfId="25285"/>
    <cellStyle name="Normal 8 4 2 2 2 2 2 3 2" xfId="25286"/>
    <cellStyle name="Normal 8 4 2 2 2 2 2 4" xfId="25287"/>
    <cellStyle name="Normal 8 4 2 2 2 2 3" xfId="25288"/>
    <cellStyle name="Normal 8 4 2 2 2 2 3 2" xfId="25289"/>
    <cellStyle name="Normal 8 4 2 2 2 2 3 2 2" xfId="25290"/>
    <cellStyle name="Normal 8 4 2 2 2 2 3 3" xfId="25291"/>
    <cellStyle name="Normal 8 4 2 2 2 2 4" xfId="25292"/>
    <cellStyle name="Normal 8 4 2 2 2 2 4 2" xfId="25293"/>
    <cellStyle name="Normal 8 4 2 2 2 2 4 3" xfId="25294"/>
    <cellStyle name="Normal 8 4 2 2 2 2 5" xfId="25295"/>
    <cellStyle name="Normal 8 4 2 2 2 2 5 2" xfId="25296"/>
    <cellStyle name="Normal 8 4 2 2 2 2 6" xfId="25297"/>
    <cellStyle name="Normal 8 4 2 2 2 2 6 2" xfId="37053"/>
    <cellStyle name="Normal 8 4 2 2 2 2 7" xfId="25298"/>
    <cellStyle name="Normal 8 4 2 2 2 3" xfId="25299"/>
    <cellStyle name="Normal 8 4 2 2 2 3 2" xfId="25300"/>
    <cellStyle name="Normal 8 4 2 2 2 3 2 2" xfId="25301"/>
    <cellStyle name="Normal 8 4 2 2 2 3 2 2 2" xfId="25302"/>
    <cellStyle name="Normal 8 4 2 2 2 3 2 3" xfId="25303"/>
    <cellStyle name="Normal 8 4 2 2 2 3 3" xfId="25304"/>
    <cellStyle name="Normal 8 4 2 2 2 3 3 2" xfId="25305"/>
    <cellStyle name="Normal 8 4 2 2 2 3 4" xfId="25306"/>
    <cellStyle name="Normal 8 4 2 2 2 4" xfId="25307"/>
    <cellStyle name="Normal 8 4 2 2 2 4 2" xfId="25308"/>
    <cellStyle name="Normal 8 4 2 2 2 4 2 2" xfId="25309"/>
    <cellStyle name="Normal 8 4 2 2 2 4 3" xfId="25310"/>
    <cellStyle name="Normal 8 4 2 2 2 5" xfId="25311"/>
    <cellStyle name="Normal 8 4 2 2 2 5 2" xfId="25312"/>
    <cellStyle name="Normal 8 4 2 2 2 5 2 2" xfId="25313"/>
    <cellStyle name="Normal 8 4 2 2 2 5 3" xfId="25314"/>
    <cellStyle name="Normal 8 4 2 2 2 6" xfId="25315"/>
    <cellStyle name="Normal 8 4 2 2 2 6 2" xfId="25316"/>
    <cellStyle name="Normal 8 4 2 2 2 7" xfId="25317"/>
    <cellStyle name="Normal 8 4 2 2 2 7 2" xfId="37054"/>
    <cellStyle name="Normal 8 4 2 2 2 8" xfId="25318"/>
    <cellStyle name="Normal 8 4 2 2 3" xfId="25319"/>
    <cellStyle name="Normal 8 4 2 2 3 2" xfId="25320"/>
    <cellStyle name="Normal 8 4 2 2 3 2 2" xfId="25321"/>
    <cellStyle name="Normal 8 4 2 2 3 2 2 2" xfId="25322"/>
    <cellStyle name="Normal 8 4 2 2 3 2 2 3" xfId="25323"/>
    <cellStyle name="Normal 8 4 2 2 3 2 3" xfId="25324"/>
    <cellStyle name="Normal 8 4 2 2 3 2 3 2" xfId="25325"/>
    <cellStyle name="Normal 8 4 2 2 3 2 4" xfId="25326"/>
    <cellStyle name="Normal 8 4 2 2 3 3" xfId="25327"/>
    <cellStyle name="Normal 8 4 2 2 3 3 2" xfId="25328"/>
    <cellStyle name="Normal 8 4 2 2 3 3 2 2" xfId="25329"/>
    <cellStyle name="Normal 8 4 2 2 3 3 3" xfId="25330"/>
    <cellStyle name="Normal 8 4 2 2 3 4" xfId="25331"/>
    <cellStyle name="Normal 8 4 2 2 3 4 2" xfId="25332"/>
    <cellStyle name="Normal 8 4 2 2 3 4 3" xfId="25333"/>
    <cellStyle name="Normal 8 4 2 2 3 5" xfId="25334"/>
    <cellStyle name="Normal 8 4 2 2 3 5 2" xfId="25335"/>
    <cellStyle name="Normal 8 4 2 2 3 6" xfId="25336"/>
    <cellStyle name="Normal 8 4 2 2 3 6 2" xfId="37055"/>
    <cellStyle name="Normal 8 4 2 2 3 7" xfId="25337"/>
    <cellStyle name="Normal 8 4 2 2 4" xfId="25338"/>
    <cellStyle name="Normal 8 4 2 2 4 2" xfId="25339"/>
    <cellStyle name="Normal 8 4 2 2 4 2 2" xfId="25340"/>
    <cellStyle name="Normal 8 4 2 2 4 2 2 2" xfId="25341"/>
    <cellStyle name="Normal 8 4 2 2 4 2 3" xfId="25342"/>
    <cellStyle name="Normal 8 4 2 2 4 3" xfId="25343"/>
    <cellStyle name="Normal 8 4 2 2 4 3 2" xfId="25344"/>
    <cellStyle name="Normal 8 4 2 2 4 4" xfId="25345"/>
    <cellStyle name="Normal 8 4 2 2 5" xfId="25346"/>
    <cellStyle name="Normal 8 4 2 2 5 2" xfId="25347"/>
    <cellStyle name="Normal 8 4 2 2 5 2 2" xfId="25348"/>
    <cellStyle name="Normal 8 4 2 2 5 3" xfId="25349"/>
    <cellStyle name="Normal 8 4 2 2 6" xfId="25350"/>
    <cellStyle name="Normal 8 4 2 2 6 2" xfId="25351"/>
    <cellStyle name="Normal 8 4 2 2 6 2 2" xfId="25352"/>
    <cellStyle name="Normal 8 4 2 2 6 3" xfId="25353"/>
    <cellStyle name="Normal 8 4 2 2 7" xfId="25354"/>
    <cellStyle name="Normal 8 4 2 2 7 2" xfId="25355"/>
    <cellStyle name="Normal 8 4 2 2 8" xfId="25356"/>
    <cellStyle name="Normal 8 4 2 2 8 2" xfId="37056"/>
    <cellStyle name="Normal 8 4 2 2 9" xfId="25357"/>
    <cellStyle name="Normal 8 4 2 3" xfId="25358"/>
    <cellStyle name="Normal 8 4 2 3 2" xfId="25359"/>
    <cellStyle name="Normal 8 4 2 3 2 2" xfId="25360"/>
    <cellStyle name="Normal 8 4 2 3 2 2 2" xfId="25361"/>
    <cellStyle name="Normal 8 4 2 3 2 2 2 2" xfId="25362"/>
    <cellStyle name="Normal 8 4 2 3 2 2 2 3" xfId="25363"/>
    <cellStyle name="Normal 8 4 2 3 2 2 3" xfId="25364"/>
    <cellStyle name="Normal 8 4 2 3 2 2 3 2" xfId="25365"/>
    <cellStyle name="Normal 8 4 2 3 2 2 4" xfId="25366"/>
    <cellStyle name="Normal 8 4 2 3 2 3" xfId="25367"/>
    <cellStyle name="Normal 8 4 2 3 2 3 2" xfId="25368"/>
    <cellStyle name="Normal 8 4 2 3 2 3 2 2" xfId="25369"/>
    <cellStyle name="Normal 8 4 2 3 2 3 3" xfId="25370"/>
    <cellStyle name="Normal 8 4 2 3 2 4" xfId="25371"/>
    <cellStyle name="Normal 8 4 2 3 2 4 2" xfId="25372"/>
    <cellStyle name="Normal 8 4 2 3 2 4 3" xfId="25373"/>
    <cellStyle name="Normal 8 4 2 3 2 5" xfId="25374"/>
    <cellStyle name="Normal 8 4 2 3 2 5 2" xfId="25375"/>
    <cellStyle name="Normal 8 4 2 3 2 6" xfId="25376"/>
    <cellStyle name="Normal 8 4 2 3 2 6 2" xfId="37057"/>
    <cellStyle name="Normal 8 4 2 3 2 7" xfId="25377"/>
    <cellStyle name="Normal 8 4 2 3 3" xfId="25378"/>
    <cellStyle name="Normal 8 4 2 3 3 2" xfId="25379"/>
    <cellStyle name="Normal 8 4 2 3 3 2 2" xfId="25380"/>
    <cellStyle name="Normal 8 4 2 3 3 2 2 2" xfId="25381"/>
    <cellStyle name="Normal 8 4 2 3 3 2 3" xfId="25382"/>
    <cellStyle name="Normal 8 4 2 3 3 3" xfId="25383"/>
    <cellStyle name="Normal 8 4 2 3 3 3 2" xfId="25384"/>
    <cellStyle name="Normal 8 4 2 3 3 4" xfId="25385"/>
    <cellStyle name="Normal 8 4 2 3 4" xfId="25386"/>
    <cellStyle name="Normal 8 4 2 3 4 2" xfId="25387"/>
    <cellStyle name="Normal 8 4 2 3 4 2 2" xfId="25388"/>
    <cellStyle name="Normal 8 4 2 3 4 3" xfId="25389"/>
    <cellStyle name="Normal 8 4 2 3 5" xfId="25390"/>
    <cellStyle name="Normal 8 4 2 3 5 2" xfId="25391"/>
    <cellStyle name="Normal 8 4 2 3 5 2 2" xfId="25392"/>
    <cellStyle name="Normal 8 4 2 3 5 3" xfId="25393"/>
    <cellStyle name="Normal 8 4 2 3 6" xfId="25394"/>
    <cellStyle name="Normal 8 4 2 3 6 2" xfId="25395"/>
    <cellStyle name="Normal 8 4 2 3 7" xfId="25396"/>
    <cellStyle name="Normal 8 4 2 3 7 2" xfId="37058"/>
    <cellStyle name="Normal 8 4 2 3 8" xfId="25397"/>
    <cellStyle name="Normal 8 4 2 4" xfId="25398"/>
    <cellStyle name="Normal 8 4 2 4 2" xfId="25399"/>
    <cellStyle name="Normal 8 4 2 4 2 2" xfId="25400"/>
    <cellStyle name="Normal 8 4 2 4 2 2 2" xfId="25401"/>
    <cellStyle name="Normal 8 4 2 4 2 2 3" xfId="25402"/>
    <cellStyle name="Normal 8 4 2 4 2 3" xfId="25403"/>
    <cellStyle name="Normal 8 4 2 4 2 3 2" xfId="25404"/>
    <cellStyle name="Normal 8 4 2 4 2 4" xfId="25405"/>
    <cellStyle name="Normal 8 4 2 4 3" xfId="25406"/>
    <cellStyle name="Normal 8 4 2 4 3 2" xfId="25407"/>
    <cellStyle name="Normal 8 4 2 4 3 2 2" xfId="25408"/>
    <cellStyle name="Normal 8 4 2 4 3 3" xfId="25409"/>
    <cellStyle name="Normal 8 4 2 4 4" xfId="25410"/>
    <cellStyle name="Normal 8 4 2 4 4 2" xfId="25411"/>
    <cellStyle name="Normal 8 4 2 4 4 3" xfId="25412"/>
    <cellStyle name="Normal 8 4 2 4 5" xfId="25413"/>
    <cellStyle name="Normal 8 4 2 4 5 2" xfId="25414"/>
    <cellStyle name="Normal 8 4 2 4 6" xfId="25415"/>
    <cellStyle name="Normal 8 4 2 4 6 2" xfId="37059"/>
    <cellStyle name="Normal 8 4 2 4 7" xfId="25416"/>
    <cellStyle name="Normal 8 4 2 5" xfId="25417"/>
    <cellStyle name="Normal 8 4 2 5 2" xfId="25418"/>
    <cellStyle name="Normal 8 4 2 5 2 2" xfId="25419"/>
    <cellStyle name="Normal 8 4 2 5 2 2 2" xfId="25420"/>
    <cellStyle name="Normal 8 4 2 5 2 3" xfId="25421"/>
    <cellStyle name="Normal 8 4 2 5 3" xfId="25422"/>
    <cellStyle name="Normal 8 4 2 5 3 2" xfId="25423"/>
    <cellStyle name="Normal 8 4 2 5 4" xfId="25424"/>
    <cellStyle name="Normal 8 4 2 6" xfId="25425"/>
    <cellStyle name="Normal 8 4 2 6 2" xfId="25426"/>
    <cellStyle name="Normal 8 4 2 6 2 2" xfId="25427"/>
    <cellStyle name="Normal 8 4 2 6 3" xfId="25428"/>
    <cellStyle name="Normal 8 4 2 7" xfId="25429"/>
    <cellStyle name="Normal 8 4 2 7 2" xfId="25430"/>
    <cellStyle name="Normal 8 4 2 7 2 2" xfId="25431"/>
    <cellStyle name="Normal 8 4 2 7 3" xfId="25432"/>
    <cellStyle name="Normal 8 4 2 8" xfId="25433"/>
    <cellStyle name="Normal 8 4 2 8 2" xfId="25434"/>
    <cellStyle name="Normal 8 4 2 9" xfId="25435"/>
    <cellStyle name="Normal 8 4 2 9 2" xfId="37060"/>
    <cellStyle name="Normal 8 4 3" xfId="25436"/>
    <cellStyle name="Normal 8 4 3 2" xfId="25437"/>
    <cellStyle name="Normal 8 4 3 2 2" xfId="25438"/>
    <cellStyle name="Normal 8 4 3 2 2 2" xfId="25439"/>
    <cellStyle name="Normal 8 4 3 2 2 2 2" xfId="25440"/>
    <cellStyle name="Normal 8 4 3 2 2 2 2 2" xfId="25441"/>
    <cellStyle name="Normal 8 4 3 2 2 2 2 3" xfId="25442"/>
    <cellStyle name="Normal 8 4 3 2 2 2 3" xfId="25443"/>
    <cellStyle name="Normal 8 4 3 2 2 2 3 2" xfId="25444"/>
    <cellStyle name="Normal 8 4 3 2 2 2 4" xfId="25445"/>
    <cellStyle name="Normal 8 4 3 2 2 3" xfId="25446"/>
    <cellStyle name="Normal 8 4 3 2 2 3 2" xfId="25447"/>
    <cellStyle name="Normal 8 4 3 2 2 3 2 2" xfId="25448"/>
    <cellStyle name="Normal 8 4 3 2 2 3 3" xfId="25449"/>
    <cellStyle name="Normal 8 4 3 2 2 4" xfId="25450"/>
    <cellStyle name="Normal 8 4 3 2 2 4 2" xfId="25451"/>
    <cellStyle name="Normal 8 4 3 2 2 4 3" xfId="25452"/>
    <cellStyle name="Normal 8 4 3 2 2 5" xfId="25453"/>
    <cellStyle name="Normal 8 4 3 2 2 5 2" xfId="25454"/>
    <cellStyle name="Normal 8 4 3 2 2 6" xfId="25455"/>
    <cellStyle name="Normal 8 4 3 2 2 6 2" xfId="37061"/>
    <cellStyle name="Normal 8 4 3 2 2 7" xfId="25456"/>
    <cellStyle name="Normal 8 4 3 2 3" xfId="25457"/>
    <cellStyle name="Normal 8 4 3 2 3 2" xfId="25458"/>
    <cellStyle name="Normal 8 4 3 2 3 2 2" xfId="25459"/>
    <cellStyle name="Normal 8 4 3 2 3 2 2 2" xfId="25460"/>
    <cellStyle name="Normal 8 4 3 2 3 2 3" xfId="25461"/>
    <cellStyle name="Normal 8 4 3 2 3 3" xfId="25462"/>
    <cellStyle name="Normal 8 4 3 2 3 3 2" xfId="25463"/>
    <cellStyle name="Normal 8 4 3 2 3 4" xfId="25464"/>
    <cellStyle name="Normal 8 4 3 2 4" xfId="25465"/>
    <cellStyle name="Normal 8 4 3 2 4 2" xfId="25466"/>
    <cellStyle name="Normal 8 4 3 2 4 2 2" xfId="25467"/>
    <cellStyle name="Normal 8 4 3 2 4 3" xfId="25468"/>
    <cellStyle name="Normal 8 4 3 2 5" xfId="25469"/>
    <cellStyle name="Normal 8 4 3 2 5 2" xfId="25470"/>
    <cellStyle name="Normal 8 4 3 2 5 2 2" xfId="25471"/>
    <cellStyle name="Normal 8 4 3 2 5 3" xfId="25472"/>
    <cellStyle name="Normal 8 4 3 2 6" xfId="25473"/>
    <cellStyle name="Normal 8 4 3 2 6 2" xfId="25474"/>
    <cellStyle name="Normal 8 4 3 2 7" xfId="25475"/>
    <cellStyle name="Normal 8 4 3 2 7 2" xfId="37062"/>
    <cellStyle name="Normal 8 4 3 2 8" xfId="25476"/>
    <cellStyle name="Normal 8 4 3 3" xfId="25477"/>
    <cellStyle name="Normal 8 4 3 3 2" xfId="25478"/>
    <cellStyle name="Normal 8 4 3 3 2 2" xfId="25479"/>
    <cellStyle name="Normal 8 4 3 3 2 2 2" xfId="25480"/>
    <cellStyle name="Normal 8 4 3 3 2 2 3" xfId="25481"/>
    <cellStyle name="Normal 8 4 3 3 2 3" xfId="25482"/>
    <cellStyle name="Normal 8 4 3 3 2 3 2" xfId="25483"/>
    <cellStyle name="Normal 8 4 3 3 2 4" xfId="25484"/>
    <cellStyle name="Normal 8 4 3 3 3" xfId="25485"/>
    <cellStyle name="Normal 8 4 3 3 3 2" xfId="25486"/>
    <cellStyle name="Normal 8 4 3 3 3 2 2" xfId="25487"/>
    <cellStyle name="Normal 8 4 3 3 3 3" xfId="25488"/>
    <cellStyle name="Normal 8 4 3 3 4" xfId="25489"/>
    <cellStyle name="Normal 8 4 3 3 4 2" xfId="25490"/>
    <cellStyle name="Normal 8 4 3 3 4 3" xfId="25491"/>
    <cellStyle name="Normal 8 4 3 3 5" xfId="25492"/>
    <cellStyle name="Normal 8 4 3 3 5 2" xfId="25493"/>
    <cellStyle name="Normal 8 4 3 3 6" xfId="25494"/>
    <cellStyle name="Normal 8 4 3 3 6 2" xfId="37063"/>
    <cellStyle name="Normal 8 4 3 3 7" xfId="25495"/>
    <cellStyle name="Normal 8 4 3 4" xfId="25496"/>
    <cellStyle name="Normal 8 4 3 4 2" xfId="25497"/>
    <cellStyle name="Normal 8 4 3 4 2 2" xfId="25498"/>
    <cellStyle name="Normal 8 4 3 4 2 2 2" xfId="25499"/>
    <cellStyle name="Normal 8 4 3 4 2 3" xfId="25500"/>
    <cellStyle name="Normal 8 4 3 4 3" xfId="25501"/>
    <cellStyle name="Normal 8 4 3 4 3 2" xfId="25502"/>
    <cellStyle name="Normal 8 4 3 4 4" xfId="25503"/>
    <cellStyle name="Normal 8 4 3 5" xfId="25504"/>
    <cellStyle name="Normal 8 4 3 5 2" xfId="25505"/>
    <cellStyle name="Normal 8 4 3 5 2 2" xfId="25506"/>
    <cellStyle name="Normal 8 4 3 5 3" xfId="25507"/>
    <cellStyle name="Normal 8 4 3 6" xfId="25508"/>
    <cellStyle name="Normal 8 4 3 6 2" xfId="25509"/>
    <cellStyle name="Normal 8 4 3 6 2 2" xfId="25510"/>
    <cellStyle name="Normal 8 4 3 6 3" xfId="25511"/>
    <cellStyle name="Normal 8 4 3 7" xfId="25512"/>
    <cellStyle name="Normal 8 4 3 7 2" xfId="25513"/>
    <cellStyle name="Normal 8 4 3 8" xfId="25514"/>
    <cellStyle name="Normal 8 4 3 8 2" xfId="37064"/>
    <cellStyle name="Normal 8 4 3 9" xfId="25515"/>
    <cellStyle name="Normal 8 4 4" xfId="25516"/>
    <cellStyle name="Normal 8 4 4 2" xfId="25517"/>
    <cellStyle name="Normal 8 4 4 2 2" xfId="25518"/>
    <cellStyle name="Normal 8 4 4 2 2 2" xfId="25519"/>
    <cellStyle name="Normal 8 4 4 2 2 2 2" xfId="25520"/>
    <cellStyle name="Normal 8 4 4 2 2 2 2 2" xfId="25521"/>
    <cellStyle name="Normal 8 4 4 2 2 2 2 3" xfId="25522"/>
    <cellStyle name="Normal 8 4 4 2 2 2 3" xfId="25523"/>
    <cellStyle name="Normal 8 4 4 2 2 2 3 2" xfId="25524"/>
    <cellStyle name="Normal 8 4 4 2 2 2 4" xfId="25525"/>
    <cellStyle name="Normal 8 4 4 2 2 3" xfId="25526"/>
    <cellStyle name="Normal 8 4 4 2 2 3 2" xfId="25527"/>
    <cellStyle name="Normal 8 4 4 2 2 3 2 2" xfId="25528"/>
    <cellStyle name="Normal 8 4 4 2 2 3 3" xfId="25529"/>
    <cellStyle name="Normal 8 4 4 2 2 4" xfId="25530"/>
    <cellStyle name="Normal 8 4 4 2 2 4 2" xfId="25531"/>
    <cellStyle name="Normal 8 4 4 2 2 4 3" xfId="25532"/>
    <cellStyle name="Normal 8 4 4 2 2 5" xfId="25533"/>
    <cellStyle name="Normal 8 4 4 2 2 5 2" xfId="25534"/>
    <cellStyle name="Normal 8 4 4 2 2 6" xfId="25535"/>
    <cellStyle name="Normal 8 4 4 2 2 6 2" xfId="37065"/>
    <cellStyle name="Normal 8 4 4 2 2 7" xfId="25536"/>
    <cellStyle name="Normal 8 4 4 2 3" xfId="25537"/>
    <cellStyle name="Normal 8 4 4 2 3 2" xfId="25538"/>
    <cellStyle name="Normal 8 4 4 2 3 2 2" xfId="25539"/>
    <cellStyle name="Normal 8 4 4 2 3 2 2 2" xfId="25540"/>
    <cellStyle name="Normal 8 4 4 2 3 2 3" xfId="25541"/>
    <cellStyle name="Normal 8 4 4 2 3 3" xfId="25542"/>
    <cellStyle name="Normal 8 4 4 2 3 3 2" xfId="25543"/>
    <cellStyle name="Normal 8 4 4 2 3 4" xfId="25544"/>
    <cellStyle name="Normal 8 4 4 2 4" xfId="25545"/>
    <cellStyle name="Normal 8 4 4 2 4 2" xfId="25546"/>
    <cellStyle name="Normal 8 4 4 2 4 2 2" xfId="25547"/>
    <cellStyle name="Normal 8 4 4 2 4 3" xfId="25548"/>
    <cellStyle name="Normal 8 4 4 2 5" xfId="25549"/>
    <cellStyle name="Normal 8 4 4 2 5 2" xfId="25550"/>
    <cellStyle name="Normal 8 4 4 2 5 2 2" xfId="25551"/>
    <cellStyle name="Normal 8 4 4 2 5 3" xfId="25552"/>
    <cellStyle name="Normal 8 4 4 2 6" xfId="25553"/>
    <cellStyle name="Normal 8 4 4 2 6 2" xfId="25554"/>
    <cellStyle name="Normal 8 4 4 2 7" xfId="25555"/>
    <cellStyle name="Normal 8 4 4 2 7 2" xfId="37066"/>
    <cellStyle name="Normal 8 4 4 2 8" xfId="25556"/>
    <cellStyle name="Normal 8 4 4 3" xfId="25557"/>
    <cellStyle name="Normal 8 4 4 3 2" xfId="25558"/>
    <cellStyle name="Normal 8 4 4 3 2 2" xfId="25559"/>
    <cellStyle name="Normal 8 4 4 3 2 2 2" xfId="25560"/>
    <cellStyle name="Normal 8 4 4 3 2 2 3" xfId="25561"/>
    <cellStyle name="Normal 8 4 4 3 2 3" xfId="25562"/>
    <cellStyle name="Normal 8 4 4 3 2 3 2" xfId="25563"/>
    <cellStyle name="Normal 8 4 4 3 2 4" xfId="25564"/>
    <cellStyle name="Normal 8 4 4 3 3" xfId="25565"/>
    <cellStyle name="Normal 8 4 4 3 3 2" xfId="25566"/>
    <cellStyle name="Normal 8 4 4 3 3 2 2" xfId="25567"/>
    <cellStyle name="Normal 8 4 4 3 3 3" xfId="25568"/>
    <cellStyle name="Normal 8 4 4 3 4" xfId="25569"/>
    <cellStyle name="Normal 8 4 4 3 4 2" xfId="25570"/>
    <cellStyle name="Normal 8 4 4 3 4 3" xfId="25571"/>
    <cellStyle name="Normal 8 4 4 3 5" xfId="25572"/>
    <cellStyle name="Normal 8 4 4 3 5 2" xfId="25573"/>
    <cellStyle name="Normal 8 4 4 3 6" xfId="25574"/>
    <cellStyle name="Normal 8 4 4 3 6 2" xfId="37067"/>
    <cellStyle name="Normal 8 4 4 3 7" xfId="25575"/>
    <cellStyle name="Normal 8 4 4 4" xfId="25576"/>
    <cellStyle name="Normal 8 4 4 4 2" xfId="25577"/>
    <cellStyle name="Normal 8 4 4 4 2 2" xfId="25578"/>
    <cellStyle name="Normal 8 4 4 4 2 2 2" xfId="25579"/>
    <cellStyle name="Normal 8 4 4 4 2 3" xfId="25580"/>
    <cellStyle name="Normal 8 4 4 4 3" xfId="25581"/>
    <cellStyle name="Normal 8 4 4 4 3 2" xfId="25582"/>
    <cellStyle name="Normal 8 4 4 4 4" xfId="25583"/>
    <cellStyle name="Normal 8 4 4 5" xfId="25584"/>
    <cellStyle name="Normal 8 4 4 5 2" xfId="25585"/>
    <cellStyle name="Normal 8 4 4 5 2 2" xfId="25586"/>
    <cellStyle name="Normal 8 4 4 5 3" xfId="25587"/>
    <cellStyle name="Normal 8 4 4 6" xfId="25588"/>
    <cellStyle name="Normal 8 4 4 6 2" xfId="25589"/>
    <cellStyle name="Normal 8 4 4 6 2 2" xfId="25590"/>
    <cellStyle name="Normal 8 4 4 6 3" xfId="25591"/>
    <cellStyle name="Normal 8 4 4 7" xfId="25592"/>
    <cellStyle name="Normal 8 4 4 7 2" xfId="25593"/>
    <cellStyle name="Normal 8 4 4 8" xfId="25594"/>
    <cellStyle name="Normal 8 4 4 8 2" xfId="37068"/>
    <cellStyle name="Normal 8 4 4 9" xfId="25595"/>
    <cellStyle name="Normal 8 4 5" xfId="25596"/>
    <cellStyle name="Normal 8 4 5 2" xfId="25597"/>
    <cellStyle name="Normal 8 4 5 2 2" xfId="25598"/>
    <cellStyle name="Normal 8 4 5 2 2 2" xfId="25599"/>
    <cellStyle name="Normal 8 4 5 2 2 2 2" xfId="25600"/>
    <cellStyle name="Normal 8 4 5 2 2 2 3" xfId="25601"/>
    <cellStyle name="Normal 8 4 5 2 2 3" xfId="25602"/>
    <cellStyle name="Normal 8 4 5 2 2 3 2" xfId="25603"/>
    <cellStyle name="Normal 8 4 5 2 2 4" xfId="25604"/>
    <cellStyle name="Normal 8 4 5 2 3" xfId="25605"/>
    <cellStyle name="Normal 8 4 5 2 3 2" xfId="25606"/>
    <cellStyle name="Normal 8 4 5 2 3 2 2" xfId="25607"/>
    <cellStyle name="Normal 8 4 5 2 3 3" xfId="25608"/>
    <cellStyle name="Normal 8 4 5 2 4" xfId="25609"/>
    <cellStyle name="Normal 8 4 5 2 4 2" xfId="25610"/>
    <cellStyle name="Normal 8 4 5 2 4 3" xfId="25611"/>
    <cellStyle name="Normal 8 4 5 2 5" xfId="25612"/>
    <cellStyle name="Normal 8 4 5 2 5 2" xfId="25613"/>
    <cellStyle name="Normal 8 4 5 2 6" xfId="25614"/>
    <cellStyle name="Normal 8 4 5 2 6 2" xfId="37069"/>
    <cellStyle name="Normal 8 4 5 2 7" xfId="25615"/>
    <cellStyle name="Normal 8 4 5 3" xfId="25616"/>
    <cellStyle name="Normal 8 4 5 3 2" xfId="25617"/>
    <cellStyle name="Normal 8 4 5 3 2 2" xfId="25618"/>
    <cellStyle name="Normal 8 4 5 3 2 2 2" xfId="25619"/>
    <cellStyle name="Normal 8 4 5 3 2 3" xfId="25620"/>
    <cellStyle name="Normal 8 4 5 3 3" xfId="25621"/>
    <cellStyle name="Normal 8 4 5 3 3 2" xfId="25622"/>
    <cellStyle name="Normal 8 4 5 3 4" xfId="25623"/>
    <cellStyle name="Normal 8 4 5 4" xfId="25624"/>
    <cellStyle name="Normal 8 4 5 4 2" xfId="25625"/>
    <cellStyle name="Normal 8 4 5 4 2 2" xfId="25626"/>
    <cellStyle name="Normal 8 4 5 4 3" xfId="25627"/>
    <cellStyle name="Normal 8 4 5 5" xfId="25628"/>
    <cellStyle name="Normal 8 4 5 5 2" xfId="25629"/>
    <cellStyle name="Normal 8 4 5 5 2 2" xfId="25630"/>
    <cellStyle name="Normal 8 4 5 5 3" xfId="25631"/>
    <cellStyle name="Normal 8 4 5 6" xfId="25632"/>
    <cellStyle name="Normal 8 4 5 6 2" xfId="25633"/>
    <cellStyle name="Normal 8 4 5 7" xfId="25634"/>
    <cellStyle name="Normal 8 4 5 7 2" xfId="37070"/>
    <cellStyle name="Normal 8 4 5 8" xfId="25635"/>
    <cellStyle name="Normal 8 4 6" xfId="25636"/>
    <cellStyle name="Normal 8 4 6 2" xfId="25637"/>
    <cellStyle name="Normal 8 4 6 2 2" xfId="25638"/>
    <cellStyle name="Normal 8 4 6 2 2 2" xfId="25639"/>
    <cellStyle name="Normal 8 4 6 2 2 2 2" xfId="25640"/>
    <cellStyle name="Normal 8 4 6 2 2 2 3" xfId="25641"/>
    <cellStyle name="Normal 8 4 6 2 2 3" xfId="25642"/>
    <cellStyle name="Normal 8 4 6 2 2 3 2" xfId="25643"/>
    <cellStyle name="Normal 8 4 6 2 2 4" xfId="25644"/>
    <cellStyle name="Normal 8 4 6 2 3" xfId="25645"/>
    <cellStyle name="Normal 8 4 6 2 3 2" xfId="25646"/>
    <cellStyle name="Normal 8 4 6 2 3 2 2" xfId="25647"/>
    <cellStyle name="Normal 8 4 6 2 3 3" xfId="25648"/>
    <cellStyle name="Normal 8 4 6 2 4" xfId="25649"/>
    <cellStyle name="Normal 8 4 6 2 4 2" xfId="25650"/>
    <cellStyle name="Normal 8 4 6 2 4 3" xfId="25651"/>
    <cellStyle name="Normal 8 4 6 2 5" xfId="25652"/>
    <cellStyle name="Normal 8 4 6 2 5 2" xfId="25653"/>
    <cellStyle name="Normal 8 4 6 2 6" xfId="25654"/>
    <cellStyle name="Normal 8 4 6 2 6 2" xfId="37071"/>
    <cellStyle name="Normal 8 4 6 2 7" xfId="25655"/>
    <cellStyle name="Normal 8 4 6 3" xfId="25656"/>
    <cellStyle name="Normal 8 4 6 3 2" xfId="25657"/>
    <cellStyle name="Normal 8 4 6 3 2 2" xfId="25658"/>
    <cellStyle name="Normal 8 4 6 3 2 2 2" xfId="25659"/>
    <cellStyle name="Normal 8 4 6 3 2 3" xfId="25660"/>
    <cellStyle name="Normal 8 4 6 3 3" xfId="25661"/>
    <cellStyle name="Normal 8 4 6 3 3 2" xfId="25662"/>
    <cellStyle name="Normal 8 4 6 3 4" xfId="25663"/>
    <cellStyle name="Normal 8 4 6 4" xfId="25664"/>
    <cellStyle name="Normal 8 4 6 4 2" xfId="25665"/>
    <cellStyle name="Normal 8 4 6 4 2 2" xfId="25666"/>
    <cellStyle name="Normal 8 4 6 4 3" xfId="25667"/>
    <cellStyle name="Normal 8 4 6 5" xfId="25668"/>
    <cellStyle name="Normal 8 4 6 5 2" xfId="25669"/>
    <cellStyle name="Normal 8 4 6 5 2 2" xfId="25670"/>
    <cellStyle name="Normal 8 4 6 5 3" xfId="25671"/>
    <cellStyle name="Normal 8 4 6 6" xfId="25672"/>
    <cellStyle name="Normal 8 4 6 6 2" xfId="25673"/>
    <cellStyle name="Normal 8 4 6 7" xfId="25674"/>
    <cellStyle name="Normal 8 4 6 7 2" xfId="37072"/>
    <cellStyle name="Normal 8 4 6 8" xfId="25675"/>
    <cellStyle name="Normal 8 4 7" xfId="25676"/>
    <cellStyle name="Normal 8 4 7 2" xfId="25677"/>
    <cellStyle name="Normal 8 4 7 2 2" xfId="25678"/>
    <cellStyle name="Normal 8 4 7 2 2 2" xfId="25679"/>
    <cellStyle name="Normal 8 4 7 2 2 2 2" xfId="25680"/>
    <cellStyle name="Normal 8 4 7 2 2 2 3" xfId="25681"/>
    <cellStyle name="Normal 8 4 7 2 2 3" xfId="25682"/>
    <cellStyle name="Normal 8 4 7 2 2 3 2" xfId="25683"/>
    <cellStyle name="Normal 8 4 7 2 2 4" xfId="25684"/>
    <cellStyle name="Normal 8 4 7 2 3" xfId="25685"/>
    <cellStyle name="Normal 8 4 7 2 3 2" xfId="25686"/>
    <cellStyle name="Normal 8 4 7 2 3 2 2" xfId="25687"/>
    <cellStyle name="Normal 8 4 7 2 3 3" xfId="25688"/>
    <cellStyle name="Normal 8 4 7 2 4" xfId="25689"/>
    <cellStyle name="Normal 8 4 7 2 4 2" xfId="25690"/>
    <cellStyle name="Normal 8 4 7 2 4 3" xfId="25691"/>
    <cellStyle name="Normal 8 4 7 2 5" xfId="25692"/>
    <cellStyle name="Normal 8 4 7 2 5 2" xfId="25693"/>
    <cellStyle name="Normal 8 4 7 2 6" xfId="25694"/>
    <cellStyle name="Normal 8 4 7 2 6 2" xfId="37073"/>
    <cellStyle name="Normal 8 4 7 2 7" xfId="25695"/>
    <cellStyle name="Normal 8 4 7 3" xfId="25696"/>
    <cellStyle name="Normal 8 4 7 3 2" xfId="25697"/>
    <cellStyle name="Normal 8 4 7 3 2 2" xfId="25698"/>
    <cellStyle name="Normal 8 4 7 3 2 2 2" xfId="25699"/>
    <cellStyle name="Normal 8 4 7 3 2 3" xfId="25700"/>
    <cellStyle name="Normal 8 4 7 3 3" xfId="25701"/>
    <cellStyle name="Normal 8 4 7 3 3 2" xfId="25702"/>
    <cellStyle name="Normal 8 4 7 3 4" xfId="25703"/>
    <cellStyle name="Normal 8 4 7 4" xfId="25704"/>
    <cellStyle name="Normal 8 4 7 4 2" xfId="25705"/>
    <cellStyle name="Normal 8 4 7 4 2 2" xfId="25706"/>
    <cellStyle name="Normal 8 4 7 4 3" xfId="25707"/>
    <cellStyle name="Normal 8 4 7 5" xfId="25708"/>
    <cellStyle name="Normal 8 4 7 5 2" xfId="25709"/>
    <cellStyle name="Normal 8 4 7 5 2 2" xfId="25710"/>
    <cellStyle name="Normal 8 4 7 5 3" xfId="25711"/>
    <cellStyle name="Normal 8 4 7 6" xfId="25712"/>
    <cellStyle name="Normal 8 4 7 6 2" xfId="25713"/>
    <cellStyle name="Normal 8 4 7 7" xfId="25714"/>
    <cellStyle name="Normal 8 4 7 7 2" xfId="37074"/>
    <cellStyle name="Normal 8 4 7 8" xfId="25715"/>
    <cellStyle name="Normal 8 4 8" xfId="25716"/>
    <cellStyle name="Normal 8 4 8 2" xfId="25717"/>
    <cellStyle name="Normal 8 4 8 2 2" xfId="25718"/>
    <cellStyle name="Normal 8 4 8 2 2 2" xfId="25719"/>
    <cellStyle name="Normal 8 4 8 2 2 3" xfId="25720"/>
    <cellStyle name="Normal 8 4 8 2 3" xfId="25721"/>
    <cellStyle name="Normal 8 4 8 2 3 2" xfId="25722"/>
    <cellStyle name="Normal 8 4 8 2 4" xfId="25723"/>
    <cellStyle name="Normal 8 4 8 3" xfId="25724"/>
    <cellStyle name="Normal 8 4 8 3 2" xfId="25725"/>
    <cellStyle name="Normal 8 4 8 3 2 2" xfId="25726"/>
    <cellStyle name="Normal 8 4 8 3 3" xfId="25727"/>
    <cellStyle name="Normal 8 4 8 4" xfId="25728"/>
    <cellStyle name="Normal 8 4 8 4 2" xfId="25729"/>
    <cellStyle name="Normal 8 4 8 4 3" xfId="25730"/>
    <cellStyle name="Normal 8 4 8 5" xfId="25731"/>
    <cellStyle name="Normal 8 4 8 5 2" xfId="25732"/>
    <cellStyle name="Normal 8 4 8 6" xfId="25733"/>
    <cellStyle name="Normal 8 4 8 6 2" xfId="37075"/>
    <cellStyle name="Normal 8 4 8 7" xfId="25734"/>
    <cellStyle name="Normal 8 4 9" xfId="25735"/>
    <cellStyle name="Normal 8 4 9 2" xfId="25736"/>
    <cellStyle name="Normal 8 4 9 2 2" xfId="25737"/>
    <cellStyle name="Normal 8 4 9 2 2 2" xfId="25738"/>
    <cellStyle name="Normal 8 4 9 2 3" xfId="25739"/>
    <cellStyle name="Normal 8 4 9 3" xfId="25740"/>
    <cellStyle name="Normal 8 4 9 3 2" xfId="25741"/>
    <cellStyle name="Normal 8 4 9 4" xfId="25742"/>
    <cellStyle name="Normal 8 5" xfId="25743"/>
    <cellStyle name="Normal 8 5 10" xfId="25744"/>
    <cellStyle name="Normal 8 5 10 2" xfId="25745"/>
    <cellStyle name="Normal 8 5 10 2 2" xfId="25746"/>
    <cellStyle name="Normal 8 5 10 3" xfId="25747"/>
    <cellStyle name="Normal 8 5 11" xfId="25748"/>
    <cellStyle name="Normal 8 5 11 2" xfId="25749"/>
    <cellStyle name="Normal 8 5 11 2 2" xfId="25750"/>
    <cellStyle name="Normal 8 5 11 3" xfId="25751"/>
    <cellStyle name="Normal 8 5 12" xfId="25752"/>
    <cellStyle name="Normal 8 5 12 2" xfId="25753"/>
    <cellStyle name="Normal 8 5 13" xfId="25754"/>
    <cellStyle name="Normal 8 5 13 2" xfId="37076"/>
    <cellStyle name="Normal 8 5 14" xfId="25755"/>
    <cellStyle name="Normal 8 5 2" xfId="25756"/>
    <cellStyle name="Normal 8 5 2 10" xfId="25757"/>
    <cellStyle name="Normal 8 5 2 2" xfId="25758"/>
    <cellStyle name="Normal 8 5 2 2 2" xfId="25759"/>
    <cellStyle name="Normal 8 5 2 2 2 2" xfId="25760"/>
    <cellStyle name="Normal 8 5 2 2 2 2 2" xfId="25761"/>
    <cellStyle name="Normal 8 5 2 2 2 2 2 2" xfId="25762"/>
    <cellStyle name="Normal 8 5 2 2 2 2 2 2 2" xfId="25763"/>
    <cellStyle name="Normal 8 5 2 2 2 2 2 2 3" xfId="25764"/>
    <cellStyle name="Normal 8 5 2 2 2 2 2 3" xfId="25765"/>
    <cellStyle name="Normal 8 5 2 2 2 2 2 3 2" xfId="25766"/>
    <cellStyle name="Normal 8 5 2 2 2 2 2 4" xfId="25767"/>
    <cellStyle name="Normal 8 5 2 2 2 2 3" xfId="25768"/>
    <cellStyle name="Normal 8 5 2 2 2 2 3 2" xfId="25769"/>
    <cellStyle name="Normal 8 5 2 2 2 2 3 2 2" xfId="25770"/>
    <cellStyle name="Normal 8 5 2 2 2 2 3 3" xfId="25771"/>
    <cellStyle name="Normal 8 5 2 2 2 2 4" xfId="25772"/>
    <cellStyle name="Normal 8 5 2 2 2 2 4 2" xfId="25773"/>
    <cellStyle name="Normal 8 5 2 2 2 2 4 3" xfId="25774"/>
    <cellStyle name="Normal 8 5 2 2 2 2 5" xfId="25775"/>
    <cellStyle name="Normal 8 5 2 2 2 2 5 2" xfId="25776"/>
    <cellStyle name="Normal 8 5 2 2 2 2 6" xfId="25777"/>
    <cellStyle name="Normal 8 5 2 2 2 2 6 2" xfId="37077"/>
    <cellStyle name="Normal 8 5 2 2 2 2 7" xfId="25778"/>
    <cellStyle name="Normal 8 5 2 2 2 3" xfId="25779"/>
    <cellStyle name="Normal 8 5 2 2 2 3 2" xfId="25780"/>
    <cellStyle name="Normal 8 5 2 2 2 3 2 2" xfId="25781"/>
    <cellStyle name="Normal 8 5 2 2 2 3 2 2 2" xfId="25782"/>
    <cellStyle name="Normal 8 5 2 2 2 3 2 3" xfId="25783"/>
    <cellStyle name="Normal 8 5 2 2 2 3 3" xfId="25784"/>
    <cellStyle name="Normal 8 5 2 2 2 3 3 2" xfId="25785"/>
    <cellStyle name="Normal 8 5 2 2 2 3 4" xfId="25786"/>
    <cellStyle name="Normal 8 5 2 2 2 4" xfId="25787"/>
    <cellStyle name="Normal 8 5 2 2 2 4 2" xfId="25788"/>
    <cellStyle name="Normal 8 5 2 2 2 4 2 2" xfId="25789"/>
    <cellStyle name="Normal 8 5 2 2 2 4 3" xfId="25790"/>
    <cellStyle name="Normal 8 5 2 2 2 5" xfId="25791"/>
    <cellStyle name="Normal 8 5 2 2 2 5 2" xfId="25792"/>
    <cellStyle name="Normal 8 5 2 2 2 5 2 2" xfId="25793"/>
    <cellStyle name="Normal 8 5 2 2 2 5 3" xfId="25794"/>
    <cellStyle name="Normal 8 5 2 2 2 6" xfId="25795"/>
    <cellStyle name="Normal 8 5 2 2 2 6 2" xfId="25796"/>
    <cellStyle name="Normal 8 5 2 2 2 7" xfId="25797"/>
    <cellStyle name="Normal 8 5 2 2 2 7 2" xfId="37078"/>
    <cellStyle name="Normal 8 5 2 2 2 8" xfId="25798"/>
    <cellStyle name="Normal 8 5 2 2 3" xfId="25799"/>
    <cellStyle name="Normal 8 5 2 2 3 2" xfId="25800"/>
    <cellStyle name="Normal 8 5 2 2 3 2 2" xfId="25801"/>
    <cellStyle name="Normal 8 5 2 2 3 2 2 2" xfId="25802"/>
    <cellStyle name="Normal 8 5 2 2 3 2 2 3" xfId="25803"/>
    <cellStyle name="Normal 8 5 2 2 3 2 3" xfId="25804"/>
    <cellStyle name="Normal 8 5 2 2 3 2 3 2" xfId="25805"/>
    <cellStyle name="Normal 8 5 2 2 3 2 4" xfId="25806"/>
    <cellStyle name="Normal 8 5 2 2 3 3" xfId="25807"/>
    <cellStyle name="Normal 8 5 2 2 3 3 2" xfId="25808"/>
    <cellStyle name="Normal 8 5 2 2 3 3 2 2" xfId="25809"/>
    <cellStyle name="Normal 8 5 2 2 3 3 3" xfId="25810"/>
    <cellStyle name="Normal 8 5 2 2 3 4" xfId="25811"/>
    <cellStyle name="Normal 8 5 2 2 3 4 2" xfId="25812"/>
    <cellStyle name="Normal 8 5 2 2 3 4 3" xfId="25813"/>
    <cellStyle name="Normal 8 5 2 2 3 5" xfId="25814"/>
    <cellStyle name="Normal 8 5 2 2 3 5 2" xfId="25815"/>
    <cellStyle name="Normal 8 5 2 2 3 6" xfId="25816"/>
    <cellStyle name="Normal 8 5 2 2 3 6 2" xfId="37079"/>
    <cellStyle name="Normal 8 5 2 2 3 7" xfId="25817"/>
    <cellStyle name="Normal 8 5 2 2 4" xfId="25818"/>
    <cellStyle name="Normal 8 5 2 2 4 2" xfId="25819"/>
    <cellStyle name="Normal 8 5 2 2 4 2 2" xfId="25820"/>
    <cellStyle name="Normal 8 5 2 2 4 2 2 2" xfId="25821"/>
    <cellStyle name="Normal 8 5 2 2 4 2 3" xfId="25822"/>
    <cellStyle name="Normal 8 5 2 2 4 3" xfId="25823"/>
    <cellStyle name="Normal 8 5 2 2 4 3 2" xfId="25824"/>
    <cellStyle name="Normal 8 5 2 2 4 4" xfId="25825"/>
    <cellStyle name="Normal 8 5 2 2 5" xfId="25826"/>
    <cellStyle name="Normal 8 5 2 2 5 2" xfId="25827"/>
    <cellStyle name="Normal 8 5 2 2 5 2 2" xfId="25828"/>
    <cellStyle name="Normal 8 5 2 2 5 3" xfId="25829"/>
    <cellStyle name="Normal 8 5 2 2 6" xfId="25830"/>
    <cellStyle name="Normal 8 5 2 2 6 2" xfId="25831"/>
    <cellStyle name="Normal 8 5 2 2 6 2 2" xfId="25832"/>
    <cellStyle name="Normal 8 5 2 2 6 3" xfId="25833"/>
    <cellStyle name="Normal 8 5 2 2 7" xfId="25834"/>
    <cellStyle name="Normal 8 5 2 2 7 2" xfId="25835"/>
    <cellStyle name="Normal 8 5 2 2 8" xfId="25836"/>
    <cellStyle name="Normal 8 5 2 2 8 2" xfId="37080"/>
    <cellStyle name="Normal 8 5 2 2 9" xfId="25837"/>
    <cellStyle name="Normal 8 5 2 3" xfId="25838"/>
    <cellStyle name="Normal 8 5 2 3 2" xfId="25839"/>
    <cellStyle name="Normal 8 5 2 3 2 2" xfId="25840"/>
    <cellStyle name="Normal 8 5 2 3 2 2 2" xfId="25841"/>
    <cellStyle name="Normal 8 5 2 3 2 2 2 2" xfId="25842"/>
    <cellStyle name="Normal 8 5 2 3 2 2 2 3" xfId="25843"/>
    <cellStyle name="Normal 8 5 2 3 2 2 3" xfId="25844"/>
    <cellStyle name="Normal 8 5 2 3 2 2 3 2" xfId="25845"/>
    <cellStyle name="Normal 8 5 2 3 2 2 4" xfId="25846"/>
    <cellStyle name="Normal 8 5 2 3 2 3" xfId="25847"/>
    <cellStyle name="Normal 8 5 2 3 2 3 2" xfId="25848"/>
    <cellStyle name="Normal 8 5 2 3 2 3 2 2" xfId="25849"/>
    <cellStyle name="Normal 8 5 2 3 2 3 3" xfId="25850"/>
    <cellStyle name="Normal 8 5 2 3 2 4" xfId="25851"/>
    <cellStyle name="Normal 8 5 2 3 2 4 2" xfId="25852"/>
    <cellStyle name="Normal 8 5 2 3 2 4 3" xfId="25853"/>
    <cellStyle name="Normal 8 5 2 3 2 5" xfId="25854"/>
    <cellStyle name="Normal 8 5 2 3 2 5 2" xfId="25855"/>
    <cellStyle name="Normal 8 5 2 3 2 6" xfId="25856"/>
    <cellStyle name="Normal 8 5 2 3 2 6 2" xfId="37081"/>
    <cellStyle name="Normal 8 5 2 3 2 7" xfId="25857"/>
    <cellStyle name="Normal 8 5 2 3 3" xfId="25858"/>
    <cellStyle name="Normal 8 5 2 3 3 2" xfId="25859"/>
    <cellStyle name="Normal 8 5 2 3 3 2 2" xfId="25860"/>
    <cellStyle name="Normal 8 5 2 3 3 2 2 2" xfId="25861"/>
    <cellStyle name="Normal 8 5 2 3 3 2 3" xfId="25862"/>
    <cellStyle name="Normal 8 5 2 3 3 3" xfId="25863"/>
    <cellStyle name="Normal 8 5 2 3 3 3 2" xfId="25864"/>
    <cellStyle name="Normal 8 5 2 3 3 4" xfId="25865"/>
    <cellStyle name="Normal 8 5 2 3 4" xfId="25866"/>
    <cellStyle name="Normal 8 5 2 3 4 2" xfId="25867"/>
    <cellStyle name="Normal 8 5 2 3 4 2 2" xfId="25868"/>
    <cellStyle name="Normal 8 5 2 3 4 3" xfId="25869"/>
    <cellStyle name="Normal 8 5 2 3 5" xfId="25870"/>
    <cellStyle name="Normal 8 5 2 3 5 2" xfId="25871"/>
    <cellStyle name="Normal 8 5 2 3 5 2 2" xfId="25872"/>
    <cellStyle name="Normal 8 5 2 3 5 3" xfId="25873"/>
    <cellStyle name="Normal 8 5 2 3 6" xfId="25874"/>
    <cellStyle name="Normal 8 5 2 3 6 2" xfId="25875"/>
    <cellStyle name="Normal 8 5 2 3 7" xfId="25876"/>
    <cellStyle name="Normal 8 5 2 3 7 2" xfId="37082"/>
    <cellStyle name="Normal 8 5 2 3 8" xfId="25877"/>
    <cellStyle name="Normal 8 5 2 4" xfId="25878"/>
    <cellStyle name="Normal 8 5 2 4 2" xfId="25879"/>
    <cellStyle name="Normal 8 5 2 4 2 2" xfId="25880"/>
    <cellStyle name="Normal 8 5 2 4 2 2 2" xfId="25881"/>
    <cellStyle name="Normal 8 5 2 4 2 2 3" xfId="25882"/>
    <cellStyle name="Normal 8 5 2 4 2 3" xfId="25883"/>
    <cellStyle name="Normal 8 5 2 4 2 3 2" xfId="25884"/>
    <cellStyle name="Normal 8 5 2 4 2 4" xfId="25885"/>
    <cellStyle name="Normal 8 5 2 4 3" xfId="25886"/>
    <cellStyle name="Normal 8 5 2 4 3 2" xfId="25887"/>
    <cellStyle name="Normal 8 5 2 4 3 2 2" xfId="25888"/>
    <cellStyle name="Normal 8 5 2 4 3 3" xfId="25889"/>
    <cellStyle name="Normal 8 5 2 4 4" xfId="25890"/>
    <cellStyle name="Normal 8 5 2 4 4 2" xfId="25891"/>
    <cellStyle name="Normal 8 5 2 4 4 3" xfId="25892"/>
    <cellStyle name="Normal 8 5 2 4 5" xfId="25893"/>
    <cellStyle name="Normal 8 5 2 4 5 2" xfId="25894"/>
    <cellStyle name="Normal 8 5 2 4 6" xfId="25895"/>
    <cellStyle name="Normal 8 5 2 4 6 2" xfId="37083"/>
    <cellStyle name="Normal 8 5 2 4 7" xfId="25896"/>
    <cellStyle name="Normal 8 5 2 5" xfId="25897"/>
    <cellStyle name="Normal 8 5 2 5 2" xfId="25898"/>
    <cellStyle name="Normal 8 5 2 5 2 2" xfId="25899"/>
    <cellStyle name="Normal 8 5 2 5 2 2 2" xfId="25900"/>
    <cellStyle name="Normal 8 5 2 5 2 3" xfId="25901"/>
    <cellStyle name="Normal 8 5 2 5 3" xfId="25902"/>
    <cellStyle name="Normal 8 5 2 5 3 2" xfId="25903"/>
    <cellStyle name="Normal 8 5 2 5 4" xfId="25904"/>
    <cellStyle name="Normal 8 5 2 6" xfId="25905"/>
    <cellStyle name="Normal 8 5 2 6 2" xfId="25906"/>
    <cellStyle name="Normal 8 5 2 6 2 2" xfId="25907"/>
    <cellStyle name="Normal 8 5 2 6 3" xfId="25908"/>
    <cellStyle name="Normal 8 5 2 7" xfId="25909"/>
    <cellStyle name="Normal 8 5 2 7 2" xfId="25910"/>
    <cellStyle name="Normal 8 5 2 7 2 2" xfId="25911"/>
    <cellStyle name="Normal 8 5 2 7 3" xfId="25912"/>
    <cellStyle name="Normal 8 5 2 8" xfId="25913"/>
    <cellStyle name="Normal 8 5 2 8 2" xfId="25914"/>
    <cellStyle name="Normal 8 5 2 9" xfId="25915"/>
    <cellStyle name="Normal 8 5 2 9 2" xfId="37084"/>
    <cellStyle name="Normal 8 5 3" xfId="25916"/>
    <cellStyle name="Normal 8 5 3 2" xfId="25917"/>
    <cellStyle name="Normal 8 5 3 2 2" xfId="25918"/>
    <cellStyle name="Normal 8 5 3 2 2 2" xfId="25919"/>
    <cellStyle name="Normal 8 5 3 2 2 2 2" xfId="25920"/>
    <cellStyle name="Normal 8 5 3 2 2 2 2 2" xfId="25921"/>
    <cellStyle name="Normal 8 5 3 2 2 2 2 3" xfId="25922"/>
    <cellStyle name="Normal 8 5 3 2 2 2 3" xfId="25923"/>
    <cellStyle name="Normal 8 5 3 2 2 2 3 2" xfId="25924"/>
    <cellStyle name="Normal 8 5 3 2 2 2 4" xfId="25925"/>
    <cellStyle name="Normal 8 5 3 2 2 3" xfId="25926"/>
    <cellStyle name="Normal 8 5 3 2 2 3 2" xfId="25927"/>
    <cellStyle name="Normal 8 5 3 2 2 3 2 2" xfId="25928"/>
    <cellStyle name="Normal 8 5 3 2 2 3 3" xfId="25929"/>
    <cellStyle name="Normal 8 5 3 2 2 4" xfId="25930"/>
    <cellStyle name="Normal 8 5 3 2 2 4 2" xfId="25931"/>
    <cellStyle name="Normal 8 5 3 2 2 4 3" xfId="25932"/>
    <cellStyle name="Normal 8 5 3 2 2 5" xfId="25933"/>
    <cellStyle name="Normal 8 5 3 2 2 5 2" xfId="25934"/>
    <cellStyle name="Normal 8 5 3 2 2 6" xfId="25935"/>
    <cellStyle name="Normal 8 5 3 2 2 6 2" xfId="37085"/>
    <cellStyle name="Normal 8 5 3 2 2 7" xfId="25936"/>
    <cellStyle name="Normal 8 5 3 2 3" xfId="25937"/>
    <cellStyle name="Normal 8 5 3 2 3 2" xfId="25938"/>
    <cellStyle name="Normal 8 5 3 2 3 2 2" xfId="25939"/>
    <cellStyle name="Normal 8 5 3 2 3 2 2 2" xfId="25940"/>
    <cellStyle name="Normal 8 5 3 2 3 2 3" xfId="25941"/>
    <cellStyle name="Normal 8 5 3 2 3 3" xfId="25942"/>
    <cellStyle name="Normal 8 5 3 2 3 3 2" xfId="25943"/>
    <cellStyle name="Normal 8 5 3 2 3 4" xfId="25944"/>
    <cellStyle name="Normal 8 5 3 2 4" xfId="25945"/>
    <cellStyle name="Normal 8 5 3 2 4 2" xfId="25946"/>
    <cellStyle name="Normal 8 5 3 2 4 2 2" xfId="25947"/>
    <cellStyle name="Normal 8 5 3 2 4 3" xfId="25948"/>
    <cellStyle name="Normal 8 5 3 2 5" xfId="25949"/>
    <cellStyle name="Normal 8 5 3 2 5 2" xfId="25950"/>
    <cellStyle name="Normal 8 5 3 2 5 2 2" xfId="25951"/>
    <cellStyle name="Normal 8 5 3 2 5 3" xfId="25952"/>
    <cellStyle name="Normal 8 5 3 2 6" xfId="25953"/>
    <cellStyle name="Normal 8 5 3 2 6 2" xfId="25954"/>
    <cellStyle name="Normal 8 5 3 2 7" xfId="25955"/>
    <cellStyle name="Normal 8 5 3 2 7 2" xfId="37086"/>
    <cellStyle name="Normal 8 5 3 2 8" xfId="25956"/>
    <cellStyle name="Normal 8 5 3 3" xfId="25957"/>
    <cellStyle name="Normal 8 5 3 3 2" xfId="25958"/>
    <cellStyle name="Normal 8 5 3 3 2 2" xfId="25959"/>
    <cellStyle name="Normal 8 5 3 3 2 2 2" xfId="25960"/>
    <cellStyle name="Normal 8 5 3 3 2 2 3" xfId="25961"/>
    <cellStyle name="Normal 8 5 3 3 2 3" xfId="25962"/>
    <cellStyle name="Normal 8 5 3 3 2 3 2" xfId="25963"/>
    <cellStyle name="Normal 8 5 3 3 2 4" xfId="25964"/>
    <cellStyle name="Normal 8 5 3 3 3" xfId="25965"/>
    <cellStyle name="Normal 8 5 3 3 3 2" xfId="25966"/>
    <cellStyle name="Normal 8 5 3 3 3 2 2" xfId="25967"/>
    <cellStyle name="Normal 8 5 3 3 3 3" xfId="25968"/>
    <cellStyle name="Normal 8 5 3 3 4" xfId="25969"/>
    <cellStyle name="Normal 8 5 3 3 4 2" xfId="25970"/>
    <cellStyle name="Normal 8 5 3 3 4 3" xfId="25971"/>
    <cellStyle name="Normal 8 5 3 3 5" xfId="25972"/>
    <cellStyle name="Normal 8 5 3 3 5 2" xfId="25973"/>
    <cellStyle name="Normal 8 5 3 3 6" xfId="25974"/>
    <cellStyle name="Normal 8 5 3 3 6 2" xfId="37087"/>
    <cellStyle name="Normal 8 5 3 3 7" xfId="25975"/>
    <cellStyle name="Normal 8 5 3 4" xfId="25976"/>
    <cellStyle name="Normal 8 5 3 4 2" xfId="25977"/>
    <cellStyle name="Normal 8 5 3 4 2 2" xfId="25978"/>
    <cellStyle name="Normal 8 5 3 4 2 2 2" xfId="25979"/>
    <cellStyle name="Normal 8 5 3 4 2 3" xfId="25980"/>
    <cellStyle name="Normal 8 5 3 4 3" xfId="25981"/>
    <cellStyle name="Normal 8 5 3 4 3 2" xfId="25982"/>
    <cellStyle name="Normal 8 5 3 4 4" xfId="25983"/>
    <cellStyle name="Normal 8 5 3 5" xfId="25984"/>
    <cellStyle name="Normal 8 5 3 5 2" xfId="25985"/>
    <cellStyle name="Normal 8 5 3 5 2 2" xfId="25986"/>
    <cellStyle name="Normal 8 5 3 5 3" xfId="25987"/>
    <cellStyle name="Normal 8 5 3 6" xfId="25988"/>
    <cellStyle name="Normal 8 5 3 6 2" xfId="25989"/>
    <cellStyle name="Normal 8 5 3 6 2 2" xfId="25990"/>
    <cellStyle name="Normal 8 5 3 6 3" xfId="25991"/>
    <cellStyle name="Normal 8 5 3 7" xfId="25992"/>
    <cellStyle name="Normal 8 5 3 7 2" xfId="25993"/>
    <cellStyle name="Normal 8 5 3 8" xfId="25994"/>
    <cellStyle name="Normal 8 5 3 8 2" xfId="37088"/>
    <cellStyle name="Normal 8 5 3 9" xfId="25995"/>
    <cellStyle name="Normal 8 5 4" xfId="25996"/>
    <cellStyle name="Normal 8 5 4 2" xfId="25997"/>
    <cellStyle name="Normal 8 5 4 2 2" xfId="25998"/>
    <cellStyle name="Normal 8 5 4 2 2 2" xfId="25999"/>
    <cellStyle name="Normal 8 5 4 2 2 2 2" xfId="26000"/>
    <cellStyle name="Normal 8 5 4 2 2 2 2 2" xfId="26001"/>
    <cellStyle name="Normal 8 5 4 2 2 2 2 3" xfId="26002"/>
    <cellStyle name="Normal 8 5 4 2 2 2 3" xfId="26003"/>
    <cellStyle name="Normal 8 5 4 2 2 2 3 2" xfId="26004"/>
    <cellStyle name="Normal 8 5 4 2 2 2 4" xfId="26005"/>
    <cellStyle name="Normal 8 5 4 2 2 3" xfId="26006"/>
    <cellStyle name="Normal 8 5 4 2 2 3 2" xfId="26007"/>
    <cellStyle name="Normal 8 5 4 2 2 3 2 2" xfId="26008"/>
    <cellStyle name="Normal 8 5 4 2 2 3 3" xfId="26009"/>
    <cellStyle name="Normal 8 5 4 2 2 4" xfId="26010"/>
    <cellStyle name="Normal 8 5 4 2 2 4 2" xfId="26011"/>
    <cellStyle name="Normal 8 5 4 2 2 4 3" xfId="26012"/>
    <cellStyle name="Normal 8 5 4 2 2 5" xfId="26013"/>
    <cellStyle name="Normal 8 5 4 2 2 5 2" xfId="26014"/>
    <cellStyle name="Normal 8 5 4 2 2 6" xfId="26015"/>
    <cellStyle name="Normal 8 5 4 2 2 6 2" xfId="37089"/>
    <cellStyle name="Normal 8 5 4 2 2 7" xfId="26016"/>
    <cellStyle name="Normal 8 5 4 2 3" xfId="26017"/>
    <cellStyle name="Normal 8 5 4 2 3 2" xfId="26018"/>
    <cellStyle name="Normal 8 5 4 2 3 2 2" xfId="26019"/>
    <cellStyle name="Normal 8 5 4 2 3 2 2 2" xfId="26020"/>
    <cellStyle name="Normal 8 5 4 2 3 2 3" xfId="26021"/>
    <cellStyle name="Normal 8 5 4 2 3 3" xfId="26022"/>
    <cellStyle name="Normal 8 5 4 2 3 3 2" xfId="26023"/>
    <cellStyle name="Normal 8 5 4 2 3 4" xfId="26024"/>
    <cellStyle name="Normal 8 5 4 2 4" xfId="26025"/>
    <cellStyle name="Normal 8 5 4 2 4 2" xfId="26026"/>
    <cellStyle name="Normal 8 5 4 2 4 2 2" xfId="26027"/>
    <cellStyle name="Normal 8 5 4 2 4 3" xfId="26028"/>
    <cellStyle name="Normal 8 5 4 2 5" xfId="26029"/>
    <cellStyle name="Normal 8 5 4 2 5 2" xfId="26030"/>
    <cellStyle name="Normal 8 5 4 2 5 2 2" xfId="26031"/>
    <cellStyle name="Normal 8 5 4 2 5 3" xfId="26032"/>
    <cellStyle name="Normal 8 5 4 2 6" xfId="26033"/>
    <cellStyle name="Normal 8 5 4 2 6 2" xfId="26034"/>
    <cellStyle name="Normal 8 5 4 2 7" xfId="26035"/>
    <cellStyle name="Normal 8 5 4 2 7 2" xfId="37090"/>
    <cellStyle name="Normal 8 5 4 2 8" xfId="26036"/>
    <cellStyle name="Normal 8 5 4 3" xfId="26037"/>
    <cellStyle name="Normal 8 5 4 3 2" xfId="26038"/>
    <cellStyle name="Normal 8 5 4 3 2 2" xfId="26039"/>
    <cellStyle name="Normal 8 5 4 3 2 2 2" xfId="26040"/>
    <cellStyle name="Normal 8 5 4 3 2 2 3" xfId="26041"/>
    <cellStyle name="Normal 8 5 4 3 2 3" xfId="26042"/>
    <cellStyle name="Normal 8 5 4 3 2 3 2" xfId="26043"/>
    <cellStyle name="Normal 8 5 4 3 2 4" xfId="26044"/>
    <cellStyle name="Normal 8 5 4 3 3" xfId="26045"/>
    <cellStyle name="Normal 8 5 4 3 3 2" xfId="26046"/>
    <cellStyle name="Normal 8 5 4 3 3 2 2" xfId="26047"/>
    <cellStyle name="Normal 8 5 4 3 3 3" xfId="26048"/>
    <cellStyle name="Normal 8 5 4 3 4" xfId="26049"/>
    <cellStyle name="Normal 8 5 4 3 4 2" xfId="26050"/>
    <cellStyle name="Normal 8 5 4 3 4 3" xfId="26051"/>
    <cellStyle name="Normal 8 5 4 3 5" xfId="26052"/>
    <cellStyle name="Normal 8 5 4 3 5 2" xfId="26053"/>
    <cellStyle name="Normal 8 5 4 3 6" xfId="26054"/>
    <cellStyle name="Normal 8 5 4 3 6 2" xfId="37091"/>
    <cellStyle name="Normal 8 5 4 3 7" xfId="26055"/>
    <cellStyle name="Normal 8 5 4 4" xfId="26056"/>
    <cellStyle name="Normal 8 5 4 4 2" xfId="26057"/>
    <cellStyle name="Normal 8 5 4 4 2 2" xfId="26058"/>
    <cellStyle name="Normal 8 5 4 4 2 2 2" xfId="26059"/>
    <cellStyle name="Normal 8 5 4 4 2 3" xfId="26060"/>
    <cellStyle name="Normal 8 5 4 4 3" xfId="26061"/>
    <cellStyle name="Normal 8 5 4 4 3 2" xfId="26062"/>
    <cellStyle name="Normal 8 5 4 4 4" xfId="26063"/>
    <cellStyle name="Normal 8 5 4 5" xfId="26064"/>
    <cellStyle name="Normal 8 5 4 5 2" xfId="26065"/>
    <cellStyle name="Normal 8 5 4 5 2 2" xfId="26066"/>
    <cellStyle name="Normal 8 5 4 5 3" xfId="26067"/>
    <cellStyle name="Normal 8 5 4 6" xfId="26068"/>
    <cellStyle name="Normal 8 5 4 6 2" xfId="26069"/>
    <cellStyle name="Normal 8 5 4 6 2 2" xfId="26070"/>
    <cellStyle name="Normal 8 5 4 6 3" xfId="26071"/>
    <cellStyle name="Normal 8 5 4 7" xfId="26072"/>
    <cellStyle name="Normal 8 5 4 7 2" xfId="26073"/>
    <cellStyle name="Normal 8 5 4 8" xfId="26074"/>
    <cellStyle name="Normal 8 5 4 8 2" xfId="37092"/>
    <cellStyle name="Normal 8 5 4 9" xfId="26075"/>
    <cellStyle name="Normal 8 5 5" xfId="26076"/>
    <cellStyle name="Normal 8 5 5 2" xfId="26077"/>
    <cellStyle name="Normal 8 5 5 2 2" xfId="26078"/>
    <cellStyle name="Normal 8 5 5 2 2 2" xfId="26079"/>
    <cellStyle name="Normal 8 5 5 2 2 2 2" xfId="26080"/>
    <cellStyle name="Normal 8 5 5 2 2 2 3" xfId="26081"/>
    <cellStyle name="Normal 8 5 5 2 2 3" xfId="26082"/>
    <cellStyle name="Normal 8 5 5 2 2 3 2" xfId="26083"/>
    <cellStyle name="Normal 8 5 5 2 2 4" xfId="26084"/>
    <cellStyle name="Normal 8 5 5 2 3" xfId="26085"/>
    <cellStyle name="Normal 8 5 5 2 3 2" xfId="26086"/>
    <cellStyle name="Normal 8 5 5 2 3 2 2" xfId="26087"/>
    <cellStyle name="Normal 8 5 5 2 3 3" xfId="26088"/>
    <cellStyle name="Normal 8 5 5 2 4" xfId="26089"/>
    <cellStyle name="Normal 8 5 5 2 4 2" xfId="26090"/>
    <cellStyle name="Normal 8 5 5 2 4 3" xfId="26091"/>
    <cellStyle name="Normal 8 5 5 2 5" xfId="26092"/>
    <cellStyle name="Normal 8 5 5 2 5 2" xfId="26093"/>
    <cellStyle name="Normal 8 5 5 2 6" xfId="26094"/>
    <cellStyle name="Normal 8 5 5 2 6 2" xfId="37093"/>
    <cellStyle name="Normal 8 5 5 2 7" xfId="26095"/>
    <cellStyle name="Normal 8 5 5 3" xfId="26096"/>
    <cellStyle name="Normal 8 5 5 3 2" xfId="26097"/>
    <cellStyle name="Normal 8 5 5 3 2 2" xfId="26098"/>
    <cellStyle name="Normal 8 5 5 3 2 2 2" xfId="26099"/>
    <cellStyle name="Normal 8 5 5 3 2 3" xfId="26100"/>
    <cellStyle name="Normal 8 5 5 3 3" xfId="26101"/>
    <cellStyle name="Normal 8 5 5 3 3 2" xfId="26102"/>
    <cellStyle name="Normal 8 5 5 3 4" xfId="26103"/>
    <cellStyle name="Normal 8 5 5 4" xfId="26104"/>
    <cellStyle name="Normal 8 5 5 4 2" xfId="26105"/>
    <cellStyle name="Normal 8 5 5 4 2 2" xfId="26106"/>
    <cellStyle name="Normal 8 5 5 4 3" xfId="26107"/>
    <cellStyle name="Normal 8 5 5 5" xfId="26108"/>
    <cellStyle name="Normal 8 5 5 5 2" xfId="26109"/>
    <cellStyle name="Normal 8 5 5 5 2 2" xfId="26110"/>
    <cellStyle name="Normal 8 5 5 5 3" xfId="26111"/>
    <cellStyle name="Normal 8 5 5 6" xfId="26112"/>
    <cellStyle name="Normal 8 5 5 6 2" xfId="26113"/>
    <cellStyle name="Normal 8 5 5 7" xfId="26114"/>
    <cellStyle name="Normal 8 5 5 7 2" xfId="37094"/>
    <cellStyle name="Normal 8 5 5 8" xfId="26115"/>
    <cellStyle name="Normal 8 5 6" xfId="26116"/>
    <cellStyle name="Normal 8 5 6 2" xfId="26117"/>
    <cellStyle name="Normal 8 5 6 2 2" xfId="26118"/>
    <cellStyle name="Normal 8 5 6 2 2 2" xfId="26119"/>
    <cellStyle name="Normal 8 5 6 2 2 2 2" xfId="26120"/>
    <cellStyle name="Normal 8 5 6 2 2 2 3" xfId="26121"/>
    <cellStyle name="Normal 8 5 6 2 2 3" xfId="26122"/>
    <cellStyle name="Normal 8 5 6 2 2 3 2" xfId="26123"/>
    <cellStyle name="Normal 8 5 6 2 2 4" xfId="26124"/>
    <cellStyle name="Normal 8 5 6 2 3" xfId="26125"/>
    <cellStyle name="Normal 8 5 6 2 3 2" xfId="26126"/>
    <cellStyle name="Normal 8 5 6 2 3 2 2" xfId="26127"/>
    <cellStyle name="Normal 8 5 6 2 3 3" xfId="26128"/>
    <cellStyle name="Normal 8 5 6 2 4" xfId="26129"/>
    <cellStyle name="Normal 8 5 6 2 4 2" xfId="26130"/>
    <cellStyle name="Normal 8 5 6 2 4 3" xfId="26131"/>
    <cellStyle name="Normal 8 5 6 2 5" xfId="26132"/>
    <cellStyle name="Normal 8 5 6 2 5 2" xfId="26133"/>
    <cellStyle name="Normal 8 5 6 2 6" xfId="26134"/>
    <cellStyle name="Normal 8 5 6 2 6 2" xfId="37095"/>
    <cellStyle name="Normal 8 5 6 2 7" xfId="26135"/>
    <cellStyle name="Normal 8 5 6 3" xfId="26136"/>
    <cellStyle name="Normal 8 5 6 3 2" xfId="26137"/>
    <cellStyle name="Normal 8 5 6 3 2 2" xfId="26138"/>
    <cellStyle name="Normal 8 5 6 3 2 2 2" xfId="26139"/>
    <cellStyle name="Normal 8 5 6 3 2 3" xfId="26140"/>
    <cellStyle name="Normal 8 5 6 3 3" xfId="26141"/>
    <cellStyle name="Normal 8 5 6 3 3 2" xfId="26142"/>
    <cellStyle name="Normal 8 5 6 3 4" xfId="26143"/>
    <cellStyle name="Normal 8 5 6 4" xfId="26144"/>
    <cellStyle name="Normal 8 5 6 4 2" xfId="26145"/>
    <cellStyle name="Normal 8 5 6 4 2 2" xfId="26146"/>
    <cellStyle name="Normal 8 5 6 4 3" xfId="26147"/>
    <cellStyle name="Normal 8 5 6 5" xfId="26148"/>
    <cellStyle name="Normal 8 5 6 5 2" xfId="26149"/>
    <cellStyle name="Normal 8 5 6 5 2 2" xfId="26150"/>
    <cellStyle name="Normal 8 5 6 5 3" xfId="26151"/>
    <cellStyle name="Normal 8 5 6 6" xfId="26152"/>
    <cellStyle name="Normal 8 5 6 6 2" xfId="26153"/>
    <cellStyle name="Normal 8 5 6 7" xfId="26154"/>
    <cellStyle name="Normal 8 5 6 7 2" xfId="37096"/>
    <cellStyle name="Normal 8 5 6 8" xfId="26155"/>
    <cellStyle name="Normal 8 5 7" xfId="26156"/>
    <cellStyle name="Normal 8 5 7 2" xfId="26157"/>
    <cellStyle name="Normal 8 5 7 2 2" xfId="26158"/>
    <cellStyle name="Normal 8 5 7 2 2 2" xfId="26159"/>
    <cellStyle name="Normal 8 5 7 2 2 2 2" xfId="26160"/>
    <cellStyle name="Normal 8 5 7 2 2 2 3" xfId="26161"/>
    <cellStyle name="Normal 8 5 7 2 2 3" xfId="26162"/>
    <cellStyle name="Normal 8 5 7 2 2 3 2" xfId="26163"/>
    <cellStyle name="Normal 8 5 7 2 2 4" xfId="26164"/>
    <cellStyle name="Normal 8 5 7 2 3" xfId="26165"/>
    <cellStyle name="Normal 8 5 7 2 3 2" xfId="26166"/>
    <cellStyle name="Normal 8 5 7 2 3 2 2" xfId="26167"/>
    <cellStyle name="Normal 8 5 7 2 3 3" xfId="26168"/>
    <cellStyle name="Normal 8 5 7 2 4" xfId="26169"/>
    <cellStyle name="Normal 8 5 7 2 4 2" xfId="26170"/>
    <cellStyle name="Normal 8 5 7 2 4 3" xfId="26171"/>
    <cellStyle name="Normal 8 5 7 2 5" xfId="26172"/>
    <cellStyle name="Normal 8 5 7 2 5 2" xfId="26173"/>
    <cellStyle name="Normal 8 5 7 2 6" xfId="26174"/>
    <cellStyle name="Normal 8 5 7 2 6 2" xfId="37097"/>
    <cellStyle name="Normal 8 5 7 2 7" xfId="26175"/>
    <cellStyle name="Normal 8 5 7 3" xfId="26176"/>
    <cellStyle name="Normal 8 5 7 3 2" xfId="26177"/>
    <cellStyle name="Normal 8 5 7 3 2 2" xfId="26178"/>
    <cellStyle name="Normal 8 5 7 3 2 2 2" xfId="26179"/>
    <cellStyle name="Normal 8 5 7 3 2 3" xfId="26180"/>
    <cellStyle name="Normal 8 5 7 3 3" xfId="26181"/>
    <cellStyle name="Normal 8 5 7 3 3 2" xfId="26182"/>
    <cellStyle name="Normal 8 5 7 3 4" xfId="26183"/>
    <cellStyle name="Normal 8 5 7 4" xfId="26184"/>
    <cellStyle name="Normal 8 5 7 4 2" xfId="26185"/>
    <cellStyle name="Normal 8 5 7 4 2 2" xfId="26186"/>
    <cellStyle name="Normal 8 5 7 4 3" xfId="26187"/>
    <cellStyle name="Normal 8 5 7 5" xfId="26188"/>
    <cellStyle name="Normal 8 5 7 5 2" xfId="26189"/>
    <cellStyle name="Normal 8 5 7 5 2 2" xfId="26190"/>
    <cellStyle name="Normal 8 5 7 5 3" xfId="26191"/>
    <cellStyle name="Normal 8 5 7 6" xfId="26192"/>
    <cellStyle name="Normal 8 5 7 6 2" xfId="26193"/>
    <cellStyle name="Normal 8 5 7 7" xfId="26194"/>
    <cellStyle name="Normal 8 5 7 7 2" xfId="37098"/>
    <cellStyle name="Normal 8 5 7 8" xfId="26195"/>
    <cellStyle name="Normal 8 5 8" xfId="26196"/>
    <cellStyle name="Normal 8 5 8 2" xfId="26197"/>
    <cellStyle name="Normal 8 5 8 2 2" xfId="26198"/>
    <cellStyle name="Normal 8 5 8 2 2 2" xfId="26199"/>
    <cellStyle name="Normal 8 5 8 2 2 3" xfId="26200"/>
    <cellStyle name="Normal 8 5 8 2 3" xfId="26201"/>
    <cellStyle name="Normal 8 5 8 2 3 2" xfId="26202"/>
    <cellStyle name="Normal 8 5 8 2 4" xfId="26203"/>
    <cellStyle name="Normal 8 5 8 3" xfId="26204"/>
    <cellStyle name="Normal 8 5 8 3 2" xfId="26205"/>
    <cellStyle name="Normal 8 5 8 3 2 2" xfId="26206"/>
    <cellStyle name="Normal 8 5 8 3 3" xfId="26207"/>
    <cellStyle name="Normal 8 5 8 4" xfId="26208"/>
    <cellStyle name="Normal 8 5 8 4 2" xfId="26209"/>
    <cellStyle name="Normal 8 5 8 4 3" xfId="26210"/>
    <cellStyle name="Normal 8 5 8 5" xfId="26211"/>
    <cellStyle name="Normal 8 5 8 5 2" xfId="26212"/>
    <cellStyle name="Normal 8 5 8 6" xfId="26213"/>
    <cellStyle name="Normal 8 5 8 6 2" xfId="37099"/>
    <cellStyle name="Normal 8 5 8 7" xfId="26214"/>
    <cellStyle name="Normal 8 5 9" xfId="26215"/>
    <cellStyle name="Normal 8 5 9 2" xfId="26216"/>
    <cellStyle name="Normal 8 5 9 2 2" xfId="26217"/>
    <cellStyle name="Normal 8 5 9 2 2 2" xfId="26218"/>
    <cellStyle name="Normal 8 5 9 2 3" xfId="26219"/>
    <cellStyle name="Normal 8 5 9 3" xfId="26220"/>
    <cellStyle name="Normal 8 5 9 3 2" xfId="26221"/>
    <cellStyle name="Normal 8 5 9 4" xfId="26222"/>
    <cellStyle name="Normal 8 6" xfId="26223"/>
    <cellStyle name="Normal 8 6 10" xfId="26224"/>
    <cellStyle name="Normal 8 6 10 2" xfId="26225"/>
    <cellStyle name="Normal 8 6 10 2 2" xfId="26226"/>
    <cellStyle name="Normal 8 6 10 3" xfId="26227"/>
    <cellStyle name="Normal 8 6 11" xfId="26228"/>
    <cellStyle name="Normal 8 6 11 2" xfId="26229"/>
    <cellStyle name="Normal 8 6 12" xfId="26230"/>
    <cellStyle name="Normal 8 6 12 2" xfId="37100"/>
    <cellStyle name="Normal 8 6 13" xfId="26231"/>
    <cellStyle name="Normal 8 6 2" xfId="26232"/>
    <cellStyle name="Normal 8 6 2 10" xfId="26233"/>
    <cellStyle name="Normal 8 6 2 2" xfId="26234"/>
    <cellStyle name="Normal 8 6 2 2 2" xfId="26235"/>
    <cellStyle name="Normal 8 6 2 2 2 2" xfId="26236"/>
    <cellStyle name="Normal 8 6 2 2 2 2 2" xfId="26237"/>
    <cellStyle name="Normal 8 6 2 2 2 2 2 2" xfId="26238"/>
    <cellStyle name="Normal 8 6 2 2 2 2 2 2 2" xfId="26239"/>
    <cellStyle name="Normal 8 6 2 2 2 2 2 2 3" xfId="26240"/>
    <cellStyle name="Normal 8 6 2 2 2 2 2 3" xfId="26241"/>
    <cellStyle name="Normal 8 6 2 2 2 2 2 3 2" xfId="26242"/>
    <cellStyle name="Normal 8 6 2 2 2 2 2 4" xfId="26243"/>
    <cellStyle name="Normal 8 6 2 2 2 2 3" xfId="26244"/>
    <cellStyle name="Normal 8 6 2 2 2 2 3 2" xfId="26245"/>
    <cellStyle name="Normal 8 6 2 2 2 2 3 2 2" xfId="26246"/>
    <cellStyle name="Normal 8 6 2 2 2 2 3 3" xfId="26247"/>
    <cellStyle name="Normal 8 6 2 2 2 2 4" xfId="26248"/>
    <cellStyle name="Normal 8 6 2 2 2 2 4 2" xfId="26249"/>
    <cellStyle name="Normal 8 6 2 2 2 2 4 3" xfId="26250"/>
    <cellStyle name="Normal 8 6 2 2 2 2 5" xfId="26251"/>
    <cellStyle name="Normal 8 6 2 2 2 2 5 2" xfId="26252"/>
    <cellStyle name="Normal 8 6 2 2 2 2 6" xfId="26253"/>
    <cellStyle name="Normal 8 6 2 2 2 2 6 2" xfId="37101"/>
    <cellStyle name="Normal 8 6 2 2 2 2 7" xfId="26254"/>
    <cellStyle name="Normal 8 6 2 2 2 3" xfId="26255"/>
    <cellStyle name="Normal 8 6 2 2 2 3 2" xfId="26256"/>
    <cellStyle name="Normal 8 6 2 2 2 3 2 2" xfId="26257"/>
    <cellStyle name="Normal 8 6 2 2 2 3 2 2 2" xfId="26258"/>
    <cellStyle name="Normal 8 6 2 2 2 3 2 3" xfId="26259"/>
    <cellStyle name="Normal 8 6 2 2 2 3 3" xfId="26260"/>
    <cellStyle name="Normal 8 6 2 2 2 3 3 2" xfId="26261"/>
    <cellStyle name="Normal 8 6 2 2 2 3 4" xfId="26262"/>
    <cellStyle name="Normal 8 6 2 2 2 4" xfId="26263"/>
    <cellStyle name="Normal 8 6 2 2 2 4 2" xfId="26264"/>
    <cellStyle name="Normal 8 6 2 2 2 4 2 2" xfId="26265"/>
    <cellStyle name="Normal 8 6 2 2 2 4 3" xfId="26266"/>
    <cellStyle name="Normal 8 6 2 2 2 5" xfId="26267"/>
    <cellStyle name="Normal 8 6 2 2 2 5 2" xfId="26268"/>
    <cellStyle name="Normal 8 6 2 2 2 5 2 2" xfId="26269"/>
    <cellStyle name="Normal 8 6 2 2 2 5 3" xfId="26270"/>
    <cellStyle name="Normal 8 6 2 2 2 6" xfId="26271"/>
    <cellStyle name="Normal 8 6 2 2 2 6 2" xfId="26272"/>
    <cellStyle name="Normal 8 6 2 2 2 7" xfId="26273"/>
    <cellStyle name="Normal 8 6 2 2 2 7 2" xfId="37102"/>
    <cellStyle name="Normal 8 6 2 2 2 8" xfId="26274"/>
    <cellStyle name="Normal 8 6 2 2 3" xfId="26275"/>
    <cellStyle name="Normal 8 6 2 2 3 2" xfId="26276"/>
    <cellStyle name="Normal 8 6 2 2 3 2 2" xfId="26277"/>
    <cellStyle name="Normal 8 6 2 2 3 2 2 2" xfId="26278"/>
    <cellStyle name="Normal 8 6 2 2 3 2 2 3" xfId="26279"/>
    <cellStyle name="Normal 8 6 2 2 3 2 3" xfId="26280"/>
    <cellStyle name="Normal 8 6 2 2 3 2 3 2" xfId="26281"/>
    <cellStyle name="Normal 8 6 2 2 3 2 4" xfId="26282"/>
    <cellStyle name="Normal 8 6 2 2 3 3" xfId="26283"/>
    <cellStyle name="Normal 8 6 2 2 3 3 2" xfId="26284"/>
    <cellStyle name="Normal 8 6 2 2 3 3 2 2" xfId="26285"/>
    <cellStyle name="Normal 8 6 2 2 3 3 3" xfId="26286"/>
    <cellStyle name="Normal 8 6 2 2 3 4" xfId="26287"/>
    <cellStyle name="Normal 8 6 2 2 3 4 2" xfId="26288"/>
    <cellStyle name="Normal 8 6 2 2 3 4 3" xfId="26289"/>
    <cellStyle name="Normal 8 6 2 2 3 5" xfId="26290"/>
    <cellStyle name="Normal 8 6 2 2 3 5 2" xfId="26291"/>
    <cellStyle name="Normal 8 6 2 2 3 6" xfId="26292"/>
    <cellStyle name="Normal 8 6 2 2 3 6 2" xfId="37103"/>
    <cellStyle name="Normal 8 6 2 2 3 7" xfId="26293"/>
    <cellStyle name="Normal 8 6 2 2 4" xfId="26294"/>
    <cellStyle name="Normal 8 6 2 2 4 2" xfId="26295"/>
    <cellStyle name="Normal 8 6 2 2 4 2 2" xfId="26296"/>
    <cellStyle name="Normal 8 6 2 2 4 2 2 2" xfId="26297"/>
    <cellStyle name="Normal 8 6 2 2 4 2 3" xfId="26298"/>
    <cellStyle name="Normal 8 6 2 2 4 3" xfId="26299"/>
    <cellStyle name="Normal 8 6 2 2 4 3 2" xfId="26300"/>
    <cellStyle name="Normal 8 6 2 2 4 4" xfId="26301"/>
    <cellStyle name="Normal 8 6 2 2 5" xfId="26302"/>
    <cellStyle name="Normal 8 6 2 2 5 2" xfId="26303"/>
    <cellStyle name="Normal 8 6 2 2 5 2 2" xfId="26304"/>
    <cellStyle name="Normal 8 6 2 2 5 3" xfId="26305"/>
    <cellStyle name="Normal 8 6 2 2 6" xfId="26306"/>
    <cellStyle name="Normal 8 6 2 2 6 2" xfId="26307"/>
    <cellStyle name="Normal 8 6 2 2 6 2 2" xfId="26308"/>
    <cellStyle name="Normal 8 6 2 2 6 3" xfId="26309"/>
    <cellStyle name="Normal 8 6 2 2 7" xfId="26310"/>
    <cellStyle name="Normal 8 6 2 2 7 2" xfId="26311"/>
    <cellStyle name="Normal 8 6 2 2 8" xfId="26312"/>
    <cellStyle name="Normal 8 6 2 2 8 2" xfId="37104"/>
    <cellStyle name="Normal 8 6 2 2 9" xfId="26313"/>
    <cellStyle name="Normal 8 6 2 3" xfId="26314"/>
    <cellStyle name="Normal 8 6 2 3 2" xfId="26315"/>
    <cellStyle name="Normal 8 6 2 3 2 2" xfId="26316"/>
    <cellStyle name="Normal 8 6 2 3 2 2 2" xfId="26317"/>
    <cellStyle name="Normal 8 6 2 3 2 2 2 2" xfId="26318"/>
    <cellStyle name="Normal 8 6 2 3 2 2 2 3" xfId="26319"/>
    <cellStyle name="Normal 8 6 2 3 2 2 3" xfId="26320"/>
    <cellStyle name="Normal 8 6 2 3 2 2 3 2" xfId="26321"/>
    <cellStyle name="Normal 8 6 2 3 2 2 4" xfId="26322"/>
    <cellStyle name="Normal 8 6 2 3 2 3" xfId="26323"/>
    <cellStyle name="Normal 8 6 2 3 2 3 2" xfId="26324"/>
    <cellStyle name="Normal 8 6 2 3 2 3 2 2" xfId="26325"/>
    <cellStyle name="Normal 8 6 2 3 2 3 3" xfId="26326"/>
    <cellStyle name="Normal 8 6 2 3 2 4" xfId="26327"/>
    <cellStyle name="Normal 8 6 2 3 2 4 2" xfId="26328"/>
    <cellStyle name="Normal 8 6 2 3 2 4 3" xfId="26329"/>
    <cellStyle name="Normal 8 6 2 3 2 5" xfId="26330"/>
    <cellStyle name="Normal 8 6 2 3 2 5 2" xfId="26331"/>
    <cellStyle name="Normal 8 6 2 3 2 6" xfId="26332"/>
    <cellStyle name="Normal 8 6 2 3 2 6 2" xfId="37105"/>
    <cellStyle name="Normal 8 6 2 3 2 7" xfId="26333"/>
    <cellStyle name="Normal 8 6 2 3 3" xfId="26334"/>
    <cellStyle name="Normal 8 6 2 3 3 2" xfId="26335"/>
    <cellStyle name="Normal 8 6 2 3 3 2 2" xfId="26336"/>
    <cellStyle name="Normal 8 6 2 3 3 2 2 2" xfId="26337"/>
    <cellStyle name="Normal 8 6 2 3 3 2 3" xfId="26338"/>
    <cellStyle name="Normal 8 6 2 3 3 3" xfId="26339"/>
    <cellStyle name="Normal 8 6 2 3 3 3 2" xfId="26340"/>
    <cellStyle name="Normal 8 6 2 3 3 4" xfId="26341"/>
    <cellStyle name="Normal 8 6 2 3 4" xfId="26342"/>
    <cellStyle name="Normal 8 6 2 3 4 2" xfId="26343"/>
    <cellStyle name="Normal 8 6 2 3 4 2 2" xfId="26344"/>
    <cellStyle name="Normal 8 6 2 3 4 3" xfId="26345"/>
    <cellStyle name="Normal 8 6 2 3 5" xfId="26346"/>
    <cellStyle name="Normal 8 6 2 3 5 2" xfId="26347"/>
    <cellStyle name="Normal 8 6 2 3 5 2 2" xfId="26348"/>
    <cellStyle name="Normal 8 6 2 3 5 3" xfId="26349"/>
    <cellStyle name="Normal 8 6 2 3 6" xfId="26350"/>
    <cellStyle name="Normal 8 6 2 3 6 2" xfId="26351"/>
    <cellStyle name="Normal 8 6 2 3 7" xfId="26352"/>
    <cellStyle name="Normal 8 6 2 3 7 2" xfId="37106"/>
    <cellStyle name="Normal 8 6 2 3 8" xfId="26353"/>
    <cellStyle name="Normal 8 6 2 4" xfId="26354"/>
    <cellStyle name="Normal 8 6 2 4 2" xfId="26355"/>
    <cellStyle name="Normal 8 6 2 4 2 2" xfId="26356"/>
    <cellStyle name="Normal 8 6 2 4 2 2 2" xfId="26357"/>
    <cellStyle name="Normal 8 6 2 4 2 2 3" xfId="26358"/>
    <cellStyle name="Normal 8 6 2 4 2 3" xfId="26359"/>
    <cellStyle name="Normal 8 6 2 4 2 3 2" xfId="26360"/>
    <cellStyle name="Normal 8 6 2 4 2 4" xfId="26361"/>
    <cellStyle name="Normal 8 6 2 4 3" xfId="26362"/>
    <cellStyle name="Normal 8 6 2 4 3 2" xfId="26363"/>
    <cellStyle name="Normal 8 6 2 4 3 2 2" xfId="26364"/>
    <cellStyle name="Normal 8 6 2 4 3 3" xfId="26365"/>
    <cellStyle name="Normal 8 6 2 4 4" xfId="26366"/>
    <cellStyle name="Normal 8 6 2 4 4 2" xfId="26367"/>
    <cellStyle name="Normal 8 6 2 4 4 3" xfId="26368"/>
    <cellStyle name="Normal 8 6 2 4 5" xfId="26369"/>
    <cellStyle name="Normal 8 6 2 4 5 2" xfId="26370"/>
    <cellStyle name="Normal 8 6 2 4 6" xfId="26371"/>
    <cellStyle name="Normal 8 6 2 4 6 2" xfId="37107"/>
    <cellStyle name="Normal 8 6 2 4 7" xfId="26372"/>
    <cellStyle name="Normal 8 6 2 5" xfId="26373"/>
    <cellStyle name="Normal 8 6 2 5 2" xfId="26374"/>
    <cellStyle name="Normal 8 6 2 5 2 2" xfId="26375"/>
    <cellStyle name="Normal 8 6 2 5 2 2 2" xfId="26376"/>
    <cellStyle name="Normal 8 6 2 5 2 3" xfId="26377"/>
    <cellStyle name="Normal 8 6 2 5 3" xfId="26378"/>
    <cellStyle name="Normal 8 6 2 5 3 2" xfId="26379"/>
    <cellStyle name="Normal 8 6 2 5 4" xfId="26380"/>
    <cellStyle name="Normal 8 6 2 6" xfId="26381"/>
    <cellStyle name="Normal 8 6 2 6 2" xfId="26382"/>
    <cellStyle name="Normal 8 6 2 6 2 2" xfId="26383"/>
    <cellStyle name="Normal 8 6 2 6 3" xfId="26384"/>
    <cellStyle name="Normal 8 6 2 7" xfId="26385"/>
    <cellStyle name="Normal 8 6 2 7 2" xfId="26386"/>
    <cellStyle name="Normal 8 6 2 7 2 2" xfId="26387"/>
    <cellStyle name="Normal 8 6 2 7 3" xfId="26388"/>
    <cellStyle name="Normal 8 6 2 8" xfId="26389"/>
    <cellStyle name="Normal 8 6 2 8 2" xfId="26390"/>
    <cellStyle name="Normal 8 6 2 9" xfId="26391"/>
    <cellStyle name="Normal 8 6 2 9 2" xfId="37108"/>
    <cellStyle name="Normal 8 6 3" xfId="26392"/>
    <cellStyle name="Normal 8 6 3 2" xfId="26393"/>
    <cellStyle name="Normal 8 6 3 2 2" xfId="26394"/>
    <cellStyle name="Normal 8 6 3 2 2 2" xfId="26395"/>
    <cellStyle name="Normal 8 6 3 2 2 2 2" xfId="26396"/>
    <cellStyle name="Normal 8 6 3 2 2 2 2 2" xfId="26397"/>
    <cellStyle name="Normal 8 6 3 2 2 2 2 3" xfId="26398"/>
    <cellStyle name="Normal 8 6 3 2 2 2 3" xfId="26399"/>
    <cellStyle name="Normal 8 6 3 2 2 2 3 2" xfId="26400"/>
    <cellStyle name="Normal 8 6 3 2 2 2 4" xfId="26401"/>
    <cellStyle name="Normal 8 6 3 2 2 3" xfId="26402"/>
    <cellStyle name="Normal 8 6 3 2 2 3 2" xfId="26403"/>
    <cellStyle name="Normal 8 6 3 2 2 3 2 2" xfId="26404"/>
    <cellStyle name="Normal 8 6 3 2 2 3 3" xfId="26405"/>
    <cellStyle name="Normal 8 6 3 2 2 4" xfId="26406"/>
    <cellStyle name="Normal 8 6 3 2 2 4 2" xfId="26407"/>
    <cellStyle name="Normal 8 6 3 2 2 4 3" xfId="26408"/>
    <cellStyle name="Normal 8 6 3 2 2 5" xfId="26409"/>
    <cellStyle name="Normal 8 6 3 2 2 5 2" xfId="26410"/>
    <cellStyle name="Normal 8 6 3 2 2 6" xfId="26411"/>
    <cellStyle name="Normal 8 6 3 2 2 6 2" xfId="37109"/>
    <cellStyle name="Normal 8 6 3 2 2 7" xfId="26412"/>
    <cellStyle name="Normal 8 6 3 2 3" xfId="26413"/>
    <cellStyle name="Normal 8 6 3 2 3 2" xfId="26414"/>
    <cellStyle name="Normal 8 6 3 2 3 2 2" xfId="26415"/>
    <cellStyle name="Normal 8 6 3 2 3 2 2 2" xfId="26416"/>
    <cellStyle name="Normal 8 6 3 2 3 2 3" xfId="26417"/>
    <cellStyle name="Normal 8 6 3 2 3 3" xfId="26418"/>
    <cellStyle name="Normal 8 6 3 2 3 3 2" xfId="26419"/>
    <cellStyle name="Normal 8 6 3 2 3 4" xfId="26420"/>
    <cellStyle name="Normal 8 6 3 2 4" xfId="26421"/>
    <cellStyle name="Normal 8 6 3 2 4 2" xfId="26422"/>
    <cellStyle name="Normal 8 6 3 2 4 2 2" xfId="26423"/>
    <cellStyle name="Normal 8 6 3 2 4 3" xfId="26424"/>
    <cellStyle name="Normal 8 6 3 2 5" xfId="26425"/>
    <cellStyle name="Normal 8 6 3 2 5 2" xfId="26426"/>
    <cellStyle name="Normal 8 6 3 2 5 2 2" xfId="26427"/>
    <cellStyle name="Normal 8 6 3 2 5 3" xfId="26428"/>
    <cellStyle name="Normal 8 6 3 2 6" xfId="26429"/>
    <cellStyle name="Normal 8 6 3 2 6 2" xfId="26430"/>
    <cellStyle name="Normal 8 6 3 2 7" xfId="26431"/>
    <cellStyle name="Normal 8 6 3 2 7 2" xfId="37110"/>
    <cellStyle name="Normal 8 6 3 2 8" xfId="26432"/>
    <cellStyle name="Normal 8 6 3 3" xfId="26433"/>
    <cellStyle name="Normal 8 6 3 3 2" xfId="26434"/>
    <cellStyle name="Normal 8 6 3 3 2 2" xfId="26435"/>
    <cellStyle name="Normal 8 6 3 3 2 2 2" xfId="26436"/>
    <cellStyle name="Normal 8 6 3 3 2 2 3" xfId="26437"/>
    <cellStyle name="Normal 8 6 3 3 2 3" xfId="26438"/>
    <cellStyle name="Normal 8 6 3 3 2 3 2" xfId="26439"/>
    <cellStyle name="Normal 8 6 3 3 2 4" xfId="26440"/>
    <cellStyle name="Normal 8 6 3 3 3" xfId="26441"/>
    <cellStyle name="Normal 8 6 3 3 3 2" xfId="26442"/>
    <cellStyle name="Normal 8 6 3 3 3 2 2" xfId="26443"/>
    <cellStyle name="Normal 8 6 3 3 3 3" xfId="26444"/>
    <cellStyle name="Normal 8 6 3 3 4" xfId="26445"/>
    <cellStyle name="Normal 8 6 3 3 4 2" xfId="26446"/>
    <cellStyle name="Normal 8 6 3 3 4 3" xfId="26447"/>
    <cellStyle name="Normal 8 6 3 3 5" xfId="26448"/>
    <cellStyle name="Normal 8 6 3 3 5 2" xfId="26449"/>
    <cellStyle name="Normal 8 6 3 3 6" xfId="26450"/>
    <cellStyle name="Normal 8 6 3 3 6 2" xfId="37111"/>
    <cellStyle name="Normal 8 6 3 3 7" xfId="26451"/>
    <cellStyle name="Normal 8 6 3 4" xfId="26452"/>
    <cellStyle name="Normal 8 6 3 4 2" xfId="26453"/>
    <cellStyle name="Normal 8 6 3 4 2 2" xfId="26454"/>
    <cellStyle name="Normal 8 6 3 4 2 2 2" xfId="26455"/>
    <cellStyle name="Normal 8 6 3 4 2 3" xfId="26456"/>
    <cellStyle name="Normal 8 6 3 4 3" xfId="26457"/>
    <cellStyle name="Normal 8 6 3 4 3 2" xfId="26458"/>
    <cellStyle name="Normal 8 6 3 4 4" xfId="26459"/>
    <cellStyle name="Normal 8 6 3 5" xfId="26460"/>
    <cellStyle name="Normal 8 6 3 5 2" xfId="26461"/>
    <cellStyle name="Normal 8 6 3 5 2 2" xfId="26462"/>
    <cellStyle name="Normal 8 6 3 5 3" xfId="26463"/>
    <cellStyle name="Normal 8 6 3 6" xfId="26464"/>
    <cellStyle name="Normal 8 6 3 6 2" xfId="26465"/>
    <cellStyle name="Normal 8 6 3 6 2 2" xfId="26466"/>
    <cellStyle name="Normal 8 6 3 6 3" xfId="26467"/>
    <cellStyle name="Normal 8 6 3 7" xfId="26468"/>
    <cellStyle name="Normal 8 6 3 7 2" xfId="26469"/>
    <cellStyle name="Normal 8 6 3 8" xfId="26470"/>
    <cellStyle name="Normal 8 6 3 8 2" xfId="37112"/>
    <cellStyle name="Normal 8 6 3 9" xfId="26471"/>
    <cellStyle name="Normal 8 6 4" xfId="26472"/>
    <cellStyle name="Normal 8 6 4 2" xfId="26473"/>
    <cellStyle name="Normal 8 6 4 2 2" xfId="26474"/>
    <cellStyle name="Normal 8 6 4 2 2 2" xfId="26475"/>
    <cellStyle name="Normal 8 6 4 2 2 2 2" xfId="26476"/>
    <cellStyle name="Normal 8 6 4 2 2 2 3" xfId="26477"/>
    <cellStyle name="Normal 8 6 4 2 2 3" xfId="26478"/>
    <cellStyle name="Normal 8 6 4 2 2 3 2" xfId="26479"/>
    <cellStyle name="Normal 8 6 4 2 2 4" xfId="26480"/>
    <cellStyle name="Normal 8 6 4 2 3" xfId="26481"/>
    <cellStyle name="Normal 8 6 4 2 3 2" xfId="26482"/>
    <cellStyle name="Normal 8 6 4 2 3 2 2" xfId="26483"/>
    <cellStyle name="Normal 8 6 4 2 3 3" xfId="26484"/>
    <cellStyle name="Normal 8 6 4 2 4" xfId="26485"/>
    <cellStyle name="Normal 8 6 4 2 4 2" xfId="26486"/>
    <cellStyle name="Normal 8 6 4 2 4 3" xfId="26487"/>
    <cellStyle name="Normal 8 6 4 2 5" xfId="26488"/>
    <cellStyle name="Normal 8 6 4 2 5 2" xfId="26489"/>
    <cellStyle name="Normal 8 6 4 2 6" xfId="26490"/>
    <cellStyle name="Normal 8 6 4 2 6 2" xfId="37113"/>
    <cellStyle name="Normal 8 6 4 2 7" xfId="26491"/>
    <cellStyle name="Normal 8 6 4 3" xfId="26492"/>
    <cellStyle name="Normal 8 6 4 3 2" xfId="26493"/>
    <cellStyle name="Normal 8 6 4 3 2 2" xfId="26494"/>
    <cellStyle name="Normal 8 6 4 3 2 2 2" xfId="26495"/>
    <cellStyle name="Normal 8 6 4 3 2 3" xfId="26496"/>
    <cellStyle name="Normal 8 6 4 3 3" xfId="26497"/>
    <cellStyle name="Normal 8 6 4 3 3 2" xfId="26498"/>
    <cellStyle name="Normal 8 6 4 3 4" xfId="26499"/>
    <cellStyle name="Normal 8 6 4 4" xfId="26500"/>
    <cellStyle name="Normal 8 6 4 4 2" xfId="26501"/>
    <cellStyle name="Normal 8 6 4 4 2 2" xfId="26502"/>
    <cellStyle name="Normal 8 6 4 4 3" xfId="26503"/>
    <cellStyle name="Normal 8 6 4 5" xfId="26504"/>
    <cellStyle name="Normal 8 6 4 5 2" xfId="26505"/>
    <cellStyle name="Normal 8 6 4 5 2 2" xfId="26506"/>
    <cellStyle name="Normal 8 6 4 5 3" xfId="26507"/>
    <cellStyle name="Normal 8 6 4 6" xfId="26508"/>
    <cellStyle name="Normal 8 6 4 6 2" xfId="26509"/>
    <cellStyle name="Normal 8 6 4 7" xfId="26510"/>
    <cellStyle name="Normal 8 6 4 7 2" xfId="37114"/>
    <cellStyle name="Normal 8 6 4 8" xfId="26511"/>
    <cellStyle name="Normal 8 6 5" xfId="26512"/>
    <cellStyle name="Normal 8 6 5 2" xfId="26513"/>
    <cellStyle name="Normal 8 6 5 2 2" xfId="26514"/>
    <cellStyle name="Normal 8 6 5 2 2 2" xfId="26515"/>
    <cellStyle name="Normal 8 6 5 2 2 2 2" xfId="26516"/>
    <cellStyle name="Normal 8 6 5 2 2 2 3" xfId="26517"/>
    <cellStyle name="Normal 8 6 5 2 2 3" xfId="26518"/>
    <cellStyle name="Normal 8 6 5 2 2 3 2" xfId="26519"/>
    <cellStyle name="Normal 8 6 5 2 2 4" xfId="26520"/>
    <cellStyle name="Normal 8 6 5 2 3" xfId="26521"/>
    <cellStyle name="Normal 8 6 5 2 3 2" xfId="26522"/>
    <cellStyle name="Normal 8 6 5 2 3 2 2" xfId="26523"/>
    <cellStyle name="Normal 8 6 5 2 3 3" xfId="26524"/>
    <cellStyle name="Normal 8 6 5 2 4" xfId="26525"/>
    <cellStyle name="Normal 8 6 5 2 4 2" xfId="26526"/>
    <cellStyle name="Normal 8 6 5 2 4 3" xfId="26527"/>
    <cellStyle name="Normal 8 6 5 2 5" xfId="26528"/>
    <cellStyle name="Normal 8 6 5 2 5 2" xfId="26529"/>
    <cellStyle name="Normal 8 6 5 2 6" xfId="26530"/>
    <cellStyle name="Normal 8 6 5 2 6 2" xfId="37115"/>
    <cellStyle name="Normal 8 6 5 2 7" xfId="26531"/>
    <cellStyle name="Normal 8 6 5 3" xfId="26532"/>
    <cellStyle name="Normal 8 6 5 3 2" xfId="26533"/>
    <cellStyle name="Normal 8 6 5 3 2 2" xfId="26534"/>
    <cellStyle name="Normal 8 6 5 3 2 2 2" xfId="26535"/>
    <cellStyle name="Normal 8 6 5 3 2 3" xfId="26536"/>
    <cellStyle name="Normal 8 6 5 3 3" xfId="26537"/>
    <cellStyle name="Normal 8 6 5 3 3 2" xfId="26538"/>
    <cellStyle name="Normal 8 6 5 3 4" xfId="26539"/>
    <cellStyle name="Normal 8 6 5 4" xfId="26540"/>
    <cellStyle name="Normal 8 6 5 4 2" xfId="26541"/>
    <cellStyle name="Normal 8 6 5 4 2 2" xfId="26542"/>
    <cellStyle name="Normal 8 6 5 4 3" xfId="26543"/>
    <cellStyle name="Normal 8 6 5 5" xfId="26544"/>
    <cellStyle name="Normal 8 6 5 5 2" xfId="26545"/>
    <cellStyle name="Normal 8 6 5 5 2 2" xfId="26546"/>
    <cellStyle name="Normal 8 6 5 5 3" xfId="26547"/>
    <cellStyle name="Normal 8 6 5 6" xfId="26548"/>
    <cellStyle name="Normal 8 6 5 6 2" xfId="26549"/>
    <cellStyle name="Normal 8 6 5 7" xfId="26550"/>
    <cellStyle name="Normal 8 6 5 7 2" xfId="37116"/>
    <cellStyle name="Normal 8 6 5 8" xfId="26551"/>
    <cellStyle name="Normal 8 6 6" xfId="26552"/>
    <cellStyle name="Normal 8 6 7" xfId="26553"/>
    <cellStyle name="Normal 8 6 7 2" xfId="26554"/>
    <cellStyle name="Normal 8 6 7 2 2" xfId="26555"/>
    <cellStyle name="Normal 8 6 7 2 2 2" xfId="26556"/>
    <cellStyle name="Normal 8 6 7 2 2 3" xfId="26557"/>
    <cellStyle name="Normal 8 6 7 2 3" xfId="26558"/>
    <cellStyle name="Normal 8 6 7 2 3 2" xfId="26559"/>
    <cellStyle name="Normal 8 6 7 2 4" xfId="26560"/>
    <cellStyle name="Normal 8 6 7 3" xfId="26561"/>
    <cellStyle name="Normal 8 6 7 3 2" xfId="26562"/>
    <cellStyle name="Normal 8 6 7 3 2 2" xfId="26563"/>
    <cellStyle name="Normal 8 6 7 3 3" xfId="26564"/>
    <cellStyle name="Normal 8 6 7 4" xfId="26565"/>
    <cellStyle name="Normal 8 6 7 4 2" xfId="26566"/>
    <cellStyle name="Normal 8 6 7 4 3" xfId="26567"/>
    <cellStyle name="Normal 8 6 7 5" xfId="26568"/>
    <cellStyle name="Normal 8 6 7 5 2" xfId="26569"/>
    <cellStyle name="Normal 8 6 7 6" xfId="26570"/>
    <cellStyle name="Normal 8 6 7 6 2" xfId="37117"/>
    <cellStyle name="Normal 8 6 7 7" xfId="26571"/>
    <cellStyle name="Normal 8 6 8" xfId="26572"/>
    <cellStyle name="Normal 8 6 8 2" xfId="26573"/>
    <cellStyle name="Normal 8 6 8 2 2" xfId="26574"/>
    <cellStyle name="Normal 8 6 8 2 2 2" xfId="26575"/>
    <cellStyle name="Normal 8 6 8 2 3" xfId="26576"/>
    <cellStyle name="Normal 8 6 8 3" xfId="26577"/>
    <cellStyle name="Normal 8 6 8 3 2" xfId="26578"/>
    <cellStyle name="Normal 8 6 8 4" xfId="26579"/>
    <cellStyle name="Normal 8 6 9" xfId="26580"/>
    <cellStyle name="Normal 8 6 9 2" xfId="26581"/>
    <cellStyle name="Normal 8 6 9 2 2" xfId="26582"/>
    <cellStyle name="Normal 8 6 9 3" xfId="26583"/>
    <cellStyle name="Normal 8 7" xfId="26584"/>
    <cellStyle name="Normal 8 7 10" xfId="26585"/>
    <cellStyle name="Normal 8 7 2" xfId="26586"/>
    <cellStyle name="Normal 8 7 2 2" xfId="26587"/>
    <cellStyle name="Normal 8 7 2 2 2" xfId="26588"/>
    <cellStyle name="Normal 8 7 2 2 2 2" xfId="26589"/>
    <cellStyle name="Normal 8 7 2 2 2 2 2" xfId="26590"/>
    <cellStyle name="Normal 8 7 2 2 2 2 2 2" xfId="26591"/>
    <cellStyle name="Normal 8 7 2 2 2 2 2 3" xfId="26592"/>
    <cellStyle name="Normal 8 7 2 2 2 2 3" xfId="26593"/>
    <cellStyle name="Normal 8 7 2 2 2 2 3 2" xfId="26594"/>
    <cellStyle name="Normal 8 7 2 2 2 2 4" xfId="26595"/>
    <cellStyle name="Normal 8 7 2 2 2 3" xfId="26596"/>
    <cellStyle name="Normal 8 7 2 2 2 3 2" xfId="26597"/>
    <cellStyle name="Normal 8 7 2 2 2 3 2 2" xfId="26598"/>
    <cellStyle name="Normal 8 7 2 2 2 3 3" xfId="26599"/>
    <cellStyle name="Normal 8 7 2 2 2 4" xfId="26600"/>
    <cellStyle name="Normal 8 7 2 2 2 4 2" xfId="26601"/>
    <cellStyle name="Normal 8 7 2 2 2 4 3" xfId="26602"/>
    <cellStyle name="Normal 8 7 2 2 2 5" xfId="26603"/>
    <cellStyle name="Normal 8 7 2 2 2 5 2" xfId="26604"/>
    <cellStyle name="Normal 8 7 2 2 2 6" xfId="26605"/>
    <cellStyle name="Normal 8 7 2 2 2 6 2" xfId="37118"/>
    <cellStyle name="Normal 8 7 2 2 2 7" xfId="26606"/>
    <cellStyle name="Normal 8 7 2 2 3" xfId="26607"/>
    <cellStyle name="Normal 8 7 2 2 3 2" xfId="26608"/>
    <cellStyle name="Normal 8 7 2 2 3 2 2" xfId="26609"/>
    <cellStyle name="Normal 8 7 2 2 3 2 2 2" xfId="26610"/>
    <cellStyle name="Normal 8 7 2 2 3 2 3" xfId="26611"/>
    <cellStyle name="Normal 8 7 2 2 3 3" xfId="26612"/>
    <cellStyle name="Normal 8 7 2 2 3 3 2" xfId="26613"/>
    <cellStyle name="Normal 8 7 2 2 3 4" xfId="26614"/>
    <cellStyle name="Normal 8 7 2 2 4" xfId="26615"/>
    <cellStyle name="Normal 8 7 2 2 4 2" xfId="26616"/>
    <cellStyle name="Normal 8 7 2 2 4 2 2" xfId="26617"/>
    <cellStyle name="Normal 8 7 2 2 4 3" xfId="26618"/>
    <cellStyle name="Normal 8 7 2 2 5" xfId="26619"/>
    <cellStyle name="Normal 8 7 2 2 5 2" xfId="26620"/>
    <cellStyle name="Normal 8 7 2 2 5 2 2" xfId="26621"/>
    <cellStyle name="Normal 8 7 2 2 5 3" xfId="26622"/>
    <cellStyle name="Normal 8 7 2 2 6" xfId="26623"/>
    <cellStyle name="Normal 8 7 2 2 6 2" xfId="26624"/>
    <cellStyle name="Normal 8 7 2 2 7" xfId="26625"/>
    <cellStyle name="Normal 8 7 2 2 7 2" xfId="37119"/>
    <cellStyle name="Normal 8 7 2 2 8" xfId="26626"/>
    <cellStyle name="Normal 8 7 2 3" xfId="26627"/>
    <cellStyle name="Normal 8 7 2 3 2" xfId="26628"/>
    <cellStyle name="Normal 8 7 2 3 2 2" xfId="26629"/>
    <cellStyle name="Normal 8 7 2 3 2 2 2" xfId="26630"/>
    <cellStyle name="Normal 8 7 2 3 2 2 3" xfId="26631"/>
    <cellStyle name="Normal 8 7 2 3 2 3" xfId="26632"/>
    <cellStyle name="Normal 8 7 2 3 2 3 2" xfId="26633"/>
    <cellStyle name="Normal 8 7 2 3 2 4" xfId="26634"/>
    <cellStyle name="Normal 8 7 2 3 3" xfId="26635"/>
    <cellStyle name="Normal 8 7 2 3 3 2" xfId="26636"/>
    <cellStyle name="Normal 8 7 2 3 3 2 2" xfId="26637"/>
    <cellStyle name="Normal 8 7 2 3 3 3" xfId="26638"/>
    <cellStyle name="Normal 8 7 2 3 4" xfId="26639"/>
    <cellStyle name="Normal 8 7 2 3 4 2" xfId="26640"/>
    <cellStyle name="Normal 8 7 2 3 4 3" xfId="26641"/>
    <cellStyle name="Normal 8 7 2 3 5" xfId="26642"/>
    <cellStyle name="Normal 8 7 2 3 5 2" xfId="26643"/>
    <cellStyle name="Normal 8 7 2 3 6" xfId="26644"/>
    <cellStyle name="Normal 8 7 2 3 6 2" xfId="37120"/>
    <cellStyle name="Normal 8 7 2 3 7" xfId="26645"/>
    <cellStyle name="Normal 8 7 2 4" xfId="26646"/>
    <cellStyle name="Normal 8 7 2 4 2" xfId="26647"/>
    <cellStyle name="Normal 8 7 2 4 2 2" xfId="26648"/>
    <cellStyle name="Normal 8 7 2 4 2 2 2" xfId="26649"/>
    <cellStyle name="Normal 8 7 2 4 2 3" xfId="26650"/>
    <cellStyle name="Normal 8 7 2 4 3" xfId="26651"/>
    <cellStyle name="Normal 8 7 2 4 3 2" xfId="26652"/>
    <cellStyle name="Normal 8 7 2 4 4" xfId="26653"/>
    <cellStyle name="Normal 8 7 2 5" xfId="26654"/>
    <cellStyle name="Normal 8 7 2 5 2" xfId="26655"/>
    <cellStyle name="Normal 8 7 2 5 2 2" xfId="26656"/>
    <cellStyle name="Normal 8 7 2 5 3" xfId="26657"/>
    <cellStyle name="Normal 8 7 2 6" xfId="26658"/>
    <cellStyle name="Normal 8 7 2 6 2" xfId="26659"/>
    <cellStyle name="Normal 8 7 2 6 2 2" xfId="26660"/>
    <cellStyle name="Normal 8 7 2 6 3" xfId="26661"/>
    <cellStyle name="Normal 8 7 2 7" xfId="26662"/>
    <cellStyle name="Normal 8 7 2 7 2" xfId="26663"/>
    <cellStyle name="Normal 8 7 2 8" xfId="26664"/>
    <cellStyle name="Normal 8 7 2 8 2" xfId="37121"/>
    <cellStyle name="Normal 8 7 2 9" xfId="26665"/>
    <cellStyle name="Normal 8 7 3" xfId="26666"/>
    <cellStyle name="Normal 8 7 3 2" xfId="26667"/>
    <cellStyle name="Normal 8 7 3 2 2" xfId="26668"/>
    <cellStyle name="Normal 8 7 3 2 2 2" xfId="26669"/>
    <cellStyle name="Normal 8 7 3 2 2 2 2" xfId="26670"/>
    <cellStyle name="Normal 8 7 3 2 2 2 3" xfId="26671"/>
    <cellStyle name="Normal 8 7 3 2 2 3" xfId="26672"/>
    <cellStyle name="Normal 8 7 3 2 2 3 2" xfId="26673"/>
    <cellStyle name="Normal 8 7 3 2 2 4" xfId="26674"/>
    <cellStyle name="Normal 8 7 3 2 3" xfId="26675"/>
    <cellStyle name="Normal 8 7 3 2 3 2" xfId="26676"/>
    <cellStyle name="Normal 8 7 3 2 3 2 2" xfId="26677"/>
    <cellStyle name="Normal 8 7 3 2 3 3" xfId="26678"/>
    <cellStyle name="Normal 8 7 3 2 4" xfId="26679"/>
    <cellStyle name="Normal 8 7 3 2 4 2" xfId="26680"/>
    <cellStyle name="Normal 8 7 3 2 4 3" xfId="26681"/>
    <cellStyle name="Normal 8 7 3 2 5" xfId="26682"/>
    <cellStyle name="Normal 8 7 3 2 5 2" xfId="26683"/>
    <cellStyle name="Normal 8 7 3 2 6" xfId="26684"/>
    <cellStyle name="Normal 8 7 3 2 6 2" xfId="37122"/>
    <cellStyle name="Normal 8 7 3 2 7" xfId="26685"/>
    <cellStyle name="Normal 8 7 3 3" xfId="26686"/>
    <cellStyle name="Normal 8 7 3 3 2" xfId="26687"/>
    <cellStyle name="Normal 8 7 3 3 2 2" xfId="26688"/>
    <cellStyle name="Normal 8 7 3 3 2 2 2" xfId="26689"/>
    <cellStyle name="Normal 8 7 3 3 2 3" xfId="26690"/>
    <cellStyle name="Normal 8 7 3 3 3" xfId="26691"/>
    <cellStyle name="Normal 8 7 3 3 3 2" xfId="26692"/>
    <cellStyle name="Normal 8 7 3 3 4" xfId="26693"/>
    <cellStyle name="Normal 8 7 3 4" xfId="26694"/>
    <cellStyle name="Normal 8 7 3 4 2" xfId="26695"/>
    <cellStyle name="Normal 8 7 3 4 2 2" xfId="26696"/>
    <cellStyle name="Normal 8 7 3 4 3" xfId="26697"/>
    <cellStyle name="Normal 8 7 3 5" xfId="26698"/>
    <cellStyle name="Normal 8 7 3 5 2" xfId="26699"/>
    <cellStyle name="Normal 8 7 3 5 2 2" xfId="26700"/>
    <cellStyle name="Normal 8 7 3 5 3" xfId="26701"/>
    <cellStyle name="Normal 8 7 3 6" xfId="26702"/>
    <cellStyle name="Normal 8 7 3 6 2" xfId="26703"/>
    <cellStyle name="Normal 8 7 3 7" xfId="26704"/>
    <cellStyle name="Normal 8 7 3 7 2" xfId="37123"/>
    <cellStyle name="Normal 8 7 3 8" xfId="26705"/>
    <cellStyle name="Normal 8 7 4" xfId="26706"/>
    <cellStyle name="Normal 8 7 4 2" xfId="26707"/>
    <cellStyle name="Normal 8 7 4 2 2" xfId="26708"/>
    <cellStyle name="Normal 8 7 4 2 2 2" xfId="26709"/>
    <cellStyle name="Normal 8 7 4 2 2 3" xfId="26710"/>
    <cellStyle name="Normal 8 7 4 2 3" xfId="26711"/>
    <cellStyle name="Normal 8 7 4 2 3 2" xfId="26712"/>
    <cellStyle name="Normal 8 7 4 2 4" xfId="26713"/>
    <cellStyle name="Normal 8 7 4 3" xfId="26714"/>
    <cellStyle name="Normal 8 7 4 3 2" xfId="26715"/>
    <cellStyle name="Normal 8 7 4 3 2 2" xfId="26716"/>
    <cellStyle name="Normal 8 7 4 3 3" xfId="26717"/>
    <cellStyle name="Normal 8 7 4 4" xfId="26718"/>
    <cellStyle name="Normal 8 7 4 4 2" xfId="26719"/>
    <cellStyle name="Normal 8 7 4 4 3" xfId="26720"/>
    <cellStyle name="Normal 8 7 4 5" xfId="26721"/>
    <cellStyle name="Normal 8 7 4 5 2" xfId="26722"/>
    <cellStyle name="Normal 8 7 4 6" xfId="26723"/>
    <cellStyle name="Normal 8 7 4 6 2" xfId="37124"/>
    <cellStyle name="Normal 8 7 4 7" xfId="26724"/>
    <cellStyle name="Normal 8 7 5" xfId="26725"/>
    <cellStyle name="Normal 8 7 5 2" xfId="26726"/>
    <cellStyle name="Normal 8 7 5 2 2" xfId="26727"/>
    <cellStyle name="Normal 8 7 5 2 2 2" xfId="26728"/>
    <cellStyle name="Normal 8 7 5 2 3" xfId="26729"/>
    <cellStyle name="Normal 8 7 5 3" xfId="26730"/>
    <cellStyle name="Normal 8 7 5 3 2" xfId="26731"/>
    <cellStyle name="Normal 8 7 5 4" xfId="26732"/>
    <cellStyle name="Normal 8 7 6" xfId="26733"/>
    <cellStyle name="Normal 8 7 6 2" xfId="26734"/>
    <cellStyle name="Normal 8 7 6 2 2" xfId="26735"/>
    <cellStyle name="Normal 8 7 6 3" xfId="26736"/>
    <cellStyle name="Normal 8 7 7" xfId="26737"/>
    <cellStyle name="Normal 8 7 7 2" xfId="26738"/>
    <cellStyle name="Normal 8 7 7 2 2" xfId="26739"/>
    <cellStyle name="Normal 8 7 7 3" xfId="26740"/>
    <cellStyle name="Normal 8 7 8" xfId="26741"/>
    <cellStyle name="Normal 8 7 8 2" xfId="26742"/>
    <cellStyle name="Normal 8 7 9" xfId="26743"/>
    <cellStyle name="Normal 8 7 9 2" xfId="37125"/>
    <cellStyle name="Normal 8 8" xfId="26744"/>
    <cellStyle name="Normal 8 8 2" xfId="26745"/>
    <cellStyle name="Normal 8 8 2 2" xfId="26746"/>
    <cellStyle name="Normal 8 8 2 2 2" xfId="26747"/>
    <cellStyle name="Normal 8 8 2 2 2 2" xfId="26748"/>
    <cellStyle name="Normal 8 8 2 2 2 2 2" xfId="26749"/>
    <cellStyle name="Normal 8 8 2 2 2 2 3" xfId="26750"/>
    <cellStyle name="Normal 8 8 2 2 2 3" xfId="26751"/>
    <cellStyle name="Normal 8 8 2 2 2 3 2" xfId="26752"/>
    <cellStyle name="Normal 8 8 2 2 2 4" xfId="26753"/>
    <cellStyle name="Normal 8 8 2 2 3" xfId="26754"/>
    <cellStyle name="Normal 8 8 2 2 3 2" xfId="26755"/>
    <cellStyle name="Normal 8 8 2 2 3 2 2" xfId="26756"/>
    <cellStyle name="Normal 8 8 2 2 3 3" xfId="26757"/>
    <cellStyle name="Normal 8 8 2 2 4" xfId="26758"/>
    <cellStyle name="Normal 8 8 2 2 4 2" xfId="26759"/>
    <cellStyle name="Normal 8 8 2 2 4 3" xfId="26760"/>
    <cellStyle name="Normal 8 8 2 2 5" xfId="26761"/>
    <cellStyle name="Normal 8 8 2 2 5 2" xfId="26762"/>
    <cellStyle name="Normal 8 8 2 2 6" xfId="26763"/>
    <cellStyle name="Normal 8 8 2 2 6 2" xfId="37126"/>
    <cellStyle name="Normal 8 8 2 2 7" xfId="26764"/>
    <cellStyle name="Normal 8 8 2 3" xfId="26765"/>
    <cellStyle name="Normal 8 8 2 3 2" xfId="26766"/>
    <cellStyle name="Normal 8 8 2 3 2 2" xfId="26767"/>
    <cellStyle name="Normal 8 8 2 3 2 2 2" xfId="26768"/>
    <cellStyle name="Normal 8 8 2 3 2 3" xfId="26769"/>
    <cellStyle name="Normal 8 8 2 3 3" xfId="26770"/>
    <cellStyle name="Normal 8 8 2 3 3 2" xfId="26771"/>
    <cellStyle name="Normal 8 8 2 3 4" xfId="26772"/>
    <cellStyle name="Normal 8 8 2 4" xfId="26773"/>
    <cellStyle name="Normal 8 8 2 4 2" xfId="26774"/>
    <cellStyle name="Normal 8 8 2 4 2 2" xfId="26775"/>
    <cellStyle name="Normal 8 8 2 4 3" xfId="26776"/>
    <cellStyle name="Normal 8 8 2 5" xfId="26777"/>
    <cellStyle name="Normal 8 8 2 5 2" xfId="26778"/>
    <cellStyle name="Normal 8 8 2 5 2 2" xfId="26779"/>
    <cellStyle name="Normal 8 8 2 5 3" xfId="26780"/>
    <cellStyle name="Normal 8 8 2 6" xfId="26781"/>
    <cellStyle name="Normal 8 8 2 6 2" xfId="26782"/>
    <cellStyle name="Normal 8 8 2 7" xfId="26783"/>
    <cellStyle name="Normal 8 8 2 7 2" xfId="37127"/>
    <cellStyle name="Normal 8 8 2 8" xfId="26784"/>
    <cellStyle name="Normal 8 8 3" xfId="26785"/>
    <cellStyle name="Normal 8 8 3 2" xfId="26786"/>
    <cellStyle name="Normal 8 8 3 2 2" xfId="26787"/>
    <cellStyle name="Normal 8 8 3 2 2 2" xfId="26788"/>
    <cellStyle name="Normal 8 8 3 2 2 3" xfId="26789"/>
    <cellStyle name="Normal 8 8 3 2 3" xfId="26790"/>
    <cellStyle name="Normal 8 8 3 2 3 2" xfId="26791"/>
    <cellStyle name="Normal 8 8 3 2 4" xfId="26792"/>
    <cellStyle name="Normal 8 8 3 3" xfId="26793"/>
    <cellStyle name="Normal 8 8 3 3 2" xfId="26794"/>
    <cellStyle name="Normal 8 8 3 3 2 2" xfId="26795"/>
    <cellStyle name="Normal 8 8 3 3 3" xfId="26796"/>
    <cellStyle name="Normal 8 8 3 4" xfId="26797"/>
    <cellStyle name="Normal 8 8 3 4 2" xfId="26798"/>
    <cellStyle name="Normal 8 8 3 4 3" xfId="26799"/>
    <cellStyle name="Normal 8 8 3 5" xfId="26800"/>
    <cellStyle name="Normal 8 8 3 5 2" xfId="26801"/>
    <cellStyle name="Normal 8 8 3 6" xfId="26802"/>
    <cellStyle name="Normal 8 8 3 6 2" xfId="37128"/>
    <cellStyle name="Normal 8 8 3 7" xfId="26803"/>
    <cellStyle name="Normal 8 8 4" xfId="26804"/>
    <cellStyle name="Normal 8 8 4 2" xfId="26805"/>
    <cellStyle name="Normal 8 8 4 2 2" xfId="26806"/>
    <cellStyle name="Normal 8 8 4 2 2 2" xfId="26807"/>
    <cellStyle name="Normal 8 8 4 2 3" xfId="26808"/>
    <cellStyle name="Normal 8 8 4 3" xfId="26809"/>
    <cellStyle name="Normal 8 8 4 3 2" xfId="26810"/>
    <cellStyle name="Normal 8 8 4 4" xfId="26811"/>
    <cellStyle name="Normal 8 8 5" xfId="26812"/>
    <cellStyle name="Normal 8 8 5 2" xfId="26813"/>
    <cellStyle name="Normal 8 8 5 2 2" xfId="26814"/>
    <cellStyle name="Normal 8 8 5 3" xfId="26815"/>
    <cellStyle name="Normal 8 8 6" xfId="26816"/>
    <cellStyle name="Normal 8 8 6 2" xfId="26817"/>
    <cellStyle name="Normal 8 8 6 2 2" xfId="26818"/>
    <cellStyle name="Normal 8 8 6 3" xfId="26819"/>
    <cellStyle name="Normal 8 8 7" xfId="26820"/>
    <cellStyle name="Normal 8 8 7 2" xfId="26821"/>
    <cellStyle name="Normal 8 8 8" xfId="26822"/>
    <cellStyle name="Normal 8 8 8 2" xfId="37129"/>
    <cellStyle name="Normal 8 8 9" xfId="26823"/>
    <cellStyle name="Normal 8 9" xfId="26824"/>
    <cellStyle name="Normal 8 9 2" xfId="26825"/>
    <cellStyle name="Normal 8 9 2 2" xfId="26826"/>
    <cellStyle name="Normal 8 9 2 2 2" xfId="26827"/>
    <cellStyle name="Normal 8 9 2 2 2 2" xfId="26828"/>
    <cellStyle name="Normal 8 9 2 2 2 2 2" xfId="26829"/>
    <cellStyle name="Normal 8 9 2 2 2 2 3" xfId="26830"/>
    <cellStyle name="Normal 8 9 2 2 2 3" xfId="26831"/>
    <cellStyle name="Normal 8 9 2 2 2 3 2" xfId="26832"/>
    <cellStyle name="Normal 8 9 2 2 2 4" xfId="26833"/>
    <cellStyle name="Normal 8 9 2 2 3" xfId="26834"/>
    <cellStyle name="Normal 8 9 2 2 3 2" xfId="26835"/>
    <cellStyle name="Normal 8 9 2 2 3 2 2" xfId="26836"/>
    <cellStyle name="Normal 8 9 2 2 3 3" xfId="26837"/>
    <cellStyle name="Normal 8 9 2 2 4" xfId="26838"/>
    <cellStyle name="Normal 8 9 2 2 4 2" xfId="26839"/>
    <cellStyle name="Normal 8 9 2 2 4 3" xfId="26840"/>
    <cellStyle name="Normal 8 9 2 2 5" xfId="26841"/>
    <cellStyle name="Normal 8 9 2 2 5 2" xfId="26842"/>
    <cellStyle name="Normal 8 9 2 2 6" xfId="26843"/>
    <cellStyle name="Normal 8 9 2 2 6 2" xfId="37130"/>
    <cellStyle name="Normal 8 9 2 2 7" xfId="26844"/>
    <cellStyle name="Normal 8 9 2 3" xfId="26845"/>
    <cellStyle name="Normal 8 9 2 3 2" xfId="26846"/>
    <cellStyle name="Normal 8 9 2 3 2 2" xfId="26847"/>
    <cellStyle name="Normal 8 9 2 3 2 2 2" xfId="26848"/>
    <cellStyle name="Normal 8 9 2 3 2 3" xfId="26849"/>
    <cellStyle name="Normal 8 9 2 3 3" xfId="26850"/>
    <cellStyle name="Normal 8 9 2 3 3 2" xfId="26851"/>
    <cellStyle name="Normal 8 9 2 3 4" xfId="26852"/>
    <cellStyle name="Normal 8 9 2 4" xfId="26853"/>
    <cellStyle name="Normal 8 9 2 4 2" xfId="26854"/>
    <cellStyle name="Normal 8 9 2 4 2 2" xfId="26855"/>
    <cellStyle name="Normal 8 9 2 4 3" xfId="26856"/>
    <cellStyle name="Normal 8 9 2 5" xfId="26857"/>
    <cellStyle name="Normal 8 9 2 5 2" xfId="26858"/>
    <cellStyle name="Normal 8 9 2 5 2 2" xfId="26859"/>
    <cellStyle name="Normal 8 9 2 5 3" xfId="26860"/>
    <cellStyle name="Normal 8 9 2 6" xfId="26861"/>
    <cellStyle name="Normal 8 9 2 6 2" xfId="26862"/>
    <cellStyle name="Normal 8 9 2 7" xfId="26863"/>
    <cellStyle name="Normal 8 9 2 7 2" xfId="37131"/>
    <cellStyle name="Normal 8 9 2 8" xfId="26864"/>
    <cellStyle name="Normal 8 9 3" xfId="26865"/>
    <cellStyle name="Normal 8 9 3 2" xfId="26866"/>
    <cellStyle name="Normal 8 9 3 2 2" xfId="26867"/>
    <cellStyle name="Normal 8 9 3 2 2 2" xfId="26868"/>
    <cellStyle name="Normal 8 9 3 2 2 3" xfId="26869"/>
    <cellStyle name="Normal 8 9 3 2 3" xfId="26870"/>
    <cellStyle name="Normal 8 9 3 2 3 2" xfId="26871"/>
    <cellStyle name="Normal 8 9 3 2 4" xfId="26872"/>
    <cellStyle name="Normal 8 9 3 3" xfId="26873"/>
    <cellStyle name="Normal 8 9 3 3 2" xfId="26874"/>
    <cellStyle name="Normal 8 9 3 3 2 2" xfId="26875"/>
    <cellStyle name="Normal 8 9 3 3 3" xfId="26876"/>
    <cellStyle name="Normal 8 9 3 4" xfId="26877"/>
    <cellStyle name="Normal 8 9 3 4 2" xfId="26878"/>
    <cellStyle name="Normal 8 9 3 4 3" xfId="26879"/>
    <cellStyle name="Normal 8 9 3 5" xfId="26880"/>
    <cellStyle name="Normal 8 9 3 5 2" xfId="26881"/>
    <cellStyle name="Normal 8 9 3 6" xfId="26882"/>
    <cellStyle name="Normal 8 9 3 6 2" xfId="37132"/>
    <cellStyle name="Normal 8 9 3 7" xfId="26883"/>
    <cellStyle name="Normal 8 9 4" xfId="26884"/>
    <cellStyle name="Normal 8 9 4 2" xfId="26885"/>
    <cellStyle name="Normal 8 9 4 2 2" xfId="26886"/>
    <cellStyle name="Normal 8 9 4 2 2 2" xfId="26887"/>
    <cellStyle name="Normal 8 9 4 2 3" xfId="26888"/>
    <cellStyle name="Normal 8 9 4 3" xfId="26889"/>
    <cellStyle name="Normal 8 9 4 3 2" xfId="26890"/>
    <cellStyle name="Normal 8 9 4 4" xfId="26891"/>
    <cellStyle name="Normal 8 9 5" xfId="26892"/>
    <cellStyle name="Normal 8 9 5 2" xfId="26893"/>
    <cellStyle name="Normal 8 9 5 2 2" xfId="26894"/>
    <cellStyle name="Normal 8 9 5 3" xfId="26895"/>
    <cellStyle name="Normal 8 9 6" xfId="26896"/>
    <cellStyle name="Normal 8 9 6 2" xfId="26897"/>
    <cellStyle name="Normal 8 9 6 2 2" xfId="26898"/>
    <cellStyle name="Normal 8 9 6 3" xfId="26899"/>
    <cellStyle name="Normal 8 9 7" xfId="26900"/>
    <cellStyle name="Normal 8 9 7 2" xfId="26901"/>
    <cellStyle name="Normal 8 9 8" xfId="26902"/>
    <cellStyle name="Normal 8 9 8 2" xfId="37133"/>
    <cellStyle name="Normal 8 9 9" xfId="26903"/>
    <cellStyle name="Normal 9" xfId="26904"/>
    <cellStyle name="Normal 9 2" xfId="26905"/>
    <cellStyle name="Normal_Appendix 1 - LMS100 PA" xfId="37579"/>
    <cellStyle name="Normal_AWC Wind Levelized Cost_test" xfId="131"/>
    <cellStyle name="Normal_AWC Wind Levelized Cost_test 2" xfId="37582"/>
    <cellStyle name="Normal_CCR_07-20-05" xfId="132"/>
    <cellStyle name="Normal_Cost_to_Start1" xfId="37581"/>
    <cellStyle name="Normal_S&amp;L Demand Curve cases 11-11-10_inputs to NERA for rept_" xfId="37578"/>
    <cellStyle name="Note" xfId="133" builtinId="10" customBuiltin="1"/>
    <cellStyle name="Note 2" xfId="134"/>
    <cellStyle name="Note 2 10" xfId="26906"/>
    <cellStyle name="Note 2 11" xfId="37800"/>
    <cellStyle name="Note 2 2" xfId="135"/>
    <cellStyle name="Note 2 2 2" xfId="37801"/>
    <cellStyle name="Note 2 3" xfId="26907"/>
    <cellStyle name="Note 2 4" xfId="26908"/>
    <cellStyle name="Note 2 5" xfId="26909"/>
    <cellStyle name="Note 2 6" xfId="26910"/>
    <cellStyle name="Note 2 7" xfId="26911"/>
    <cellStyle name="Note 2 8" xfId="26912"/>
    <cellStyle name="Note 2 9" xfId="26913"/>
    <cellStyle name="Note 3" xfId="37802"/>
    <cellStyle name="Note 4" xfId="37803"/>
    <cellStyle name="Note 5" xfId="37804"/>
    <cellStyle name="Note 6" xfId="37805"/>
    <cellStyle name="Note 7" xfId="37910"/>
    <cellStyle name="Number no Dec" xfId="136"/>
    <cellStyle name="Number no Dec 2" xfId="137"/>
    <cellStyle name="Number no Dec 3" xfId="138"/>
    <cellStyle name="Number no Dec 4" xfId="139"/>
    <cellStyle name="Number no Dec_Controls" xfId="140"/>
    <cellStyle name="OBI_ColHeader" xfId="37806"/>
    <cellStyle name="Okadata" xfId="26914"/>
    <cellStyle name="Output" xfId="141" builtinId="21" customBuiltin="1"/>
    <cellStyle name="Output 2" xfId="26915"/>
    <cellStyle name="Output 3" xfId="37807"/>
    <cellStyle name="Output 4" xfId="37808"/>
    <cellStyle name="Output 5" xfId="37809"/>
    <cellStyle name="Output 6" xfId="37810"/>
    <cellStyle name="Output 7" xfId="37905"/>
    <cellStyle name="Paragraph text" xfId="142"/>
    <cellStyle name="Parent row" xfId="37944"/>
    <cellStyle name="pchya" xfId="143"/>
    <cellStyle name="Percent" xfId="144" builtinId="5"/>
    <cellStyle name="Percent 10" xfId="145"/>
    <cellStyle name="Percent 10 2" xfId="37811"/>
    <cellStyle name="Percent 11" xfId="146"/>
    <cellStyle name="Percent 12" xfId="147"/>
    <cellStyle name="Percent 13" xfId="148"/>
    <cellStyle name="Percent 14" xfId="149"/>
    <cellStyle name="Percent 15" xfId="37812"/>
    <cellStyle name="Percent 16" xfId="37583"/>
    <cellStyle name="Percent 17" xfId="37813"/>
    <cellStyle name="Percent 18" xfId="37814"/>
    <cellStyle name="Percent 19" xfId="37892"/>
    <cellStyle name="Percent 2" xfId="150"/>
    <cellStyle name="Percent 2 10" xfId="26916"/>
    <cellStyle name="Percent 2 10 2" xfId="26917"/>
    <cellStyle name="Percent 2 10 2 2" xfId="26918"/>
    <cellStyle name="Percent 2 10 2 2 2" xfId="26919"/>
    <cellStyle name="Percent 2 10 2 2 2 2" xfId="26920"/>
    <cellStyle name="Percent 2 10 2 2 2 3" xfId="26921"/>
    <cellStyle name="Percent 2 10 2 2 3" xfId="26922"/>
    <cellStyle name="Percent 2 10 2 2 3 2" xfId="26923"/>
    <cellStyle name="Percent 2 10 2 2 4" xfId="26924"/>
    <cellStyle name="Percent 2 10 2 3" xfId="26925"/>
    <cellStyle name="Percent 2 10 2 3 2" xfId="26926"/>
    <cellStyle name="Percent 2 10 2 3 2 2" xfId="26927"/>
    <cellStyle name="Percent 2 10 2 3 3" xfId="26928"/>
    <cellStyle name="Percent 2 10 2 4" xfId="26929"/>
    <cellStyle name="Percent 2 10 2 4 2" xfId="26930"/>
    <cellStyle name="Percent 2 10 2 4 3" xfId="26931"/>
    <cellStyle name="Percent 2 10 2 5" xfId="26932"/>
    <cellStyle name="Percent 2 10 2 5 2" xfId="26933"/>
    <cellStyle name="Percent 2 10 2 6" xfId="26934"/>
    <cellStyle name="Percent 2 10 2 6 2" xfId="37134"/>
    <cellStyle name="Percent 2 10 2 7" xfId="26935"/>
    <cellStyle name="Percent 2 10 3" xfId="26936"/>
    <cellStyle name="Percent 2 10 3 2" xfId="26937"/>
    <cellStyle name="Percent 2 10 3 2 2" xfId="26938"/>
    <cellStyle name="Percent 2 10 3 2 2 2" xfId="26939"/>
    <cellStyle name="Percent 2 10 3 2 3" xfId="26940"/>
    <cellStyle name="Percent 2 10 3 3" xfId="26941"/>
    <cellStyle name="Percent 2 10 3 3 2" xfId="26942"/>
    <cellStyle name="Percent 2 10 3 4" xfId="26943"/>
    <cellStyle name="Percent 2 10 4" xfId="26944"/>
    <cellStyle name="Percent 2 10 4 2" xfId="26945"/>
    <cellStyle name="Percent 2 10 4 2 2" xfId="26946"/>
    <cellStyle name="Percent 2 10 4 3" xfId="26947"/>
    <cellStyle name="Percent 2 10 5" xfId="26948"/>
    <cellStyle name="Percent 2 10 5 2" xfId="26949"/>
    <cellStyle name="Percent 2 10 5 2 2" xfId="26950"/>
    <cellStyle name="Percent 2 10 5 3" xfId="26951"/>
    <cellStyle name="Percent 2 10 6" xfId="26952"/>
    <cellStyle name="Percent 2 10 6 2" xfId="26953"/>
    <cellStyle name="Percent 2 10 7" xfId="26954"/>
    <cellStyle name="Percent 2 10 7 2" xfId="37135"/>
    <cellStyle name="Percent 2 10 8" xfId="26955"/>
    <cellStyle name="Percent 2 11" xfId="26956"/>
    <cellStyle name="Percent 2 11 2" xfId="26957"/>
    <cellStyle name="Percent 2 11 2 2" xfId="26958"/>
    <cellStyle name="Percent 2 11 2 2 2" xfId="26959"/>
    <cellStyle name="Percent 2 11 2 2 2 2" xfId="26960"/>
    <cellStyle name="Percent 2 11 2 2 2 3" xfId="26961"/>
    <cellStyle name="Percent 2 11 2 2 3" xfId="26962"/>
    <cellStyle name="Percent 2 11 2 2 3 2" xfId="26963"/>
    <cellStyle name="Percent 2 11 2 2 4" xfId="26964"/>
    <cellStyle name="Percent 2 11 2 3" xfId="26965"/>
    <cellStyle name="Percent 2 11 2 3 2" xfId="26966"/>
    <cellStyle name="Percent 2 11 2 3 2 2" xfId="26967"/>
    <cellStyle name="Percent 2 11 2 3 3" xfId="26968"/>
    <cellStyle name="Percent 2 11 2 4" xfId="26969"/>
    <cellStyle name="Percent 2 11 2 4 2" xfId="26970"/>
    <cellStyle name="Percent 2 11 2 4 3" xfId="26971"/>
    <cellStyle name="Percent 2 11 2 5" xfId="26972"/>
    <cellStyle name="Percent 2 11 2 5 2" xfId="26973"/>
    <cellStyle name="Percent 2 11 2 6" xfId="26974"/>
    <cellStyle name="Percent 2 11 2 6 2" xfId="37136"/>
    <cellStyle name="Percent 2 11 2 7" xfId="26975"/>
    <cellStyle name="Percent 2 11 3" xfId="26976"/>
    <cellStyle name="Percent 2 11 3 2" xfId="26977"/>
    <cellStyle name="Percent 2 11 3 2 2" xfId="26978"/>
    <cellStyle name="Percent 2 11 3 2 2 2" xfId="26979"/>
    <cellStyle name="Percent 2 11 3 2 3" xfId="26980"/>
    <cellStyle name="Percent 2 11 3 3" xfId="26981"/>
    <cellStyle name="Percent 2 11 3 3 2" xfId="26982"/>
    <cellStyle name="Percent 2 11 3 4" xfId="26983"/>
    <cellStyle name="Percent 2 11 4" xfId="26984"/>
    <cellStyle name="Percent 2 11 4 2" xfId="26985"/>
    <cellStyle name="Percent 2 11 4 2 2" xfId="26986"/>
    <cellStyle name="Percent 2 11 4 3" xfId="26987"/>
    <cellStyle name="Percent 2 11 5" xfId="26988"/>
    <cellStyle name="Percent 2 11 5 2" xfId="26989"/>
    <cellStyle name="Percent 2 11 5 2 2" xfId="26990"/>
    <cellStyle name="Percent 2 11 5 3" xfId="26991"/>
    <cellStyle name="Percent 2 11 6" xfId="26992"/>
    <cellStyle name="Percent 2 11 6 2" xfId="26993"/>
    <cellStyle name="Percent 2 11 7" xfId="26994"/>
    <cellStyle name="Percent 2 11 7 2" xfId="37137"/>
    <cellStyle name="Percent 2 11 8" xfId="26995"/>
    <cellStyle name="Percent 2 12" xfId="26996"/>
    <cellStyle name="Percent 2 12 2" xfId="26997"/>
    <cellStyle name="Percent 2 12 2 2" xfId="26998"/>
    <cellStyle name="Percent 2 12 2 2 2" xfId="26999"/>
    <cellStyle name="Percent 2 12 2 2 2 2" xfId="27000"/>
    <cellStyle name="Percent 2 12 2 2 2 3" xfId="27001"/>
    <cellStyle name="Percent 2 12 2 2 3" xfId="27002"/>
    <cellStyle name="Percent 2 12 2 2 3 2" xfId="27003"/>
    <cellStyle name="Percent 2 12 2 2 4" xfId="27004"/>
    <cellStyle name="Percent 2 12 2 3" xfId="27005"/>
    <cellStyle name="Percent 2 12 2 3 2" xfId="27006"/>
    <cellStyle name="Percent 2 12 2 3 2 2" xfId="27007"/>
    <cellStyle name="Percent 2 12 2 3 3" xfId="27008"/>
    <cellStyle name="Percent 2 12 2 4" xfId="27009"/>
    <cellStyle name="Percent 2 12 2 4 2" xfId="27010"/>
    <cellStyle name="Percent 2 12 2 4 3" xfId="27011"/>
    <cellStyle name="Percent 2 12 2 5" xfId="27012"/>
    <cellStyle name="Percent 2 12 2 5 2" xfId="27013"/>
    <cellStyle name="Percent 2 12 2 6" xfId="27014"/>
    <cellStyle name="Percent 2 12 2 6 2" xfId="37138"/>
    <cellStyle name="Percent 2 12 2 7" xfId="27015"/>
    <cellStyle name="Percent 2 12 3" xfId="27016"/>
    <cellStyle name="Percent 2 12 3 2" xfId="27017"/>
    <cellStyle name="Percent 2 12 3 2 2" xfId="27018"/>
    <cellStyle name="Percent 2 12 3 2 2 2" xfId="27019"/>
    <cellStyle name="Percent 2 12 3 2 3" xfId="27020"/>
    <cellStyle name="Percent 2 12 3 3" xfId="27021"/>
    <cellStyle name="Percent 2 12 3 3 2" xfId="27022"/>
    <cellStyle name="Percent 2 12 3 4" xfId="27023"/>
    <cellStyle name="Percent 2 12 4" xfId="27024"/>
    <cellStyle name="Percent 2 12 4 2" xfId="27025"/>
    <cellStyle name="Percent 2 12 4 2 2" xfId="27026"/>
    <cellStyle name="Percent 2 12 4 3" xfId="27027"/>
    <cellStyle name="Percent 2 12 5" xfId="27028"/>
    <cellStyle name="Percent 2 12 5 2" xfId="27029"/>
    <cellStyle name="Percent 2 12 5 2 2" xfId="27030"/>
    <cellStyle name="Percent 2 12 5 3" xfId="27031"/>
    <cellStyle name="Percent 2 12 6" xfId="27032"/>
    <cellStyle name="Percent 2 12 6 2" xfId="27033"/>
    <cellStyle name="Percent 2 12 7" xfId="27034"/>
    <cellStyle name="Percent 2 12 7 2" xfId="37139"/>
    <cellStyle name="Percent 2 12 8" xfId="27035"/>
    <cellStyle name="Percent 2 13" xfId="27036"/>
    <cellStyle name="Percent 2 13 2" xfId="27037"/>
    <cellStyle name="Percent 2 13 2 2" xfId="27038"/>
    <cellStyle name="Percent 2 13 2 2 2" xfId="27039"/>
    <cellStyle name="Percent 2 13 2 2 3" xfId="27040"/>
    <cellStyle name="Percent 2 13 2 3" xfId="27041"/>
    <cellStyle name="Percent 2 13 2 3 2" xfId="27042"/>
    <cellStyle name="Percent 2 13 2 4" xfId="27043"/>
    <cellStyle name="Percent 2 13 3" xfId="27044"/>
    <cellStyle name="Percent 2 13 3 2" xfId="27045"/>
    <cellStyle name="Percent 2 13 3 2 2" xfId="27046"/>
    <cellStyle name="Percent 2 13 3 3" xfId="27047"/>
    <cellStyle name="Percent 2 13 4" xfId="27048"/>
    <cellStyle name="Percent 2 13 4 2" xfId="27049"/>
    <cellStyle name="Percent 2 13 4 3" xfId="27050"/>
    <cellStyle name="Percent 2 13 5" xfId="27051"/>
    <cellStyle name="Percent 2 13 5 2" xfId="27052"/>
    <cellStyle name="Percent 2 13 6" xfId="27053"/>
    <cellStyle name="Percent 2 13 6 2" xfId="37140"/>
    <cellStyle name="Percent 2 13 7" xfId="27054"/>
    <cellStyle name="Percent 2 14" xfId="27055"/>
    <cellStyle name="Percent 2 14 2" xfId="27056"/>
    <cellStyle name="Percent 2 14 2 2" xfId="27057"/>
    <cellStyle name="Percent 2 14 2 2 2" xfId="27058"/>
    <cellStyle name="Percent 2 14 2 3" xfId="27059"/>
    <cellStyle name="Percent 2 14 3" xfId="27060"/>
    <cellStyle name="Percent 2 14 3 2" xfId="27061"/>
    <cellStyle name="Percent 2 14 4" xfId="27062"/>
    <cellStyle name="Percent 2 15" xfId="27063"/>
    <cellStyle name="Percent 2 15 2" xfId="27064"/>
    <cellStyle name="Percent 2 15 2 2" xfId="27065"/>
    <cellStyle name="Percent 2 15 3" xfId="27066"/>
    <cellStyle name="Percent 2 16" xfId="27067"/>
    <cellStyle name="Percent 2 16 2" xfId="27068"/>
    <cellStyle name="Percent 2 16 2 2" xfId="27069"/>
    <cellStyle name="Percent 2 16 3" xfId="27070"/>
    <cellStyle name="Percent 2 17" xfId="27071"/>
    <cellStyle name="Percent 2 17 2" xfId="27072"/>
    <cellStyle name="Percent 2 18" xfId="27073"/>
    <cellStyle name="Percent 2 18 2" xfId="37141"/>
    <cellStyle name="Percent 2 19" xfId="27074"/>
    <cellStyle name="Percent 2 2" xfId="27075"/>
    <cellStyle name="Percent 2 2 10" xfId="27076"/>
    <cellStyle name="Percent 2 2 10 2" xfId="27077"/>
    <cellStyle name="Percent 2 2 10 2 2" xfId="27078"/>
    <cellStyle name="Percent 2 2 10 2 2 2" xfId="27079"/>
    <cellStyle name="Percent 2 2 10 2 2 2 2" xfId="27080"/>
    <cellStyle name="Percent 2 2 10 2 2 2 3" xfId="27081"/>
    <cellStyle name="Percent 2 2 10 2 2 3" xfId="27082"/>
    <cellStyle name="Percent 2 2 10 2 2 3 2" xfId="27083"/>
    <cellStyle name="Percent 2 2 10 2 2 4" xfId="27084"/>
    <cellStyle name="Percent 2 2 10 2 3" xfId="27085"/>
    <cellStyle name="Percent 2 2 10 2 3 2" xfId="27086"/>
    <cellStyle name="Percent 2 2 10 2 3 2 2" xfId="27087"/>
    <cellStyle name="Percent 2 2 10 2 3 3" xfId="27088"/>
    <cellStyle name="Percent 2 2 10 2 4" xfId="27089"/>
    <cellStyle name="Percent 2 2 10 2 4 2" xfId="27090"/>
    <cellStyle name="Percent 2 2 10 2 4 3" xfId="27091"/>
    <cellStyle name="Percent 2 2 10 2 5" xfId="27092"/>
    <cellStyle name="Percent 2 2 10 2 5 2" xfId="27093"/>
    <cellStyle name="Percent 2 2 10 2 6" xfId="27094"/>
    <cellStyle name="Percent 2 2 10 2 6 2" xfId="37142"/>
    <cellStyle name="Percent 2 2 10 2 7" xfId="27095"/>
    <cellStyle name="Percent 2 2 10 3" xfId="27096"/>
    <cellStyle name="Percent 2 2 10 3 2" xfId="27097"/>
    <cellStyle name="Percent 2 2 10 3 2 2" xfId="27098"/>
    <cellStyle name="Percent 2 2 10 3 2 2 2" xfId="27099"/>
    <cellStyle name="Percent 2 2 10 3 2 3" xfId="27100"/>
    <cellStyle name="Percent 2 2 10 3 3" xfId="27101"/>
    <cellStyle name="Percent 2 2 10 3 3 2" xfId="27102"/>
    <cellStyle name="Percent 2 2 10 3 4" xfId="27103"/>
    <cellStyle name="Percent 2 2 10 4" xfId="27104"/>
    <cellStyle name="Percent 2 2 10 4 2" xfId="27105"/>
    <cellStyle name="Percent 2 2 10 4 2 2" xfId="27106"/>
    <cellStyle name="Percent 2 2 10 4 3" xfId="27107"/>
    <cellStyle name="Percent 2 2 10 5" xfId="27108"/>
    <cellStyle name="Percent 2 2 10 5 2" xfId="27109"/>
    <cellStyle name="Percent 2 2 10 5 2 2" xfId="27110"/>
    <cellStyle name="Percent 2 2 10 5 3" xfId="27111"/>
    <cellStyle name="Percent 2 2 10 6" xfId="27112"/>
    <cellStyle name="Percent 2 2 10 6 2" xfId="27113"/>
    <cellStyle name="Percent 2 2 10 7" xfId="27114"/>
    <cellStyle name="Percent 2 2 10 7 2" xfId="37143"/>
    <cellStyle name="Percent 2 2 10 8" xfId="27115"/>
    <cellStyle name="Percent 2 2 11" xfId="27116"/>
    <cellStyle name="Percent 2 2 11 2" xfId="27117"/>
    <cellStyle name="Percent 2 2 11 2 2" xfId="27118"/>
    <cellStyle name="Percent 2 2 11 2 2 2" xfId="27119"/>
    <cellStyle name="Percent 2 2 11 2 2 2 2" xfId="27120"/>
    <cellStyle name="Percent 2 2 11 2 2 2 3" xfId="27121"/>
    <cellStyle name="Percent 2 2 11 2 2 3" xfId="27122"/>
    <cellStyle name="Percent 2 2 11 2 2 3 2" xfId="27123"/>
    <cellStyle name="Percent 2 2 11 2 2 4" xfId="27124"/>
    <cellStyle name="Percent 2 2 11 2 3" xfId="27125"/>
    <cellStyle name="Percent 2 2 11 2 3 2" xfId="27126"/>
    <cellStyle name="Percent 2 2 11 2 3 2 2" xfId="27127"/>
    <cellStyle name="Percent 2 2 11 2 3 3" xfId="27128"/>
    <cellStyle name="Percent 2 2 11 2 4" xfId="27129"/>
    <cellStyle name="Percent 2 2 11 2 4 2" xfId="27130"/>
    <cellStyle name="Percent 2 2 11 2 4 3" xfId="27131"/>
    <cellStyle name="Percent 2 2 11 2 5" xfId="27132"/>
    <cellStyle name="Percent 2 2 11 2 5 2" xfId="27133"/>
    <cellStyle name="Percent 2 2 11 2 6" xfId="27134"/>
    <cellStyle name="Percent 2 2 11 2 6 2" xfId="37144"/>
    <cellStyle name="Percent 2 2 11 2 7" xfId="27135"/>
    <cellStyle name="Percent 2 2 11 3" xfId="27136"/>
    <cellStyle name="Percent 2 2 11 3 2" xfId="27137"/>
    <cellStyle name="Percent 2 2 11 3 2 2" xfId="27138"/>
    <cellStyle name="Percent 2 2 11 3 2 2 2" xfId="27139"/>
    <cellStyle name="Percent 2 2 11 3 2 3" xfId="27140"/>
    <cellStyle name="Percent 2 2 11 3 3" xfId="27141"/>
    <cellStyle name="Percent 2 2 11 3 3 2" xfId="27142"/>
    <cellStyle name="Percent 2 2 11 3 4" xfId="27143"/>
    <cellStyle name="Percent 2 2 11 4" xfId="27144"/>
    <cellStyle name="Percent 2 2 11 4 2" xfId="27145"/>
    <cellStyle name="Percent 2 2 11 4 2 2" xfId="27146"/>
    <cellStyle name="Percent 2 2 11 4 3" xfId="27147"/>
    <cellStyle name="Percent 2 2 11 5" xfId="27148"/>
    <cellStyle name="Percent 2 2 11 5 2" xfId="27149"/>
    <cellStyle name="Percent 2 2 11 5 2 2" xfId="27150"/>
    <cellStyle name="Percent 2 2 11 5 3" xfId="27151"/>
    <cellStyle name="Percent 2 2 11 6" xfId="27152"/>
    <cellStyle name="Percent 2 2 11 6 2" xfId="27153"/>
    <cellStyle name="Percent 2 2 11 7" xfId="27154"/>
    <cellStyle name="Percent 2 2 11 7 2" xfId="37145"/>
    <cellStyle name="Percent 2 2 11 8" xfId="27155"/>
    <cellStyle name="Percent 2 2 12" xfId="27156"/>
    <cellStyle name="Percent 2 2 12 2" xfId="27157"/>
    <cellStyle name="Percent 2 2 12 2 2" xfId="27158"/>
    <cellStyle name="Percent 2 2 12 2 2 2" xfId="27159"/>
    <cellStyle name="Percent 2 2 12 2 2 3" xfId="27160"/>
    <cellStyle name="Percent 2 2 12 2 3" xfId="27161"/>
    <cellStyle name="Percent 2 2 12 2 3 2" xfId="27162"/>
    <cellStyle name="Percent 2 2 12 2 4" xfId="27163"/>
    <cellStyle name="Percent 2 2 12 3" xfId="27164"/>
    <cellStyle name="Percent 2 2 12 3 2" xfId="27165"/>
    <cellStyle name="Percent 2 2 12 3 2 2" xfId="27166"/>
    <cellStyle name="Percent 2 2 12 3 3" xfId="27167"/>
    <cellStyle name="Percent 2 2 12 4" xfId="27168"/>
    <cellStyle name="Percent 2 2 12 4 2" xfId="27169"/>
    <cellStyle name="Percent 2 2 12 4 3" xfId="27170"/>
    <cellStyle name="Percent 2 2 12 5" xfId="27171"/>
    <cellStyle name="Percent 2 2 12 5 2" xfId="27172"/>
    <cellStyle name="Percent 2 2 12 6" xfId="27173"/>
    <cellStyle name="Percent 2 2 12 6 2" xfId="37146"/>
    <cellStyle name="Percent 2 2 12 7" xfId="27174"/>
    <cellStyle name="Percent 2 2 13" xfId="27175"/>
    <cellStyle name="Percent 2 2 13 2" xfId="27176"/>
    <cellStyle name="Percent 2 2 13 2 2" xfId="27177"/>
    <cellStyle name="Percent 2 2 13 2 2 2" xfId="27178"/>
    <cellStyle name="Percent 2 2 13 2 3" xfId="27179"/>
    <cellStyle name="Percent 2 2 13 3" xfId="27180"/>
    <cellStyle name="Percent 2 2 13 3 2" xfId="27181"/>
    <cellStyle name="Percent 2 2 13 4" xfId="27182"/>
    <cellStyle name="Percent 2 2 14" xfId="27183"/>
    <cellStyle name="Percent 2 2 14 2" xfId="27184"/>
    <cellStyle name="Percent 2 2 14 2 2" xfId="27185"/>
    <cellStyle name="Percent 2 2 14 3" xfId="27186"/>
    <cellStyle name="Percent 2 2 15" xfId="27187"/>
    <cellStyle name="Percent 2 2 15 2" xfId="27188"/>
    <cellStyle name="Percent 2 2 15 2 2" xfId="27189"/>
    <cellStyle name="Percent 2 2 15 3" xfId="27190"/>
    <cellStyle name="Percent 2 2 16" xfId="27191"/>
    <cellStyle name="Percent 2 2 16 2" xfId="27192"/>
    <cellStyle name="Percent 2 2 17" xfId="27193"/>
    <cellStyle name="Percent 2 2 17 2" xfId="37147"/>
    <cellStyle name="Percent 2 2 18" xfId="27194"/>
    <cellStyle name="Percent 2 2 2" xfId="27195"/>
    <cellStyle name="Percent 2 2 2 10" xfId="27196"/>
    <cellStyle name="Percent 2 2 2 10 2" xfId="27197"/>
    <cellStyle name="Percent 2 2 2 10 2 2" xfId="27198"/>
    <cellStyle name="Percent 2 2 2 10 3" xfId="27199"/>
    <cellStyle name="Percent 2 2 2 11" xfId="27200"/>
    <cellStyle name="Percent 2 2 2 11 2" xfId="27201"/>
    <cellStyle name="Percent 2 2 2 11 2 2" xfId="27202"/>
    <cellStyle name="Percent 2 2 2 11 3" xfId="27203"/>
    <cellStyle name="Percent 2 2 2 12" xfId="27204"/>
    <cellStyle name="Percent 2 2 2 12 2" xfId="27205"/>
    <cellStyle name="Percent 2 2 2 13" xfId="27206"/>
    <cellStyle name="Percent 2 2 2 13 2" xfId="37148"/>
    <cellStyle name="Percent 2 2 2 14" xfId="27207"/>
    <cellStyle name="Percent 2 2 2 2" xfId="27208"/>
    <cellStyle name="Percent 2 2 2 2 10" xfId="27209"/>
    <cellStyle name="Percent 2 2 2 2 2" xfId="27210"/>
    <cellStyle name="Percent 2 2 2 2 2 2" xfId="27211"/>
    <cellStyle name="Percent 2 2 2 2 2 2 2" xfId="27212"/>
    <cellStyle name="Percent 2 2 2 2 2 2 2 2" xfId="27213"/>
    <cellStyle name="Percent 2 2 2 2 2 2 2 2 2" xfId="27214"/>
    <cellStyle name="Percent 2 2 2 2 2 2 2 2 2 2" xfId="27215"/>
    <cellStyle name="Percent 2 2 2 2 2 2 2 2 2 3" xfId="27216"/>
    <cellStyle name="Percent 2 2 2 2 2 2 2 2 3" xfId="27217"/>
    <cellStyle name="Percent 2 2 2 2 2 2 2 2 3 2" xfId="27218"/>
    <cellStyle name="Percent 2 2 2 2 2 2 2 2 4" xfId="27219"/>
    <cellStyle name="Percent 2 2 2 2 2 2 2 3" xfId="27220"/>
    <cellStyle name="Percent 2 2 2 2 2 2 2 3 2" xfId="27221"/>
    <cellStyle name="Percent 2 2 2 2 2 2 2 3 2 2" xfId="27222"/>
    <cellStyle name="Percent 2 2 2 2 2 2 2 3 3" xfId="27223"/>
    <cellStyle name="Percent 2 2 2 2 2 2 2 4" xfId="27224"/>
    <cellStyle name="Percent 2 2 2 2 2 2 2 4 2" xfId="27225"/>
    <cellStyle name="Percent 2 2 2 2 2 2 2 4 3" xfId="27226"/>
    <cellStyle name="Percent 2 2 2 2 2 2 2 5" xfId="27227"/>
    <cellStyle name="Percent 2 2 2 2 2 2 2 5 2" xfId="27228"/>
    <cellStyle name="Percent 2 2 2 2 2 2 2 6" xfId="27229"/>
    <cellStyle name="Percent 2 2 2 2 2 2 2 6 2" xfId="37149"/>
    <cellStyle name="Percent 2 2 2 2 2 2 2 7" xfId="27230"/>
    <cellStyle name="Percent 2 2 2 2 2 2 3" xfId="27231"/>
    <cellStyle name="Percent 2 2 2 2 2 2 3 2" xfId="27232"/>
    <cellStyle name="Percent 2 2 2 2 2 2 3 2 2" xfId="27233"/>
    <cellStyle name="Percent 2 2 2 2 2 2 3 2 2 2" xfId="27234"/>
    <cellStyle name="Percent 2 2 2 2 2 2 3 2 3" xfId="27235"/>
    <cellStyle name="Percent 2 2 2 2 2 2 3 3" xfId="27236"/>
    <cellStyle name="Percent 2 2 2 2 2 2 3 3 2" xfId="27237"/>
    <cellStyle name="Percent 2 2 2 2 2 2 3 4" xfId="27238"/>
    <cellStyle name="Percent 2 2 2 2 2 2 4" xfId="27239"/>
    <cellStyle name="Percent 2 2 2 2 2 2 4 2" xfId="27240"/>
    <cellStyle name="Percent 2 2 2 2 2 2 4 2 2" xfId="27241"/>
    <cellStyle name="Percent 2 2 2 2 2 2 4 3" xfId="27242"/>
    <cellStyle name="Percent 2 2 2 2 2 2 5" xfId="27243"/>
    <cellStyle name="Percent 2 2 2 2 2 2 5 2" xfId="27244"/>
    <cellStyle name="Percent 2 2 2 2 2 2 5 2 2" xfId="27245"/>
    <cellStyle name="Percent 2 2 2 2 2 2 5 3" xfId="27246"/>
    <cellStyle name="Percent 2 2 2 2 2 2 6" xfId="27247"/>
    <cellStyle name="Percent 2 2 2 2 2 2 6 2" xfId="27248"/>
    <cellStyle name="Percent 2 2 2 2 2 2 7" xfId="27249"/>
    <cellStyle name="Percent 2 2 2 2 2 2 7 2" xfId="37150"/>
    <cellStyle name="Percent 2 2 2 2 2 2 8" xfId="27250"/>
    <cellStyle name="Percent 2 2 2 2 2 3" xfId="27251"/>
    <cellStyle name="Percent 2 2 2 2 2 3 2" xfId="27252"/>
    <cellStyle name="Percent 2 2 2 2 2 3 2 2" xfId="27253"/>
    <cellStyle name="Percent 2 2 2 2 2 3 2 2 2" xfId="27254"/>
    <cellStyle name="Percent 2 2 2 2 2 3 2 2 3" xfId="27255"/>
    <cellStyle name="Percent 2 2 2 2 2 3 2 3" xfId="27256"/>
    <cellStyle name="Percent 2 2 2 2 2 3 2 3 2" xfId="27257"/>
    <cellStyle name="Percent 2 2 2 2 2 3 2 4" xfId="27258"/>
    <cellStyle name="Percent 2 2 2 2 2 3 3" xfId="27259"/>
    <cellStyle name="Percent 2 2 2 2 2 3 3 2" xfId="27260"/>
    <cellStyle name="Percent 2 2 2 2 2 3 3 2 2" xfId="27261"/>
    <cellStyle name="Percent 2 2 2 2 2 3 3 3" xfId="27262"/>
    <cellStyle name="Percent 2 2 2 2 2 3 4" xfId="27263"/>
    <cellStyle name="Percent 2 2 2 2 2 3 4 2" xfId="27264"/>
    <cellStyle name="Percent 2 2 2 2 2 3 4 3" xfId="27265"/>
    <cellStyle name="Percent 2 2 2 2 2 3 5" xfId="27266"/>
    <cellStyle name="Percent 2 2 2 2 2 3 5 2" xfId="27267"/>
    <cellStyle name="Percent 2 2 2 2 2 3 6" xfId="27268"/>
    <cellStyle name="Percent 2 2 2 2 2 3 6 2" xfId="37151"/>
    <cellStyle name="Percent 2 2 2 2 2 3 7" xfId="27269"/>
    <cellStyle name="Percent 2 2 2 2 2 4" xfId="27270"/>
    <cellStyle name="Percent 2 2 2 2 2 4 2" xfId="27271"/>
    <cellStyle name="Percent 2 2 2 2 2 4 2 2" xfId="27272"/>
    <cellStyle name="Percent 2 2 2 2 2 4 2 2 2" xfId="27273"/>
    <cellStyle name="Percent 2 2 2 2 2 4 2 3" xfId="27274"/>
    <cellStyle name="Percent 2 2 2 2 2 4 3" xfId="27275"/>
    <cellStyle name="Percent 2 2 2 2 2 4 3 2" xfId="27276"/>
    <cellStyle name="Percent 2 2 2 2 2 4 4" xfId="27277"/>
    <cellStyle name="Percent 2 2 2 2 2 5" xfId="27278"/>
    <cellStyle name="Percent 2 2 2 2 2 5 2" xfId="27279"/>
    <cellStyle name="Percent 2 2 2 2 2 5 2 2" xfId="27280"/>
    <cellStyle name="Percent 2 2 2 2 2 5 3" xfId="27281"/>
    <cellStyle name="Percent 2 2 2 2 2 6" xfId="27282"/>
    <cellStyle name="Percent 2 2 2 2 2 6 2" xfId="27283"/>
    <cellStyle name="Percent 2 2 2 2 2 6 2 2" xfId="27284"/>
    <cellStyle name="Percent 2 2 2 2 2 6 3" xfId="27285"/>
    <cellStyle name="Percent 2 2 2 2 2 7" xfId="27286"/>
    <cellStyle name="Percent 2 2 2 2 2 7 2" xfId="27287"/>
    <cellStyle name="Percent 2 2 2 2 2 8" xfId="27288"/>
    <cellStyle name="Percent 2 2 2 2 2 8 2" xfId="37152"/>
    <cellStyle name="Percent 2 2 2 2 2 9" xfId="27289"/>
    <cellStyle name="Percent 2 2 2 2 3" xfId="27290"/>
    <cellStyle name="Percent 2 2 2 2 3 2" xfId="27291"/>
    <cellStyle name="Percent 2 2 2 2 3 2 2" xfId="27292"/>
    <cellStyle name="Percent 2 2 2 2 3 2 2 2" xfId="27293"/>
    <cellStyle name="Percent 2 2 2 2 3 2 2 2 2" xfId="27294"/>
    <cellStyle name="Percent 2 2 2 2 3 2 2 2 3" xfId="27295"/>
    <cellStyle name="Percent 2 2 2 2 3 2 2 3" xfId="27296"/>
    <cellStyle name="Percent 2 2 2 2 3 2 2 3 2" xfId="27297"/>
    <cellStyle name="Percent 2 2 2 2 3 2 2 4" xfId="27298"/>
    <cellStyle name="Percent 2 2 2 2 3 2 3" xfId="27299"/>
    <cellStyle name="Percent 2 2 2 2 3 2 3 2" xfId="27300"/>
    <cellStyle name="Percent 2 2 2 2 3 2 3 2 2" xfId="27301"/>
    <cellStyle name="Percent 2 2 2 2 3 2 3 3" xfId="27302"/>
    <cellStyle name="Percent 2 2 2 2 3 2 4" xfId="27303"/>
    <cellStyle name="Percent 2 2 2 2 3 2 4 2" xfId="27304"/>
    <cellStyle name="Percent 2 2 2 2 3 2 4 3" xfId="27305"/>
    <cellStyle name="Percent 2 2 2 2 3 2 5" xfId="27306"/>
    <cellStyle name="Percent 2 2 2 2 3 2 5 2" xfId="27307"/>
    <cellStyle name="Percent 2 2 2 2 3 2 6" xfId="27308"/>
    <cellStyle name="Percent 2 2 2 2 3 2 6 2" xfId="37153"/>
    <cellStyle name="Percent 2 2 2 2 3 2 7" xfId="27309"/>
    <cellStyle name="Percent 2 2 2 2 3 3" xfId="27310"/>
    <cellStyle name="Percent 2 2 2 2 3 3 2" xfId="27311"/>
    <cellStyle name="Percent 2 2 2 2 3 3 2 2" xfId="27312"/>
    <cellStyle name="Percent 2 2 2 2 3 3 2 2 2" xfId="27313"/>
    <cellStyle name="Percent 2 2 2 2 3 3 2 3" xfId="27314"/>
    <cellStyle name="Percent 2 2 2 2 3 3 3" xfId="27315"/>
    <cellStyle name="Percent 2 2 2 2 3 3 3 2" xfId="27316"/>
    <cellStyle name="Percent 2 2 2 2 3 3 4" xfId="27317"/>
    <cellStyle name="Percent 2 2 2 2 3 4" xfId="27318"/>
    <cellStyle name="Percent 2 2 2 2 3 4 2" xfId="27319"/>
    <cellStyle name="Percent 2 2 2 2 3 4 2 2" xfId="27320"/>
    <cellStyle name="Percent 2 2 2 2 3 4 3" xfId="27321"/>
    <cellStyle name="Percent 2 2 2 2 3 5" xfId="27322"/>
    <cellStyle name="Percent 2 2 2 2 3 5 2" xfId="27323"/>
    <cellStyle name="Percent 2 2 2 2 3 5 2 2" xfId="27324"/>
    <cellStyle name="Percent 2 2 2 2 3 5 3" xfId="27325"/>
    <cellStyle name="Percent 2 2 2 2 3 6" xfId="27326"/>
    <cellStyle name="Percent 2 2 2 2 3 6 2" xfId="27327"/>
    <cellStyle name="Percent 2 2 2 2 3 7" xfId="27328"/>
    <cellStyle name="Percent 2 2 2 2 3 7 2" xfId="37154"/>
    <cellStyle name="Percent 2 2 2 2 3 8" xfId="27329"/>
    <cellStyle name="Percent 2 2 2 2 4" xfId="27330"/>
    <cellStyle name="Percent 2 2 2 2 4 2" xfId="27331"/>
    <cellStyle name="Percent 2 2 2 2 4 2 2" xfId="27332"/>
    <cellStyle name="Percent 2 2 2 2 4 2 2 2" xfId="27333"/>
    <cellStyle name="Percent 2 2 2 2 4 2 2 3" xfId="27334"/>
    <cellStyle name="Percent 2 2 2 2 4 2 3" xfId="27335"/>
    <cellStyle name="Percent 2 2 2 2 4 2 3 2" xfId="27336"/>
    <cellStyle name="Percent 2 2 2 2 4 2 4" xfId="27337"/>
    <cellStyle name="Percent 2 2 2 2 4 3" xfId="27338"/>
    <cellStyle name="Percent 2 2 2 2 4 3 2" xfId="27339"/>
    <cellStyle name="Percent 2 2 2 2 4 3 2 2" xfId="27340"/>
    <cellStyle name="Percent 2 2 2 2 4 3 3" xfId="27341"/>
    <cellStyle name="Percent 2 2 2 2 4 4" xfId="27342"/>
    <cellStyle name="Percent 2 2 2 2 4 4 2" xfId="27343"/>
    <cellStyle name="Percent 2 2 2 2 4 4 3" xfId="27344"/>
    <cellStyle name="Percent 2 2 2 2 4 5" xfId="27345"/>
    <cellStyle name="Percent 2 2 2 2 4 5 2" xfId="27346"/>
    <cellStyle name="Percent 2 2 2 2 4 6" xfId="27347"/>
    <cellStyle name="Percent 2 2 2 2 4 6 2" xfId="37155"/>
    <cellStyle name="Percent 2 2 2 2 4 7" xfId="27348"/>
    <cellStyle name="Percent 2 2 2 2 5" xfId="27349"/>
    <cellStyle name="Percent 2 2 2 2 5 2" xfId="27350"/>
    <cellStyle name="Percent 2 2 2 2 5 2 2" xfId="27351"/>
    <cellStyle name="Percent 2 2 2 2 5 2 2 2" xfId="27352"/>
    <cellStyle name="Percent 2 2 2 2 5 2 3" xfId="27353"/>
    <cellStyle name="Percent 2 2 2 2 5 3" xfId="27354"/>
    <cellStyle name="Percent 2 2 2 2 5 3 2" xfId="27355"/>
    <cellStyle name="Percent 2 2 2 2 5 4" xfId="27356"/>
    <cellStyle name="Percent 2 2 2 2 6" xfId="27357"/>
    <cellStyle name="Percent 2 2 2 2 6 2" xfId="27358"/>
    <cellStyle name="Percent 2 2 2 2 6 2 2" xfId="27359"/>
    <cellStyle name="Percent 2 2 2 2 6 3" xfId="27360"/>
    <cellStyle name="Percent 2 2 2 2 7" xfId="27361"/>
    <cellStyle name="Percent 2 2 2 2 7 2" xfId="27362"/>
    <cellStyle name="Percent 2 2 2 2 7 2 2" xfId="27363"/>
    <cellStyle name="Percent 2 2 2 2 7 3" xfId="27364"/>
    <cellStyle name="Percent 2 2 2 2 8" xfId="27365"/>
    <cellStyle name="Percent 2 2 2 2 8 2" xfId="27366"/>
    <cellStyle name="Percent 2 2 2 2 9" xfId="27367"/>
    <cellStyle name="Percent 2 2 2 2 9 2" xfId="37156"/>
    <cellStyle name="Percent 2 2 2 3" xfId="27368"/>
    <cellStyle name="Percent 2 2 2 3 2" xfId="27369"/>
    <cellStyle name="Percent 2 2 2 3 2 2" xfId="27370"/>
    <cellStyle name="Percent 2 2 2 3 2 2 2" xfId="27371"/>
    <cellStyle name="Percent 2 2 2 3 2 2 2 2" xfId="27372"/>
    <cellStyle name="Percent 2 2 2 3 2 2 2 2 2" xfId="27373"/>
    <cellStyle name="Percent 2 2 2 3 2 2 2 2 3" xfId="27374"/>
    <cellStyle name="Percent 2 2 2 3 2 2 2 3" xfId="27375"/>
    <cellStyle name="Percent 2 2 2 3 2 2 2 3 2" xfId="27376"/>
    <cellStyle name="Percent 2 2 2 3 2 2 2 4" xfId="27377"/>
    <cellStyle name="Percent 2 2 2 3 2 2 3" xfId="27378"/>
    <cellStyle name="Percent 2 2 2 3 2 2 3 2" xfId="27379"/>
    <cellStyle name="Percent 2 2 2 3 2 2 3 2 2" xfId="27380"/>
    <cellStyle name="Percent 2 2 2 3 2 2 3 3" xfId="27381"/>
    <cellStyle name="Percent 2 2 2 3 2 2 4" xfId="27382"/>
    <cellStyle name="Percent 2 2 2 3 2 2 4 2" xfId="27383"/>
    <cellStyle name="Percent 2 2 2 3 2 2 4 3" xfId="27384"/>
    <cellStyle name="Percent 2 2 2 3 2 2 5" xfId="27385"/>
    <cellStyle name="Percent 2 2 2 3 2 2 5 2" xfId="27386"/>
    <cellStyle name="Percent 2 2 2 3 2 2 6" xfId="27387"/>
    <cellStyle name="Percent 2 2 2 3 2 2 6 2" xfId="37157"/>
    <cellStyle name="Percent 2 2 2 3 2 2 7" xfId="27388"/>
    <cellStyle name="Percent 2 2 2 3 2 3" xfId="27389"/>
    <cellStyle name="Percent 2 2 2 3 2 3 2" xfId="27390"/>
    <cellStyle name="Percent 2 2 2 3 2 3 2 2" xfId="27391"/>
    <cellStyle name="Percent 2 2 2 3 2 3 2 2 2" xfId="27392"/>
    <cellStyle name="Percent 2 2 2 3 2 3 2 3" xfId="27393"/>
    <cellStyle name="Percent 2 2 2 3 2 3 3" xfId="27394"/>
    <cellStyle name="Percent 2 2 2 3 2 3 3 2" xfId="27395"/>
    <cellStyle name="Percent 2 2 2 3 2 3 4" xfId="27396"/>
    <cellStyle name="Percent 2 2 2 3 2 4" xfId="27397"/>
    <cellStyle name="Percent 2 2 2 3 2 4 2" xfId="27398"/>
    <cellStyle name="Percent 2 2 2 3 2 4 2 2" xfId="27399"/>
    <cellStyle name="Percent 2 2 2 3 2 4 3" xfId="27400"/>
    <cellStyle name="Percent 2 2 2 3 2 5" xfId="27401"/>
    <cellStyle name="Percent 2 2 2 3 2 5 2" xfId="27402"/>
    <cellStyle name="Percent 2 2 2 3 2 5 2 2" xfId="27403"/>
    <cellStyle name="Percent 2 2 2 3 2 5 3" xfId="27404"/>
    <cellStyle name="Percent 2 2 2 3 2 6" xfId="27405"/>
    <cellStyle name="Percent 2 2 2 3 2 6 2" xfId="27406"/>
    <cellStyle name="Percent 2 2 2 3 2 7" xfId="27407"/>
    <cellStyle name="Percent 2 2 2 3 2 7 2" xfId="37158"/>
    <cellStyle name="Percent 2 2 2 3 2 8" xfId="27408"/>
    <cellStyle name="Percent 2 2 2 3 3" xfId="27409"/>
    <cellStyle name="Percent 2 2 2 3 3 2" xfId="27410"/>
    <cellStyle name="Percent 2 2 2 3 3 2 2" xfId="27411"/>
    <cellStyle name="Percent 2 2 2 3 3 2 2 2" xfId="27412"/>
    <cellStyle name="Percent 2 2 2 3 3 2 2 3" xfId="27413"/>
    <cellStyle name="Percent 2 2 2 3 3 2 3" xfId="27414"/>
    <cellStyle name="Percent 2 2 2 3 3 2 3 2" xfId="27415"/>
    <cellStyle name="Percent 2 2 2 3 3 2 4" xfId="27416"/>
    <cellStyle name="Percent 2 2 2 3 3 3" xfId="27417"/>
    <cellStyle name="Percent 2 2 2 3 3 3 2" xfId="27418"/>
    <cellStyle name="Percent 2 2 2 3 3 3 2 2" xfId="27419"/>
    <cellStyle name="Percent 2 2 2 3 3 3 3" xfId="27420"/>
    <cellStyle name="Percent 2 2 2 3 3 4" xfId="27421"/>
    <cellStyle name="Percent 2 2 2 3 3 4 2" xfId="27422"/>
    <cellStyle name="Percent 2 2 2 3 3 4 3" xfId="27423"/>
    <cellStyle name="Percent 2 2 2 3 3 5" xfId="27424"/>
    <cellStyle name="Percent 2 2 2 3 3 5 2" xfId="27425"/>
    <cellStyle name="Percent 2 2 2 3 3 6" xfId="27426"/>
    <cellStyle name="Percent 2 2 2 3 3 6 2" xfId="37159"/>
    <cellStyle name="Percent 2 2 2 3 3 7" xfId="27427"/>
    <cellStyle name="Percent 2 2 2 3 4" xfId="27428"/>
    <cellStyle name="Percent 2 2 2 3 4 2" xfId="27429"/>
    <cellStyle name="Percent 2 2 2 3 4 2 2" xfId="27430"/>
    <cellStyle name="Percent 2 2 2 3 4 2 2 2" xfId="27431"/>
    <cellStyle name="Percent 2 2 2 3 4 2 3" xfId="27432"/>
    <cellStyle name="Percent 2 2 2 3 4 3" xfId="27433"/>
    <cellStyle name="Percent 2 2 2 3 4 3 2" xfId="27434"/>
    <cellStyle name="Percent 2 2 2 3 4 4" xfId="27435"/>
    <cellStyle name="Percent 2 2 2 3 5" xfId="27436"/>
    <cellStyle name="Percent 2 2 2 3 5 2" xfId="27437"/>
    <cellStyle name="Percent 2 2 2 3 5 2 2" xfId="27438"/>
    <cellStyle name="Percent 2 2 2 3 5 3" xfId="27439"/>
    <cellStyle name="Percent 2 2 2 3 6" xfId="27440"/>
    <cellStyle name="Percent 2 2 2 3 6 2" xfId="27441"/>
    <cellStyle name="Percent 2 2 2 3 6 2 2" xfId="27442"/>
    <cellStyle name="Percent 2 2 2 3 6 3" xfId="27443"/>
    <cellStyle name="Percent 2 2 2 3 7" xfId="27444"/>
    <cellStyle name="Percent 2 2 2 3 7 2" xfId="27445"/>
    <cellStyle name="Percent 2 2 2 3 8" xfId="27446"/>
    <cellStyle name="Percent 2 2 2 3 8 2" xfId="37160"/>
    <cellStyle name="Percent 2 2 2 3 9" xfId="27447"/>
    <cellStyle name="Percent 2 2 2 4" xfId="27448"/>
    <cellStyle name="Percent 2 2 2 4 2" xfId="27449"/>
    <cellStyle name="Percent 2 2 2 4 2 2" xfId="27450"/>
    <cellStyle name="Percent 2 2 2 4 2 2 2" xfId="27451"/>
    <cellStyle name="Percent 2 2 2 4 2 2 2 2" xfId="27452"/>
    <cellStyle name="Percent 2 2 2 4 2 2 2 2 2" xfId="27453"/>
    <cellStyle name="Percent 2 2 2 4 2 2 2 2 3" xfId="27454"/>
    <cellStyle name="Percent 2 2 2 4 2 2 2 3" xfId="27455"/>
    <cellStyle name="Percent 2 2 2 4 2 2 2 3 2" xfId="27456"/>
    <cellStyle name="Percent 2 2 2 4 2 2 2 4" xfId="27457"/>
    <cellStyle name="Percent 2 2 2 4 2 2 3" xfId="27458"/>
    <cellStyle name="Percent 2 2 2 4 2 2 3 2" xfId="27459"/>
    <cellStyle name="Percent 2 2 2 4 2 2 3 2 2" xfId="27460"/>
    <cellStyle name="Percent 2 2 2 4 2 2 3 3" xfId="27461"/>
    <cellStyle name="Percent 2 2 2 4 2 2 4" xfId="27462"/>
    <cellStyle name="Percent 2 2 2 4 2 2 4 2" xfId="27463"/>
    <cellStyle name="Percent 2 2 2 4 2 2 4 3" xfId="27464"/>
    <cellStyle name="Percent 2 2 2 4 2 2 5" xfId="27465"/>
    <cellStyle name="Percent 2 2 2 4 2 2 5 2" xfId="27466"/>
    <cellStyle name="Percent 2 2 2 4 2 2 6" xfId="27467"/>
    <cellStyle name="Percent 2 2 2 4 2 2 6 2" xfId="37161"/>
    <cellStyle name="Percent 2 2 2 4 2 2 7" xfId="27468"/>
    <cellStyle name="Percent 2 2 2 4 2 3" xfId="27469"/>
    <cellStyle name="Percent 2 2 2 4 2 3 2" xfId="27470"/>
    <cellStyle name="Percent 2 2 2 4 2 3 2 2" xfId="27471"/>
    <cellStyle name="Percent 2 2 2 4 2 3 2 2 2" xfId="27472"/>
    <cellStyle name="Percent 2 2 2 4 2 3 2 3" xfId="27473"/>
    <cellStyle name="Percent 2 2 2 4 2 3 3" xfId="27474"/>
    <cellStyle name="Percent 2 2 2 4 2 3 3 2" xfId="27475"/>
    <cellStyle name="Percent 2 2 2 4 2 3 4" xfId="27476"/>
    <cellStyle name="Percent 2 2 2 4 2 4" xfId="27477"/>
    <cellStyle name="Percent 2 2 2 4 2 4 2" xfId="27478"/>
    <cellStyle name="Percent 2 2 2 4 2 4 2 2" xfId="27479"/>
    <cellStyle name="Percent 2 2 2 4 2 4 3" xfId="27480"/>
    <cellStyle name="Percent 2 2 2 4 2 5" xfId="27481"/>
    <cellStyle name="Percent 2 2 2 4 2 5 2" xfId="27482"/>
    <cellStyle name="Percent 2 2 2 4 2 5 2 2" xfId="27483"/>
    <cellStyle name="Percent 2 2 2 4 2 5 3" xfId="27484"/>
    <cellStyle name="Percent 2 2 2 4 2 6" xfId="27485"/>
    <cellStyle name="Percent 2 2 2 4 2 6 2" xfId="27486"/>
    <cellStyle name="Percent 2 2 2 4 2 7" xfId="27487"/>
    <cellStyle name="Percent 2 2 2 4 2 7 2" xfId="37162"/>
    <cellStyle name="Percent 2 2 2 4 2 8" xfId="27488"/>
    <cellStyle name="Percent 2 2 2 4 3" xfId="27489"/>
    <cellStyle name="Percent 2 2 2 4 3 2" xfId="27490"/>
    <cellStyle name="Percent 2 2 2 4 3 2 2" xfId="27491"/>
    <cellStyle name="Percent 2 2 2 4 3 2 2 2" xfId="27492"/>
    <cellStyle name="Percent 2 2 2 4 3 2 2 3" xfId="27493"/>
    <cellStyle name="Percent 2 2 2 4 3 2 3" xfId="27494"/>
    <cellStyle name="Percent 2 2 2 4 3 2 3 2" xfId="27495"/>
    <cellStyle name="Percent 2 2 2 4 3 2 4" xfId="27496"/>
    <cellStyle name="Percent 2 2 2 4 3 3" xfId="27497"/>
    <cellStyle name="Percent 2 2 2 4 3 3 2" xfId="27498"/>
    <cellStyle name="Percent 2 2 2 4 3 3 2 2" xfId="27499"/>
    <cellStyle name="Percent 2 2 2 4 3 3 3" xfId="27500"/>
    <cellStyle name="Percent 2 2 2 4 3 4" xfId="27501"/>
    <cellStyle name="Percent 2 2 2 4 3 4 2" xfId="27502"/>
    <cellStyle name="Percent 2 2 2 4 3 4 3" xfId="27503"/>
    <cellStyle name="Percent 2 2 2 4 3 5" xfId="27504"/>
    <cellStyle name="Percent 2 2 2 4 3 5 2" xfId="27505"/>
    <cellStyle name="Percent 2 2 2 4 3 6" xfId="27506"/>
    <cellStyle name="Percent 2 2 2 4 3 6 2" xfId="37163"/>
    <cellStyle name="Percent 2 2 2 4 3 7" xfId="27507"/>
    <cellStyle name="Percent 2 2 2 4 4" xfId="27508"/>
    <cellStyle name="Percent 2 2 2 4 4 2" xfId="27509"/>
    <cellStyle name="Percent 2 2 2 4 4 2 2" xfId="27510"/>
    <cellStyle name="Percent 2 2 2 4 4 2 2 2" xfId="27511"/>
    <cellStyle name="Percent 2 2 2 4 4 2 3" xfId="27512"/>
    <cellStyle name="Percent 2 2 2 4 4 3" xfId="27513"/>
    <cellStyle name="Percent 2 2 2 4 4 3 2" xfId="27514"/>
    <cellStyle name="Percent 2 2 2 4 4 4" xfId="27515"/>
    <cellStyle name="Percent 2 2 2 4 5" xfId="27516"/>
    <cellStyle name="Percent 2 2 2 4 5 2" xfId="27517"/>
    <cellStyle name="Percent 2 2 2 4 5 2 2" xfId="27518"/>
    <cellStyle name="Percent 2 2 2 4 5 3" xfId="27519"/>
    <cellStyle name="Percent 2 2 2 4 6" xfId="27520"/>
    <cellStyle name="Percent 2 2 2 4 6 2" xfId="27521"/>
    <cellStyle name="Percent 2 2 2 4 6 2 2" xfId="27522"/>
    <cellStyle name="Percent 2 2 2 4 6 3" xfId="27523"/>
    <cellStyle name="Percent 2 2 2 4 7" xfId="27524"/>
    <cellStyle name="Percent 2 2 2 4 7 2" xfId="27525"/>
    <cellStyle name="Percent 2 2 2 4 8" xfId="27526"/>
    <cellStyle name="Percent 2 2 2 4 8 2" xfId="37164"/>
    <cellStyle name="Percent 2 2 2 4 9" xfId="27527"/>
    <cellStyle name="Percent 2 2 2 5" xfId="27528"/>
    <cellStyle name="Percent 2 2 2 5 2" xfId="27529"/>
    <cellStyle name="Percent 2 2 2 5 2 2" xfId="27530"/>
    <cellStyle name="Percent 2 2 2 5 2 2 2" xfId="27531"/>
    <cellStyle name="Percent 2 2 2 5 2 2 2 2" xfId="27532"/>
    <cellStyle name="Percent 2 2 2 5 2 2 2 3" xfId="27533"/>
    <cellStyle name="Percent 2 2 2 5 2 2 3" xfId="27534"/>
    <cellStyle name="Percent 2 2 2 5 2 2 3 2" xfId="27535"/>
    <cellStyle name="Percent 2 2 2 5 2 2 4" xfId="27536"/>
    <cellStyle name="Percent 2 2 2 5 2 3" xfId="27537"/>
    <cellStyle name="Percent 2 2 2 5 2 3 2" xfId="27538"/>
    <cellStyle name="Percent 2 2 2 5 2 3 2 2" xfId="27539"/>
    <cellStyle name="Percent 2 2 2 5 2 3 3" xfId="27540"/>
    <cellStyle name="Percent 2 2 2 5 2 4" xfId="27541"/>
    <cellStyle name="Percent 2 2 2 5 2 4 2" xfId="27542"/>
    <cellStyle name="Percent 2 2 2 5 2 4 3" xfId="27543"/>
    <cellStyle name="Percent 2 2 2 5 2 5" xfId="27544"/>
    <cellStyle name="Percent 2 2 2 5 2 5 2" xfId="27545"/>
    <cellStyle name="Percent 2 2 2 5 2 6" xfId="27546"/>
    <cellStyle name="Percent 2 2 2 5 2 6 2" xfId="37165"/>
    <cellStyle name="Percent 2 2 2 5 2 7" xfId="27547"/>
    <cellStyle name="Percent 2 2 2 5 3" xfId="27548"/>
    <cellStyle name="Percent 2 2 2 5 3 2" xfId="27549"/>
    <cellStyle name="Percent 2 2 2 5 3 2 2" xfId="27550"/>
    <cellStyle name="Percent 2 2 2 5 3 2 2 2" xfId="27551"/>
    <cellStyle name="Percent 2 2 2 5 3 2 3" xfId="27552"/>
    <cellStyle name="Percent 2 2 2 5 3 3" xfId="27553"/>
    <cellStyle name="Percent 2 2 2 5 3 3 2" xfId="27554"/>
    <cellStyle name="Percent 2 2 2 5 3 4" xfId="27555"/>
    <cellStyle name="Percent 2 2 2 5 4" xfId="27556"/>
    <cellStyle name="Percent 2 2 2 5 4 2" xfId="27557"/>
    <cellStyle name="Percent 2 2 2 5 4 2 2" xfId="27558"/>
    <cellStyle name="Percent 2 2 2 5 4 3" xfId="27559"/>
    <cellStyle name="Percent 2 2 2 5 5" xfId="27560"/>
    <cellStyle name="Percent 2 2 2 5 5 2" xfId="27561"/>
    <cellStyle name="Percent 2 2 2 5 5 2 2" xfId="27562"/>
    <cellStyle name="Percent 2 2 2 5 5 3" xfId="27563"/>
    <cellStyle name="Percent 2 2 2 5 6" xfId="27564"/>
    <cellStyle name="Percent 2 2 2 5 6 2" xfId="27565"/>
    <cellStyle name="Percent 2 2 2 5 7" xfId="27566"/>
    <cellStyle name="Percent 2 2 2 5 7 2" xfId="37166"/>
    <cellStyle name="Percent 2 2 2 5 8" xfId="27567"/>
    <cellStyle name="Percent 2 2 2 6" xfId="27568"/>
    <cellStyle name="Percent 2 2 2 6 2" xfId="27569"/>
    <cellStyle name="Percent 2 2 2 6 2 2" xfId="27570"/>
    <cellStyle name="Percent 2 2 2 6 2 2 2" xfId="27571"/>
    <cellStyle name="Percent 2 2 2 6 2 2 2 2" xfId="27572"/>
    <cellStyle name="Percent 2 2 2 6 2 2 2 3" xfId="27573"/>
    <cellStyle name="Percent 2 2 2 6 2 2 3" xfId="27574"/>
    <cellStyle name="Percent 2 2 2 6 2 2 3 2" xfId="27575"/>
    <cellStyle name="Percent 2 2 2 6 2 2 4" xfId="27576"/>
    <cellStyle name="Percent 2 2 2 6 2 3" xfId="27577"/>
    <cellStyle name="Percent 2 2 2 6 2 3 2" xfId="27578"/>
    <cellStyle name="Percent 2 2 2 6 2 3 2 2" xfId="27579"/>
    <cellStyle name="Percent 2 2 2 6 2 3 3" xfId="27580"/>
    <cellStyle name="Percent 2 2 2 6 2 4" xfId="27581"/>
    <cellStyle name="Percent 2 2 2 6 2 4 2" xfId="27582"/>
    <cellStyle name="Percent 2 2 2 6 2 4 3" xfId="27583"/>
    <cellStyle name="Percent 2 2 2 6 2 5" xfId="27584"/>
    <cellStyle name="Percent 2 2 2 6 2 5 2" xfId="27585"/>
    <cellStyle name="Percent 2 2 2 6 2 6" xfId="27586"/>
    <cellStyle name="Percent 2 2 2 6 2 6 2" xfId="37167"/>
    <cellStyle name="Percent 2 2 2 6 2 7" xfId="27587"/>
    <cellStyle name="Percent 2 2 2 6 3" xfId="27588"/>
    <cellStyle name="Percent 2 2 2 6 3 2" xfId="27589"/>
    <cellStyle name="Percent 2 2 2 6 3 2 2" xfId="27590"/>
    <cellStyle name="Percent 2 2 2 6 3 2 2 2" xfId="27591"/>
    <cellStyle name="Percent 2 2 2 6 3 2 3" xfId="27592"/>
    <cellStyle name="Percent 2 2 2 6 3 3" xfId="27593"/>
    <cellStyle name="Percent 2 2 2 6 3 3 2" xfId="27594"/>
    <cellStyle name="Percent 2 2 2 6 3 4" xfId="27595"/>
    <cellStyle name="Percent 2 2 2 6 4" xfId="27596"/>
    <cellStyle name="Percent 2 2 2 6 4 2" xfId="27597"/>
    <cellStyle name="Percent 2 2 2 6 4 2 2" xfId="27598"/>
    <cellStyle name="Percent 2 2 2 6 4 3" xfId="27599"/>
    <cellStyle name="Percent 2 2 2 6 5" xfId="27600"/>
    <cellStyle name="Percent 2 2 2 6 5 2" xfId="27601"/>
    <cellStyle name="Percent 2 2 2 6 5 2 2" xfId="27602"/>
    <cellStyle name="Percent 2 2 2 6 5 3" xfId="27603"/>
    <cellStyle name="Percent 2 2 2 6 6" xfId="27604"/>
    <cellStyle name="Percent 2 2 2 6 6 2" xfId="27605"/>
    <cellStyle name="Percent 2 2 2 6 7" xfId="27606"/>
    <cellStyle name="Percent 2 2 2 6 7 2" xfId="37168"/>
    <cellStyle name="Percent 2 2 2 6 8" xfId="27607"/>
    <cellStyle name="Percent 2 2 2 7" xfId="27608"/>
    <cellStyle name="Percent 2 2 2 7 2" xfId="27609"/>
    <cellStyle name="Percent 2 2 2 7 2 2" xfId="27610"/>
    <cellStyle name="Percent 2 2 2 7 2 2 2" xfId="27611"/>
    <cellStyle name="Percent 2 2 2 7 2 2 2 2" xfId="27612"/>
    <cellStyle name="Percent 2 2 2 7 2 2 2 3" xfId="27613"/>
    <cellStyle name="Percent 2 2 2 7 2 2 3" xfId="27614"/>
    <cellStyle name="Percent 2 2 2 7 2 2 3 2" xfId="27615"/>
    <cellStyle name="Percent 2 2 2 7 2 2 4" xfId="27616"/>
    <cellStyle name="Percent 2 2 2 7 2 3" xfId="27617"/>
    <cellStyle name="Percent 2 2 2 7 2 3 2" xfId="27618"/>
    <cellStyle name="Percent 2 2 2 7 2 3 2 2" xfId="27619"/>
    <cellStyle name="Percent 2 2 2 7 2 3 3" xfId="27620"/>
    <cellStyle name="Percent 2 2 2 7 2 4" xfId="27621"/>
    <cellStyle name="Percent 2 2 2 7 2 4 2" xfId="27622"/>
    <cellStyle name="Percent 2 2 2 7 2 4 3" xfId="27623"/>
    <cellStyle name="Percent 2 2 2 7 2 5" xfId="27624"/>
    <cellStyle name="Percent 2 2 2 7 2 5 2" xfId="27625"/>
    <cellStyle name="Percent 2 2 2 7 2 6" xfId="27626"/>
    <cellStyle name="Percent 2 2 2 7 2 6 2" xfId="37169"/>
    <cellStyle name="Percent 2 2 2 7 2 7" xfId="27627"/>
    <cellStyle name="Percent 2 2 2 7 3" xfId="27628"/>
    <cellStyle name="Percent 2 2 2 7 3 2" xfId="27629"/>
    <cellStyle name="Percent 2 2 2 7 3 2 2" xfId="27630"/>
    <cellStyle name="Percent 2 2 2 7 3 2 2 2" xfId="27631"/>
    <cellStyle name="Percent 2 2 2 7 3 2 3" xfId="27632"/>
    <cellStyle name="Percent 2 2 2 7 3 3" xfId="27633"/>
    <cellStyle name="Percent 2 2 2 7 3 3 2" xfId="27634"/>
    <cellStyle name="Percent 2 2 2 7 3 4" xfId="27635"/>
    <cellStyle name="Percent 2 2 2 7 4" xfId="27636"/>
    <cellStyle name="Percent 2 2 2 7 4 2" xfId="27637"/>
    <cellStyle name="Percent 2 2 2 7 4 2 2" xfId="27638"/>
    <cellStyle name="Percent 2 2 2 7 4 3" xfId="27639"/>
    <cellStyle name="Percent 2 2 2 7 5" xfId="27640"/>
    <cellStyle name="Percent 2 2 2 7 5 2" xfId="27641"/>
    <cellStyle name="Percent 2 2 2 7 5 2 2" xfId="27642"/>
    <cellStyle name="Percent 2 2 2 7 5 3" xfId="27643"/>
    <cellStyle name="Percent 2 2 2 7 6" xfId="27644"/>
    <cellStyle name="Percent 2 2 2 7 6 2" xfId="27645"/>
    <cellStyle name="Percent 2 2 2 7 7" xfId="27646"/>
    <cellStyle name="Percent 2 2 2 7 7 2" xfId="37170"/>
    <cellStyle name="Percent 2 2 2 7 8" xfId="27647"/>
    <cellStyle name="Percent 2 2 2 8" xfId="27648"/>
    <cellStyle name="Percent 2 2 2 8 2" xfId="27649"/>
    <cellStyle name="Percent 2 2 2 8 2 2" xfId="27650"/>
    <cellStyle name="Percent 2 2 2 8 2 2 2" xfId="27651"/>
    <cellStyle name="Percent 2 2 2 8 2 2 3" xfId="27652"/>
    <cellStyle name="Percent 2 2 2 8 2 3" xfId="27653"/>
    <cellStyle name="Percent 2 2 2 8 2 3 2" xfId="27654"/>
    <cellStyle name="Percent 2 2 2 8 2 4" xfId="27655"/>
    <cellStyle name="Percent 2 2 2 8 3" xfId="27656"/>
    <cellStyle name="Percent 2 2 2 8 3 2" xfId="27657"/>
    <cellStyle name="Percent 2 2 2 8 3 2 2" xfId="27658"/>
    <cellStyle name="Percent 2 2 2 8 3 3" xfId="27659"/>
    <cellStyle name="Percent 2 2 2 8 4" xfId="27660"/>
    <cellStyle name="Percent 2 2 2 8 4 2" xfId="27661"/>
    <cellStyle name="Percent 2 2 2 8 4 3" xfId="27662"/>
    <cellStyle name="Percent 2 2 2 8 5" xfId="27663"/>
    <cellStyle name="Percent 2 2 2 8 5 2" xfId="27664"/>
    <cellStyle name="Percent 2 2 2 8 6" xfId="27665"/>
    <cellStyle name="Percent 2 2 2 8 6 2" xfId="37171"/>
    <cellStyle name="Percent 2 2 2 8 7" xfId="27666"/>
    <cellStyle name="Percent 2 2 2 9" xfId="27667"/>
    <cellStyle name="Percent 2 2 2 9 2" xfId="27668"/>
    <cellStyle name="Percent 2 2 2 9 2 2" xfId="27669"/>
    <cellStyle name="Percent 2 2 2 9 2 2 2" xfId="27670"/>
    <cellStyle name="Percent 2 2 2 9 2 3" xfId="27671"/>
    <cellStyle name="Percent 2 2 2 9 3" xfId="27672"/>
    <cellStyle name="Percent 2 2 2 9 3 2" xfId="27673"/>
    <cellStyle name="Percent 2 2 2 9 4" xfId="27674"/>
    <cellStyle name="Percent 2 2 3" xfId="27675"/>
    <cellStyle name="Percent 2 2 3 10" xfId="27676"/>
    <cellStyle name="Percent 2 2 3 10 2" xfId="27677"/>
    <cellStyle name="Percent 2 2 3 10 2 2" xfId="27678"/>
    <cellStyle name="Percent 2 2 3 10 3" xfId="27679"/>
    <cellStyle name="Percent 2 2 3 11" xfId="27680"/>
    <cellStyle name="Percent 2 2 3 11 2" xfId="27681"/>
    <cellStyle name="Percent 2 2 3 11 2 2" xfId="27682"/>
    <cellStyle name="Percent 2 2 3 11 3" xfId="27683"/>
    <cellStyle name="Percent 2 2 3 12" xfId="27684"/>
    <cellStyle name="Percent 2 2 3 12 2" xfId="27685"/>
    <cellStyle name="Percent 2 2 3 13" xfId="27686"/>
    <cellStyle name="Percent 2 2 3 13 2" xfId="37172"/>
    <cellStyle name="Percent 2 2 3 14" xfId="27687"/>
    <cellStyle name="Percent 2 2 3 2" xfId="27688"/>
    <cellStyle name="Percent 2 2 3 2 10" xfId="27689"/>
    <cellStyle name="Percent 2 2 3 2 2" xfId="27690"/>
    <cellStyle name="Percent 2 2 3 2 2 2" xfId="27691"/>
    <cellStyle name="Percent 2 2 3 2 2 2 2" xfId="27692"/>
    <cellStyle name="Percent 2 2 3 2 2 2 2 2" xfId="27693"/>
    <cellStyle name="Percent 2 2 3 2 2 2 2 2 2" xfId="27694"/>
    <cellStyle name="Percent 2 2 3 2 2 2 2 2 2 2" xfId="27695"/>
    <cellStyle name="Percent 2 2 3 2 2 2 2 2 2 3" xfId="27696"/>
    <cellStyle name="Percent 2 2 3 2 2 2 2 2 3" xfId="27697"/>
    <cellStyle name="Percent 2 2 3 2 2 2 2 2 3 2" xfId="27698"/>
    <cellStyle name="Percent 2 2 3 2 2 2 2 2 4" xfId="27699"/>
    <cellStyle name="Percent 2 2 3 2 2 2 2 3" xfId="27700"/>
    <cellStyle name="Percent 2 2 3 2 2 2 2 3 2" xfId="27701"/>
    <cellStyle name="Percent 2 2 3 2 2 2 2 3 2 2" xfId="27702"/>
    <cellStyle name="Percent 2 2 3 2 2 2 2 3 3" xfId="27703"/>
    <cellStyle name="Percent 2 2 3 2 2 2 2 4" xfId="27704"/>
    <cellStyle name="Percent 2 2 3 2 2 2 2 4 2" xfId="27705"/>
    <cellStyle name="Percent 2 2 3 2 2 2 2 4 3" xfId="27706"/>
    <cellStyle name="Percent 2 2 3 2 2 2 2 5" xfId="27707"/>
    <cellStyle name="Percent 2 2 3 2 2 2 2 5 2" xfId="27708"/>
    <cellStyle name="Percent 2 2 3 2 2 2 2 6" xfId="27709"/>
    <cellStyle name="Percent 2 2 3 2 2 2 2 6 2" xfId="37173"/>
    <cellStyle name="Percent 2 2 3 2 2 2 2 7" xfId="27710"/>
    <cellStyle name="Percent 2 2 3 2 2 2 3" xfId="27711"/>
    <cellStyle name="Percent 2 2 3 2 2 2 3 2" xfId="27712"/>
    <cellStyle name="Percent 2 2 3 2 2 2 3 2 2" xfId="27713"/>
    <cellStyle name="Percent 2 2 3 2 2 2 3 2 2 2" xfId="27714"/>
    <cellStyle name="Percent 2 2 3 2 2 2 3 2 3" xfId="27715"/>
    <cellStyle name="Percent 2 2 3 2 2 2 3 3" xfId="27716"/>
    <cellStyle name="Percent 2 2 3 2 2 2 3 3 2" xfId="27717"/>
    <cellStyle name="Percent 2 2 3 2 2 2 3 4" xfId="27718"/>
    <cellStyle name="Percent 2 2 3 2 2 2 4" xfId="27719"/>
    <cellStyle name="Percent 2 2 3 2 2 2 4 2" xfId="27720"/>
    <cellStyle name="Percent 2 2 3 2 2 2 4 2 2" xfId="27721"/>
    <cellStyle name="Percent 2 2 3 2 2 2 4 3" xfId="27722"/>
    <cellStyle name="Percent 2 2 3 2 2 2 5" xfId="27723"/>
    <cellStyle name="Percent 2 2 3 2 2 2 5 2" xfId="27724"/>
    <cellStyle name="Percent 2 2 3 2 2 2 5 2 2" xfId="27725"/>
    <cellStyle name="Percent 2 2 3 2 2 2 5 3" xfId="27726"/>
    <cellStyle name="Percent 2 2 3 2 2 2 6" xfId="27727"/>
    <cellStyle name="Percent 2 2 3 2 2 2 6 2" xfId="27728"/>
    <cellStyle name="Percent 2 2 3 2 2 2 7" xfId="27729"/>
    <cellStyle name="Percent 2 2 3 2 2 2 7 2" xfId="37174"/>
    <cellStyle name="Percent 2 2 3 2 2 2 8" xfId="27730"/>
    <cellStyle name="Percent 2 2 3 2 2 3" xfId="27731"/>
    <cellStyle name="Percent 2 2 3 2 2 3 2" xfId="27732"/>
    <cellStyle name="Percent 2 2 3 2 2 3 2 2" xfId="27733"/>
    <cellStyle name="Percent 2 2 3 2 2 3 2 2 2" xfId="27734"/>
    <cellStyle name="Percent 2 2 3 2 2 3 2 2 3" xfId="27735"/>
    <cellStyle name="Percent 2 2 3 2 2 3 2 3" xfId="27736"/>
    <cellStyle name="Percent 2 2 3 2 2 3 2 3 2" xfId="27737"/>
    <cellStyle name="Percent 2 2 3 2 2 3 2 4" xfId="27738"/>
    <cellStyle name="Percent 2 2 3 2 2 3 3" xfId="27739"/>
    <cellStyle name="Percent 2 2 3 2 2 3 3 2" xfId="27740"/>
    <cellStyle name="Percent 2 2 3 2 2 3 3 2 2" xfId="27741"/>
    <cellStyle name="Percent 2 2 3 2 2 3 3 3" xfId="27742"/>
    <cellStyle name="Percent 2 2 3 2 2 3 4" xfId="27743"/>
    <cellStyle name="Percent 2 2 3 2 2 3 4 2" xfId="27744"/>
    <cellStyle name="Percent 2 2 3 2 2 3 4 3" xfId="27745"/>
    <cellStyle name="Percent 2 2 3 2 2 3 5" xfId="27746"/>
    <cellStyle name="Percent 2 2 3 2 2 3 5 2" xfId="27747"/>
    <cellStyle name="Percent 2 2 3 2 2 3 6" xfId="27748"/>
    <cellStyle name="Percent 2 2 3 2 2 3 6 2" xfId="37175"/>
    <cellStyle name="Percent 2 2 3 2 2 3 7" xfId="27749"/>
    <cellStyle name="Percent 2 2 3 2 2 4" xfId="27750"/>
    <cellStyle name="Percent 2 2 3 2 2 4 2" xfId="27751"/>
    <cellStyle name="Percent 2 2 3 2 2 4 2 2" xfId="27752"/>
    <cellStyle name="Percent 2 2 3 2 2 4 2 2 2" xfId="27753"/>
    <cellStyle name="Percent 2 2 3 2 2 4 2 3" xfId="27754"/>
    <cellStyle name="Percent 2 2 3 2 2 4 3" xfId="27755"/>
    <cellStyle name="Percent 2 2 3 2 2 4 3 2" xfId="27756"/>
    <cellStyle name="Percent 2 2 3 2 2 4 4" xfId="27757"/>
    <cellStyle name="Percent 2 2 3 2 2 5" xfId="27758"/>
    <cellStyle name="Percent 2 2 3 2 2 5 2" xfId="27759"/>
    <cellStyle name="Percent 2 2 3 2 2 5 2 2" xfId="27760"/>
    <cellStyle name="Percent 2 2 3 2 2 5 3" xfId="27761"/>
    <cellStyle name="Percent 2 2 3 2 2 6" xfId="27762"/>
    <cellStyle name="Percent 2 2 3 2 2 6 2" xfId="27763"/>
    <cellStyle name="Percent 2 2 3 2 2 6 2 2" xfId="27764"/>
    <cellStyle name="Percent 2 2 3 2 2 6 3" xfId="27765"/>
    <cellStyle name="Percent 2 2 3 2 2 7" xfId="27766"/>
    <cellStyle name="Percent 2 2 3 2 2 7 2" xfId="27767"/>
    <cellStyle name="Percent 2 2 3 2 2 8" xfId="27768"/>
    <cellStyle name="Percent 2 2 3 2 2 8 2" xfId="37176"/>
    <cellStyle name="Percent 2 2 3 2 2 9" xfId="27769"/>
    <cellStyle name="Percent 2 2 3 2 3" xfId="27770"/>
    <cellStyle name="Percent 2 2 3 2 3 2" xfId="27771"/>
    <cellStyle name="Percent 2 2 3 2 3 2 2" xfId="27772"/>
    <cellStyle name="Percent 2 2 3 2 3 2 2 2" xfId="27773"/>
    <cellStyle name="Percent 2 2 3 2 3 2 2 2 2" xfId="27774"/>
    <cellStyle name="Percent 2 2 3 2 3 2 2 2 3" xfId="27775"/>
    <cellStyle name="Percent 2 2 3 2 3 2 2 3" xfId="27776"/>
    <cellStyle name="Percent 2 2 3 2 3 2 2 3 2" xfId="27777"/>
    <cellStyle name="Percent 2 2 3 2 3 2 2 4" xfId="27778"/>
    <cellStyle name="Percent 2 2 3 2 3 2 3" xfId="27779"/>
    <cellStyle name="Percent 2 2 3 2 3 2 3 2" xfId="27780"/>
    <cellStyle name="Percent 2 2 3 2 3 2 3 2 2" xfId="27781"/>
    <cellStyle name="Percent 2 2 3 2 3 2 3 3" xfId="27782"/>
    <cellStyle name="Percent 2 2 3 2 3 2 4" xfId="27783"/>
    <cellStyle name="Percent 2 2 3 2 3 2 4 2" xfId="27784"/>
    <cellStyle name="Percent 2 2 3 2 3 2 4 3" xfId="27785"/>
    <cellStyle name="Percent 2 2 3 2 3 2 5" xfId="27786"/>
    <cellStyle name="Percent 2 2 3 2 3 2 5 2" xfId="27787"/>
    <cellStyle name="Percent 2 2 3 2 3 2 6" xfId="27788"/>
    <cellStyle name="Percent 2 2 3 2 3 2 6 2" xfId="37177"/>
    <cellStyle name="Percent 2 2 3 2 3 2 7" xfId="27789"/>
    <cellStyle name="Percent 2 2 3 2 3 3" xfId="27790"/>
    <cellStyle name="Percent 2 2 3 2 3 3 2" xfId="27791"/>
    <cellStyle name="Percent 2 2 3 2 3 3 2 2" xfId="27792"/>
    <cellStyle name="Percent 2 2 3 2 3 3 2 2 2" xfId="27793"/>
    <cellStyle name="Percent 2 2 3 2 3 3 2 3" xfId="27794"/>
    <cellStyle name="Percent 2 2 3 2 3 3 3" xfId="27795"/>
    <cellStyle name="Percent 2 2 3 2 3 3 3 2" xfId="27796"/>
    <cellStyle name="Percent 2 2 3 2 3 3 4" xfId="27797"/>
    <cellStyle name="Percent 2 2 3 2 3 4" xfId="27798"/>
    <cellStyle name="Percent 2 2 3 2 3 4 2" xfId="27799"/>
    <cellStyle name="Percent 2 2 3 2 3 4 2 2" xfId="27800"/>
    <cellStyle name="Percent 2 2 3 2 3 4 3" xfId="27801"/>
    <cellStyle name="Percent 2 2 3 2 3 5" xfId="27802"/>
    <cellStyle name="Percent 2 2 3 2 3 5 2" xfId="27803"/>
    <cellStyle name="Percent 2 2 3 2 3 5 2 2" xfId="27804"/>
    <cellStyle name="Percent 2 2 3 2 3 5 3" xfId="27805"/>
    <cellStyle name="Percent 2 2 3 2 3 6" xfId="27806"/>
    <cellStyle name="Percent 2 2 3 2 3 6 2" xfId="27807"/>
    <cellStyle name="Percent 2 2 3 2 3 7" xfId="27808"/>
    <cellStyle name="Percent 2 2 3 2 3 7 2" xfId="37178"/>
    <cellStyle name="Percent 2 2 3 2 3 8" xfId="27809"/>
    <cellStyle name="Percent 2 2 3 2 4" xfId="27810"/>
    <cellStyle name="Percent 2 2 3 2 4 2" xfId="27811"/>
    <cellStyle name="Percent 2 2 3 2 4 2 2" xfId="27812"/>
    <cellStyle name="Percent 2 2 3 2 4 2 2 2" xfId="27813"/>
    <cellStyle name="Percent 2 2 3 2 4 2 2 3" xfId="27814"/>
    <cellStyle name="Percent 2 2 3 2 4 2 3" xfId="27815"/>
    <cellStyle name="Percent 2 2 3 2 4 2 3 2" xfId="27816"/>
    <cellStyle name="Percent 2 2 3 2 4 2 4" xfId="27817"/>
    <cellStyle name="Percent 2 2 3 2 4 3" xfId="27818"/>
    <cellStyle name="Percent 2 2 3 2 4 3 2" xfId="27819"/>
    <cellStyle name="Percent 2 2 3 2 4 3 2 2" xfId="27820"/>
    <cellStyle name="Percent 2 2 3 2 4 3 3" xfId="27821"/>
    <cellStyle name="Percent 2 2 3 2 4 4" xfId="27822"/>
    <cellStyle name="Percent 2 2 3 2 4 4 2" xfId="27823"/>
    <cellStyle name="Percent 2 2 3 2 4 4 3" xfId="27824"/>
    <cellStyle name="Percent 2 2 3 2 4 5" xfId="27825"/>
    <cellStyle name="Percent 2 2 3 2 4 5 2" xfId="27826"/>
    <cellStyle name="Percent 2 2 3 2 4 6" xfId="27827"/>
    <cellStyle name="Percent 2 2 3 2 4 6 2" xfId="37179"/>
    <cellStyle name="Percent 2 2 3 2 4 7" xfId="27828"/>
    <cellStyle name="Percent 2 2 3 2 5" xfId="27829"/>
    <cellStyle name="Percent 2 2 3 2 5 2" xfId="27830"/>
    <cellStyle name="Percent 2 2 3 2 5 2 2" xfId="27831"/>
    <cellStyle name="Percent 2 2 3 2 5 2 2 2" xfId="27832"/>
    <cellStyle name="Percent 2 2 3 2 5 2 3" xfId="27833"/>
    <cellStyle name="Percent 2 2 3 2 5 3" xfId="27834"/>
    <cellStyle name="Percent 2 2 3 2 5 3 2" xfId="27835"/>
    <cellStyle name="Percent 2 2 3 2 5 4" xfId="27836"/>
    <cellStyle name="Percent 2 2 3 2 6" xfId="27837"/>
    <cellStyle name="Percent 2 2 3 2 6 2" xfId="27838"/>
    <cellStyle name="Percent 2 2 3 2 6 2 2" xfId="27839"/>
    <cellStyle name="Percent 2 2 3 2 6 3" xfId="27840"/>
    <cellStyle name="Percent 2 2 3 2 7" xfId="27841"/>
    <cellStyle name="Percent 2 2 3 2 7 2" xfId="27842"/>
    <cellStyle name="Percent 2 2 3 2 7 2 2" xfId="27843"/>
    <cellStyle name="Percent 2 2 3 2 7 3" xfId="27844"/>
    <cellStyle name="Percent 2 2 3 2 8" xfId="27845"/>
    <cellStyle name="Percent 2 2 3 2 8 2" xfId="27846"/>
    <cellStyle name="Percent 2 2 3 2 9" xfId="27847"/>
    <cellStyle name="Percent 2 2 3 2 9 2" xfId="37180"/>
    <cellStyle name="Percent 2 2 3 3" xfId="27848"/>
    <cellStyle name="Percent 2 2 3 3 2" xfId="27849"/>
    <cellStyle name="Percent 2 2 3 3 2 2" xfId="27850"/>
    <cellStyle name="Percent 2 2 3 3 2 2 2" xfId="27851"/>
    <cellStyle name="Percent 2 2 3 3 2 2 2 2" xfId="27852"/>
    <cellStyle name="Percent 2 2 3 3 2 2 2 2 2" xfId="27853"/>
    <cellStyle name="Percent 2 2 3 3 2 2 2 2 3" xfId="27854"/>
    <cellStyle name="Percent 2 2 3 3 2 2 2 3" xfId="27855"/>
    <cellStyle name="Percent 2 2 3 3 2 2 2 3 2" xfId="27856"/>
    <cellStyle name="Percent 2 2 3 3 2 2 2 4" xfId="27857"/>
    <cellStyle name="Percent 2 2 3 3 2 2 3" xfId="27858"/>
    <cellStyle name="Percent 2 2 3 3 2 2 3 2" xfId="27859"/>
    <cellStyle name="Percent 2 2 3 3 2 2 3 2 2" xfId="27860"/>
    <cellStyle name="Percent 2 2 3 3 2 2 3 3" xfId="27861"/>
    <cellStyle name="Percent 2 2 3 3 2 2 4" xfId="27862"/>
    <cellStyle name="Percent 2 2 3 3 2 2 4 2" xfId="27863"/>
    <cellStyle name="Percent 2 2 3 3 2 2 4 3" xfId="27864"/>
    <cellStyle name="Percent 2 2 3 3 2 2 5" xfId="27865"/>
    <cellStyle name="Percent 2 2 3 3 2 2 5 2" xfId="27866"/>
    <cellStyle name="Percent 2 2 3 3 2 2 6" xfId="27867"/>
    <cellStyle name="Percent 2 2 3 3 2 2 6 2" xfId="37181"/>
    <cellStyle name="Percent 2 2 3 3 2 2 7" xfId="27868"/>
    <cellStyle name="Percent 2 2 3 3 2 3" xfId="27869"/>
    <cellStyle name="Percent 2 2 3 3 2 3 2" xfId="27870"/>
    <cellStyle name="Percent 2 2 3 3 2 3 2 2" xfId="27871"/>
    <cellStyle name="Percent 2 2 3 3 2 3 2 2 2" xfId="27872"/>
    <cellStyle name="Percent 2 2 3 3 2 3 2 3" xfId="27873"/>
    <cellStyle name="Percent 2 2 3 3 2 3 3" xfId="27874"/>
    <cellStyle name="Percent 2 2 3 3 2 3 3 2" xfId="27875"/>
    <cellStyle name="Percent 2 2 3 3 2 3 4" xfId="27876"/>
    <cellStyle name="Percent 2 2 3 3 2 4" xfId="27877"/>
    <cellStyle name="Percent 2 2 3 3 2 4 2" xfId="27878"/>
    <cellStyle name="Percent 2 2 3 3 2 4 2 2" xfId="27879"/>
    <cellStyle name="Percent 2 2 3 3 2 4 3" xfId="27880"/>
    <cellStyle name="Percent 2 2 3 3 2 5" xfId="27881"/>
    <cellStyle name="Percent 2 2 3 3 2 5 2" xfId="27882"/>
    <cellStyle name="Percent 2 2 3 3 2 5 2 2" xfId="27883"/>
    <cellStyle name="Percent 2 2 3 3 2 5 3" xfId="27884"/>
    <cellStyle name="Percent 2 2 3 3 2 6" xfId="27885"/>
    <cellStyle name="Percent 2 2 3 3 2 6 2" xfId="27886"/>
    <cellStyle name="Percent 2 2 3 3 2 7" xfId="27887"/>
    <cellStyle name="Percent 2 2 3 3 2 7 2" xfId="37182"/>
    <cellStyle name="Percent 2 2 3 3 2 8" xfId="27888"/>
    <cellStyle name="Percent 2 2 3 3 3" xfId="27889"/>
    <cellStyle name="Percent 2 2 3 3 3 2" xfId="27890"/>
    <cellStyle name="Percent 2 2 3 3 3 2 2" xfId="27891"/>
    <cellStyle name="Percent 2 2 3 3 3 2 2 2" xfId="27892"/>
    <cellStyle name="Percent 2 2 3 3 3 2 2 3" xfId="27893"/>
    <cellStyle name="Percent 2 2 3 3 3 2 3" xfId="27894"/>
    <cellStyle name="Percent 2 2 3 3 3 2 3 2" xfId="27895"/>
    <cellStyle name="Percent 2 2 3 3 3 2 4" xfId="27896"/>
    <cellStyle name="Percent 2 2 3 3 3 3" xfId="27897"/>
    <cellStyle name="Percent 2 2 3 3 3 3 2" xfId="27898"/>
    <cellStyle name="Percent 2 2 3 3 3 3 2 2" xfId="27899"/>
    <cellStyle name="Percent 2 2 3 3 3 3 3" xfId="27900"/>
    <cellStyle name="Percent 2 2 3 3 3 4" xfId="27901"/>
    <cellStyle name="Percent 2 2 3 3 3 4 2" xfId="27902"/>
    <cellStyle name="Percent 2 2 3 3 3 4 3" xfId="27903"/>
    <cellStyle name="Percent 2 2 3 3 3 5" xfId="27904"/>
    <cellStyle name="Percent 2 2 3 3 3 5 2" xfId="27905"/>
    <cellStyle name="Percent 2 2 3 3 3 6" xfId="27906"/>
    <cellStyle name="Percent 2 2 3 3 3 6 2" xfId="37183"/>
    <cellStyle name="Percent 2 2 3 3 3 7" xfId="27907"/>
    <cellStyle name="Percent 2 2 3 3 4" xfId="27908"/>
    <cellStyle name="Percent 2 2 3 3 4 2" xfId="27909"/>
    <cellStyle name="Percent 2 2 3 3 4 2 2" xfId="27910"/>
    <cellStyle name="Percent 2 2 3 3 4 2 2 2" xfId="27911"/>
    <cellStyle name="Percent 2 2 3 3 4 2 3" xfId="27912"/>
    <cellStyle name="Percent 2 2 3 3 4 3" xfId="27913"/>
    <cellStyle name="Percent 2 2 3 3 4 3 2" xfId="27914"/>
    <cellStyle name="Percent 2 2 3 3 4 4" xfId="27915"/>
    <cellStyle name="Percent 2 2 3 3 5" xfId="27916"/>
    <cellStyle name="Percent 2 2 3 3 5 2" xfId="27917"/>
    <cellStyle name="Percent 2 2 3 3 5 2 2" xfId="27918"/>
    <cellStyle name="Percent 2 2 3 3 5 3" xfId="27919"/>
    <cellStyle name="Percent 2 2 3 3 6" xfId="27920"/>
    <cellStyle name="Percent 2 2 3 3 6 2" xfId="27921"/>
    <cellStyle name="Percent 2 2 3 3 6 2 2" xfId="27922"/>
    <cellStyle name="Percent 2 2 3 3 6 3" xfId="27923"/>
    <cellStyle name="Percent 2 2 3 3 7" xfId="27924"/>
    <cellStyle name="Percent 2 2 3 3 7 2" xfId="27925"/>
    <cellStyle name="Percent 2 2 3 3 8" xfId="27926"/>
    <cellStyle name="Percent 2 2 3 3 8 2" xfId="37184"/>
    <cellStyle name="Percent 2 2 3 3 9" xfId="27927"/>
    <cellStyle name="Percent 2 2 3 4" xfId="27928"/>
    <cellStyle name="Percent 2 2 3 4 2" xfId="27929"/>
    <cellStyle name="Percent 2 2 3 4 2 2" xfId="27930"/>
    <cellStyle name="Percent 2 2 3 4 2 2 2" xfId="27931"/>
    <cellStyle name="Percent 2 2 3 4 2 2 2 2" xfId="27932"/>
    <cellStyle name="Percent 2 2 3 4 2 2 2 2 2" xfId="27933"/>
    <cellStyle name="Percent 2 2 3 4 2 2 2 2 3" xfId="27934"/>
    <cellStyle name="Percent 2 2 3 4 2 2 2 3" xfId="27935"/>
    <cellStyle name="Percent 2 2 3 4 2 2 2 3 2" xfId="27936"/>
    <cellStyle name="Percent 2 2 3 4 2 2 2 4" xfId="27937"/>
    <cellStyle name="Percent 2 2 3 4 2 2 3" xfId="27938"/>
    <cellStyle name="Percent 2 2 3 4 2 2 3 2" xfId="27939"/>
    <cellStyle name="Percent 2 2 3 4 2 2 3 2 2" xfId="27940"/>
    <cellStyle name="Percent 2 2 3 4 2 2 3 3" xfId="27941"/>
    <cellStyle name="Percent 2 2 3 4 2 2 4" xfId="27942"/>
    <cellStyle name="Percent 2 2 3 4 2 2 4 2" xfId="27943"/>
    <cellStyle name="Percent 2 2 3 4 2 2 4 3" xfId="27944"/>
    <cellStyle name="Percent 2 2 3 4 2 2 5" xfId="27945"/>
    <cellStyle name="Percent 2 2 3 4 2 2 5 2" xfId="27946"/>
    <cellStyle name="Percent 2 2 3 4 2 2 6" xfId="27947"/>
    <cellStyle name="Percent 2 2 3 4 2 2 6 2" xfId="37185"/>
    <cellStyle name="Percent 2 2 3 4 2 2 7" xfId="27948"/>
    <cellStyle name="Percent 2 2 3 4 2 3" xfId="27949"/>
    <cellStyle name="Percent 2 2 3 4 2 3 2" xfId="27950"/>
    <cellStyle name="Percent 2 2 3 4 2 3 2 2" xfId="27951"/>
    <cellStyle name="Percent 2 2 3 4 2 3 2 2 2" xfId="27952"/>
    <cellStyle name="Percent 2 2 3 4 2 3 2 3" xfId="27953"/>
    <cellStyle name="Percent 2 2 3 4 2 3 3" xfId="27954"/>
    <cellStyle name="Percent 2 2 3 4 2 3 3 2" xfId="27955"/>
    <cellStyle name="Percent 2 2 3 4 2 3 4" xfId="27956"/>
    <cellStyle name="Percent 2 2 3 4 2 4" xfId="27957"/>
    <cellStyle name="Percent 2 2 3 4 2 4 2" xfId="27958"/>
    <cellStyle name="Percent 2 2 3 4 2 4 2 2" xfId="27959"/>
    <cellStyle name="Percent 2 2 3 4 2 4 3" xfId="27960"/>
    <cellStyle name="Percent 2 2 3 4 2 5" xfId="27961"/>
    <cellStyle name="Percent 2 2 3 4 2 5 2" xfId="27962"/>
    <cellStyle name="Percent 2 2 3 4 2 5 2 2" xfId="27963"/>
    <cellStyle name="Percent 2 2 3 4 2 5 3" xfId="27964"/>
    <cellStyle name="Percent 2 2 3 4 2 6" xfId="27965"/>
    <cellStyle name="Percent 2 2 3 4 2 6 2" xfId="27966"/>
    <cellStyle name="Percent 2 2 3 4 2 7" xfId="27967"/>
    <cellStyle name="Percent 2 2 3 4 2 7 2" xfId="37186"/>
    <cellStyle name="Percent 2 2 3 4 2 8" xfId="27968"/>
    <cellStyle name="Percent 2 2 3 4 3" xfId="27969"/>
    <cellStyle name="Percent 2 2 3 4 3 2" xfId="27970"/>
    <cellStyle name="Percent 2 2 3 4 3 2 2" xfId="27971"/>
    <cellStyle name="Percent 2 2 3 4 3 2 2 2" xfId="27972"/>
    <cellStyle name="Percent 2 2 3 4 3 2 2 3" xfId="27973"/>
    <cellStyle name="Percent 2 2 3 4 3 2 3" xfId="27974"/>
    <cellStyle name="Percent 2 2 3 4 3 2 3 2" xfId="27975"/>
    <cellStyle name="Percent 2 2 3 4 3 2 4" xfId="27976"/>
    <cellStyle name="Percent 2 2 3 4 3 3" xfId="27977"/>
    <cellStyle name="Percent 2 2 3 4 3 3 2" xfId="27978"/>
    <cellStyle name="Percent 2 2 3 4 3 3 2 2" xfId="27979"/>
    <cellStyle name="Percent 2 2 3 4 3 3 3" xfId="27980"/>
    <cellStyle name="Percent 2 2 3 4 3 4" xfId="27981"/>
    <cellStyle name="Percent 2 2 3 4 3 4 2" xfId="27982"/>
    <cellStyle name="Percent 2 2 3 4 3 4 3" xfId="27983"/>
    <cellStyle name="Percent 2 2 3 4 3 5" xfId="27984"/>
    <cellStyle name="Percent 2 2 3 4 3 5 2" xfId="27985"/>
    <cellStyle name="Percent 2 2 3 4 3 6" xfId="27986"/>
    <cellStyle name="Percent 2 2 3 4 3 6 2" xfId="37187"/>
    <cellStyle name="Percent 2 2 3 4 3 7" xfId="27987"/>
    <cellStyle name="Percent 2 2 3 4 4" xfId="27988"/>
    <cellStyle name="Percent 2 2 3 4 4 2" xfId="27989"/>
    <cellStyle name="Percent 2 2 3 4 4 2 2" xfId="27990"/>
    <cellStyle name="Percent 2 2 3 4 4 2 2 2" xfId="27991"/>
    <cellStyle name="Percent 2 2 3 4 4 2 3" xfId="27992"/>
    <cellStyle name="Percent 2 2 3 4 4 3" xfId="27993"/>
    <cellStyle name="Percent 2 2 3 4 4 3 2" xfId="27994"/>
    <cellStyle name="Percent 2 2 3 4 4 4" xfId="27995"/>
    <cellStyle name="Percent 2 2 3 4 5" xfId="27996"/>
    <cellStyle name="Percent 2 2 3 4 5 2" xfId="27997"/>
    <cellStyle name="Percent 2 2 3 4 5 2 2" xfId="27998"/>
    <cellStyle name="Percent 2 2 3 4 5 3" xfId="27999"/>
    <cellStyle name="Percent 2 2 3 4 6" xfId="28000"/>
    <cellStyle name="Percent 2 2 3 4 6 2" xfId="28001"/>
    <cellStyle name="Percent 2 2 3 4 6 2 2" xfId="28002"/>
    <cellStyle name="Percent 2 2 3 4 6 3" xfId="28003"/>
    <cellStyle name="Percent 2 2 3 4 7" xfId="28004"/>
    <cellStyle name="Percent 2 2 3 4 7 2" xfId="28005"/>
    <cellStyle name="Percent 2 2 3 4 8" xfId="28006"/>
    <cellStyle name="Percent 2 2 3 4 8 2" xfId="37188"/>
    <cellStyle name="Percent 2 2 3 4 9" xfId="28007"/>
    <cellStyle name="Percent 2 2 3 5" xfId="28008"/>
    <cellStyle name="Percent 2 2 3 5 2" xfId="28009"/>
    <cellStyle name="Percent 2 2 3 5 2 2" xfId="28010"/>
    <cellStyle name="Percent 2 2 3 5 2 2 2" xfId="28011"/>
    <cellStyle name="Percent 2 2 3 5 2 2 2 2" xfId="28012"/>
    <cellStyle name="Percent 2 2 3 5 2 2 2 3" xfId="28013"/>
    <cellStyle name="Percent 2 2 3 5 2 2 3" xfId="28014"/>
    <cellStyle name="Percent 2 2 3 5 2 2 3 2" xfId="28015"/>
    <cellStyle name="Percent 2 2 3 5 2 2 4" xfId="28016"/>
    <cellStyle name="Percent 2 2 3 5 2 3" xfId="28017"/>
    <cellStyle name="Percent 2 2 3 5 2 3 2" xfId="28018"/>
    <cellStyle name="Percent 2 2 3 5 2 3 2 2" xfId="28019"/>
    <cellStyle name="Percent 2 2 3 5 2 3 3" xfId="28020"/>
    <cellStyle name="Percent 2 2 3 5 2 4" xfId="28021"/>
    <cellStyle name="Percent 2 2 3 5 2 4 2" xfId="28022"/>
    <cellStyle name="Percent 2 2 3 5 2 4 3" xfId="28023"/>
    <cellStyle name="Percent 2 2 3 5 2 5" xfId="28024"/>
    <cellStyle name="Percent 2 2 3 5 2 5 2" xfId="28025"/>
    <cellStyle name="Percent 2 2 3 5 2 6" xfId="28026"/>
    <cellStyle name="Percent 2 2 3 5 2 6 2" xfId="37189"/>
    <cellStyle name="Percent 2 2 3 5 2 7" xfId="28027"/>
    <cellStyle name="Percent 2 2 3 5 3" xfId="28028"/>
    <cellStyle name="Percent 2 2 3 5 3 2" xfId="28029"/>
    <cellStyle name="Percent 2 2 3 5 3 2 2" xfId="28030"/>
    <cellStyle name="Percent 2 2 3 5 3 2 2 2" xfId="28031"/>
    <cellStyle name="Percent 2 2 3 5 3 2 3" xfId="28032"/>
    <cellStyle name="Percent 2 2 3 5 3 3" xfId="28033"/>
    <cellStyle name="Percent 2 2 3 5 3 3 2" xfId="28034"/>
    <cellStyle name="Percent 2 2 3 5 3 4" xfId="28035"/>
    <cellStyle name="Percent 2 2 3 5 4" xfId="28036"/>
    <cellStyle name="Percent 2 2 3 5 4 2" xfId="28037"/>
    <cellStyle name="Percent 2 2 3 5 4 2 2" xfId="28038"/>
    <cellStyle name="Percent 2 2 3 5 4 3" xfId="28039"/>
    <cellStyle name="Percent 2 2 3 5 5" xfId="28040"/>
    <cellStyle name="Percent 2 2 3 5 5 2" xfId="28041"/>
    <cellStyle name="Percent 2 2 3 5 5 2 2" xfId="28042"/>
    <cellStyle name="Percent 2 2 3 5 5 3" xfId="28043"/>
    <cellStyle name="Percent 2 2 3 5 6" xfId="28044"/>
    <cellStyle name="Percent 2 2 3 5 6 2" xfId="28045"/>
    <cellStyle name="Percent 2 2 3 5 7" xfId="28046"/>
    <cellStyle name="Percent 2 2 3 5 7 2" xfId="37190"/>
    <cellStyle name="Percent 2 2 3 5 8" xfId="28047"/>
    <cellStyle name="Percent 2 2 3 6" xfId="28048"/>
    <cellStyle name="Percent 2 2 3 6 2" xfId="28049"/>
    <cellStyle name="Percent 2 2 3 6 2 2" xfId="28050"/>
    <cellStyle name="Percent 2 2 3 6 2 2 2" xfId="28051"/>
    <cellStyle name="Percent 2 2 3 6 2 2 2 2" xfId="28052"/>
    <cellStyle name="Percent 2 2 3 6 2 2 2 3" xfId="28053"/>
    <cellStyle name="Percent 2 2 3 6 2 2 3" xfId="28054"/>
    <cellStyle name="Percent 2 2 3 6 2 2 3 2" xfId="28055"/>
    <cellStyle name="Percent 2 2 3 6 2 2 4" xfId="28056"/>
    <cellStyle name="Percent 2 2 3 6 2 3" xfId="28057"/>
    <cellStyle name="Percent 2 2 3 6 2 3 2" xfId="28058"/>
    <cellStyle name="Percent 2 2 3 6 2 3 2 2" xfId="28059"/>
    <cellStyle name="Percent 2 2 3 6 2 3 3" xfId="28060"/>
    <cellStyle name="Percent 2 2 3 6 2 4" xfId="28061"/>
    <cellStyle name="Percent 2 2 3 6 2 4 2" xfId="28062"/>
    <cellStyle name="Percent 2 2 3 6 2 4 3" xfId="28063"/>
    <cellStyle name="Percent 2 2 3 6 2 5" xfId="28064"/>
    <cellStyle name="Percent 2 2 3 6 2 5 2" xfId="28065"/>
    <cellStyle name="Percent 2 2 3 6 2 6" xfId="28066"/>
    <cellStyle name="Percent 2 2 3 6 2 6 2" xfId="37191"/>
    <cellStyle name="Percent 2 2 3 6 2 7" xfId="28067"/>
    <cellStyle name="Percent 2 2 3 6 3" xfId="28068"/>
    <cellStyle name="Percent 2 2 3 6 3 2" xfId="28069"/>
    <cellStyle name="Percent 2 2 3 6 3 2 2" xfId="28070"/>
    <cellStyle name="Percent 2 2 3 6 3 2 2 2" xfId="28071"/>
    <cellStyle name="Percent 2 2 3 6 3 2 3" xfId="28072"/>
    <cellStyle name="Percent 2 2 3 6 3 3" xfId="28073"/>
    <cellStyle name="Percent 2 2 3 6 3 3 2" xfId="28074"/>
    <cellStyle name="Percent 2 2 3 6 3 4" xfId="28075"/>
    <cellStyle name="Percent 2 2 3 6 4" xfId="28076"/>
    <cellStyle name="Percent 2 2 3 6 4 2" xfId="28077"/>
    <cellStyle name="Percent 2 2 3 6 4 2 2" xfId="28078"/>
    <cellStyle name="Percent 2 2 3 6 4 3" xfId="28079"/>
    <cellStyle name="Percent 2 2 3 6 5" xfId="28080"/>
    <cellStyle name="Percent 2 2 3 6 5 2" xfId="28081"/>
    <cellStyle name="Percent 2 2 3 6 5 2 2" xfId="28082"/>
    <cellStyle name="Percent 2 2 3 6 5 3" xfId="28083"/>
    <cellStyle name="Percent 2 2 3 6 6" xfId="28084"/>
    <cellStyle name="Percent 2 2 3 6 6 2" xfId="28085"/>
    <cellStyle name="Percent 2 2 3 6 7" xfId="28086"/>
    <cellStyle name="Percent 2 2 3 6 7 2" xfId="37192"/>
    <cellStyle name="Percent 2 2 3 6 8" xfId="28087"/>
    <cellStyle name="Percent 2 2 3 7" xfId="28088"/>
    <cellStyle name="Percent 2 2 3 7 2" xfId="28089"/>
    <cellStyle name="Percent 2 2 3 7 2 2" xfId="28090"/>
    <cellStyle name="Percent 2 2 3 7 2 2 2" xfId="28091"/>
    <cellStyle name="Percent 2 2 3 7 2 2 2 2" xfId="28092"/>
    <cellStyle name="Percent 2 2 3 7 2 2 2 3" xfId="28093"/>
    <cellStyle name="Percent 2 2 3 7 2 2 3" xfId="28094"/>
    <cellStyle name="Percent 2 2 3 7 2 2 3 2" xfId="28095"/>
    <cellStyle name="Percent 2 2 3 7 2 2 4" xfId="28096"/>
    <cellStyle name="Percent 2 2 3 7 2 3" xfId="28097"/>
    <cellStyle name="Percent 2 2 3 7 2 3 2" xfId="28098"/>
    <cellStyle name="Percent 2 2 3 7 2 3 2 2" xfId="28099"/>
    <cellStyle name="Percent 2 2 3 7 2 3 3" xfId="28100"/>
    <cellStyle name="Percent 2 2 3 7 2 4" xfId="28101"/>
    <cellStyle name="Percent 2 2 3 7 2 4 2" xfId="28102"/>
    <cellStyle name="Percent 2 2 3 7 2 4 3" xfId="28103"/>
    <cellStyle name="Percent 2 2 3 7 2 5" xfId="28104"/>
    <cellStyle name="Percent 2 2 3 7 2 5 2" xfId="28105"/>
    <cellStyle name="Percent 2 2 3 7 2 6" xfId="28106"/>
    <cellStyle name="Percent 2 2 3 7 2 6 2" xfId="37193"/>
    <cellStyle name="Percent 2 2 3 7 2 7" xfId="28107"/>
    <cellStyle name="Percent 2 2 3 7 3" xfId="28108"/>
    <cellStyle name="Percent 2 2 3 7 3 2" xfId="28109"/>
    <cellStyle name="Percent 2 2 3 7 3 2 2" xfId="28110"/>
    <cellStyle name="Percent 2 2 3 7 3 2 2 2" xfId="28111"/>
    <cellStyle name="Percent 2 2 3 7 3 2 3" xfId="28112"/>
    <cellStyle name="Percent 2 2 3 7 3 3" xfId="28113"/>
    <cellStyle name="Percent 2 2 3 7 3 3 2" xfId="28114"/>
    <cellStyle name="Percent 2 2 3 7 3 4" xfId="28115"/>
    <cellStyle name="Percent 2 2 3 7 4" xfId="28116"/>
    <cellStyle name="Percent 2 2 3 7 4 2" xfId="28117"/>
    <cellStyle name="Percent 2 2 3 7 4 2 2" xfId="28118"/>
    <cellStyle name="Percent 2 2 3 7 4 3" xfId="28119"/>
    <cellStyle name="Percent 2 2 3 7 5" xfId="28120"/>
    <cellStyle name="Percent 2 2 3 7 5 2" xfId="28121"/>
    <cellStyle name="Percent 2 2 3 7 5 2 2" xfId="28122"/>
    <cellStyle name="Percent 2 2 3 7 5 3" xfId="28123"/>
    <cellStyle name="Percent 2 2 3 7 6" xfId="28124"/>
    <cellStyle name="Percent 2 2 3 7 6 2" xfId="28125"/>
    <cellStyle name="Percent 2 2 3 7 7" xfId="28126"/>
    <cellStyle name="Percent 2 2 3 7 7 2" xfId="37194"/>
    <cellStyle name="Percent 2 2 3 7 8" xfId="28127"/>
    <cellStyle name="Percent 2 2 3 8" xfId="28128"/>
    <cellStyle name="Percent 2 2 3 8 2" xfId="28129"/>
    <cellStyle name="Percent 2 2 3 8 2 2" xfId="28130"/>
    <cellStyle name="Percent 2 2 3 8 2 2 2" xfId="28131"/>
    <cellStyle name="Percent 2 2 3 8 2 2 3" xfId="28132"/>
    <cellStyle name="Percent 2 2 3 8 2 3" xfId="28133"/>
    <cellStyle name="Percent 2 2 3 8 2 3 2" xfId="28134"/>
    <cellStyle name="Percent 2 2 3 8 2 4" xfId="28135"/>
    <cellStyle name="Percent 2 2 3 8 3" xfId="28136"/>
    <cellStyle name="Percent 2 2 3 8 3 2" xfId="28137"/>
    <cellStyle name="Percent 2 2 3 8 3 2 2" xfId="28138"/>
    <cellStyle name="Percent 2 2 3 8 3 3" xfId="28139"/>
    <cellStyle name="Percent 2 2 3 8 4" xfId="28140"/>
    <cellStyle name="Percent 2 2 3 8 4 2" xfId="28141"/>
    <cellStyle name="Percent 2 2 3 8 4 3" xfId="28142"/>
    <cellStyle name="Percent 2 2 3 8 5" xfId="28143"/>
    <cellStyle name="Percent 2 2 3 8 5 2" xfId="28144"/>
    <cellStyle name="Percent 2 2 3 8 6" xfId="28145"/>
    <cellStyle name="Percent 2 2 3 8 6 2" xfId="37195"/>
    <cellStyle name="Percent 2 2 3 8 7" xfId="28146"/>
    <cellStyle name="Percent 2 2 3 9" xfId="28147"/>
    <cellStyle name="Percent 2 2 3 9 2" xfId="28148"/>
    <cellStyle name="Percent 2 2 3 9 2 2" xfId="28149"/>
    <cellStyle name="Percent 2 2 3 9 2 2 2" xfId="28150"/>
    <cellStyle name="Percent 2 2 3 9 2 3" xfId="28151"/>
    <cellStyle name="Percent 2 2 3 9 3" xfId="28152"/>
    <cellStyle name="Percent 2 2 3 9 3 2" xfId="28153"/>
    <cellStyle name="Percent 2 2 3 9 4" xfId="28154"/>
    <cellStyle name="Percent 2 2 4" xfId="28155"/>
    <cellStyle name="Percent 2 2 4 10" xfId="28156"/>
    <cellStyle name="Percent 2 2 4 10 2" xfId="28157"/>
    <cellStyle name="Percent 2 2 4 11" xfId="28158"/>
    <cellStyle name="Percent 2 2 4 11 2" xfId="37196"/>
    <cellStyle name="Percent 2 2 4 12" xfId="28159"/>
    <cellStyle name="Percent 2 2 4 2" xfId="28160"/>
    <cellStyle name="Percent 2 2 4 2 10" xfId="28161"/>
    <cellStyle name="Percent 2 2 4 2 2" xfId="28162"/>
    <cellStyle name="Percent 2 2 4 2 2 2" xfId="28163"/>
    <cellStyle name="Percent 2 2 4 2 2 2 2" xfId="28164"/>
    <cellStyle name="Percent 2 2 4 2 2 2 2 2" xfId="28165"/>
    <cellStyle name="Percent 2 2 4 2 2 2 2 2 2" xfId="28166"/>
    <cellStyle name="Percent 2 2 4 2 2 2 2 2 2 2" xfId="28167"/>
    <cellStyle name="Percent 2 2 4 2 2 2 2 2 2 3" xfId="28168"/>
    <cellStyle name="Percent 2 2 4 2 2 2 2 2 3" xfId="28169"/>
    <cellStyle name="Percent 2 2 4 2 2 2 2 2 3 2" xfId="28170"/>
    <cellStyle name="Percent 2 2 4 2 2 2 2 2 4" xfId="28171"/>
    <cellStyle name="Percent 2 2 4 2 2 2 2 3" xfId="28172"/>
    <cellStyle name="Percent 2 2 4 2 2 2 2 3 2" xfId="28173"/>
    <cellStyle name="Percent 2 2 4 2 2 2 2 3 2 2" xfId="28174"/>
    <cellStyle name="Percent 2 2 4 2 2 2 2 3 3" xfId="28175"/>
    <cellStyle name="Percent 2 2 4 2 2 2 2 4" xfId="28176"/>
    <cellStyle name="Percent 2 2 4 2 2 2 2 4 2" xfId="28177"/>
    <cellStyle name="Percent 2 2 4 2 2 2 2 4 3" xfId="28178"/>
    <cellStyle name="Percent 2 2 4 2 2 2 2 5" xfId="28179"/>
    <cellStyle name="Percent 2 2 4 2 2 2 2 5 2" xfId="28180"/>
    <cellStyle name="Percent 2 2 4 2 2 2 2 6" xfId="28181"/>
    <cellStyle name="Percent 2 2 4 2 2 2 2 6 2" xfId="37197"/>
    <cellStyle name="Percent 2 2 4 2 2 2 2 7" xfId="28182"/>
    <cellStyle name="Percent 2 2 4 2 2 2 3" xfId="28183"/>
    <cellStyle name="Percent 2 2 4 2 2 2 3 2" xfId="28184"/>
    <cellStyle name="Percent 2 2 4 2 2 2 3 2 2" xfId="28185"/>
    <cellStyle name="Percent 2 2 4 2 2 2 3 2 2 2" xfId="28186"/>
    <cellStyle name="Percent 2 2 4 2 2 2 3 2 3" xfId="28187"/>
    <cellStyle name="Percent 2 2 4 2 2 2 3 3" xfId="28188"/>
    <cellStyle name="Percent 2 2 4 2 2 2 3 3 2" xfId="28189"/>
    <cellStyle name="Percent 2 2 4 2 2 2 3 4" xfId="28190"/>
    <cellStyle name="Percent 2 2 4 2 2 2 4" xfId="28191"/>
    <cellStyle name="Percent 2 2 4 2 2 2 4 2" xfId="28192"/>
    <cellStyle name="Percent 2 2 4 2 2 2 4 2 2" xfId="28193"/>
    <cellStyle name="Percent 2 2 4 2 2 2 4 3" xfId="28194"/>
    <cellStyle name="Percent 2 2 4 2 2 2 5" xfId="28195"/>
    <cellStyle name="Percent 2 2 4 2 2 2 5 2" xfId="28196"/>
    <cellStyle name="Percent 2 2 4 2 2 2 5 2 2" xfId="28197"/>
    <cellStyle name="Percent 2 2 4 2 2 2 5 3" xfId="28198"/>
    <cellStyle name="Percent 2 2 4 2 2 2 6" xfId="28199"/>
    <cellStyle name="Percent 2 2 4 2 2 2 6 2" xfId="28200"/>
    <cellStyle name="Percent 2 2 4 2 2 2 7" xfId="28201"/>
    <cellStyle name="Percent 2 2 4 2 2 2 7 2" xfId="37198"/>
    <cellStyle name="Percent 2 2 4 2 2 2 8" xfId="28202"/>
    <cellStyle name="Percent 2 2 4 2 2 3" xfId="28203"/>
    <cellStyle name="Percent 2 2 4 2 2 3 2" xfId="28204"/>
    <cellStyle name="Percent 2 2 4 2 2 3 2 2" xfId="28205"/>
    <cellStyle name="Percent 2 2 4 2 2 3 2 2 2" xfId="28206"/>
    <cellStyle name="Percent 2 2 4 2 2 3 2 2 3" xfId="28207"/>
    <cellStyle name="Percent 2 2 4 2 2 3 2 3" xfId="28208"/>
    <cellStyle name="Percent 2 2 4 2 2 3 2 3 2" xfId="28209"/>
    <cellStyle name="Percent 2 2 4 2 2 3 2 4" xfId="28210"/>
    <cellStyle name="Percent 2 2 4 2 2 3 3" xfId="28211"/>
    <cellStyle name="Percent 2 2 4 2 2 3 3 2" xfId="28212"/>
    <cellStyle name="Percent 2 2 4 2 2 3 3 2 2" xfId="28213"/>
    <cellStyle name="Percent 2 2 4 2 2 3 3 3" xfId="28214"/>
    <cellStyle name="Percent 2 2 4 2 2 3 4" xfId="28215"/>
    <cellStyle name="Percent 2 2 4 2 2 3 4 2" xfId="28216"/>
    <cellStyle name="Percent 2 2 4 2 2 3 4 3" xfId="28217"/>
    <cellStyle name="Percent 2 2 4 2 2 3 5" xfId="28218"/>
    <cellStyle name="Percent 2 2 4 2 2 3 5 2" xfId="28219"/>
    <cellStyle name="Percent 2 2 4 2 2 3 6" xfId="28220"/>
    <cellStyle name="Percent 2 2 4 2 2 3 6 2" xfId="37199"/>
    <cellStyle name="Percent 2 2 4 2 2 3 7" xfId="28221"/>
    <cellStyle name="Percent 2 2 4 2 2 4" xfId="28222"/>
    <cellStyle name="Percent 2 2 4 2 2 4 2" xfId="28223"/>
    <cellStyle name="Percent 2 2 4 2 2 4 2 2" xfId="28224"/>
    <cellStyle name="Percent 2 2 4 2 2 4 2 2 2" xfId="28225"/>
    <cellStyle name="Percent 2 2 4 2 2 4 2 3" xfId="28226"/>
    <cellStyle name="Percent 2 2 4 2 2 4 3" xfId="28227"/>
    <cellStyle name="Percent 2 2 4 2 2 4 3 2" xfId="28228"/>
    <cellStyle name="Percent 2 2 4 2 2 4 4" xfId="28229"/>
    <cellStyle name="Percent 2 2 4 2 2 5" xfId="28230"/>
    <cellStyle name="Percent 2 2 4 2 2 5 2" xfId="28231"/>
    <cellStyle name="Percent 2 2 4 2 2 5 2 2" xfId="28232"/>
    <cellStyle name="Percent 2 2 4 2 2 5 3" xfId="28233"/>
    <cellStyle name="Percent 2 2 4 2 2 6" xfId="28234"/>
    <cellStyle name="Percent 2 2 4 2 2 6 2" xfId="28235"/>
    <cellStyle name="Percent 2 2 4 2 2 6 2 2" xfId="28236"/>
    <cellStyle name="Percent 2 2 4 2 2 6 3" xfId="28237"/>
    <cellStyle name="Percent 2 2 4 2 2 7" xfId="28238"/>
    <cellStyle name="Percent 2 2 4 2 2 7 2" xfId="28239"/>
    <cellStyle name="Percent 2 2 4 2 2 8" xfId="28240"/>
    <cellStyle name="Percent 2 2 4 2 2 8 2" xfId="37200"/>
    <cellStyle name="Percent 2 2 4 2 2 9" xfId="28241"/>
    <cellStyle name="Percent 2 2 4 2 3" xfId="28242"/>
    <cellStyle name="Percent 2 2 4 2 3 2" xfId="28243"/>
    <cellStyle name="Percent 2 2 4 2 3 2 2" xfId="28244"/>
    <cellStyle name="Percent 2 2 4 2 3 2 2 2" xfId="28245"/>
    <cellStyle name="Percent 2 2 4 2 3 2 2 2 2" xfId="28246"/>
    <cellStyle name="Percent 2 2 4 2 3 2 2 2 3" xfId="28247"/>
    <cellStyle name="Percent 2 2 4 2 3 2 2 3" xfId="28248"/>
    <cellStyle name="Percent 2 2 4 2 3 2 2 3 2" xfId="28249"/>
    <cellStyle name="Percent 2 2 4 2 3 2 2 4" xfId="28250"/>
    <cellStyle name="Percent 2 2 4 2 3 2 3" xfId="28251"/>
    <cellStyle name="Percent 2 2 4 2 3 2 3 2" xfId="28252"/>
    <cellStyle name="Percent 2 2 4 2 3 2 3 2 2" xfId="28253"/>
    <cellStyle name="Percent 2 2 4 2 3 2 3 3" xfId="28254"/>
    <cellStyle name="Percent 2 2 4 2 3 2 4" xfId="28255"/>
    <cellStyle name="Percent 2 2 4 2 3 2 4 2" xfId="28256"/>
    <cellStyle name="Percent 2 2 4 2 3 2 4 3" xfId="28257"/>
    <cellStyle name="Percent 2 2 4 2 3 2 5" xfId="28258"/>
    <cellStyle name="Percent 2 2 4 2 3 2 5 2" xfId="28259"/>
    <cellStyle name="Percent 2 2 4 2 3 2 6" xfId="28260"/>
    <cellStyle name="Percent 2 2 4 2 3 2 6 2" xfId="37201"/>
    <cellStyle name="Percent 2 2 4 2 3 2 7" xfId="28261"/>
    <cellStyle name="Percent 2 2 4 2 3 3" xfId="28262"/>
    <cellStyle name="Percent 2 2 4 2 3 3 2" xfId="28263"/>
    <cellStyle name="Percent 2 2 4 2 3 3 2 2" xfId="28264"/>
    <cellStyle name="Percent 2 2 4 2 3 3 2 2 2" xfId="28265"/>
    <cellStyle name="Percent 2 2 4 2 3 3 2 3" xfId="28266"/>
    <cellStyle name="Percent 2 2 4 2 3 3 3" xfId="28267"/>
    <cellStyle name="Percent 2 2 4 2 3 3 3 2" xfId="28268"/>
    <cellStyle name="Percent 2 2 4 2 3 3 4" xfId="28269"/>
    <cellStyle name="Percent 2 2 4 2 3 4" xfId="28270"/>
    <cellStyle name="Percent 2 2 4 2 3 4 2" xfId="28271"/>
    <cellStyle name="Percent 2 2 4 2 3 4 2 2" xfId="28272"/>
    <cellStyle name="Percent 2 2 4 2 3 4 3" xfId="28273"/>
    <cellStyle name="Percent 2 2 4 2 3 5" xfId="28274"/>
    <cellStyle name="Percent 2 2 4 2 3 5 2" xfId="28275"/>
    <cellStyle name="Percent 2 2 4 2 3 5 2 2" xfId="28276"/>
    <cellStyle name="Percent 2 2 4 2 3 5 3" xfId="28277"/>
    <cellStyle name="Percent 2 2 4 2 3 6" xfId="28278"/>
    <cellStyle name="Percent 2 2 4 2 3 6 2" xfId="28279"/>
    <cellStyle name="Percent 2 2 4 2 3 7" xfId="28280"/>
    <cellStyle name="Percent 2 2 4 2 3 7 2" xfId="37202"/>
    <cellStyle name="Percent 2 2 4 2 3 8" xfId="28281"/>
    <cellStyle name="Percent 2 2 4 2 4" xfId="28282"/>
    <cellStyle name="Percent 2 2 4 2 4 2" xfId="28283"/>
    <cellStyle name="Percent 2 2 4 2 4 2 2" xfId="28284"/>
    <cellStyle name="Percent 2 2 4 2 4 2 2 2" xfId="28285"/>
    <cellStyle name="Percent 2 2 4 2 4 2 2 3" xfId="28286"/>
    <cellStyle name="Percent 2 2 4 2 4 2 3" xfId="28287"/>
    <cellStyle name="Percent 2 2 4 2 4 2 3 2" xfId="28288"/>
    <cellStyle name="Percent 2 2 4 2 4 2 4" xfId="28289"/>
    <cellStyle name="Percent 2 2 4 2 4 3" xfId="28290"/>
    <cellStyle name="Percent 2 2 4 2 4 3 2" xfId="28291"/>
    <cellStyle name="Percent 2 2 4 2 4 3 2 2" xfId="28292"/>
    <cellStyle name="Percent 2 2 4 2 4 3 3" xfId="28293"/>
    <cellStyle name="Percent 2 2 4 2 4 4" xfId="28294"/>
    <cellStyle name="Percent 2 2 4 2 4 4 2" xfId="28295"/>
    <cellStyle name="Percent 2 2 4 2 4 4 3" xfId="28296"/>
    <cellStyle name="Percent 2 2 4 2 4 5" xfId="28297"/>
    <cellStyle name="Percent 2 2 4 2 4 5 2" xfId="28298"/>
    <cellStyle name="Percent 2 2 4 2 4 6" xfId="28299"/>
    <cellStyle name="Percent 2 2 4 2 4 6 2" xfId="37203"/>
    <cellStyle name="Percent 2 2 4 2 4 7" xfId="28300"/>
    <cellStyle name="Percent 2 2 4 2 5" xfId="28301"/>
    <cellStyle name="Percent 2 2 4 2 5 2" xfId="28302"/>
    <cellStyle name="Percent 2 2 4 2 5 2 2" xfId="28303"/>
    <cellStyle name="Percent 2 2 4 2 5 2 2 2" xfId="28304"/>
    <cellStyle name="Percent 2 2 4 2 5 2 3" xfId="28305"/>
    <cellStyle name="Percent 2 2 4 2 5 3" xfId="28306"/>
    <cellStyle name="Percent 2 2 4 2 5 3 2" xfId="28307"/>
    <cellStyle name="Percent 2 2 4 2 5 4" xfId="28308"/>
    <cellStyle name="Percent 2 2 4 2 6" xfId="28309"/>
    <cellStyle name="Percent 2 2 4 2 6 2" xfId="28310"/>
    <cellStyle name="Percent 2 2 4 2 6 2 2" xfId="28311"/>
    <cellStyle name="Percent 2 2 4 2 6 3" xfId="28312"/>
    <cellStyle name="Percent 2 2 4 2 7" xfId="28313"/>
    <cellStyle name="Percent 2 2 4 2 7 2" xfId="28314"/>
    <cellStyle name="Percent 2 2 4 2 7 2 2" xfId="28315"/>
    <cellStyle name="Percent 2 2 4 2 7 3" xfId="28316"/>
    <cellStyle name="Percent 2 2 4 2 8" xfId="28317"/>
    <cellStyle name="Percent 2 2 4 2 8 2" xfId="28318"/>
    <cellStyle name="Percent 2 2 4 2 9" xfId="28319"/>
    <cellStyle name="Percent 2 2 4 2 9 2" xfId="37204"/>
    <cellStyle name="Percent 2 2 4 3" xfId="28320"/>
    <cellStyle name="Percent 2 2 4 3 2" xfId="28321"/>
    <cellStyle name="Percent 2 2 4 3 2 2" xfId="28322"/>
    <cellStyle name="Percent 2 2 4 3 2 2 2" xfId="28323"/>
    <cellStyle name="Percent 2 2 4 3 2 2 2 2" xfId="28324"/>
    <cellStyle name="Percent 2 2 4 3 2 2 2 2 2" xfId="28325"/>
    <cellStyle name="Percent 2 2 4 3 2 2 2 2 3" xfId="28326"/>
    <cellStyle name="Percent 2 2 4 3 2 2 2 3" xfId="28327"/>
    <cellStyle name="Percent 2 2 4 3 2 2 2 3 2" xfId="28328"/>
    <cellStyle name="Percent 2 2 4 3 2 2 2 4" xfId="28329"/>
    <cellStyle name="Percent 2 2 4 3 2 2 3" xfId="28330"/>
    <cellStyle name="Percent 2 2 4 3 2 2 3 2" xfId="28331"/>
    <cellStyle name="Percent 2 2 4 3 2 2 3 2 2" xfId="28332"/>
    <cellStyle name="Percent 2 2 4 3 2 2 3 3" xfId="28333"/>
    <cellStyle name="Percent 2 2 4 3 2 2 4" xfId="28334"/>
    <cellStyle name="Percent 2 2 4 3 2 2 4 2" xfId="28335"/>
    <cellStyle name="Percent 2 2 4 3 2 2 4 3" xfId="28336"/>
    <cellStyle name="Percent 2 2 4 3 2 2 5" xfId="28337"/>
    <cellStyle name="Percent 2 2 4 3 2 2 5 2" xfId="28338"/>
    <cellStyle name="Percent 2 2 4 3 2 2 6" xfId="28339"/>
    <cellStyle name="Percent 2 2 4 3 2 2 6 2" xfId="37205"/>
    <cellStyle name="Percent 2 2 4 3 2 2 7" xfId="28340"/>
    <cellStyle name="Percent 2 2 4 3 2 3" xfId="28341"/>
    <cellStyle name="Percent 2 2 4 3 2 3 2" xfId="28342"/>
    <cellStyle name="Percent 2 2 4 3 2 3 2 2" xfId="28343"/>
    <cellStyle name="Percent 2 2 4 3 2 3 2 2 2" xfId="28344"/>
    <cellStyle name="Percent 2 2 4 3 2 3 2 3" xfId="28345"/>
    <cellStyle name="Percent 2 2 4 3 2 3 3" xfId="28346"/>
    <cellStyle name="Percent 2 2 4 3 2 3 3 2" xfId="28347"/>
    <cellStyle name="Percent 2 2 4 3 2 3 4" xfId="28348"/>
    <cellStyle name="Percent 2 2 4 3 2 4" xfId="28349"/>
    <cellStyle name="Percent 2 2 4 3 2 4 2" xfId="28350"/>
    <cellStyle name="Percent 2 2 4 3 2 4 2 2" xfId="28351"/>
    <cellStyle name="Percent 2 2 4 3 2 4 3" xfId="28352"/>
    <cellStyle name="Percent 2 2 4 3 2 5" xfId="28353"/>
    <cellStyle name="Percent 2 2 4 3 2 5 2" xfId="28354"/>
    <cellStyle name="Percent 2 2 4 3 2 5 2 2" xfId="28355"/>
    <cellStyle name="Percent 2 2 4 3 2 5 3" xfId="28356"/>
    <cellStyle name="Percent 2 2 4 3 2 6" xfId="28357"/>
    <cellStyle name="Percent 2 2 4 3 2 6 2" xfId="28358"/>
    <cellStyle name="Percent 2 2 4 3 2 7" xfId="28359"/>
    <cellStyle name="Percent 2 2 4 3 2 7 2" xfId="37206"/>
    <cellStyle name="Percent 2 2 4 3 2 8" xfId="28360"/>
    <cellStyle name="Percent 2 2 4 3 3" xfId="28361"/>
    <cellStyle name="Percent 2 2 4 3 3 2" xfId="28362"/>
    <cellStyle name="Percent 2 2 4 3 3 2 2" xfId="28363"/>
    <cellStyle name="Percent 2 2 4 3 3 2 2 2" xfId="28364"/>
    <cellStyle name="Percent 2 2 4 3 3 2 2 3" xfId="28365"/>
    <cellStyle name="Percent 2 2 4 3 3 2 3" xfId="28366"/>
    <cellStyle name="Percent 2 2 4 3 3 2 3 2" xfId="28367"/>
    <cellStyle name="Percent 2 2 4 3 3 2 4" xfId="28368"/>
    <cellStyle name="Percent 2 2 4 3 3 3" xfId="28369"/>
    <cellStyle name="Percent 2 2 4 3 3 3 2" xfId="28370"/>
    <cellStyle name="Percent 2 2 4 3 3 3 2 2" xfId="28371"/>
    <cellStyle name="Percent 2 2 4 3 3 3 3" xfId="28372"/>
    <cellStyle name="Percent 2 2 4 3 3 4" xfId="28373"/>
    <cellStyle name="Percent 2 2 4 3 3 4 2" xfId="28374"/>
    <cellStyle name="Percent 2 2 4 3 3 4 3" xfId="28375"/>
    <cellStyle name="Percent 2 2 4 3 3 5" xfId="28376"/>
    <cellStyle name="Percent 2 2 4 3 3 5 2" xfId="28377"/>
    <cellStyle name="Percent 2 2 4 3 3 6" xfId="28378"/>
    <cellStyle name="Percent 2 2 4 3 3 6 2" xfId="37207"/>
    <cellStyle name="Percent 2 2 4 3 3 7" xfId="28379"/>
    <cellStyle name="Percent 2 2 4 3 4" xfId="28380"/>
    <cellStyle name="Percent 2 2 4 3 4 2" xfId="28381"/>
    <cellStyle name="Percent 2 2 4 3 4 2 2" xfId="28382"/>
    <cellStyle name="Percent 2 2 4 3 4 2 2 2" xfId="28383"/>
    <cellStyle name="Percent 2 2 4 3 4 2 3" xfId="28384"/>
    <cellStyle name="Percent 2 2 4 3 4 3" xfId="28385"/>
    <cellStyle name="Percent 2 2 4 3 4 3 2" xfId="28386"/>
    <cellStyle name="Percent 2 2 4 3 4 4" xfId="28387"/>
    <cellStyle name="Percent 2 2 4 3 5" xfId="28388"/>
    <cellStyle name="Percent 2 2 4 3 5 2" xfId="28389"/>
    <cellStyle name="Percent 2 2 4 3 5 2 2" xfId="28390"/>
    <cellStyle name="Percent 2 2 4 3 5 3" xfId="28391"/>
    <cellStyle name="Percent 2 2 4 3 6" xfId="28392"/>
    <cellStyle name="Percent 2 2 4 3 6 2" xfId="28393"/>
    <cellStyle name="Percent 2 2 4 3 6 2 2" xfId="28394"/>
    <cellStyle name="Percent 2 2 4 3 6 3" xfId="28395"/>
    <cellStyle name="Percent 2 2 4 3 7" xfId="28396"/>
    <cellStyle name="Percent 2 2 4 3 7 2" xfId="28397"/>
    <cellStyle name="Percent 2 2 4 3 8" xfId="28398"/>
    <cellStyle name="Percent 2 2 4 3 8 2" xfId="37208"/>
    <cellStyle name="Percent 2 2 4 3 9" xfId="28399"/>
    <cellStyle name="Percent 2 2 4 4" xfId="28400"/>
    <cellStyle name="Percent 2 2 4 4 2" xfId="28401"/>
    <cellStyle name="Percent 2 2 4 4 2 2" xfId="28402"/>
    <cellStyle name="Percent 2 2 4 4 2 2 2" xfId="28403"/>
    <cellStyle name="Percent 2 2 4 4 2 2 2 2" xfId="28404"/>
    <cellStyle name="Percent 2 2 4 4 2 2 2 3" xfId="28405"/>
    <cellStyle name="Percent 2 2 4 4 2 2 3" xfId="28406"/>
    <cellStyle name="Percent 2 2 4 4 2 2 3 2" xfId="28407"/>
    <cellStyle name="Percent 2 2 4 4 2 2 4" xfId="28408"/>
    <cellStyle name="Percent 2 2 4 4 2 3" xfId="28409"/>
    <cellStyle name="Percent 2 2 4 4 2 3 2" xfId="28410"/>
    <cellStyle name="Percent 2 2 4 4 2 3 2 2" xfId="28411"/>
    <cellStyle name="Percent 2 2 4 4 2 3 3" xfId="28412"/>
    <cellStyle name="Percent 2 2 4 4 2 4" xfId="28413"/>
    <cellStyle name="Percent 2 2 4 4 2 4 2" xfId="28414"/>
    <cellStyle name="Percent 2 2 4 4 2 4 3" xfId="28415"/>
    <cellStyle name="Percent 2 2 4 4 2 5" xfId="28416"/>
    <cellStyle name="Percent 2 2 4 4 2 5 2" xfId="28417"/>
    <cellStyle name="Percent 2 2 4 4 2 6" xfId="28418"/>
    <cellStyle name="Percent 2 2 4 4 2 6 2" xfId="37209"/>
    <cellStyle name="Percent 2 2 4 4 2 7" xfId="28419"/>
    <cellStyle name="Percent 2 2 4 4 3" xfId="28420"/>
    <cellStyle name="Percent 2 2 4 4 3 2" xfId="28421"/>
    <cellStyle name="Percent 2 2 4 4 3 2 2" xfId="28422"/>
    <cellStyle name="Percent 2 2 4 4 3 2 2 2" xfId="28423"/>
    <cellStyle name="Percent 2 2 4 4 3 2 3" xfId="28424"/>
    <cellStyle name="Percent 2 2 4 4 3 3" xfId="28425"/>
    <cellStyle name="Percent 2 2 4 4 3 3 2" xfId="28426"/>
    <cellStyle name="Percent 2 2 4 4 3 4" xfId="28427"/>
    <cellStyle name="Percent 2 2 4 4 4" xfId="28428"/>
    <cellStyle name="Percent 2 2 4 4 4 2" xfId="28429"/>
    <cellStyle name="Percent 2 2 4 4 4 2 2" xfId="28430"/>
    <cellStyle name="Percent 2 2 4 4 4 3" xfId="28431"/>
    <cellStyle name="Percent 2 2 4 4 5" xfId="28432"/>
    <cellStyle name="Percent 2 2 4 4 5 2" xfId="28433"/>
    <cellStyle name="Percent 2 2 4 4 5 2 2" xfId="28434"/>
    <cellStyle name="Percent 2 2 4 4 5 3" xfId="28435"/>
    <cellStyle name="Percent 2 2 4 4 6" xfId="28436"/>
    <cellStyle name="Percent 2 2 4 4 6 2" xfId="28437"/>
    <cellStyle name="Percent 2 2 4 4 7" xfId="28438"/>
    <cellStyle name="Percent 2 2 4 4 7 2" xfId="37210"/>
    <cellStyle name="Percent 2 2 4 4 8" xfId="28439"/>
    <cellStyle name="Percent 2 2 4 5" xfId="28440"/>
    <cellStyle name="Percent 2 2 4 5 2" xfId="28441"/>
    <cellStyle name="Percent 2 2 4 5 2 2" xfId="28442"/>
    <cellStyle name="Percent 2 2 4 5 2 2 2" xfId="28443"/>
    <cellStyle name="Percent 2 2 4 5 2 2 2 2" xfId="28444"/>
    <cellStyle name="Percent 2 2 4 5 2 2 2 3" xfId="28445"/>
    <cellStyle name="Percent 2 2 4 5 2 2 3" xfId="28446"/>
    <cellStyle name="Percent 2 2 4 5 2 2 3 2" xfId="28447"/>
    <cellStyle name="Percent 2 2 4 5 2 2 4" xfId="28448"/>
    <cellStyle name="Percent 2 2 4 5 2 3" xfId="28449"/>
    <cellStyle name="Percent 2 2 4 5 2 3 2" xfId="28450"/>
    <cellStyle name="Percent 2 2 4 5 2 3 2 2" xfId="28451"/>
    <cellStyle name="Percent 2 2 4 5 2 3 3" xfId="28452"/>
    <cellStyle name="Percent 2 2 4 5 2 4" xfId="28453"/>
    <cellStyle name="Percent 2 2 4 5 2 4 2" xfId="28454"/>
    <cellStyle name="Percent 2 2 4 5 2 4 3" xfId="28455"/>
    <cellStyle name="Percent 2 2 4 5 2 5" xfId="28456"/>
    <cellStyle name="Percent 2 2 4 5 2 5 2" xfId="28457"/>
    <cellStyle name="Percent 2 2 4 5 2 6" xfId="28458"/>
    <cellStyle name="Percent 2 2 4 5 2 6 2" xfId="37211"/>
    <cellStyle name="Percent 2 2 4 5 2 7" xfId="28459"/>
    <cellStyle name="Percent 2 2 4 5 3" xfId="28460"/>
    <cellStyle name="Percent 2 2 4 5 3 2" xfId="28461"/>
    <cellStyle name="Percent 2 2 4 5 3 2 2" xfId="28462"/>
    <cellStyle name="Percent 2 2 4 5 3 2 2 2" xfId="28463"/>
    <cellStyle name="Percent 2 2 4 5 3 2 3" xfId="28464"/>
    <cellStyle name="Percent 2 2 4 5 3 3" xfId="28465"/>
    <cellStyle name="Percent 2 2 4 5 3 3 2" xfId="28466"/>
    <cellStyle name="Percent 2 2 4 5 3 4" xfId="28467"/>
    <cellStyle name="Percent 2 2 4 5 4" xfId="28468"/>
    <cellStyle name="Percent 2 2 4 5 4 2" xfId="28469"/>
    <cellStyle name="Percent 2 2 4 5 4 2 2" xfId="28470"/>
    <cellStyle name="Percent 2 2 4 5 4 3" xfId="28471"/>
    <cellStyle name="Percent 2 2 4 5 5" xfId="28472"/>
    <cellStyle name="Percent 2 2 4 5 5 2" xfId="28473"/>
    <cellStyle name="Percent 2 2 4 5 5 2 2" xfId="28474"/>
    <cellStyle name="Percent 2 2 4 5 5 3" xfId="28475"/>
    <cellStyle name="Percent 2 2 4 5 6" xfId="28476"/>
    <cellStyle name="Percent 2 2 4 5 6 2" xfId="28477"/>
    <cellStyle name="Percent 2 2 4 5 7" xfId="28478"/>
    <cellStyle name="Percent 2 2 4 5 7 2" xfId="37212"/>
    <cellStyle name="Percent 2 2 4 5 8" xfId="28479"/>
    <cellStyle name="Percent 2 2 4 6" xfId="28480"/>
    <cellStyle name="Percent 2 2 4 6 2" xfId="28481"/>
    <cellStyle name="Percent 2 2 4 6 2 2" xfId="28482"/>
    <cellStyle name="Percent 2 2 4 6 2 2 2" xfId="28483"/>
    <cellStyle name="Percent 2 2 4 6 2 2 3" xfId="28484"/>
    <cellStyle name="Percent 2 2 4 6 2 3" xfId="28485"/>
    <cellStyle name="Percent 2 2 4 6 2 3 2" xfId="28486"/>
    <cellStyle name="Percent 2 2 4 6 2 4" xfId="28487"/>
    <cellStyle name="Percent 2 2 4 6 3" xfId="28488"/>
    <cellStyle name="Percent 2 2 4 6 3 2" xfId="28489"/>
    <cellStyle name="Percent 2 2 4 6 3 2 2" xfId="28490"/>
    <cellStyle name="Percent 2 2 4 6 3 3" xfId="28491"/>
    <cellStyle name="Percent 2 2 4 6 4" xfId="28492"/>
    <cellStyle name="Percent 2 2 4 6 4 2" xfId="28493"/>
    <cellStyle name="Percent 2 2 4 6 4 3" xfId="28494"/>
    <cellStyle name="Percent 2 2 4 6 5" xfId="28495"/>
    <cellStyle name="Percent 2 2 4 6 5 2" xfId="28496"/>
    <cellStyle name="Percent 2 2 4 6 6" xfId="28497"/>
    <cellStyle name="Percent 2 2 4 6 6 2" xfId="37213"/>
    <cellStyle name="Percent 2 2 4 6 7" xfId="28498"/>
    <cellStyle name="Percent 2 2 4 7" xfId="28499"/>
    <cellStyle name="Percent 2 2 4 7 2" xfId="28500"/>
    <cellStyle name="Percent 2 2 4 7 2 2" xfId="28501"/>
    <cellStyle name="Percent 2 2 4 7 2 2 2" xfId="28502"/>
    <cellStyle name="Percent 2 2 4 7 2 3" xfId="28503"/>
    <cellStyle name="Percent 2 2 4 7 3" xfId="28504"/>
    <cellStyle name="Percent 2 2 4 7 3 2" xfId="28505"/>
    <cellStyle name="Percent 2 2 4 7 4" xfId="28506"/>
    <cellStyle name="Percent 2 2 4 8" xfId="28507"/>
    <cellStyle name="Percent 2 2 4 8 2" xfId="28508"/>
    <cellStyle name="Percent 2 2 4 8 2 2" xfId="28509"/>
    <cellStyle name="Percent 2 2 4 8 3" xfId="28510"/>
    <cellStyle name="Percent 2 2 4 9" xfId="28511"/>
    <cellStyle name="Percent 2 2 4 9 2" xfId="28512"/>
    <cellStyle name="Percent 2 2 4 9 2 2" xfId="28513"/>
    <cellStyle name="Percent 2 2 4 9 3" xfId="28514"/>
    <cellStyle name="Percent 2 2 5" xfId="28515"/>
    <cellStyle name="Percent 2 2 5 10" xfId="28516"/>
    <cellStyle name="Percent 2 2 5 10 2" xfId="28517"/>
    <cellStyle name="Percent 2 2 5 11" xfId="28518"/>
    <cellStyle name="Percent 2 2 5 11 2" xfId="37214"/>
    <cellStyle name="Percent 2 2 5 12" xfId="28519"/>
    <cellStyle name="Percent 2 2 5 2" xfId="28520"/>
    <cellStyle name="Percent 2 2 5 2 10" xfId="28521"/>
    <cellStyle name="Percent 2 2 5 2 2" xfId="28522"/>
    <cellStyle name="Percent 2 2 5 2 2 2" xfId="28523"/>
    <cellStyle name="Percent 2 2 5 2 2 2 2" xfId="28524"/>
    <cellStyle name="Percent 2 2 5 2 2 2 2 2" xfId="28525"/>
    <cellStyle name="Percent 2 2 5 2 2 2 2 2 2" xfId="28526"/>
    <cellStyle name="Percent 2 2 5 2 2 2 2 2 2 2" xfId="28527"/>
    <cellStyle name="Percent 2 2 5 2 2 2 2 2 2 3" xfId="28528"/>
    <cellStyle name="Percent 2 2 5 2 2 2 2 2 3" xfId="28529"/>
    <cellStyle name="Percent 2 2 5 2 2 2 2 2 3 2" xfId="28530"/>
    <cellStyle name="Percent 2 2 5 2 2 2 2 2 4" xfId="28531"/>
    <cellStyle name="Percent 2 2 5 2 2 2 2 3" xfId="28532"/>
    <cellStyle name="Percent 2 2 5 2 2 2 2 3 2" xfId="28533"/>
    <cellStyle name="Percent 2 2 5 2 2 2 2 3 2 2" xfId="28534"/>
    <cellStyle name="Percent 2 2 5 2 2 2 2 3 3" xfId="28535"/>
    <cellStyle name="Percent 2 2 5 2 2 2 2 4" xfId="28536"/>
    <cellStyle name="Percent 2 2 5 2 2 2 2 4 2" xfId="28537"/>
    <cellStyle name="Percent 2 2 5 2 2 2 2 4 3" xfId="28538"/>
    <cellStyle name="Percent 2 2 5 2 2 2 2 5" xfId="28539"/>
    <cellStyle name="Percent 2 2 5 2 2 2 2 5 2" xfId="28540"/>
    <cellStyle name="Percent 2 2 5 2 2 2 2 6" xfId="28541"/>
    <cellStyle name="Percent 2 2 5 2 2 2 2 6 2" xfId="37215"/>
    <cellStyle name="Percent 2 2 5 2 2 2 2 7" xfId="28542"/>
    <cellStyle name="Percent 2 2 5 2 2 2 3" xfId="28543"/>
    <cellStyle name="Percent 2 2 5 2 2 2 3 2" xfId="28544"/>
    <cellStyle name="Percent 2 2 5 2 2 2 3 2 2" xfId="28545"/>
    <cellStyle name="Percent 2 2 5 2 2 2 3 2 2 2" xfId="28546"/>
    <cellStyle name="Percent 2 2 5 2 2 2 3 2 3" xfId="28547"/>
    <cellStyle name="Percent 2 2 5 2 2 2 3 3" xfId="28548"/>
    <cellStyle name="Percent 2 2 5 2 2 2 3 3 2" xfId="28549"/>
    <cellStyle name="Percent 2 2 5 2 2 2 3 4" xfId="28550"/>
    <cellStyle name="Percent 2 2 5 2 2 2 4" xfId="28551"/>
    <cellStyle name="Percent 2 2 5 2 2 2 4 2" xfId="28552"/>
    <cellStyle name="Percent 2 2 5 2 2 2 4 2 2" xfId="28553"/>
    <cellStyle name="Percent 2 2 5 2 2 2 4 3" xfId="28554"/>
    <cellStyle name="Percent 2 2 5 2 2 2 5" xfId="28555"/>
    <cellStyle name="Percent 2 2 5 2 2 2 5 2" xfId="28556"/>
    <cellStyle name="Percent 2 2 5 2 2 2 5 2 2" xfId="28557"/>
    <cellStyle name="Percent 2 2 5 2 2 2 5 3" xfId="28558"/>
    <cellStyle name="Percent 2 2 5 2 2 2 6" xfId="28559"/>
    <cellStyle name="Percent 2 2 5 2 2 2 6 2" xfId="28560"/>
    <cellStyle name="Percent 2 2 5 2 2 2 7" xfId="28561"/>
    <cellStyle name="Percent 2 2 5 2 2 2 7 2" xfId="37216"/>
    <cellStyle name="Percent 2 2 5 2 2 2 8" xfId="28562"/>
    <cellStyle name="Percent 2 2 5 2 2 3" xfId="28563"/>
    <cellStyle name="Percent 2 2 5 2 2 3 2" xfId="28564"/>
    <cellStyle name="Percent 2 2 5 2 2 3 2 2" xfId="28565"/>
    <cellStyle name="Percent 2 2 5 2 2 3 2 2 2" xfId="28566"/>
    <cellStyle name="Percent 2 2 5 2 2 3 2 2 3" xfId="28567"/>
    <cellStyle name="Percent 2 2 5 2 2 3 2 3" xfId="28568"/>
    <cellStyle name="Percent 2 2 5 2 2 3 2 3 2" xfId="28569"/>
    <cellStyle name="Percent 2 2 5 2 2 3 2 4" xfId="28570"/>
    <cellStyle name="Percent 2 2 5 2 2 3 3" xfId="28571"/>
    <cellStyle name="Percent 2 2 5 2 2 3 3 2" xfId="28572"/>
    <cellStyle name="Percent 2 2 5 2 2 3 3 2 2" xfId="28573"/>
    <cellStyle name="Percent 2 2 5 2 2 3 3 3" xfId="28574"/>
    <cellStyle name="Percent 2 2 5 2 2 3 4" xfId="28575"/>
    <cellStyle name="Percent 2 2 5 2 2 3 4 2" xfId="28576"/>
    <cellStyle name="Percent 2 2 5 2 2 3 4 3" xfId="28577"/>
    <cellStyle name="Percent 2 2 5 2 2 3 5" xfId="28578"/>
    <cellStyle name="Percent 2 2 5 2 2 3 5 2" xfId="28579"/>
    <cellStyle name="Percent 2 2 5 2 2 3 6" xfId="28580"/>
    <cellStyle name="Percent 2 2 5 2 2 3 6 2" xfId="37217"/>
    <cellStyle name="Percent 2 2 5 2 2 3 7" xfId="28581"/>
    <cellStyle name="Percent 2 2 5 2 2 4" xfId="28582"/>
    <cellStyle name="Percent 2 2 5 2 2 4 2" xfId="28583"/>
    <cellStyle name="Percent 2 2 5 2 2 4 2 2" xfId="28584"/>
    <cellStyle name="Percent 2 2 5 2 2 4 2 2 2" xfId="28585"/>
    <cellStyle name="Percent 2 2 5 2 2 4 2 3" xfId="28586"/>
    <cellStyle name="Percent 2 2 5 2 2 4 3" xfId="28587"/>
    <cellStyle name="Percent 2 2 5 2 2 4 3 2" xfId="28588"/>
    <cellStyle name="Percent 2 2 5 2 2 4 4" xfId="28589"/>
    <cellStyle name="Percent 2 2 5 2 2 5" xfId="28590"/>
    <cellStyle name="Percent 2 2 5 2 2 5 2" xfId="28591"/>
    <cellStyle name="Percent 2 2 5 2 2 5 2 2" xfId="28592"/>
    <cellStyle name="Percent 2 2 5 2 2 5 3" xfId="28593"/>
    <cellStyle name="Percent 2 2 5 2 2 6" xfId="28594"/>
    <cellStyle name="Percent 2 2 5 2 2 6 2" xfId="28595"/>
    <cellStyle name="Percent 2 2 5 2 2 6 2 2" xfId="28596"/>
    <cellStyle name="Percent 2 2 5 2 2 6 3" xfId="28597"/>
    <cellStyle name="Percent 2 2 5 2 2 7" xfId="28598"/>
    <cellStyle name="Percent 2 2 5 2 2 7 2" xfId="28599"/>
    <cellStyle name="Percent 2 2 5 2 2 8" xfId="28600"/>
    <cellStyle name="Percent 2 2 5 2 2 8 2" xfId="37218"/>
    <cellStyle name="Percent 2 2 5 2 2 9" xfId="28601"/>
    <cellStyle name="Percent 2 2 5 2 3" xfId="28602"/>
    <cellStyle name="Percent 2 2 5 2 3 2" xfId="28603"/>
    <cellStyle name="Percent 2 2 5 2 3 2 2" xfId="28604"/>
    <cellStyle name="Percent 2 2 5 2 3 2 2 2" xfId="28605"/>
    <cellStyle name="Percent 2 2 5 2 3 2 2 2 2" xfId="28606"/>
    <cellStyle name="Percent 2 2 5 2 3 2 2 2 3" xfId="28607"/>
    <cellStyle name="Percent 2 2 5 2 3 2 2 3" xfId="28608"/>
    <cellStyle name="Percent 2 2 5 2 3 2 2 3 2" xfId="28609"/>
    <cellStyle name="Percent 2 2 5 2 3 2 2 4" xfId="28610"/>
    <cellStyle name="Percent 2 2 5 2 3 2 3" xfId="28611"/>
    <cellStyle name="Percent 2 2 5 2 3 2 3 2" xfId="28612"/>
    <cellStyle name="Percent 2 2 5 2 3 2 3 2 2" xfId="28613"/>
    <cellStyle name="Percent 2 2 5 2 3 2 3 3" xfId="28614"/>
    <cellStyle name="Percent 2 2 5 2 3 2 4" xfId="28615"/>
    <cellStyle name="Percent 2 2 5 2 3 2 4 2" xfId="28616"/>
    <cellStyle name="Percent 2 2 5 2 3 2 4 3" xfId="28617"/>
    <cellStyle name="Percent 2 2 5 2 3 2 5" xfId="28618"/>
    <cellStyle name="Percent 2 2 5 2 3 2 5 2" xfId="28619"/>
    <cellStyle name="Percent 2 2 5 2 3 2 6" xfId="28620"/>
    <cellStyle name="Percent 2 2 5 2 3 2 6 2" xfId="37219"/>
    <cellStyle name="Percent 2 2 5 2 3 2 7" xfId="28621"/>
    <cellStyle name="Percent 2 2 5 2 3 3" xfId="28622"/>
    <cellStyle name="Percent 2 2 5 2 3 3 2" xfId="28623"/>
    <cellStyle name="Percent 2 2 5 2 3 3 2 2" xfId="28624"/>
    <cellStyle name="Percent 2 2 5 2 3 3 2 2 2" xfId="28625"/>
    <cellStyle name="Percent 2 2 5 2 3 3 2 3" xfId="28626"/>
    <cellStyle name="Percent 2 2 5 2 3 3 3" xfId="28627"/>
    <cellStyle name="Percent 2 2 5 2 3 3 3 2" xfId="28628"/>
    <cellStyle name="Percent 2 2 5 2 3 3 4" xfId="28629"/>
    <cellStyle name="Percent 2 2 5 2 3 4" xfId="28630"/>
    <cellStyle name="Percent 2 2 5 2 3 4 2" xfId="28631"/>
    <cellStyle name="Percent 2 2 5 2 3 4 2 2" xfId="28632"/>
    <cellStyle name="Percent 2 2 5 2 3 4 3" xfId="28633"/>
    <cellStyle name="Percent 2 2 5 2 3 5" xfId="28634"/>
    <cellStyle name="Percent 2 2 5 2 3 5 2" xfId="28635"/>
    <cellStyle name="Percent 2 2 5 2 3 5 2 2" xfId="28636"/>
    <cellStyle name="Percent 2 2 5 2 3 5 3" xfId="28637"/>
    <cellStyle name="Percent 2 2 5 2 3 6" xfId="28638"/>
    <cellStyle name="Percent 2 2 5 2 3 6 2" xfId="28639"/>
    <cellStyle name="Percent 2 2 5 2 3 7" xfId="28640"/>
    <cellStyle name="Percent 2 2 5 2 3 7 2" xfId="37220"/>
    <cellStyle name="Percent 2 2 5 2 3 8" xfId="28641"/>
    <cellStyle name="Percent 2 2 5 2 4" xfId="28642"/>
    <cellStyle name="Percent 2 2 5 2 4 2" xfId="28643"/>
    <cellStyle name="Percent 2 2 5 2 4 2 2" xfId="28644"/>
    <cellStyle name="Percent 2 2 5 2 4 2 2 2" xfId="28645"/>
    <cellStyle name="Percent 2 2 5 2 4 2 2 3" xfId="28646"/>
    <cellStyle name="Percent 2 2 5 2 4 2 3" xfId="28647"/>
    <cellStyle name="Percent 2 2 5 2 4 2 3 2" xfId="28648"/>
    <cellStyle name="Percent 2 2 5 2 4 2 4" xfId="28649"/>
    <cellStyle name="Percent 2 2 5 2 4 3" xfId="28650"/>
    <cellStyle name="Percent 2 2 5 2 4 3 2" xfId="28651"/>
    <cellStyle name="Percent 2 2 5 2 4 3 2 2" xfId="28652"/>
    <cellStyle name="Percent 2 2 5 2 4 3 3" xfId="28653"/>
    <cellStyle name="Percent 2 2 5 2 4 4" xfId="28654"/>
    <cellStyle name="Percent 2 2 5 2 4 4 2" xfId="28655"/>
    <cellStyle name="Percent 2 2 5 2 4 4 3" xfId="28656"/>
    <cellStyle name="Percent 2 2 5 2 4 5" xfId="28657"/>
    <cellStyle name="Percent 2 2 5 2 4 5 2" xfId="28658"/>
    <cellStyle name="Percent 2 2 5 2 4 6" xfId="28659"/>
    <cellStyle name="Percent 2 2 5 2 4 6 2" xfId="37221"/>
    <cellStyle name="Percent 2 2 5 2 4 7" xfId="28660"/>
    <cellStyle name="Percent 2 2 5 2 5" xfId="28661"/>
    <cellStyle name="Percent 2 2 5 2 5 2" xfId="28662"/>
    <cellStyle name="Percent 2 2 5 2 5 2 2" xfId="28663"/>
    <cellStyle name="Percent 2 2 5 2 5 2 2 2" xfId="28664"/>
    <cellStyle name="Percent 2 2 5 2 5 2 3" xfId="28665"/>
    <cellStyle name="Percent 2 2 5 2 5 3" xfId="28666"/>
    <cellStyle name="Percent 2 2 5 2 5 3 2" xfId="28667"/>
    <cellStyle name="Percent 2 2 5 2 5 4" xfId="28668"/>
    <cellStyle name="Percent 2 2 5 2 6" xfId="28669"/>
    <cellStyle name="Percent 2 2 5 2 6 2" xfId="28670"/>
    <cellStyle name="Percent 2 2 5 2 6 2 2" xfId="28671"/>
    <cellStyle name="Percent 2 2 5 2 6 3" xfId="28672"/>
    <cellStyle name="Percent 2 2 5 2 7" xfId="28673"/>
    <cellStyle name="Percent 2 2 5 2 7 2" xfId="28674"/>
    <cellStyle name="Percent 2 2 5 2 7 2 2" xfId="28675"/>
    <cellStyle name="Percent 2 2 5 2 7 3" xfId="28676"/>
    <cellStyle name="Percent 2 2 5 2 8" xfId="28677"/>
    <cellStyle name="Percent 2 2 5 2 8 2" xfId="28678"/>
    <cellStyle name="Percent 2 2 5 2 9" xfId="28679"/>
    <cellStyle name="Percent 2 2 5 2 9 2" xfId="37222"/>
    <cellStyle name="Percent 2 2 5 3" xfId="28680"/>
    <cellStyle name="Percent 2 2 5 3 2" xfId="28681"/>
    <cellStyle name="Percent 2 2 5 3 2 2" xfId="28682"/>
    <cellStyle name="Percent 2 2 5 3 2 2 2" xfId="28683"/>
    <cellStyle name="Percent 2 2 5 3 2 2 2 2" xfId="28684"/>
    <cellStyle name="Percent 2 2 5 3 2 2 2 2 2" xfId="28685"/>
    <cellStyle name="Percent 2 2 5 3 2 2 2 2 3" xfId="28686"/>
    <cellStyle name="Percent 2 2 5 3 2 2 2 3" xfId="28687"/>
    <cellStyle name="Percent 2 2 5 3 2 2 2 3 2" xfId="28688"/>
    <cellStyle name="Percent 2 2 5 3 2 2 2 4" xfId="28689"/>
    <cellStyle name="Percent 2 2 5 3 2 2 3" xfId="28690"/>
    <cellStyle name="Percent 2 2 5 3 2 2 3 2" xfId="28691"/>
    <cellStyle name="Percent 2 2 5 3 2 2 3 2 2" xfId="28692"/>
    <cellStyle name="Percent 2 2 5 3 2 2 3 3" xfId="28693"/>
    <cellStyle name="Percent 2 2 5 3 2 2 4" xfId="28694"/>
    <cellStyle name="Percent 2 2 5 3 2 2 4 2" xfId="28695"/>
    <cellStyle name="Percent 2 2 5 3 2 2 4 3" xfId="28696"/>
    <cellStyle name="Percent 2 2 5 3 2 2 5" xfId="28697"/>
    <cellStyle name="Percent 2 2 5 3 2 2 5 2" xfId="28698"/>
    <cellStyle name="Percent 2 2 5 3 2 2 6" xfId="28699"/>
    <cellStyle name="Percent 2 2 5 3 2 2 6 2" xfId="37223"/>
    <cellStyle name="Percent 2 2 5 3 2 2 7" xfId="28700"/>
    <cellStyle name="Percent 2 2 5 3 2 3" xfId="28701"/>
    <cellStyle name="Percent 2 2 5 3 2 3 2" xfId="28702"/>
    <cellStyle name="Percent 2 2 5 3 2 3 2 2" xfId="28703"/>
    <cellStyle name="Percent 2 2 5 3 2 3 2 2 2" xfId="28704"/>
    <cellStyle name="Percent 2 2 5 3 2 3 2 3" xfId="28705"/>
    <cellStyle name="Percent 2 2 5 3 2 3 3" xfId="28706"/>
    <cellStyle name="Percent 2 2 5 3 2 3 3 2" xfId="28707"/>
    <cellStyle name="Percent 2 2 5 3 2 3 4" xfId="28708"/>
    <cellStyle name="Percent 2 2 5 3 2 4" xfId="28709"/>
    <cellStyle name="Percent 2 2 5 3 2 4 2" xfId="28710"/>
    <cellStyle name="Percent 2 2 5 3 2 4 2 2" xfId="28711"/>
    <cellStyle name="Percent 2 2 5 3 2 4 3" xfId="28712"/>
    <cellStyle name="Percent 2 2 5 3 2 5" xfId="28713"/>
    <cellStyle name="Percent 2 2 5 3 2 5 2" xfId="28714"/>
    <cellStyle name="Percent 2 2 5 3 2 5 2 2" xfId="28715"/>
    <cellStyle name="Percent 2 2 5 3 2 5 3" xfId="28716"/>
    <cellStyle name="Percent 2 2 5 3 2 6" xfId="28717"/>
    <cellStyle name="Percent 2 2 5 3 2 6 2" xfId="28718"/>
    <cellStyle name="Percent 2 2 5 3 2 7" xfId="28719"/>
    <cellStyle name="Percent 2 2 5 3 2 7 2" xfId="37224"/>
    <cellStyle name="Percent 2 2 5 3 2 8" xfId="28720"/>
    <cellStyle name="Percent 2 2 5 3 3" xfId="28721"/>
    <cellStyle name="Percent 2 2 5 3 3 2" xfId="28722"/>
    <cellStyle name="Percent 2 2 5 3 3 2 2" xfId="28723"/>
    <cellStyle name="Percent 2 2 5 3 3 2 2 2" xfId="28724"/>
    <cellStyle name="Percent 2 2 5 3 3 2 2 3" xfId="28725"/>
    <cellStyle name="Percent 2 2 5 3 3 2 3" xfId="28726"/>
    <cellStyle name="Percent 2 2 5 3 3 2 3 2" xfId="28727"/>
    <cellStyle name="Percent 2 2 5 3 3 2 4" xfId="28728"/>
    <cellStyle name="Percent 2 2 5 3 3 3" xfId="28729"/>
    <cellStyle name="Percent 2 2 5 3 3 3 2" xfId="28730"/>
    <cellStyle name="Percent 2 2 5 3 3 3 2 2" xfId="28731"/>
    <cellStyle name="Percent 2 2 5 3 3 3 3" xfId="28732"/>
    <cellStyle name="Percent 2 2 5 3 3 4" xfId="28733"/>
    <cellStyle name="Percent 2 2 5 3 3 4 2" xfId="28734"/>
    <cellStyle name="Percent 2 2 5 3 3 4 3" xfId="28735"/>
    <cellStyle name="Percent 2 2 5 3 3 5" xfId="28736"/>
    <cellStyle name="Percent 2 2 5 3 3 5 2" xfId="28737"/>
    <cellStyle name="Percent 2 2 5 3 3 6" xfId="28738"/>
    <cellStyle name="Percent 2 2 5 3 3 6 2" xfId="37225"/>
    <cellStyle name="Percent 2 2 5 3 3 7" xfId="28739"/>
    <cellStyle name="Percent 2 2 5 3 4" xfId="28740"/>
    <cellStyle name="Percent 2 2 5 3 4 2" xfId="28741"/>
    <cellStyle name="Percent 2 2 5 3 4 2 2" xfId="28742"/>
    <cellStyle name="Percent 2 2 5 3 4 2 2 2" xfId="28743"/>
    <cellStyle name="Percent 2 2 5 3 4 2 3" xfId="28744"/>
    <cellStyle name="Percent 2 2 5 3 4 3" xfId="28745"/>
    <cellStyle name="Percent 2 2 5 3 4 3 2" xfId="28746"/>
    <cellStyle name="Percent 2 2 5 3 4 4" xfId="28747"/>
    <cellStyle name="Percent 2 2 5 3 5" xfId="28748"/>
    <cellStyle name="Percent 2 2 5 3 5 2" xfId="28749"/>
    <cellStyle name="Percent 2 2 5 3 5 2 2" xfId="28750"/>
    <cellStyle name="Percent 2 2 5 3 5 3" xfId="28751"/>
    <cellStyle name="Percent 2 2 5 3 6" xfId="28752"/>
    <cellStyle name="Percent 2 2 5 3 6 2" xfId="28753"/>
    <cellStyle name="Percent 2 2 5 3 6 2 2" xfId="28754"/>
    <cellStyle name="Percent 2 2 5 3 6 3" xfId="28755"/>
    <cellStyle name="Percent 2 2 5 3 7" xfId="28756"/>
    <cellStyle name="Percent 2 2 5 3 7 2" xfId="28757"/>
    <cellStyle name="Percent 2 2 5 3 8" xfId="28758"/>
    <cellStyle name="Percent 2 2 5 3 8 2" xfId="37226"/>
    <cellStyle name="Percent 2 2 5 3 9" xfId="28759"/>
    <cellStyle name="Percent 2 2 5 4" xfId="28760"/>
    <cellStyle name="Percent 2 2 5 4 2" xfId="28761"/>
    <cellStyle name="Percent 2 2 5 4 2 2" xfId="28762"/>
    <cellStyle name="Percent 2 2 5 4 2 2 2" xfId="28763"/>
    <cellStyle name="Percent 2 2 5 4 2 2 2 2" xfId="28764"/>
    <cellStyle name="Percent 2 2 5 4 2 2 2 3" xfId="28765"/>
    <cellStyle name="Percent 2 2 5 4 2 2 3" xfId="28766"/>
    <cellStyle name="Percent 2 2 5 4 2 2 3 2" xfId="28767"/>
    <cellStyle name="Percent 2 2 5 4 2 2 4" xfId="28768"/>
    <cellStyle name="Percent 2 2 5 4 2 3" xfId="28769"/>
    <cellStyle name="Percent 2 2 5 4 2 3 2" xfId="28770"/>
    <cellStyle name="Percent 2 2 5 4 2 3 2 2" xfId="28771"/>
    <cellStyle name="Percent 2 2 5 4 2 3 3" xfId="28772"/>
    <cellStyle name="Percent 2 2 5 4 2 4" xfId="28773"/>
    <cellStyle name="Percent 2 2 5 4 2 4 2" xfId="28774"/>
    <cellStyle name="Percent 2 2 5 4 2 4 3" xfId="28775"/>
    <cellStyle name="Percent 2 2 5 4 2 5" xfId="28776"/>
    <cellStyle name="Percent 2 2 5 4 2 5 2" xfId="28777"/>
    <cellStyle name="Percent 2 2 5 4 2 6" xfId="28778"/>
    <cellStyle name="Percent 2 2 5 4 2 6 2" xfId="37227"/>
    <cellStyle name="Percent 2 2 5 4 2 7" xfId="28779"/>
    <cellStyle name="Percent 2 2 5 4 3" xfId="28780"/>
    <cellStyle name="Percent 2 2 5 4 3 2" xfId="28781"/>
    <cellStyle name="Percent 2 2 5 4 3 2 2" xfId="28782"/>
    <cellStyle name="Percent 2 2 5 4 3 2 2 2" xfId="28783"/>
    <cellStyle name="Percent 2 2 5 4 3 2 3" xfId="28784"/>
    <cellStyle name="Percent 2 2 5 4 3 3" xfId="28785"/>
    <cellStyle name="Percent 2 2 5 4 3 3 2" xfId="28786"/>
    <cellStyle name="Percent 2 2 5 4 3 4" xfId="28787"/>
    <cellStyle name="Percent 2 2 5 4 4" xfId="28788"/>
    <cellStyle name="Percent 2 2 5 4 4 2" xfId="28789"/>
    <cellStyle name="Percent 2 2 5 4 4 2 2" xfId="28790"/>
    <cellStyle name="Percent 2 2 5 4 4 3" xfId="28791"/>
    <cellStyle name="Percent 2 2 5 4 5" xfId="28792"/>
    <cellStyle name="Percent 2 2 5 4 5 2" xfId="28793"/>
    <cellStyle name="Percent 2 2 5 4 5 2 2" xfId="28794"/>
    <cellStyle name="Percent 2 2 5 4 5 3" xfId="28795"/>
    <cellStyle name="Percent 2 2 5 4 6" xfId="28796"/>
    <cellStyle name="Percent 2 2 5 4 6 2" xfId="28797"/>
    <cellStyle name="Percent 2 2 5 4 7" xfId="28798"/>
    <cellStyle name="Percent 2 2 5 4 7 2" xfId="37228"/>
    <cellStyle name="Percent 2 2 5 4 8" xfId="28799"/>
    <cellStyle name="Percent 2 2 5 5" xfId="28800"/>
    <cellStyle name="Percent 2 2 5 5 2" xfId="28801"/>
    <cellStyle name="Percent 2 2 5 5 2 2" xfId="28802"/>
    <cellStyle name="Percent 2 2 5 5 2 2 2" xfId="28803"/>
    <cellStyle name="Percent 2 2 5 5 2 2 2 2" xfId="28804"/>
    <cellStyle name="Percent 2 2 5 5 2 2 2 3" xfId="28805"/>
    <cellStyle name="Percent 2 2 5 5 2 2 3" xfId="28806"/>
    <cellStyle name="Percent 2 2 5 5 2 2 3 2" xfId="28807"/>
    <cellStyle name="Percent 2 2 5 5 2 2 4" xfId="28808"/>
    <cellStyle name="Percent 2 2 5 5 2 3" xfId="28809"/>
    <cellStyle name="Percent 2 2 5 5 2 3 2" xfId="28810"/>
    <cellStyle name="Percent 2 2 5 5 2 3 2 2" xfId="28811"/>
    <cellStyle name="Percent 2 2 5 5 2 3 3" xfId="28812"/>
    <cellStyle name="Percent 2 2 5 5 2 4" xfId="28813"/>
    <cellStyle name="Percent 2 2 5 5 2 4 2" xfId="28814"/>
    <cellStyle name="Percent 2 2 5 5 2 4 3" xfId="28815"/>
    <cellStyle name="Percent 2 2 5 5 2 5" xfId="28816"/>
    <cellStyle name="Percent 2 2 5 5 2 5 2" xfId="28817"/>
    <cellStyle name="Percent 2 2 5 5 2 6" xfId="28818"/>
    <cellStyle name="Percent 2 2 5 5 2 6 2" xfId="37229"/>
    <cellStyle name="Percent 2 2 5 5 2 7" xfId="28819"/>
    <cellStyle name="Percent 2 2 5 5 3" xfId="28820"/>
    <cellStyle name="Percent 2 2 5 5 3 2" xfId="28821"/>
    <cellStyle name="Percent 2 2 5 5 3 2 2" xfId="28822"/>
    <cellStyle name="Percent 2 2 5 5 3 2 2 2" xfId="28823"/>
    <cellStyle name="Percent 2 2 5 5 3 2 3" xfId="28824"/>
    <cellStyle name="Percent 2 2 5 5 3 3" xfId="28825"/>
    <cellStyle name="Percent 2 2 5 5 3 3 2" xfId="28826"/>
    <cellStyle name="Percent 2 2 5 5 3 4" xfId="28827"/>
    <cellStyle name="Percent 2 2 5 5 4" xfId="28828"/>
    <cellStyle name="Percent 2 2 5 5 4 2" xfId="28829"/>
    <cellStyle name="Percent 2 2 5 5 4 2 2" xfId="28830"/>
    <cellStyle name="Percent 2 2 5 5 4 3" xfId="28831"/>
    <cellStyle name="Percent 2 2 5 5 5" xfId="28832"/>
    <cellStyle name="Percent 2 2 5 5 5 2" xfId="28833"/>
    <cellStyle name="Percent 2 2 5 5 5 2 2" xfId="28834"/>
    <cellStyle name="Percent 2 2 5 5 5 3" xfId="28835"/>
    <cellStyle name="Percent 2 2 5 5 6" xfId="28836"/>
    <cellStyle name="Percent 2 2 5 5 6 2" xfId="28837"/>
    <cellStyle name="Percent 2 2 5 5 7" xfId="28838"/>
    <cellStyle name="Percent 2 2 5 5 7 2" xfId="37230"/>
    <cellStyle name="Percent 2 2 5 5 8" xfId="28839"/>
    <cellStyle name="Percent 2 2 5 6" xfId="28840"/>
    <cellStyle name="Percent 2 2 5 6 2" xfId="28841"/>
    <cellStyle name="Percent 2 2 5 6 2 2" xfId="28842"/>
    <cellStyle name="Percent 2 2 5 6 2 2 2" xfId="28843"/>
    <cellStyle name="Percent 2 2 5 6 2 2 3" xfId="28844"/>
    <cellStyle name="Percent 2 2 5 6 2 3" xfId="28845"/>
    <cellStyle name="Percent 2 2 5 6 2 3 2" xfId="28846"/>
    <cellStyle name="Percent 2 2 5 6 2 4" xfId="28847"/>
    <cellStyle name="Percent 2 2 5 6 3" xfId="28848"/>
    <cellStyle name="Percent 2 2 5 6 3 2" xfId="28849"/>
    <cellStyle name="Percent 2 2 5 6 3 2 2" xfId="28850"/>
    <cellStyle name="Percent 2 2 5 6 3 3" xfId="28851"/>
    <cellStyle name="Percent 2 2 5 6 4" xfId="28852"/>
    <cellStyle name="Percent 2 2 5 6 4 2" xfId="28853"/>
    <cellStyle name="Percent 2 2 5 6 4 3" xfId="28854"/>
    <cellStyle name="Percent 2 2 5 6 5" xfId="28855"/>
    <cellStyle name="Percent 2 2 5 6 5 2" xfId="28856"/>
    <cellStyle name="Percent 2 2 5 6 6" xfId="28857"/>
    <cellStyle name="Percent 2 2 5 6 6 2" xfId="37231"/>
    <cellStyle name="Percent 2 2 5 6 7" xfId="28858"/>
    <cellStyle name="Percent 2 2 5 7" xfId="28859"/>
    <cellStyle name="Percent 2 2 5 7 2" xfId="28860"/>
    <cellStyle name="Percent 2 2 5 7 2 2" xfId="28861"/>
    <cellStyle name="Percent 2 2 5 7 2 2 2" xfId="28862"/>
    <cellStyle name="Percent 2 2 5 7 2 3" xfId="28863"/>
    <cellStyle name="Percent 2 2 5 7 3" xfId="28864"/>
    <cellStyle name="Percent 2 2 5 7 3 2" xfId="28865"/>
    <cellStyle name="Percent 2 2 5 7 4" xfId="28866"/>
    <cellStyle name="Percent 2 2 5 8" xfId="28867"/>
    <cellStyle name="Percent 2 2 5 8 2" xfId="28868"/>
    <cellStyle name="Percent 2 2 5 8 2 2" xfId="28869"/>
    <cellStyle name="Percent 2 2 5 8 3" xfId="28870"/>
    <cellStyle name="Percent 2 2 5 9" xfId="28871"/>
    <cellStyle name="Percent 2 2 5 9 2" xfId="28872"/>
    <cellStyle name="Percent 2 2 5 9 2 2" xfId="28873"/>
    <cellStyle name="Percent 2 2 5 9 3" xfId="28874"/>
    <cellStyle name="Percent 2 2 6" xfId="28875"/>
    <cellStyle name="Percent 2 2 6 10" xfId="28876"/>
    <cellStyle name="Percent 2 2 6 2" xfId="28877"/>
    <cellStyle name="Percent 2 2 6 2 2" xfId="28878"/>
    <cellStyle name="Percent 2 2 6 2 2 2" xfId="28879"/>
    <cellStyle name="Percent 2 2 6 2 2 2 2" xfId="28880"/>
    <cellStyle name="Percent 2 2 6 2 2 2 2 2" xfId="28881"/>
    <cellStyle name="Percent 2 2 6 2 2 2 2 2 2" xfId="28882"/>
    <cellStyle name="Percent 2 2 6 2 2 2 2 2 3" xfId="28883"/>
    <cellStyle name="Percent 2 2 6 2 2 2 2 3" xfId="28884"/>
    <cellStyle name="Percent 2 2 6 2 2 2 2 3 2" xfId="28885"/>
    <cellStyle name="Percent 2 2 6 2 2 2 2 4" xfId="28886"/>
    <cellStyle name="Percent 2 2 6 2 2 2 3" xfId="28887"/>
    <cellStyle name="Percent 2 2 6 2 2 2 3 2" xfId="28888"/>
    <cellStyle name="Percent 2 2 6 2 2 2 3 2 2" xfId="28889"/>
    <cellStyle name="Percent 2 2 6 2 2 2 3 3" xfId="28890"/>
    <cellStyle name="Percent 2 2 6 2 2 2 4" xfId="28891"/>
    <cellStyle name="Percent 2 2 6 2 2 2 4 2" xfId="28892"/>
    <cellStyle name="Percent 2 2 6 2 2 2 4 3" xfId="28893"/>
    <cellStyle name="Percent 2 2 6 2 2 2 5" xfId="28894"/>
    <cellStyle name="Percent 2 2 6 2 2 2 5 2" xfId="28895"/>
    <cellStyle name="Percent 2 2 6 2 2 2 6" xfId="28896"/>
    <cellStyle name="Percent 2 2 6 2 2 2 6 2" xfId="37232"/>
    <cellStyle name="Percent 2 2 6 2 2 2 7" xfId="28897"/>
    <cellStyle name="Percent 2 2 6 2 2 3" xfId="28898"/>
    <cellStyle name="Percent 2 2 6 2 2 3 2" xfId="28899"/>
    <cellStyle name="Percent 2 2 6 2 2 3 2 2" xfId="28900"/>
    <cellStyle name="Percent 2 2 6 2 2 3 2 2 2" xfId="28901"/>
    <cellStyle name="Percent 2 2 6 2 2 3 2 3" xfId="28902"/>
    <cellStyle name="Percent 2 2 6 2 2 3 3" xfId="28903"/>
    <cellStyle name="Percent 2 2 6 2 2 3 3 2" xfId="28904"/>
    <cellStyle name="Percent 2 2 6 2 2 3 4" xfId="28905"/>
    <cellStyle name="Percent 2 2 6 2 2 4" xfId="28906"/>
    <cellStyle name="Percent 2 2 6 2 2 4 2" xfId="28907"/>
    <cellStyle name="Percent 2 2 6 2 2 4 2 2" xfId="28908"/>
    <cellStyle name="Percent 2 2 6 2 2 4 3" xfId="28909"/>
    <cellStyle name="Percent 2 2 6 2 2 5" xfId="28910"/>
    <cellStyle name="Percent 2 2 6 2 2 5 2" xfId="28911"/>
    <cellStyle name="Percent 2 2 6 2 2 5 2 2" xfId="28912"/>
    <cellStyle name="Percent 2 2 6 2 2 5 3" xfId="28913"/>
    <cellStyle name="Percent 2 2 6 2 2 6" xfId="28914"/>
    <cellStyle name="Percent 2 2 6 2 2 6 2" xfId="28915"/>
    <cellStyle name="Percent 2 2 6 2 2 7" xfId="28916"/>
    <cellStyle name="Percent 2 2 6 2 2 7 2" xfId="37233"/>
    <cellStyle name="Percent 2 2 6 2 2 8" xfId="28917"/>
    <cellStyle name="Percent 2 2 6 2 3" xfId="28918"/>
    <cellStyle name="Percent 2 2 6 2 3 2" xfId="28919"/>
    <cellStyle name="Percent 2 2 6 2 3 2 2" xfId="28920"/>
    <cellStyle name="Percent 2 2 6 2 3 2 2 2" xfId="28921"/>
    <cellStyle name="Percent 2 2 6 2 3 2 2 3" xfId="28922"/>
    <cellStyle name="Percent 2 2 6 2 3 2 3" xfId="28923"/>
    <cellStyle name="Percent 2 2 6 2 3 2 3 2" xfId="28924"/>
    <cellStyle name="Percent 2 2 6 2 3 2 4" xfId="28925"/>
    <cellStyle name="Percent 2 2 6 2 3 3" xfId="28926"/>
    <cellStyle name="Percent 2 2 6 2 3 3 2" xfId="28927"/>
    <cellStyle name="Percent 2 2 6 2 3 3 2 2" xfId="28928"/>
    <cellStyle name="Percent 2 2 6 2 3 3 3" xfId="28929"/>
    <cellStyle name="Percent 2 2 6 2 3 4" xfId="28930"/>
    <cellStyle name="Percent 2 2 6 2 3 4 2" xfId="28931"/>
    <cellStyle name="Percent 2 2 6 2 3 4 3" xfId="28932"/>
    <cellStyle name="Percent 2 2 6 2 3 5" xfId="28933"/>
    <cellStyle name="Percent 2 2 6 2 3 5 2" xfId="28934"/>
    <cellStyle name="Percent 2 2 6 2 3 6" xfId="28935"/>
    <cellStyle name="Percent 2 2 6 2 3 6 2" xfId="37234"/>
    <cellStyle name="Percent 2 2 6 2 3 7" xfId="28936"/>
    <cellStyle name="Percent 2 2 6 2 4" xfId="28937"/>
    <cellStyle name="Percent 2 2 6 2 4 2" xfId="28938"/>
    <cellStyle name="Percent 2 2 6 2 4 2 2" xfId="28939"/>
    <cellStyle name="Percent 2 2 6 2 4 2 2 2" xfId="28940"/>
    <cellStyle name="Percent 2 2 6 2 4 2 3" xfId="28941"/>
    <cellStyle name="Percent 2 2 6 2 4 3" xfId="28942"/>
    <cellStyle name="Percent 2 2 6 2 4 3 2" xfId="28943"/>
    <cellStyle name="Percent 2 2 6 2 4 4" xfId="28944"/>
    <cellStyle name="Percent 2 2 6 2 5" xfId="28945"/>
    <cellStyle name="Percent 2 2 6 2 5 2" xfId="28946"/>
    <cellStyle name="Percent 2 2 6 2 5 2 2" xfId="28947"/>
    <cellStyle name="Percent 2 2 6 2 5 3" xfId="28948"/>
    <cellStyle name="Percent 2 2 6 2 6" xfId="28949"/>
    <cellStyle name="Percent 2 2 6 2 6 2" xfId="28950"/>
    <cellStyle name="Percent 2 2 6 2 6 2 2" xfId="28951"/>
    <cellStyle name="Percent 2 2 6 2 6 3" xfId="28952"/>
    <cellStyle name="Percent 2 2 6 2 7" xfId="28953"/>
    <cellStyle name="Percent 2 2 6 2 7 2" xfId="28954"/>
    <cellStyle name="Percent 2 2 6 2 8" xfId="28955"/>
    <cellStyle name="Percent 2 2 6 2 8 2" xfId="37235"/>
    <cellStyle name="Percent 2 2 6 2 9" xfId="28956"/>
    <cellStyle name="Percent 2 2 6 3" xfId="28957"/>
    <cellStyle name="Percent 2 2 6 3 2" xfId="28958"/>
    <cellStyle name="Percent 2 2 6 3 2 2" xfId="28959"/>
    <cellStyle name="Percent 2 2 6 3 2 2 2" xfId="28960"/>
    <cellStyle name="Percent 2 2 6 3 2 2 2 2" xfId="28961"/>
    <cellStyle name="Percent 2 2 6 3 2 2 2 3" xfId="28962"/>
    <cellStyle name="Percent 2 2 6 3 2 2 3" xfId="28963"/>
    <cellStyle name="Percent 2 2 6 3 2 2 3 2" xfId="28964"/>
    <cellStyle name="Percent 2 2 6 3 2 2 4" xfId="28965"/>
    <cellStyle name="Percent 2 2 6 3 2 3" xfId="28966"/>
    <cellStyle name="Percent 2 2 6 3 2 3 2" xfId="28967"/>
    <cellStyle name="Percent 2 2 6 3 2 3 2 2" xfId="28968"/>
    <cellStyle name="Percent 2 2 6 3 2 3 3" xfId="28969"/>
    <cellStyle name="Percent 2 2 6 3 2 4" xfId="28970"/>
    <cellStyle name="Percent 2 2 6 3 2 4 2" xfId="28971"/>
    <cellStyle name="Percent 2 2 6 3 2 4 3" xfId="28972"/>
    <cellStyle name="Percent 2 2 6 3 2 5" xfId="28973"/>
    <cellStyle name="Percent 2 2 6 3 2 5 2" xfId="28974"/>
    <cellStyle name="Percent 2 2 6 3 2 6" xfId="28975"/>
    <cellStyle name="Percent 2 2 6 3 2 6 2" xfId="37236"/>
    <cellStyle name="Percent 2 2 6 3 2 7" xfId="28976"/>
    <cellStyle name="Percent 2 2 6 3 3" xfId="28977"/>
    <cellStyle name="Percent 2 2 6 3 3 2" xfId="28978"/>
    <cellStyle name="Percent 2 2 6 3 3 2 2" xfId="28979"/>
    <cellStyle name="Percent 2 2 6 3 3 2 2 2" xfId="28980"/>
    <cellStyle name="Percent 2 2 6 3 3 2 3" xfId="28981"/>
    <cellStyle name="Percent 2 2 6 3 3 3" xfId="28982"/>
    <cellStyle name="Percent 2 2 6 3 3 3 2" xfId="28983"/>
    <cellStyle name="Percent 2 2 6 3 3 4" xfId="28984"/>
    <cellStyle name="Percent 2 2 6 3 4" xfId="28985"/>
    <cellStyle name="Percent 2 2 6 3 4 2" xfId="28986"/>
    <cellStyle name="Percent 2 2 6 3 4 2 2" xfId="28987"/>
    <cellStyle name="Percent 2 2 6 3 4 3" xfId="28988"/>
    <cellStyle name="Percent 2 2 6 3 5" xfId="28989"/>
    <cellStyle name="Percent 2 2 6 3 5 2" xfId="28990"/>
    <cellStyle name="Percent 2 2 6 3 5 2 2" xfId="28991"/>
    <cellStyle name="Percent 2 2 6 3 5 3" xfId="28992"/>
    <cellStyle name="Percent 2 2 6 3 6" xfId="28993"/>
    <cellStyle name="Percent 2 2 6 3 6 2" xfId="28994"/>
    <cellStyle name="Percent 2 2 6 3 7" xfId="28995"/>
    <cellStyle name="Percent 2 2 6 3 7 2" xfId="37237"/>
    <cellStyle name="Percent 2 2 6 3 8" xfId="28996"/>
    <cellStyle name="Percent 2 2 6 4" xfId="28997"/>
    <cellStyle name="Percent 2 2 6 4 2" xfId="28998"/>
    <cellStyle name="Percent 2 2 6 4 2 2" xfId="28999"/>
    <cellStyle name="Percent 2 2 6 4 2 2 2" xfId="29000"/>
    <cellStyle name="Percent 2 2 6 4 2 2 3" xfId="29001"/>
    <cellStyle name="Percent 2 2 6 4 2 3" xfId="29002"/>
    <cellStyle name="Percent 2 2 6 4 2 3 2" xfId="29003"/>
    <cellStyle name="Percent 2 2 6 4 2 4" xfId="29004"/>
    <cellStyle name="Percent 2 2 6 4 3" xfId="29005"/>
    <cellStyle name="Percent 2 2 6 4 3 2" xfId="29006"/>
    <cellStyle name="Percent 2 2 6 4 3 2 2" xfId="29007"/>
    <cellStyle name="Percent 2 2 6 4 3 3" xfId="29008"/>
    <cellStyle name="Percent 2 2 6 4 4" xfId="29009"/>
    <cellStyle name="Percent 2 2 6 4 4 2" xfId="29010"/>
    <cellStyle name="Percent 2 2 6 4 4 3" xfId="29011"/>
    <cellStyle name="Percent 2 2 6 4 5" xfId="29012"/>
    <cellStyle name="Percent 2 2 6 4 5 2" xfId="29013"/>
    <cellStyle name="Percent 2 2 6 4 6" xfId="29014"/>
    <cellStyle name="Percent 2 2 6 4 6 2" xfId="37238"/>
    <cellStyle name="Percent 2 2 6 4 7" xfId="29015"/>
    <cellStyle name="Percent 2 2 6 5" xfId="29016"/>
    <cellStyle name="Percent 2 2 6 5 2" xfId="29017"/>
    <cellStyle name="Percent 2 2 6 5 2 2" xfId="29018"/>
    <cellStyle name="Percent 2 2 6 5 2 2 2" xfId="29019"/>
    <cellStyle name="Percent 2 2 6 5 2 3" xfId="29020"/>
    <cellStyle name="Percent 2 2 6 5 3" xfId="29021"/>
    <cellStyle name="Percent 2 2 6 5 3 2" xfId="29022"/>
    <cellStyle name="Percent 2 2 6 5 4" xfId="29023"/>
    <cellStyle name="Percent 2 2 6 6" xfId="29024"/>
    <cellStyle name="Percent 2 2 6 6 2" xfId="29025"/>
    <cellStyle name="Percent 2 2 6 6 2 2" xfId="29026"/>
    <cellStyle name="Percent 2 2 6 6 3" xfId="29027"/>
    <cellStyle name="Percent 2 2 6 7" xfId="29028"/>
    <cellStyle name="Percent 2 2 6 7 2" xfId="29029"/>
    <cellStyle name="Percent 2 2 6 7 2 2" xfId="29030"/>
    <cellStyle name="Percent 2 2 6 7 3" xfId="29031"/>
    <cellStyle name="Percent 2 2 6 8" xfId="29032"/>
    <cellStyle name="Percent 2 2 6 8 2" xfId="29033"/>
    <cellStyle name="Percent 2 2 6 9" xfId="29034"/>
    <cellStyle name="Percent 2 2 6 9 2" xfId="37239"/>
    <cellStyle name="Percent 2 2 7" xfId="29035"/>
    <cellStyle name="Percent 2 2 7 2" xfId="29036"/>
    <cellStyle name="Percent 2 2 7 2 2" xfId="29037"/>
    <cellStyle name="Percent 2 2 7 2 2 2" xfId="29038"/>
    <cellStyle name="Percent 2 2 7 2 2 2 2" xfId="29039"/>
    <cellStyle name="Percent 2 2 7 2 2 2 2 2" xfId="29040"/>
    <cellStyle name="Percent 2 2 7 2 2 2 2 3" xfId="29041"/>
    <cellStyle name="Percent 2 2 7 2 2 2 3" xfId="29042"/>
    <cellStyle name="Percent 2 2 7 2 2 2 3 2" xfId="29043"/>
    <cellStyle name="Percent 2 2 7 2 2 2 4" xfId="29044"/>
    <cellStyle name="Percent 2 2 7 2 2 3" xfId="29045"/>
    <cellStyle name="Percent 2 2 7 2 2 3 2" xfId="29046"/>
    <cellStyle name="Percent 2 2 7 2 2 3 2 2" xfId="29047"/>
    <cellStyle name="Percent 2 2 7 2 2 3 3" xfId="29048"/>
    <cellStyle name="Percent 2 2 7 2 2 4" xfId="29049"/>
    <cellStyle name="Percent 2 2 7 2 2 4 2" xfId="29050"/>
    <cellStyle name="Percent 2 2 7 2 2 4 3" xfId="29051"/>
    <cellStyle name="Percent 2 2 7 2 2 5" xfId="29052"/>
    <cellStyle name="Percent 2 2 7 2 2 5 2" xfId="29053"/>
    <cellStyle name="Percent 2 2 7 2 2 6" xfId="29054"/>
    <cellStyle name="Percent 2 2 7 2 2 6 2" xfId="37240"/>
    <cellStyle name="Percent 2 2 7 2 2 7" xfId="29055"/>
    <cellStyle name="Percent 2 2 7 2 3" xfId="29056"/>
    <cellStyle name="Percent 2 2 7 2 3 2" xfId="29057"/>
    <cellStyle name="Percent 2 2 7 2 3 2 2" xfId="29058"/>
    <cellStyle name="Percent 2 2 7 2 3 2 2 2" xfId="29059"/>
    <cellStyle name="Percent 2 2 7 2 3 2 3" xfId="29060"/>
    <cellStyle name="Percent 2 2 7 2 3 3" xfId="29061"/>
    <cellStyle name="Percent 2 2 7 2 3 3 2" xfId="29062"/>
    <cellStyle name="Percent 2 2 7 2 3 4" xfId="29063"/>
    <cellStyle name="Percent 2 2 7 2 4" xfId="29064"/>
    <cellStyle name="Percent 2 2 7 2 4 2" xfId="29065"/>
    <cellStyle name="Percent 2 2 7 2 4 2 2" xfId="29066"/>
    <cellStyle name="Percent 2 2 7 2 4 3" xfId="29067"/>
    <cellStyle name="Percent 2 2 7 2 5" xfId="29068"/>
    <cellStyle name="Percent 2 2 7 2 5 2" xfId="29069"/>
    <cellStyle name="Percent 2 2 7 2 5 2 2" xfId="29070"/>
    <cellStyle name="Percent 2 2 7 2 5 3" xfId="29071"/>
    <cellStyle name="Percent 2 2 7 2 6" xfId="29072"/>
    <cellStyle name="Percent 2 2 7 2 6 2" xfId="29073"/>
    <cellStyle name="Percent 2 2 7 2 7" xfId="29074"/>
    <cellStyle name="Percent 2 2 7 2 7 2" xfId="37241"/>
    <cellStyle name="Percent 2 2 7 2 8" xfId="29075"/>
    <cellStyle name="Percent 2 2 7 3" xfId="29076"/>
    <cellStyle name="Percent 2 2 7 3 2" xfId="29077"/>
    <cellStyle name="Percent 2 2 7 3 2 2" xfId="29078"/>
    <cellStyle name="Percent 2 2 7 3 2 2 2" xfId="29079"/>
    <cellStyle name="Percent 2 2 7 3 2 2 3" xfId="29080"/>
    <cellStyle name="Percent 2 2 7 3 2 3" xfId="29081"/>
    <cellStyle name="Percent 2 2 7 3 2 3 2" xfId="29082"/>
    <cellStyle name="Percent 2 2 7 3 2 4" xfId="29083"/>
    <cellStyle name="Percent 2 2 7 3 3" xfId="29084"/>
    <cellStyle name="Percent 2 2 7 3 3 2" xfId="29085"/>
    <cellStyle name="Percent 2 2 7 3 3 2 2" xfId="29086"/>
    <cellStyle name="Percent 2 2 7 3 3 3" xfId="29087"/>
    <cellStyle name="Percent 2 2 7 3 4" xfId="29088"/>
    <cellStyle name="Percent 2 2 7 3 4 2" xfId="29089"/>
    <cellStyle name="Percent 2 2 7 3 4 3" xfId="29090"/>
    <cellStyle name="Percent 2 2 7 3 5" xfId="29091"/>
    <cellStyle name="Percent 2 2 7 3 5 2" xfId="29092"/>
    <cellStyle name="Percent 2 2 7 3 6" xfId="29093"/>
    <cellStyle name="Percent 2 2 7 3 6 2" xfId="37242"/>
    <cellStyle name="Percent 2 2 7 3 7" xfId="29094"/>
    <cellStyle name="Percent 2 2 7 4" xfId="29095"/>
    <cellStyle name="Percent 2 2 7 4 2" xfId="29096"/>
    <cellStyle name="Percent 2 2 7 4 2 2" xfId="29097"/>
    <cellStyle name="Percent 2 2 7 4 2 2 2" xfId="29098"/>
    <cellStyle name="Percent 2 2 7 4 2 3" xfId="29099"/>
    <cellStyle name="Percent 2 2 7 4 3" xfId="29100"/>
    <cellStyle name="Percent 2 2 7 4 3 2" xfId="29101"/>
    <cellStyle name="Percent 2 2 7 4 4" xfId="29102"/>
    <cellStyle name="Percent 2 2 7 5" xfId="29103"/>
    <cellStyle name="Percent 2 2 7 5 2" xfId="29104"/>
    <cellStyle name="Percent 2 2 7 5 2 2" xfId="29105"/>
    <cellStyle name="Percent 2 2 7 5 3" xfId="29106"/>
    <cellStyle name="Percent 2 2 7 6" xfId="29107"/>
    <cellStyle name="Percent 2 2 7 6 2" xfId="29108"/>
    <cellStyle name="Percent 2 2 7 6 2 2" xfId="29109"/>
    <cellStyle name="Percent 2 2 7 6 3" xfId="29110"/>
    <cellStyle name="Percent 2 2 7 7" xfId="29111"/>
    <cellStyle name="Percent 2 2 7 7 2" xfId="29112"/>
    <cellStyle name="Percent 2 2 7 8" xfId="29113"/>
    <cellStyle name="Percent 2 2 7 8 2" xfId="37243"/>
    <cellStyle name="Percent 2 2 7 9" xfId="29114"/>
    <cellStyle name="Percent 2 2 8" xfId="29115"/>
    <cellStyle name="Percent 2 2 8 2" xfId="29116"/>
    <cellStyle name="Percent 2 2 8 2 2" xfId="29117"/>
    <cellStyle name="Percent 2 2 8 2 2 2" xfId="29118"/>
    <cellStyle name="Percent 2 2 8 2 2 2 2" xfId="29119"/>
    <cellStyle name="Percent 2 2 8 2 2 2 2 2" xfId="29120"/>
    <cellStyle name="Percent 2 2 8 2 2 2 2 3" xfId="29121"/>
    <cellStyle name="Percent 2 2 8 2 2 2 3" xfId="29122"/>
    <cellStyle name="Percent 2 2 8 2 2 2 3 2" xfId="29123"/>
    <cellStyle name="Percent 2 2 8 2 2 2 4" xfId="29124"/>
    <cellStyle name="Percent 2 2 8 2 2 3" xfId="29125"/>
    <cellStyle name="Percent 2 2 8 2 2 3 2" xfId="29126"/>
    <cellStyle name="Percent 2 2 8 2 2 3 2 2" xfId="29127"/>
    <cellStyle name="Percent 2 2 8 2 2 3 3" xfId="29128"/>
    <cellStyle name="Percent 2 2 8 2 2 4" xfId="29129"/>
    <cellStyle name="Percent 2 2 8 2 2 4 2" xfId="29130"/>
    <cellStyle name="Percent 2 2 8 2 2 4 3" xfId="29131"/>
    <cellStyle name="Percent 2 2 8 2 2 5" xfId="29132"/>
    <cellStyle name="Percent 2 2 8 2 2 5 2" xfId="29133"/>
    <cellStyle name="Percent 2 2 8 2 2 6" xfId="29134"/>
    <cellStyle name="Percent 2 2 8 2 2 6 2" xfId="37244"/>
    <cellStyle name="Percent 2 2 8 2 2 7" xfId="29135"/>
    <cellStyle name="Percent 2 2 8 2 3" xfId="29136"/>
    <cellStyle name="Percent 2 2 8 2 3 2" xfId="29137"/>
    <cellStyle name="Percent 2 2 8 2 3 2 2" xfId="29138"/>
    <cellStyle name="Percent 2 2 8 2 3 2 2 2" xfId="29139"/>
    <cellStyle name="Percent 2 2 8 2 3 2 3" xfId="29140"/>
    <cellStyle name="Percent 2 2 8 2 3 3" xfId="29141"/>
    <cellStyle name="Percent 2 2 8 2 3 3 2" xfId="29142"/>
    <cellStyle name="Percent 2 2 8 2 3 4" xfId="29143"/>
    <cellStyle name="Percent 2 2 8 2 4" xfId="29144"/>
    <cellStyle name="Percent 2 2 8 2 4 2" xfId="29145"/>
    <cellStyle name="Percent 2 2 8 2 4 2 2" xfId="29146"/>
    <cellStyle name="Percent 2 2 8 2 4 3" xfId="29147"/>
    <cellStyle name="Percent 2 2 8 2 5" xfId="29148"/>
    <cellStyle name="Percent 2 2 8 2 5 2" xfId="29149"/>
    <cellStyle name="Percent 2 2 8 2 5 2 2" xfId="29150"/>
    <cellStyle name="Percent 2 2 8 2 5 3" xfId="29151"/>
    <cellStyle name="Percent 2 2 8 2 6" xfId="29152"/>
    <cellStyle name="Percent 2 2 8 2 6 2" xfId="29153"/>
    <cellStyle name="Percent 2 2 8 2 7" xfId="29154"/>
    <cellStyle name="Percent 2 2 8 2 7 2" xfId="37245"/>
    <cellStyle name="Percent 2 2 8 2 8" xfId="29155"/>
    <cellStyle name="Percent 2 2 8 3" xfId="29156"/>
    <cellStyle name="Percent 2 2 8 3 2" xfId="29157"/>
    <cellStyle name="Percent 2 2 8 3 2 2" xfId="29158"/>
    <cellStyle name="Percent 2 2 8 3 2 2 2" xfId="29159"/>
    <cellStyle name="Percent 2 2 8 3 2 2 3" xfId="29160"/>
    <cellStyle name="Percent 2 2 8 3 2 3" xfId="29161"/>
    <cellStyle name="Percent 2 2 8 3 2 3 2" xfId="29162"/>
    <cellStyle name="Percent 2 2 8 3 2 4" xfId="29163"/>
    <cellStyle name="Percent 2 2 8 3 3" xfId="29164"/>
    <cellStyle name="Percent 2 2 8 3 3 2" xfId="29165"/>
    <cellStyle name="Percent 2 2 8 3 3 2 2" xfId="29166"/>
    <cellStyle name="Percent 2 2 8 3 3 3" xfId="29167"/>
    <cellStyle name="Percent 2 2 8 3 4" xfId="29168"/>
    <cellStyle name="Percent 2 2 8 3 4 2" xfId="29169"/>
    <cellStyle name="Percent 2 2 8 3 4 3" xfId="29170"/>
    <cellStyle name="Percent 2 2 8 3 5" xfId="29171"/>
    <cellStyle name="Percent 2 2 8 3 5 2" xfId="29172"/>
    <cellStyle name="Percent 2 2 8 3 6" xfId="29173"/>
    <cellStyle name="Percent 2 2 8 3 6 2" xfId="37246"/>
    <cellStyle name="Percent 2 2 8 3 7" xfId="29174"/>
    <cellStyle name="Percent 2 2 8 4" xfId="29175"/>
    <cellStyle name="Percent 2 2 8 4 2" xfId="29176"/>
    <cellStyle name="Percent 2 2 8 4 2 2" xfId="29177"/>
    <cellStyle name="Percent 2 2 8 4 2 2 2" xfId="29178"/>
    <cellStyle name="Percent 2 2 8 4 2 3" xfId="29179"/>
    <cellStyle name="Percent 2 2 8 4 3" xfId="29180"/>
    <cellStyle name="Percent 2 2 8 4 3 2" xfId="29181"/>
    <cellStyle name="Percent 2 2 8 4 4" xfId="29182"/>
    <cellStyle name="Percent 2 2 8 5" xfId="29183"/>
    <cellStyle name="Percent 2 2 8 5 2" xfId="29184"/>
    <cellStyle name="Percent 2 2 8 5 2 2" xfId="29185"/>
    <cellStyle name="Percent 2 2 8 5 3" xfId="29186"/>
    <cellStyle name="Percent 2 2 8 6" xfId="29187"/>
    <cellStyle name="Percent 2 2 8 6 2" xfId="29188"/>
    <cellStyle name="Percent 2 2 8 6 2 2" xfId="29189"/>
    <cellStyle name="Percent 2 2 8 6 3" xfId="29190"/>
    <cellStyle name="Percent 2 2 8 7" xfId="29191"/>
    <cellStyle name="Percent 2 2 8 7 2" xfId="29192"/>
    <cellStyle name="Percent 2 2 8 8" xfId="29193"/>
    <cellStyle name="Percent 2 2 8 8 2" xfId="37247"/>
    <cellStyle name="Percent 2 2 8 9" xfId="29194"/>
    <cellStyle name="Percent 2 2 9" xfId="29195"/>
    <cellStyle name="Percent 2 2 9 2" xfId="29196"/>
    <cellStyle name="Percent 2 2 9 2 2" xfId="29197"/>
    <cellStyle name="Percent 2 2 9 2 2 2" xfId="29198"/>
    <cellStyle name="Percent 2 2 9 2 2 2 2" xfId="29199"/>
    <cellStyle name="Percent 2 2 9 2 2 2 3" xfId="29200"/>
    <cellStyle name="Percent 2 2 9 2 2 3" xfId="29201"/>
    <cellStyle name="Percent 2 2 9 2 2 3 2" xfId="29202"/>
    <cellStyle name="Percent 2 2 9 2 2 4" xfId="29203"/>
    <cellStyle name="Percent 2 2 9 2 3" xfId="29204"/>
    <cellStyle name="Percent 2 2 9 2 3 2" xfId="29205"/>
    <cellStyle name="Percent 2 2 9 2 3 2 2" xfId="29206"/>
    <cellStyle name="Percent 2 2 9 2 3 3" xfId="29207"/>
    <cellStyle name="Percent 2 2 9 2 4" xfId="29208"/>
    <cellStyle name="Percent 2 2 9 2 4 2" xfId="29209"/>
    <cellStyle name="Percent 2 2 9 2 4 3" xfId="29210"/>
    <cellStyle name="Percent 2 2 9 2 5" xfId="29211"/>
    <cellStyle name="Percent 2 2 9 2 5 2" xfId="29212"/>
    <cellStyle name="Percent 2 2 9 2 6" xfId="29213"/>
    <cellStyle name="Percent 2 2 9 2 6 2" xfId="37248"/>
    <cellStyle name="Percent 2 2 9 2 7" xfId="29214"/>
    <cellStyle name="Percent 2 2 9 3" xfId="29215"/>
    <cellStyle name="Percent 2 2 9 3 2" xfId="29216"/>
    <cellStyle name="Percent 2 2 9 3 2 2" xfId="29217"/>
    <cellStyle name="Percent 2 2 9 3 2 2 2" xfId="29218"/>
    <cellStyle name="Percent 2 2 9 3 2 3" xfId="29219"/>
    <cellStyle name="Percent 2 2 9 3 3" xfId="29220"/>
    <cellStyle name="Percent 2 2 9 3 3 2" xfId="29221"/>
    <cellStyle name="Percent 2 2 9 3 4" xfId="29222"/>
    <cellStyle name="Percent 2 2 9 4" xfId="29223"/>
    <cellStyle name="Percent 2 2 9 4 2" xfId="29224"/>
    <cellStyle name="Percent 2 2 9 4 2 2" xfId="29225"/>
    <cellStyle name="Percent 2 2 9 4 3" xfId="29226"/>
    <cellStyle name="Percent 2 2 9 5" xfId="29227"/>
    <cellStyle name="Percent 2 2 9 5 2" xfId="29228"/>
    <cellStyle name="Percent 2 2 9 5 2 2" xfId="29229"/>
    <cellStyle name="Percent 2 2 9 5 3" xfId="29230"/>
    <cellStyle name="Percent 2 2 9 6" xfId="29231"/>
    <cellStyle name="Percent 2 2 9 6 2" xfId="29232"/>
    <cellStyle name="Percent 2 2 9 7" xfId="29233"/>
    <cellStyle name="Percent 2 2 9 7 2" xfId="37249"/>
    <cellStyle name="Percent 2 2 9 8" xfId="29234"/>
    <cellStyle name="Percent 2 20" xfId="37890"/>
    <cellStyle name="Percent 2 21" xfId="37981"/>
    <cellStyle name="Percent 2 3" xfId="29235"/>
    <cellStyle name="Percent 2 3 10" xfId="29236"/>
    <cellStyle name="Percent 2 3 10 2" xfId="29237"/>
    <cellStyle name="Percent 2 3 10 2 2" xfId="29238"/>
    <cellStyle name="Percent 2 3 10 3" xfId="29239"/>
    <cellStyle name="Percent 2 3 11" xfId="29240"/>
    <cellStyle name="Percent 2 3 11 2" xfId="29241"/>
    <cellStyle name="Percent 2 3 11 2 2" xfId="29242"/>
    <cellStyle name="Percent 2 3 11 3" xfId="29243"/>
    <cellStyle name="Percent 2 3 12" xfId="29244"/>
    <cellStyle name="Percent 2 3 12 2" xfId="29245"/>
    <cellStyle name="Percent 2 3 13" xfId="29246"/>
    <cellStyle name="Percent 2 3 13 2" xfId="37250"/>
    <cellStyle name="Percent 2 3 14" xfId="29247"/>
    <cellStyle name="Percent 2 3 2" xfId="29248"/>
    <cellStyle name="Percent 2 3 2 10" xfId="29249"/>
    <cellStyle name="Percent 2 3 2 2" xfId="29250"/>
    <cellStyle name="Percent 2 3 2 2 2" xfId="29251"/>
    <cellStyle name="Percent 2 3 2 2 2 2" xfId="29252"/>
    <cellStyle name="Percent 2 3 2 2 2 2 2" xfId="29253"/>
    <cellStyle name="Percent 2 3 2 2 2 2 2 2" xfId="29254"/>
    <cellStyle name="Percent 2 3 2 2 2 2 2 2 2" xfId="29255"/>
    <cellStyle name="Percent 2 3 2 2 2 2 2 2 3" xfId="29256"/>
    <cellStyle name="Percent 2 3 2 2 2 2 2 3" xfId="29257"/>
    <cellStyle name="Percent 2 3 2 2 2 2 2 3 2" xfId="29258"/>
    <cellStyle name="Percent 2 3 2 2 2 2 2 4" xfId="29259"/>
    <cellStyle name="Percent 2 3 2 2 2 2 3" xfId="29260"/>
    <cellStyle name="Percent 2 3 2 2 2 2 3 2" xfId="29261"/>
    <cellStyle name="Percent 2 3 2 2 2 2 3 2 2" xfId="29262"/>
    <cellStyle name="Percent 2 3 2 2 2 2 3 3" xfId="29263"/>
    <cellStyle name="Percent 2 3 2 2 2 2 4" xfId="29264"/>
    <cellStyle name="Percent 2 3 2 2 2 2 4 2" xfId="29265"/>
    <cellStyle name="Percent 2 3 2 2 2 2 4 3" xfId="29266"/>
    <cellStyle name="Percent 2 3 2 2 2 2 5" xfId="29267"/>
    <cellStyle name="Percent 2 3 2 2 2 2 5 2" xfId="29268"/>
    <cellStyle name="Percent 2 3 2 2 2 2 6" xfId="29269"/>
    <cellStyle name="Percent 2 3 2 2 2 2 6 2" xfId="37251"/>
    <cellStyle name="Percent 2 3 2 2 2 2 7" xfId="29270"/>
    <cellStyle name="Percent 2 3 2 2 2 3" xfId="29271"/>
    <cellStyle name="Percent 2 3 2 2 2 3 2" xfId="29272"/>
    <cellStyle name="Percent 2 3 2 2 2 3 2 2" xfId="29273"/>
    <cellStyle name="Percent 2 3 2 2 2 3 2 2 2" xfId="29274"/>
    <cellStyle name="Percent 2 3 2 2 2 3 2 3" xfId="29275"/>
    <cellStyle name="Percent 2 3 2 2 2 3 3" xfId="29276"/>
    <cellStyle name="Percent 2 3 2 2 2 3 3 2" xfId="29277"/>
    <cellStyle name="Percent 2 3 2 2 2 3 4" xfId="29278"/>
    <cellStyle name="Percent 2 3 2 2 2 4" xfId="29279"/>
    <cellStyle name="Percent 2 3 2 2 2 4 2" xfId="29280"/>
    <cellStyle name="Percent 2 3 2 2 2 4 2 2" xfId="29281"/>
    <cellStyle name="Percent 2 3 2 2 2 4 3" xfId="29282"/>
    <cellStyle name="Percent 2 3 2 2 2 5" xfId="29283"/>
    <cellStyle name="Percent 2 3 2 2 2 5 2" xfId="29284"/>
    <cellStyle name="Percent 2 3 2 2 2 5 2 2" xfId="29285"/>
    <cellStyle name="Percent 2 3 2 2 2 5 3" xfId="29286"/>
    <cellStyle name="Percent 2 3 2 2 2 6" xfId="29287"/>
    <cellStyle name="Percent 2 3 2 2 2 6 2" xfId="29288"/>
    <cellStyle name="Percent 2 3 2 2 2 7" xfId="29289"/>
    <cellStyle name="Percent 2 3 2 2 2 7 2" xfId="37252"/>
    <cellStyle name="Percent 2 3 2 2 2 8" xfId="29290"/>
    <cellStyle name="Percent 2 3 2 2 3" xfId="29291"/>
    <cellStyle name="Percent 2 3 2 2 3 2" xfId="29292"/>
    <cellStyle name="Percent 2 3 2 2 3 2 2" xfId="29293"/>
    <cellStyle name="Percent 2 3 2 2 3 2 2 2" xfId="29294"/>
    <cellStyle name="Percent 2 3 2 2 3 2 2 3" xfId="29295"/>
    <cellStyle name="Percent 2 3 2 2 3 2 3" xfId="29296"/>
    <cellStyle name="Percent 2 3 2 2 3 2 3 2" xfId="29297"/>
    <cellStyle name="Percent 2 3 2 2 3 2 4" xfId="29298"/>
    <cellStyle name="Percent 2 3 2 2 3 3" xfId="29299"/>
    <cellStyle name="Percent 2 3 2 2 3 3 2" xfId="29300"/>
    <cellStyle name="Percent 2 3 2 2 3 3 2 2" xfId="29301"/>
    <cellStyle name="Percent 2 3 2 2 3 3 3" xfId="29302"/>
    <cellStyle name="Percent 2 3 2 2 3 4" xfId="29303"/>
    <cellStyle name="Percent 2 3 2 2 3 4 2" xfId="29304"/>
    <cellStyle name="Percent 2 3 2 2 3 4 3" xfId="29305"/>
    <cellStyle name="Percent 2 3 2 2 3 5" xfId="29306"/>
    <cellStyle name="Percent 2 3 2 2 3 5 2" xfId="29307"/>
    <cellStyle name="Percent 2 3 2 2 3 6" xfId="29308"/>
    <cellStyle name="Percent 2 3 2 2 3 6 2" xfId="37253"/>
    <cellStyle name="Percent 2 3 2 2 3 7" xfId="29309"/>
    <cellStyle name="Percent 2 3 2 2 4" xfId="29310"/>
    <cellStyle name="Percent 2 3 2 2 4 2" xfId="29311"/>
    <cellStyle name="Percent 2 3 2 2 4 2 2" xfId="29312"/>
    <cellStyle name="Percent 2 3 2 2 4 2 2 2" xfId="29313"/>
    <cellStyle name="Percent 2 3 2 2 4 2 3" xfId="29314"/>
    <cellStyle name="Percent 2 3 2 2 4 3" xfId="29315"/>
    <cellStyle name="Percent 2 3 2 2 4 3 2" xfId="29316"/>
    <cellStyle name="Percent 2 3 2 2 4 4" xfId="29317"/>
    <cellStyle name="Percent 2 3 2 2 5" xfId="29318"/>
    <cellStyle name="Percent 2 3 2 2 5 2" xfId="29319"/>
    <cellStyle name="Percent 2 3 2 2 5 2 2" xfId="29320"/>
    <cellStyle name="Percent 2 3 2 2 5 3" xfId="29321"/>
    <cellStyle name="Percent 2 3 2 2 6" xfId="29322"/>
    <cellStyle name="Percent 2 3 2 2 6 2" xfId="29323"/>
    <cellStyle name="Percent 2 3 2 2 6 2 2" xfId="29324"/>
    <cellStyle name="Percent 2 3 2 2 6 3" xfId="29325"/>
    <cellStyle name="Percent 2 3 2 2 7" xfId="29326"/>
    <cellStyle name="Percent 2 3 2 2 7 2" xfId="29327"/>
    <cellStyle name="Percent 2 3 2 2 8" xfId="29328"/>
    <cellStyle name="Percent 2 3 2 2 8 2" xfId="37254"/>
    <cellStyle name="Percent 2 3 2 2 9" xfId="29329"/>
    <cellStyle name="Percent 2 3 2 3" xfId="29330"/>
    <cellStyle name="Percent 2 3 2 3 2" xfId="29331"/>
    <cellStyle name="Percent 2 3 2 3 2 2" xfId="29332"/>
    <cellStyle name="Percent 2 3 2 3 2 2 2" xfId="29333"/>
    <cellStyle name="Percent 2 3 2 3 2 2 2 2" xfId="29334"/>
    <cellStyle name="Percent 2 3 2 3 2 2 2 3" xfId="29335"/>
    <cellStyle name="Percent 2 3 2 3 2 2 3" xfId="29336"/>
    <cellStyle name="Percent 2 3 2 3 2 2 3 2" xfId="29337"/>
    <cellStyle name="Percent 2 3 2 3 2 2 4" xfId="29338"/>
    <cellStyle name="Percent 2 3 2 3 2 3" xfId="29339"/>
    <cellStyle name="Percent 2 3 2 3 2 3 2" xfId="29340"/>
    <cellStyle name="Percent 2 3 2 3 2 3 2 2" xfId="29341"/>
    <cellStyle name="Percent 2 3 2 3 2 3 3" xfId="29342"/>
    <cellStyle name="Percent 2 3 2 3 2 4" xfId="29343"/>
    <cellStyle name="Percent 2 3 2 3 2 4 2" xfId="29344"/>
    <cellStyle name="Percent 2 3 2 3 2 4 3" xfId="29345"/>
    <cellStyle name="Percent 2 3 2 3 2 5" xfId="29346"/>
    <cellStyle name="Percent 2 3 2 3 2 5 2" xfId="29347"/>
    <cellStyle name="Percent 2 3 2 3 2 6" xfId="29348"/>
    <cellStyle name="Percent 2 3 2 3 2 6 2" xfId="37255"/>
    <cellStyle name="Percent 2 3 2 3 2 7" xfId="29349"/>
    <cellStyle name="Percent 2 3 2 3 3" xfId="29350"/>
    <cellStyle name="Percent 2 3 2 3 3 2" xfId="29351"/>
    <cellStyle name="Percent 2 3 2 3 3 2 2" xfId="29352"/>
    <cellStyle name="Percent 2 3 2 3 3 2 2 2" xfId="29353"/>
    <cellStyle name="Percent 2 3 2 3 3 2 3" xfId="29354"/>
    <cellStyle name="Percent 2 3 2 3 3 3" xfId="29355"/>
    <cellStyle name="Percent 2 3 2 3 3 3 2" xfId="29356"/>
    <cellStyle name="Percent 2 3 2 3 3 4" xfId="29357"/>
    <cellStyle name="Percent 2 3 2 3 4" xfId="29358"/>
    <cellStyle name="Percent 2 3 2 3 4 2" xfId="29359"/>
    <cellStyle name="Percent 2 3 2 3 4 2 2" xfId="29360"/>
    <cellStyle name="Percent 2 3 2 3 4 3" xfId="29361"/>
    <cellStyle name="Percent 2 3 2 3 5" xfId="29362"/>
    <cellStyle name="Percent 2 3 2 3 5 2" xfId="29363"/>
    <cellStyle name="Percent 2 3 2 3 5 2 2" xfId="29364"/>
    <cellStyle name="Percent 2 3 2 3 5 3" xfId="29365"/>
    <cellStyle name="Percent 2 3 2 3 6" xfId="29366"/>
    <cellStyle name="Percent 2 3 2 3 6 2" xfId="29367"/>
    <cellStyle name="Percent 2 3 2 3 7" xfId="29368"/>
    <cellStyle name="Percent 2 3 2 3 7 2" xfId="37256"/>
    <cellStyle name="Percent 2 3 2 3 8" xfId="29369"/>
    <cellStyle name="Percent 2 3 2 4" xfId="29370"/>
    <cellStyle name="Percent 2 3 2 4 2" xfId="29371"/>
    <cellStyle name="Percent 2 3 2 4 2 2" xfId="29372"/>
    <cellStyle name="Percent 2 3 2 4 2 2 2" xfId="29373"/>
    <cellStyle name="Percent 2 3 2 4 2 2 3" xfId="29374"/>
    <cellStyle name="Percent 2 3 2 4 2 3" xfId="29375"/>
    <cellStyle name="Percent 2 3 2 4 2 3 2" xfId="29376"/>
    <cellStyle name="Percent 2 3 2 4 2 4" xfId="29377"/>
    <cellStyle name="Percent 2 3 2 4 3" xfId="29378"/>
    <cellStyle name="Percent 2 3 2 4 3 2" xfId="29379"/>
    <cellStyle name="Percent 2 3 2 4 3 2 2" xfId="29380"/>
    <cellStyle name="Percent 2 3 2 4 3 3" xfId="29381"/>
    <cellStyle name="Percent 2 3 2 4 4" xfId="29382"/>
    <cellStyle name="Percent 2 3 2 4 4 2" xfId="29383"/>
    <cellStyle name="Percent 2 3 2 4 4 3" xfId="29384"/>
    <cellStyle name="Percent 2 3 2 4 5" xfId="29385"/>
    <cellStyle name="Percent 2 3 2 4 5 2" xfId="29386"/>
    <cellStyle name="Percent 2 3 2 4 6" xfId="29387"/>
    <cellStyle name="Percent 2 3 2 4 6 2" xfId="37257"/>
    <cellStyle name="Percent 2 3 2 4 7" xfId="29388"/>
    <cellStyle name="Percent 2 3 2 5" xfId="29389"/>
    <cellStyle name="Percent 2 3 2 5 2" xfId="29390"/>
    <cellStyle name="Percent 2 3 2 5 2 2" xfId="29391"/>
    <cellStyle name="Percent 2 3 2 5 2 2 2" xfId="29392"/>
    <cellStyle name="Percent 2 3 2 5 2 3" xfId="29393"/>
    <cellStyle name="Percent 2 3 2 5 3" xfId="29394"/>
    <cellStyle name="Percent 2 3 2 5 3 2" xfId="29395"/>
    <cellStyle name="Percent 2 3 2 5 4" xfId="29396"/>
    <cellStyle name="Percent 2 3 2 6" xfId="29397"/>
    <cellStyle name="Percent 2 3 2 6 2" xfId="29398"/>
    <cellStyle name="Percent 2 3 2 6 2 2" xfId="29399"/>
    <cellStyle name="Percent 2 3 2 6 3" xfId="29400"/>
    <cellStyle name="Percent 2 3 2 7" xfId="29401"/>
    <cellStyle name="Percent 2 3 2 7 2" xfId="29402"/>
    <cellStyle name="Percent 2 3 2 7 2 2" xfId="29403"/>
    <cellStyle name="Percent 2 3 2 7 3" xfId="29404"/>
    <cellStyle name="Percent 2 3 2 8" xfId="29405"/>
    <cellStyle name="Percent 2 3 2 8 2" xfId="29406"/>
    <cellStyle name="Percent 2 3 2 9" xfId="29407"/>
    <cellStyle name="Percent 2 3 2 9 2" xfId="37258"/>
    <cellStyle name="Percent 2 3 3" xfId="29408"/>
    <cellStyle name="Percent 2 3 3 2" xfId="29409"/>
    <cellStyle name="Percent 2 3 3 2 2" xfId="29410"/>
    <cellStyle name="Percent 2 3 3 2 2 2" xfId="29411"/>
    <cellStyle name="Percent 2 3 3 2 2 2 2" xfId="29412"/>
    <cellStyle name="Percent 2 3 3 2 2 2 2 2" xfId="29413"/>
    <cellStyle name="Percent 2 3 3 2 2 2 2 3" xfId="29414"/>
    <cellStyle name="Percent 2 3 3 2 2 2 3" xfId="29415"/>
    <cellStyle name="Percent 2 3 3 2 2 2 3 2" xfId="29416"/>
    <cellStyle name="Percent 2 3 3 2 2 2 4" xfId="29417"/>
    <cellStyle name="Percent 2 3 3 2 2 3" xfId="29418"/>
    <cellStyle name="Percent 2 3 3 2 2 3 2" xfId="29419"/>
    <cellStyle name="Percent 2 3 3 2 2 3 2 2" xfId="29420"/>
    <cellStyle name="Percent 2 3 3 2 2 3 3" xfId="29421"/>
    <cellStyle name="Percent 2 3 3 2 2 4" xfId="29422"/>
    <cellStyle name="Percent 2 3 3 2 2 4 2" xfId="29423"/>
    <cellStyle name="Percent 2 3 3 2 2 4 3" xfId="29424"/>
    <cellStyle name="Percent 2 3 3 2 2 5" xfId="29425"/>
    <cellStyle name="Percent 2 3 3 2 2 5 2" xfId="29426"/>
    <cellStyle name="Percent 2 3 3 2 2 6" xfId="29427"/>
    <cellStyle name="Percent 2 3 3 2 2 6 2" xfId="37259"/>
    <cellStyle name="Percent 2 3 3 2 2 7" xfId="29428"/>
    <cellStyle name="Percent 2 3 3 2 3" xfId="29429"/>
    <cellStyle name="Percent 2 3 3 2 3 2" xfId="29430"/>
    <cellStyle name="Percent 2 3 3 2 3 2 2" xfId="29431"/>
    <cellStyle name="Percent 2 3 3 2 3 2 2 2" xfId="29432"/>
    <cellStyle name="Percent 2 3 3 2 3 2 3" xfId="29433"/>
    <cellStyle name="Percent 2 3 3 2 3 3" xfId="29434"/>
    <cellStyle name="Percent 2 3 3 2 3 3 2" xfId="29435"/>
    <cellStyle name="Percent 2 3 3 2 3 4" xfId="29436"/>
    <cellStyle name="Percent 2 3 3 2 4" xfId="29437"/>
    <cellStyle name="Percent 2 3 3 2 4 2" xfId="29438"/>
    <cellStyle name="Percent 2 3 3 2 4 2 2" xfId="29439"/>
    <cellStyle name="Percent 2 3 3 2 4 3" xfId="29440"/>
    <cellStyle name="Percent 2 3 3 2 5" xfId="29441"/>
    <cellStyle name="Percent 2 3 3 2 5 2" xfId="29442"/>
    <cellStyle name="Percent 2 3 3 2 5 2 2" xfId="29443"/>
    <cellStyle name="Percent 2 3 3 2 5 3" xfId="29444"/>
    <cellStyle name="Percent 2 3 3 2 6" xfId="29445"/>
    <cellStyle name="Percent 2 3 3 2 6 2" xfId="29446"/>
    <cellStyle name="Percent 2 3 3 2 7" xfId="29447"/>
    <cellStyle name="Percent 2 3 3 2 7 2" xfId="37260"/>
    <cellStyle name="Percent 2 3 3 2 8" xfId="29448"/>
    <cellStyle name="Percent 2 3 3 3" xfId="29449"/>
    <cellStyle name="Percent 2 3 3 3 2" xfId="29450"/>
    <cellStyle name="Percent 2 3 3 3 2 2" xfId="29451"/>
    <cellStyle name="Percent 2 3 3 3 2 2 2" xfId="29452"/>
    <cellStyle name="Percent 2 3 3 3 2 2 3" xfId="29453"/>
    <cellStyle name="Percent 2 3 3 3 2 3" xfId="29454"/>
    <cellStyle name="Percent 2 3 3 3 2 3 2" xfId="29455"/>
    <cellStyle name="Percent 2 3 3 3 2 4" xfId="29456"/>
    <cellStyle name="Percent 2 3 3 3 3" xfId="29457"/>
    <cellStyle name="Percent 2 3 3 3 3 2" xfId="29458"/>
    <cellStyle name="Percent 2 3 3 3 3 2 2" xfId="29459"/>
    <cellStyle name="Percent 2 3 3 3 3 3" xfId="29460"/>
    <cellStyle name="Percent 2 3 3 3 4" xfId="29461"/>
    <cellStyle name="Percent 2 3 3 3 4 2" xfId="29462"/>
    <cellStyle name="Percent 2 3 3 3 4 3" xfId="29463"/>
    <cellStyle name="Percent 2 3 3 3 5" xfId="29464"/>
    <cellStyle name="Percent 2 3 3 3 5 2" xfId="29465"/>
    <cellStyle name="Percent 2 3 3 3 6" xfId="29466"/>
    <cellStyle name="Percent 2 3 3 3 6 2" xfId="37261"/>
    <cellStyle name="Percent 2 3 3 3 7" xfId="29467"/>
    <cellStyle name="Percent 2 3 3 4" xfId="29468"/>
    <cellStyle name="Percent 2 3 3 4 2" xfId="29469"/>
    <cellStyle name="Percent 2 3 3 4 2 2" xfId="29470"/>
    <cellStyle name="Percent 2 3 3 4 2 2 2" xfId="29471"/>
    <cellStyle name="Percent 2 3 3 4 2 3" xfId="29472"/>
    <cellStyle name="Percent 2 3 3 4 3" xfId="29473"/>
    <cellStyle name="Percent 2 3 3 4 3 2" xfId="29474"/>
    <cellStyle name="Percent 2 3 3 4 4" xfId="29475"/>
    <cellStyle name="Percent 2 3 3 5" xfId="29476"/>
    <cellStyle name="Percent 2 3 3 5 2" xfId="29477"/>
    <cellStyle name="Percent 2 3 3 5 2 2" xfId="29478"/>
    <cellStyle name="Percent 2 3 3 5 3" xfId="29479"/>
    <cellStyle name="Percent 2 3 3 6" xfId="29480"/>
    <cellStyle name="Percent 2 3 3 6 2" xfId="29481"/>
    <cellStyle name="Percent 2 3 3 6 2 2" xfId="29482"/>
    <cellStyle name="Percent 2 3 3 6 3" xfId="29483"/>
    <cellStyle name="Percent 2 3 3 7" xfId="29484"/>
    <cellStyle name="Percent 2 3 3 7 2" xfId="29485"/>
    <cellStyle name="Percent 2 3 3 8" xfId="29486"/>
    <cellStyle name="Percent 2 3 3 8 2" xfId="37262"/>
    <cellStyle name="Percent 2 3 3 9" xfId="29487"/>
    <cellStyle name="Percent 2 3 4" xfId="29488"/>
    <cellStyle name="Percent 2 3 4 2" xfId="29489"/>
    <cellStyle name="Percent 2 3 4 2 2" xfId="29490"/>
    <cellStyle name="Percent 2 3 4 2 2 2" xfId="29491"/>
    <cellStyle name="Percent 2 3 4 2 2 2 2" xfId="29492"/>
    <cellStyle name="Percent 2 3 4 2 2 2 2 2" xfId="29493"/>
    <cellStyle name="Percent 2 3 4 2 2 2 2 3" xfId="29494"/>
    <cellStyle name="Percent 2 3 4 2 2 2 3" xfId="29495"/>
    <cellStyle name="Percent 2 3 4 2 2 2 3 2" xfId="29496"/>
    <cellStyle name="Percent 2 3 4 2 2 2 4" xfId="29497"/>
    <cellStyle name="Percent 2 3 4 2 2 3" xfId="29498"/>
    <cellStyle name="Percent 2 3 4 2 2 3 2" xfId="29499"/>
    <cellStyle name="Percent 2 3 4 2 2 3 2 2" xfId="29500"/>
    <cellStyle name="Percent 2 3 4 2 2 3 3" xfId="29501"/>
    <cellStyle name="Percent 2 3 4 2 2 4" xfId="29502"/>
    <cellStyle name="Percent 2 3 4 2 2 4 2" xfId="29503"/>
    <cellStyle name="Percent 2 3 4 2 2 4 3" xfId="29504"/>
    <cellStyle name="Percent 2 3 4 2 2 5" xfId="29505"/>
    <cellStyle name="Percent 2 3 4 2 2 5 2" xfId="29506"/>
    <cellStyle name="Percent 2 3 4 2 2 6" xfId="29507"/>
    <cellStyle name="Percent 2 3 4 2 2 6 2" xfId="37263"/>
    <cellStyle name="Percent 2 3 4 2 2 7" xfId="29508"/>
    <cellStyle name="Percent 2 3 4 2 3" xfId="29509"/>
    <cellStyle name="Percent 2 3 4 2 3 2" xfId="29510"/>
    <cellStyle name="Percent 2 3 4 2 3 2 2" xfId="29511"/>
    <cellStyle name="Percent 2 3 4 2 3 2 2 2" xfId="29512"/>
    <cellStyle name="Percent 2 3 4 2 3 2 3" xfId="29513"/>
    <cellStyle name="Percent 2 3 4 2 3 3" xfId="29514"/>
    <cellStyle name="Percent 2 3 4 2 3 3 2" xfId="29515"/>
    <cellStyle name="Percent 2 3 4 2 3 4" xfId="29516"/>
    <cellStyle name="Percent 2 3 4 2 4" xfId="29517"/>
    <cellStyle name="Percent 2 3 4 2 4 2" xfId="29518"/>
    <cellStyle name="Percent 2 3 4 2 4 2 2" xfId="29519"/>
    <cellStyle name="Percent 2 3 4 2 4 3" xfId="29520"/>
    <cellStyle name="Percent 2 3 4 2 5" xfId="29521"/>
    <cellStyle name="Percent 2 3 4 2 5 2" xfId="29522"/>
    <cellStyle name="Percent 2 3 4 2 5 2 2" xfId="29523"/>
    <cellStyle name="Percent 2 3 4 2 5 3" xfId="29524"/>
    <cellStyle name="Percent 2 3 4 2 6" xfId="29525"/>
    <cellStyle name="Percent 2 3 4 2 6 2" xfId="29526"/>
    <cellStyle name="Percent 2 3 4 2 7" xfId="29527"/>
    <cellStyle name="Percent 2 3 4 2 7 2" xfId="37264"/>
    <cellStyle name="Percent 2 3 4 2 8" xfId="29528"/>
    <cellStyle name="Percent 2 3 4 3" xfId="29529"/>
    <cellStyle name="Percent 2 3 4 3 2" xfId="29530"/>
    <cellStyle name="Percent 2 3 4 3 2 2" xfId="29531"/>
    <cellStyle name="Percent 2 3 4 3 2 2 2" xfId="29532"/>
    <cellStyle name="Percent 2 3 4 3 2 2 3" xfId="29533"/>
    <cellStyle name="Percent 2 3 4 3 2 3" xfId="29534"/>
    <cellStyle name="Percent 2 3 4 3 2 3 2" xfId="29535"/>
    <cellStyle name="Percent 2 3 4 3 2 4" xfId="29536"/>
    <cellStyle name="Percent 2 3 4 3 3" xfId="29537"/>
    <cellStyle name="Percent 2 3 4 3 3 2" xfId="29538"/>
    <cellStyle name="Percent 2 3 4 3 3 2 2" xfId="29539"/>
    <cellStyle name="Percent 2 3 4 3 3 3" xfId="29540"/>
    <cellStyle name="Percent 2 3 4 3 4" xfId="29541"/>
    <cellStyle name="Percent 2 3 4 3 4 2" xfId="29542"/>
    <cellStyle name="Percent 2 3 4 3 4 3" xfId="29543"/>
    <cellStyle name="Percent 2 3 4 3 5" xfId="29544"/>
    <cellStyle name="Percent 2 3 4 3 5 2" xfId="29545"/>
    <cellStyle name="Percent 2 3 4 3 6" xfId="29546"/>
    <cellStyle name="Percent 2 3 4 3 6 2" xfId="37265"/>
    <cellStyle name="Percent 2 3 4 3 7" xfId="29547"/>
    <cellStyle name="Percent 2 3 4 4" xfId="29548"/>
    <cellStyle name="Percent 2 3 4 4 2" xfId="29549"/>
    <cellStyle name="Percent 2 3 4 4 2 2" xfId="29550"/>
    <cellStyle name="Percent 2 3 4 4 2 2 2" xfId="29551"/>
    <cellStyle name="Percent 2 3 4 4 2 3" xfId="29552"/>
    <cellStyle name="Percent 2 3 4 4 3" xfId="29553"/>
    <cellStyle name="Percent 2 3 4 4 3 2" xfId="29554"/>
    <cellStyle name="Percent 2 3 4 4 4" xfId="29555"/>
    <cellStyle name="Percent 2 3 4 5" xfId="29556"/>
    <cellStyle name="Percent 2 3 4 5 2" xfId="29557"/>
    <cellStyle name="Percent 2 3 4 5 2 2" xfId="29558"/>
    <cellStyle name="Percent 2 3 4 5 3" xfId="29559"/>
    <cellStyle name="Percent 2 3 4 6" xfId="29560"/>
    <cellStyle name="Percent 2 3 4 6 2" xfId="29561"/>
    <cellStyle name="Percent 2 3 4 6 2 2" xfId="29562"/>
    <cellStyle name="Percent 2 3 4 6 3" xfId="29563"/>
    <cellStyle name="Percent 2 3 4 7" xfId="29564"/>
    <cellStyle name="Percent 2 3 4 7 2" xfId="29565"/>
    <cellStyle name="Percent 2 3 4 8" xfId="29566"/>
    <cellStyle name="Percent 2 3 4 8 2" xfId="37266"/>
    <cellStyle name="Percent 2 3 4 9" xfId="29567"/>
    <cellStyle name="Percent 2 3 5" xfId="29568"/>
    <cellStyle name="Percent 2 3 5 2" xfId="29569"/>
    <cellStyle name="Percent 2 3 5 2 2" xfId="29570"/>
    <cellStyle name="Percent 2 3 5 2 2 2" xfId="29571"/>
    <cellStyle name="Percent 2 3 5 2 2 2 2" xfId="29572"/>
    <cellStyle name="Percent 2 3 5 2 2 2 3" xfId="29573"/>
    <cellStyle name="Percent 2 3 5 2 2 3" xfId="29574"/>
    <cellStyle name="Percent 2 3 5 2 2 3 2" xfId="29575"/>
    <cellStyle name="Percent 2 3 5 2 2 4" xfId="29576"/>
    <cellStyle name="Percent 2 3 5 2 3" xfId="29577"/>
    <cellStyle name="Percent 2 3 5 2 3 2" xfId="29578"/>
    <cellStyle name="Percent 2 3 5 2 3 2 2" xfId="29579"/>
    <cellStyle name="Percent 2 3 5 2 3 3" xfId="29580"/>
    <cellStyle name="Percent 2 3 5 2 4" xfId="29581"/>
    <cellStyle name="Percent 2 3 5 2 4 2" xfId="29582"/>
    <cellStyle name="Percent 2 3 5 2 4 3" xfId="29583"/>
    <cellStyle name="Percent 2 3 5 2 5" xfId="29584"/>
    <cellStyle name="Percent 2 3 5 2 5 2" xfId="29585"/>
    <cellStyle name="Percent 2 3 5 2 6" xfId="29586"/>
    <cellStyle name="Percent 2 3 5 2 6 2" xfId="37267"/>
    <cellStyle name="Percent 2 3 5 2 7" xfId="29587"/>
    <cellStyle name="Percent 2 3 5 3" xfId="29588"/>
    <cellStyle name="Percent 2 3 5 3 2" xfId="29589"/>
    <cellStyle name="Percent 2 3 5 3 2 2" xfId="29590"/>
    <cellStyle name="Percent 2 3 5 3 2 2 2" xfId="29591"/>
    <cellStyle name="Percent 2 3 5 3 2 3" xfId="29592"/>
    <cellStyle name="Percent 2 3 5 3 3" xfId="29593"/>
    <cellStyle name="Percent 2 3 5 3 3 2" xfId="29594"/>
    <cellStyle name="Percent 2 3 5 3 4" xfId="29595"/>
    <cellStyle name="Percent 2 3 5 4" xfId="29596"/>
    <cellStyle name="Percent 2 3 5 4 2" xfId="29597"/>
    <cellStyle name="Percent 2 3 5 4 2 2" xfId="29598"/>
    <cellStyle name="Percent 2 3 5 4 3" xfId="29599"/>
    <cellStyle name="Percent 2 3 5 5" xfId="29600"/>
    <cellStyle name="Percent 2 3 5 5 2" xfId="29601"/>
    <cellStyle name="Percent 2 3 5 5 2 2" xfId="29602"/>
    <cellStyle name="Percent 2 3 5 5 3" xfId="29603"/>
    <cellStyle name="Percent 2 3 5 6" xfId="29604"/>
    <cellStyle name="Percent 2 3 5 6 2" xfId="29605"/>
    <cellStyle name="Percent 2 3 5 7" xfId="29606"/>
    <cellStyle name="Percent 2 3 5 7 2" xfId="37268"/>
    <cellStyle name="Percent 2 3 5 8" xfId="29607"/>
    <cellStyle name="Percent 2 3 6" xfId="29608"/>
    <cellStyle name="Percent 2 3 6 2" xfId="29609"/>
    <cellStyle name="Percent 2 3 6 2 2" xfId="29610"/>
    <cellStyle name="Percent 2 3 6 2 2 2" xfId="29611"/>
    <cellStyle name="Percent 2 3 6 2 2 2 2" xfId="29612"/>
    <cellStyle name="Percent 2 3 6 2 2 2 3" xfId="29613"/>
    <cellStyle name="Percent 2 3 6 2 2 3" xfId="29614"/>
    <cellStyle name="Percent 2 3 6 2 2 3 2" xfId="29615"/>
    <cellStyle name="Percent 2 3 6 2 2 4" xfId="29616"/>
    <cellStyle name="Percent 2 3 6 2 3" xfId="29617"/>
    <cellStyle name="Percent 2 3 6 2 3 2" xfId="29618"/>
    <cellStyle name="Percent 2 3 6 2 3 2 2" xfId="29619"/>
    <cellStyle name="Percent 2 3 6 2 3 3" xfId="29620"/>
    <cellStyle name="Percent 2 3 6 2 4" xfId="29621"/>
    <cellStyle name="Percent 2 3 6 2 4 2" xfId="29622"/>
    <cellStyle name="Percent 2 3 6 2 4 3" xfId="29623"/>
    <cellStyle name="Percent 2 3 6 2 5" xfId="29624"/>
    <cellStyle name="Percent 2 3 6 2 5 2" xfId="29625"/>
    <cellStyle name="Percent 2 3 6 2 6" xfId="29626"/>
    <cellStyle name="Percent 2 3 6 2 6 2" xfId="37269"/>
    <cellStyle name="Percent 2 3 6 2 7" xfId="29627"/>
    <cellStyle name="Percent 2 3 6 3" xfId="29628"/>
    <cellStyle name="Percent 2 3 6 3 2" xfId="29629"/>
    <cellStyle name="Percent 2 3 6 3 2 2" xfId="29630"/>
    <cellStyle name="Percent 2 3 6 3 2 2 2" xfId="29631"/>
    <cellStyle name="Percent 2 3 6 3 2 3" xfId="29632"/>
    <cellStyle name="Percent 2 3 6 3 3" xfId="29633"/>
    <cellStyle name="Percent 2 3 6 3 3 2" xfId="29634"/>
    <cellStyle name="Percent 2 3 6 3 4" xfId="29635"/>
    <cellStyle name="Percent 2 3 6 4" xfId="29636"/>
    <cellStyle name="Percent 2 3 6 4 2" xfId="29637"/>
    <cellStyle name="Percent 2 3 6 4 2 2" xfId="29638"/>
    <cellStyle name="Percent 2 3 6 4 3" xfId="29639"/>
    <cellStyle name="Percent 2 3 6 5" xfId="29640"/>
    <cellStyle name="Percent 2 3 6 5 2" xfId="29641"/>
    <cellStyle name="Percent 2 3 6 5 2 2" xfId="29642"/>
    <cellStyle name="Percent 2 3 6 5 3" xfId="29643"/>
    <cellStyle name="Percent 2 3 6 6" xfId="29644"/>
    <cellStyle name="Percent 2 3 6 6 2" xfId="29645"/>
    <cellStyle name="Percent 2 3 6 7" xfId="29646"/>
    <cellStyle name="Percent 2 3 6 7 2" xfId="37270"/>
    <cellStyle name="Percent 2 3 6 8" xfId="29647"/>
    <cellStyle name="Percent 2 3 7" xfId="29648"/>
    <cellStyle name="Percent 2 3 7 2" xfId="29649"/>
    <cellStyle name="Percent 2 3 7 2 2" xfId="29650"/>
    <cellStyle name="Percent 2 3 7 2 2 2" xfId="29651"/>
    <cellStyle name="Percent 2 3 7 2 2 2 2" xfId="29652"/>
    <cellStyle name="Percent 2 3 7 2 2 2 3" xfId="29653"/>
    <cellStyle name="Percent 2 3 7 2 2 3" xfId="29654"/>
    <cellStyle name="Percent 2 3 7 2 2 3 2" xfId="29655"/>
    <cellStyle name="Percent 2 3 7 2 2 4" xfId="29656"/>
    <cellStyle name="Percent 2 3 7 2 3" xfId="29657"/>
    <cellStyle name="Percent 2 3 7 2 3 2" xfId="29658"/>
    <cellStyle name="Percent 2 3 7 2 3 2 2" xfId="29659"/>
    <cellStyle name="Percent 2 3 7 2 3 3" xfId="29660"/>
    <cellStyle name="Percent 2 3 7 2 4" xfId="29661"/>
    <cellStyle name="Percent 2 3 7 2 4 2" xfId="29662"/>
    <cellStyle name="Percent 2 3 7 2 4 3" xfId="29663"/>
    <cellStyle name="Percent 2 3 7 2 5" xfId="29664"/>
    <cellStyle name="Percent 2 3 7 2 5 2" xfId="29665"/>
    <cellStyle name="Percent 2 3 7 2 6" xfId="29666"/>
    <cellStyle name="Percent 2 3 7 2 6 2" xfId="37271"/>
    <cellStyle name="Percent 2 3 7 2 7" xfId="29667"/>
    <cellStyle name="Percent 2 3 7 3" xfId="29668"/>
    <cellStyle name="Percent 2 3 7 3 2" xfId="29669"/>
    <cellStyle name="Percent 2 3 7 3 2 2" xfId="29670"/>
    <cellStyle name="Percent 2 3 7 3 2 2 2" xfId="29671"/>
    <cellStyle name="Percent 2 3 7 3 2 3" xfId="29672"/>
    <cellStyle name="Percent 2 3 7 3 3" xfId="29673"/>
    <cellStyle name="Percent 2 3 7 3 3 2" xfId="29674"/>
    <cellStyle name="Percent 2 3 7 3 4" xfId="29675"/>
    <cellStyle name="Percent 2 3 7 4" xfId="29676"/>
    <cellStyle name="Percent 2 3 7 4 2" xfId="29677"/>
    <cellStyle name="Percent 2 3 7 4 2 2" xfId="29678"/>
    <cellStyle name="Percent 2 3 7 4 3" xfId="29679"/>
    <cellStyle name="Percent 2 3 7 5" xfId="29680"/>
    <cellStyle name="Percent 2 3 7 5 2" xfId="29681"/>
    <cellStyle name="Percent 2 3 7 5 2 2" xfId="29682"/>
    <cellStyle name="Percent 2 3 7 5 3" xfId="29683"/>
    <cellStyle name="Percent 2 3 7 6" xfId="29684"/>
    <cellStyle name="Percent 2 3 7 6 2" xfId="29685"/>
    <cellStyle name="Percent 2 3 7 7" xfId="29686"/>
    <cellStyle name="Percent 2 3 7 7 2" xfId="37272"/>
    <cellStyle name="Percent 2 3 7 8" xfId="29687"/>
    <cellStyle name="Percent 2 3 8" xfId="29688"/>
    <cellStyle name="Percent 2 3 8 2" xfId="29689"/>
    <cellStyle name="Percent 2 3 8 2 2" xfId="29690"/>
    <cellStyle name="Percent 2 3 8 2 2 2" xfId="29691"/>
    <cellStyle name="Percent 2 3 8 2 2 3" xfId="29692"/>
    <cellStyle name="Percent 2 3 8 2 3" xfId="29693"/>
    <cellStyle name="Percent 2 3 8 2 3 2" xfId="29694"/>
    <cellStyle name="Percent 2 3 8 2 4" xfId="29695"/>
    <cellStyle name="Percent 2 3 8 3" xfId="29696"/>
    <cellStyle name="Percent 2 3 8 3 2" xfId="29697"/>
    <cellStyle name="Percent 2 3 8 3 2 2" xfId="29698"/>
    <cellStyle name="Percent 2 3 8 3 3" xfId="29699"/>
    <cellStyle name="Percent 2 3 8 4" xfId="29700"/>
    <cellStyle name="Percent 2 3 8 4 2" xfId="29701"/>
    <cellStyle name="Percent 2 3 8 4 3" xfId="29702"/>
    <cellStyle name="Percent 2 3 8 5" xfId="29703"/>
    <cellStyle name="Percent 2 3 8 5 2" xfId="29704"/>
    <cellStyle name="Percent 2 3 8 6" xfId="29705"/>
    <cellStyle name="Percent 2 3 8 6 2" xfId="37273"/>
    <cellStyle name="Percent 2 3 8 7" xfId="29706"/>
    <cellStyle name="Percent 2 3 9" xfId="29707"/>
    <cellStyle name="Percent 2 3 9 2" xfId="29708"/>
    <cellStyle name="Percent 2 3 9 2 2" xfId="29709"/>
    <cellStyle name="Percent 2 3 9 2 2 2" xfId="29710"/>
    <cellStyle name="Percent 2 3 9 2 3" xfId="29711"/>
    <cellStyle name="Percent 2 3 9 3" xfId="29712"/>
    <cellStyle name="Percent 2 3 9 3 2" xfId="29713"/>
    <cellStyle name="Percent 2 3 9 4" xfId="29714"/>
    <cellStyle name="Percent 2 4" xfId="29715"/>
    <cellStyle name="Percent 2 4 10" xfId="29716"/>
    <cellStyle name="Percent 2 4 10 2" xfId="29717"/>
    <cellStyle name="Percent 2 4 10 2 2" xfId="29718"/>
    <cellStyle name="Percent 2 4 10 3" xfId="29719"/>
    <cellStyle name="Percent 2 4 11" xfId="29720"/>
    <cellStyle name="Percent 2 4 11 2" xfId="29721"/>
    <cellStyle name="Percent 2 4 11 2 2" xfId="29722"/>
    <cellStyle name="Percent 2 4 11 3" xfId="29723"/>
    <cellStyle name="Percent 2 4 12" xfId="29724"/>
    <cellStyle name="Percent 2 4 12 2" xfId="29725"/>
    <cellStyle name="Percent 2 4 13" xfId="29726"/>
    <cellStyle name="Percent 2 4 13 2" xfId="37274"/>
    <cellStyle name="Percent 2 4 14" xfId="29727"/>
    <cellStyle name="Percent 2 4 2" xfId="29728"/>
    <cellStyle name="Percent 2 4 2 10" xfId="29729"/>
    <cellStyle name="Percent 2 4 2 2" xfId="29730"/>
    <cellStyle name="Percent 2 4 2 2 2" xfId="29731"/>
    <cellStyle name="Percent 2 4 2 2 2 2" xfId="29732"/>
    <cellStyle name="Percent 2 4 2 2 2 2 2" xfId="29733"/>
    <cellStyle name="Percent 2 4 2 2 2 2 2 2" xfId="29734"/>
    <cellStyle name="Percent 2 4 2 2 2 2 2 2 2" xfId="29735"/>
    <cellStyle name="Percent 2 4 2 2 2 2 2 2 3" xfId="29736"/>
    <cellStyle name="Percent 2 4 2 2 2 2 2 3" xfId="29737"/>
    <cellStyle name="Percent 2 4 2 2 2 2 2 3 2" xfId="29738"/>
    <cellStyle name="Percent 2 4 2 2 2 2 2 4" xfId="29739"/>
    <cellStyle name="Percent 2 4 2 2 2 2 3" xfId="29740"/>
    <cellStyle name="Percent 2 4 2 2 2 2 3 2" xfId="29741"/>
    <cellStyle name="Percent 2 4 2 2 2 2 3 2 2" xfId="29742"/>
    <cellStyle name="Percent 2 4 2 2 2 2 3 3" xfId="29743"/>
    <cellStyle name="Percent 2 4 2 2 2 2 4" xfId="29744"/>
    <cellStyle name="Percent 2 4 2 2 2 2 4 2" xfId="29745"/>
    <cellStyle name="Percent 2 4 2 2 2 2 4 3" xfId="29746"/>
    <cellStyle name="Percent 2 4 2 2 2 2 5" xfId="29747"/>
    <cellStyle name="Percent 2 4 2 2 2 2 5 2" xfId="29748"/>
    <cellStyle name="Percent 2 4 2 2 2 2 6" xfId="29749"/>
    <cellStyle name="Percent 2 4 2 2 2 2 6 2" xfId="37275"/>
    <cellStyle name="Percent 2 4 2 2 2 2 7" xfId="29750"/>
    <cellStyle name="Percent 2 4 2 2 2 3" xfId="29751"/>
    <cellStyle name="Percent 2 4 2 2 2 3 2" xfId="29752"/>
    <cellStyle name="Percent 2 4 2 2 2 3 2 2" xfId="29753"/>
    <cellStyle name="Percent 2 4 2 2 2 3 2 2 2" xfId="29754"/>
    <cellStyle name="Percent 2 4 2 2 2 3 2 3" xfId="29755"/>
    <cellStyle name="Percent 2 4 2 2 2 3 3" xfId="29756"/>
    <cellStyle name="Percent 2 4 2 2 2 3 3 2" xfId="29757"/>
    <cellStyle name="Percent 2 4 2 2 2 3 4" xfId="29758"/>
    <cellStyle name="Percent 2 4 2 2 2 4" xfId="29759"/>
    <cellStyle name="Percent 2 4 2 2 2 4 2" xfId="29760"/>
    <cellStyle name="Percent 2 4 2 2 2 4 2 2" xfId="29761"/>
    <cellStyle name="Percent 2 4 2 2 2 4 3" xfId="29762"/>
    <cellStyle name="Percent 2 4 2 2 2 5" xfId="29763"/>
    <cellStyle name="Percent 2 4 2 2 2 5 2" xfId="29764"/>
    <cellStyle name="Percent 2 4 2 2 2 5 2 2" xfId="29765"/>
    <cellStyle name="Percent 2 4 2 2 2 5 3" xfId="29766"/>
    <cellStyle name="Percent 2 4 2 2 2 6" xfId="29767"/>
    <cellStyle name="Percent 2 4 2 2 2 6 2" xfId="29768"/>
    <cellStyle name="Percent 2 4 2 2 2 7" xfId="29769"/>
    <cellStyle name="Percent 2 4 2 2 2 7 2" xfId="37276"/>
    <cellStyle name="Percent 2 4 2 2 2 8" xfId="29770"/>
    <cellStyle name="Percent 2 4 2 2 3" xfId="29771"/>
    <cellStyle name="Percent 2 4 2 2 3 2" xfId="29772"/>
    <cellStyle name="Percent 2 4 2 2 3 2 2" xfId="29773"/>
    <cellStyle name="Percent 2 4 2 2 3 2 2 2" xfId="29774"/>
    <cellStyle name="Percent 2 4 2 2 3 2 2 3" xfId="29775"/>
    <cellStyle name="Percent 2 4 2 2 3 2 3" xfId="29776"/>
    <cellStyle name="Percent 2 4 2 2 3 2 3 2" xfId="29777"/>
    <cellStyle name="Percent 2 4 2 2 3 2 4" xfId="29778"/>
    <cellStyle name="Percent 2 4 2 2 3 3" xfId="29779"/>
    <cellStyle name="Percent 2 4 2 2 3 3 2" xfId="29780"/>
    <cellStyle name="Percent 2 4 2 2 3 3 2 2" xfId="29781"/>
    <cellStyle name="Percent 2 4 2 2 3 3 3" xfId="29782"/>
    <cellStyle name="Percent 2 4 2 2 3 4" xfId="29783"/>
    <cellStyle name="Percent 2 4 2 2 3 4 2" xfId="29784"/>
    <cellStyle name="Percent 2 4 2 2 3 4 3" xfId="29785"/>
    <cellStyle name="Percent 2 4 2 2 3 5" xfId="29786"/>
    <cellStyle name="Percent 2 4 2 2 3 5 2" xfId="29787"/>
    <cellStyle name="Percent 2 4 2 2 3 6" xfId="29788"/>
    <cellStyle name="Percent 2 4 2 2 3 6 2" xfId="37277"/>
    <cellStyle name="Percent 2 4 2 2 3 7" xfId="29789"/>
    <cellStyle name="Percent 2 4 2 2 4" xfId="29790"/>
    <cellStyle name="Percent 2 4 2 2 4 2" xfId="29791"/>
    <cellStyle name="Percent 2 4 2 2 4 2 2" xfId="29792"/>
    <cellStyle name="Percent 2 4 2 2 4 2 2 2" xfId="29793"/>
    <cellStyle name="Percent 2 4 2 2 4 2 3" xfId="29794"/>
    <cellStyle name="Percent 2 4 2 2 4 3" xfId="29795"/>
    <cellStyle name="Percent 2 4 2 2 4 3 2" xfId="29796"/>
    <cellStyle name="Percent 2 4 2 2 4 4" xfId="29797"/>
    <cellStyle name="Percent 2 4 2 2 5" xfId="29798"/>
    <cellStyle name="Percent 2 4 2 2 5 2" xfId="29799"/>
    <cellStyle name="Percent 2 4 2 2 5 2 2" xfId="29800"/>
    <cellStyle name="Percent 2 4 2 2 5 3" xfId="29801"/>
    <cellStyle name="Percent 2 4 2 2 6" xfId="29802"/>
    <cellStyle name="Percent 2 4 2 2 6 2" xfId="29803"/>
    <cellStyle name="Percent 2 4 2 2 6 2 2" xfId="29804"/>
    <cellStyle name="Percent 2 4 2 2 6 3" xfId="29805"/>
    <cellStyle name="Percent 2 4 2 2 7" xfId="29806"/>
    <cellStyle name="Percent 2 4 2 2 7 2" xfId="29807"/>
    <cellStyle name="Percent 2 4 2 2 8" xfId="29808"/>
    <cellStyle name="Percent 2 4 2 2 8 2" xfId="37278"/>
    <cellStyle name="Percent 2 4 2 2 9" xfId="29809"/>
    <cellStyle name="Percent 2 4 2 3" xfId="29810"/>
    <cellStyle name="Percent 2 4 2 3 2" xfId="29811"/>
    <cellStyle name="Percent 2 4 2 3 2 2" xfId="29812"/>
    <cellStyle name="Percent 2 4 2 3 2 2 2" xfId="29813"/>
    <cellStyle name="Percent 2 4 2 3 2 2 2 2" xfId="29814"/>
    <cellStyle name="Percent 2 4 2 3 2 2 2 3" xfId="29815"/>
    <cellStyle name="Percent 2 4 2 3 2 2 3" xfId="29816"/>
    <cellStyle name="Percent 2 4 2 3 2 2 3 2" xfId="29817"/>
    <cellStyle name="Percent 2 4 2 3 2 2 4" xfId="29818"/>
    <cellStyle name="Percent 2 4 2 3 2 3" xfId="29819"/>
    <cellStyle name="Percent 2 4 2 3 2 3 2" xfId="29820"/>
    <cellStyle name="Percent 2 4 2 3 2 3 2 2" xfId="29821"/>
    <cellStyle name="Percent 2 4 2 3 2 3 3" xfId="29822"/>
    <cellStyle name="Percent 2 4 2 3 2 4" xfId="29823"/>
    <cellStyle name="Percent 2 4 2 3 2 4 2" xfId="29824"/>
    <cellStyle name="Percent 2 4 2 3 2 4 3" xfId="29825"/>
    <cellStyle name="Percent 2 4 2 3 2 5" xfId="29826"/>
    <cellStyle name="Percent 2 4 2 3 2 5 2" xfId="29827"/>
    <cellStyle name="Percent 2 4 2 3 2 6" xfId="29828"/>
    <cellStyle name="Percent 2 4 2 3 2 6 2" xfId="37279"/>
    <cellStyle name="Percent 2 4 2 3 2 7" xfId="29829"/>
    <cellStyle name="Percent 2 4 2 3 3" xfId="29830"/>
    <cellStyle name="Percent 2 4 2 3 3 2" xfId="29831"/>
    <cellStyle name="Percent 2 4 2 3 3 2 2" xfId="29832"/>
    <cellStyle name="Percent 2 4 2 3 3 2 2 2" xfId="29833"/>
    <cellStyle name="Percent 2 4 2 3 3 2 3" xfId="29834"/>
    <cellStyle name="Percent 2 4 2 3 3 3" xfId="29835"/>
    <cellStyle name="Percent 2 4 2 3 3 3 2" xfId="29836"/>
    <cellStyle name="Percent 2 4 2 3 3 4" xfId="29837"/>
    <cellStyle name="Percent 2 4 2 3 4" xfId="29838"/>
    <cellStyle name="Percent 2 4 2 3 4 2" xfId="29839"/>
    <cellStyle name="Percent 2 4 2 3 4 2 2" xfId="29840"/>
    <cellStyle name="Percent 2 4 2 3 4 3" xfId="29841"/>
    <cellStyle name="Percent 2 4 2 3 5" xfId="29842"/>
    <cellStyle name="Percent 2 4 2 3 5 2" xfId="29843"/>
    <cellStyle name="Percent 2 4 2 3 5 2 2" xfId="29844"/>
    <cellStyle name="Percent 2 4 2 3 5 3" xfId="29845"/>
    <cellStyle name="Percent 2 4 2 3 6" xfId="29846"/>
    <cellStyle name="Percent 2 4 2 3 6 2" xfId="29847"/>
    <cellStyle name="Percent 2 4 2 3 7" xfId="29848"/>
    <cellStyle name="Percent 2 4 2 3 7 2" xfId="37280"/>
    <cellStyle name="Percent 2 4 2 3 8" xfId="29849"/>
    <cellStyle name="Percent 2 4 2 4" xfId="29850"/>
    <cellStyle name="Percent 2 4 2 4 2" xfId="29851"/>
    <cellStyle name="Percent 2 4 2 4 2 2" xfId="29852"/>
    <cellStyle name="Percent 2 4 2 4 2 2 2" xfId="29853"/>
    <cellStyle name="Percent 2 4 2 4 2 2 3" xfId="29854"/>
    <cellStyle name="Percent 2 4 2 4 2 3" xfId="29855"/>
    <cellStyle name="Percent 2 4 2 4 2 3 2" xfId="29856"/>
    <cellStyle name="Percent 2 4 2 4 2 4" xfId="29857"/>
    <cellStyle name="Percent 2 4 2 4 3" xfId="29858"/>
    <cellStyle name="Percent 2 4 2 4 3 2" xfId="29859"/>
    <cellStyle name="Percent 2 4 2 4 3 2 2" xfId="29860"/>
    <cellStyle name="Percent 2 4 2 4 3 3" xfId="29861"/>
    <cellStyle name="Percent 2 4 2 4 4" xfId="29862"/>
    <cellStyle name="Percent 2 4 2 4 4 2" xfId="29863"/>
    <cellStyle name="Percent 2 4 2 4 4 3" xfId="29864"/>
    <cellStyle name="Percent 2 4 2 4 5" xfId="29865"/>
    <cellStyle name="Percent 2 4 2 4 5 2" xfId="29866"/>
    <cellStyle name="Percent 2 4 2 4 6" xfId="29867"/>
    <cellStyle name="Percent 2 4 2 4 6 2" xfId="37281"/>
    <cellStyle name="Percent 2 4 2 4 7" xfId="29868"/>
    <cellStyle name="Percent 2 4 2 5" xfId="29869"/>
    <cellStyle name="Percent 2 4 2 5 2" xfId="29870"/>
    <cellStyle name="Percent 2 4 2 5 2 2" xfId="29871"/>
    <cellStyle name="Percent 2 4 2 5 2 2 2" xfId="29872"/>
    <cellStyle name="Percent 2 4 2 5 2 3" xfId="29873"/>
    <cellStyle name="Percent 2 4 2 5 3" xfId="29874"/>
    <cellStyle name="Percent 2 4 2 5 3 2" xfId="29875"/>
    <cellStyle name="Percent 2 4 2 5 4" xfId="29876"/>
    <cellStyle name="Percent 2 4 2 6" xfId="29877"/>
    <cellStyle name="Percent 2 4 2 6 2" xfId="29878"/>
    <cellStyle name="Percent 2 4 2 6 2 2" xfId="29879"/>
    <cellStyle name="Percent 2 4 2 6 3" xfId="29880"/>
    <cellStyle name="Percent 2 4 2 7" xfId="29881"/>
    <cellStyle name="Percent 2 4 2 7 2" xfId="29882"/>
    <cellStyle name="Percent 2 4 2 7 2 2" xfId="29883"/>
    <cellStyle name="Percent 2 4 2 7 3" xfId="29884"/>
    <cellStyle name="Percent 2 4 2 8" xfId="29885"/>
    <cellStyle name="Percent 2 4 2 8 2" xfId="29886"/>
    <cellStyle name="Percent 2 4 2 9" xfId="29887"/>
    <cellStyle name="Percent 2 4 2 9 2" xfId="37282"/>
    <cellStyle name="Percent 2 4 3" xfId="29888"/>
    <cellStyle name="Percent 2 4 3 2" xfId="29889"/>
    <cellStyle name="Percent 2 4 3 2 2" xfId="29890"/>
    <cellStyle name="Percent 2 4 3 2 2 2" xfId="29891"/>
    <cellStyle name="Percent 2 4 3 2 2 2 2" xfId="29892"/>
    <cellStyle name="Percent 2 4 3 2 2 2 2 2" xfId="29893"/>
    <cellStyle name="Percent 2 4 3 2 2 2 2 3" xfId="29894"/>
    <cellStyle name="Percent 2 4 3 2 2 2 3" xfId="29895"/>
    <cellStyle name="Percent 2 4 3 2 2 2 3 2" xfId="29896"/>
    <cellStyle name="Percent 2 4 3 2 2 2 4" xfId="29897"/>
    <cellStyle name="Percent 2 4 3 2 2 3" xfId="29898"/>
    <cellStyle name="Percent 2 4 3 2 2 3 2" xfId="29899"/>
    <cellStyle name="Percent 2 4 3 2 2 3 2 2" xfId="29900"/>
    <cellStyle name="Percent 2 4 3 2 2 3 3" xfId="29901"/>
    <cellStyle name="Percent 2 4 3 2 2 4" xfId="29902"/>
    <cellStyle name="Percent 2 4 3 2 2 4 2" xfId="29903"/>
    <cellStyle name="Percent 2 4 3 2 2 4 3" xfId="29904"/>
    <cellStyle name="Percent 2 4 3 2 2 5" xfId="29905"/>
    <cellStyle name="Percent 2 4 3 2 2 5 2" xfId="29906"/>
    <cellStyle name="Percent 2 4 3 2 2 6" xfId="29907"/>
    <cellStyle name="Percent 2 4 3 2 2 6 2" xfId="37283"/>
    <cellStyle name="Percent 2 4 3 2 2 7" xfId="29908"/>
    <cellStyle name="Percent 2 4 3 2 3" xfId="29909"/>
    <cellStyle name="Percent 2 4 3 2 3 2" xfId="29910"/>
    <cellStyle name="Percent 2 4 3 2 3 2 2" xfId="29911"/>
    <cellStyle name="Percent 2 4 3 2 3 2 2 2" xfId="29912"/>
    <cellStyle name="Percent 2 4 3 2 3 2 3" xfId="29913"/>
    <cellStyle name="Percent 2 4 3 2 3 3" xfId="29914"/>
    <cellStyle name="Percent 2 4 3 2 3 3 2" xfId="29915"/>
    <cellStyle name="Percent 2 4 3 2 3 4" xfId="29916"/>
    <cellStyle name="Percent 2 4 3 2 4" xfId="29917"/>
    <cellStyle name="Percent 2 4 3 2 4 2" xfId="29918"/>
    <cellStyle name="Percent 2 4 3 2 4 2 2" xfId="29919"/>
    <cellStyle name="Percent 2 4 3 2 4 3" xfId="29920"/>
    <cellStyle name="Percent 2 4 3 2 5" xfId="29921"/>
    <cellStyle name="Percent 2 4 3 2 5 2" xfId="29922"/>
    <cellStyle name="Percent 2 4 3 2 5 2 2" xfId="29923"/>
    <cellStyle name="Percent 2 4 3 2 5 3" xfId="29924"/>
    <cellStyle name="Percent 2 4 3 2 6" xfId="29925"/>
    <cellStyle name="Percent 2 4 3 2 6 2" xfId="29926"/>
    <cellStyle name="Percent 2 4 3 2 7" xfId="29927"/>
    <cellStyle name="Percent 2 4 3 2 7 2" xfId="37284"/>
    <cellStyle name="Percent 2 4 3 2 8" xfId="29928"/>
    <cellStyle name="Percent 2 4 3 3" xfId="29929"/>
    <cellStyle name="Percent 2 4 3 3 2" xfId="29930"/>
    <cellStyle name="Percent 2 4 3 3 2 2" xfId="29931"/>
    <cellStyle name="Percent 2 4 3 3 2 2 2" xfId="29932"/>
    <cellStyle name="Percent 2 4 3 3 2 2 3" xfId="29933"/>
    <cellStyle name="Percent 2 4 3 3 2 3" xfId="29934"/>
    <cellStyle name="Percent 2 4 3 3 2 3 2" xfId="29935"/>
    <cellStyle name="Percent 2 4 3 3 2 4" xfId="29936"/>
    <cellStyle name="Percent 2 4 3 3 3" xfId="29937"/>
    <cellStyle name="Percent 2 4 3 3 3 2" xfId="29938"/>
    <cellStyle name="Percent 2 4 3 3 3 2 2" xfId="29939"/>
    <cellStyle name="Percent 2 4 3 3 3 3" xfId="29940"/>
    <cellStyle name="Percent 2 4 3 3 4" xfId="29941"/>
    <cellStyle name="Percent 2 4 3 3 4 2" xfId="29942"/>
    <cellStyle name="Percent 2 4 3 3 4 3" xfId="29943"/>
    <cellStyle name="Percent 2 4 3 3 5" xfId="29944"/>
    <cellStyle name="Percent 2 4 3 3 5 2" xfId="29945"/>
    <cellStyle name="Percent 2 4 3 3 6" xfId="29946"/>
    <cellStyle name="Percent 2 4 3 3 6 2" xfId="37285"/>
    <cellStyle name="Percent 2 4 3 3 7" xfId="29947"/>
    <cellStyle name="Percent 2 4 3 4" xfId="29948"/>
    <cellStyle name="Percent 2 4 3 4 2" xfId="29949"/>
    <cellStyle name="Percent 2 4 3 4 2 2" xfId="29950"/>
    <cellStyle name="Percent 2 4 3 4 2 2 2" xfId="29951"/>
    <cellStyle name="Percent 2 4 3 4 2 3" xfId="29952"/>
    <cellStyle name="Percent 2 4 3 4 3" xfId="29953"/>
    <cellStyle name="Percent 2 4 3 4 3 2" xfId="29954"/>
    <cellStyle name="Percent 2 4 3 4 4" xfId="29955"/>
    <cellStyle name="Percent 2 4 3 5" xfId="29956"/>
    <cellStyle name="Percent 2 4 3 5 2" xfId="29957"/>
    <cellStyle name="Percent 2 4 3 5 2 2" xfId="29958"/>
    <cellStyle name="Percent 2 4 3 5 3" xfId="29959"/>
    <cellStyle name="Percent 2 4 3 6" xfId="29960"/>
    <cellStyle name="Percent 2 4 3 6 2" xfId="29961"/>
    <cellStyle name="Percent 2 4 3 6 2 2" xfId="29962"/>
    <cellStyle name="Percent 2 4 3 6 3" xfId="29963"/>
    <cellStyle name="Percent 2 4 3 7" xfId="29964"/>
    <cellStyle name="Percent 2 4 3 7 2" xfId="29965"/>
    <cellStyle name="Percent 2 4 3 8" xfId="29966"/>
    <cellStyle name="Percent 2 4 3 8 2" xfId="37286"/>
    <cellStyle name="Percent 2 4 3 9" xfId="29967"/>
    <cellStyle name="Percent 2 4 4" xfId="29968"/>
    <cellStyle name="Percent 2 4 4 2" xfId="29969"/>
    <cellStyle name="Percent 2 4 4 2 2" xfId="29970"/>
    <cellStyle name="Percent 2 4 4 2 2 2" xfId="29971"/>
    <cellStyle name="Percent 2 4 4 2 2 2 2" xfId="29972"/>
    <cellStyle name="Percent 2 4 4 2 2 2 2 2" xfId="29973"/>
    <cellStyle name="Percent 2 4 4 2 2 2 2 3" xfId="29974"/>
    <cellStyle name="Percent 2 4 4 2 2 2 3" xfId="29975"/>
    <cellStyle name="Percent 2 4 4 2 2 2 3 2" xfId="29976"/>
    <cellStyle name="Percent 2 4 4 2 2 2 4" xfId="29977"/>
    <cellStyle name="Percent 2 4 4 2 2 3" xfId="29978"/>
    <cellStyle name="Percent 2 4 4 2 2 3 2" xfId="29979"/>
    <cellStyle name="Percent 2 4 4 2 2 3 2 2" xfId="29980"/>
    <cellStyle name="Percent 2 4 4 2 2 3 3" xfId="29981"/>
    <cellStyle name="Percent 2 4 4 2 2 4" xfId="29982"/>
    <cellStyle name="Percent 2 4 4 2 2 4 2" xfId="29983"/>
    <cellStyle name="Percent 2 4 4 2 2 4 3" xfId="29984"/>
    <cellStyle name="Percent 2 4 4 2 2 5" xfId="29985"/>
    <cellStyle name="Percent 2 4 4 2 2 5 2" xfId="29986"/>
    <cellStyle name="Percent 2 4 4 2 2 6" xfId="29987"/>
    <cellStyle name="Percent 2 4 4 2 2 6 2" xfId="37287"/>
    <cellStyle name="Percent 2 4 4 2 2 7" xfId="29988"/>
    <cellStyle name="Percent 2 4 4 2 3" xfId="29989"/>
    <cellStyle name="Percent 2 4 4 2 3 2" xfId="29990"/>
    <cellStyle name="Percent 2 4 4 2 3 2 2" xfId="29991"/>
    <cellStyle name="Percent 2 4 4 2 3 2 2 2" xfId="29992"/>
    <cellStyle name="Percent 2 4 4 2 3 2 3" xfId="29993"/>
    <cellStyle name="Percent 2 4 4 2 3 3" xfId="29994"/>
    <cellStyle name="Percent 2 4 4 2 3 3 2" xfId="29995"/>
    <cellStyle name="Percent 2 4 4 2 3 4" xfId="29996"/>
    <cellStyle name="Percent 2 4 4 2 4" xfId="29997"/>
    <cellStyle name="Percent 2 4 4 2 4 2" xfId="29998"/>
    <cellStyle name="Percent 2 4 4 2 4 2 2" xfId="29999"/>
    <cellStyle name="Percent 2 4 4 2 4 3" xfId="30000"/>
    <cellStyle name="Percent 2 4 4 2 5" xfId="30001"/>
    <cellStyle name="Percent 2 4 4 2 5 2" xfId="30002"/>
    <cellStyle name="Percent 2 4 4 2 5 2 2" xfId="30003"/>
    <cellStyle name="Percent 2 4 4 2 5 3" xfId="30004"/>
    <cellStyle name="Percent 2 4 4 2 6" xfId="30005"/>
    <cellStyle name="Percent 2 4 4 2 6 2" xfId="30006"/>
    <cellStyle name="Percent 2 4 4 2 7" xfId="30007"/>
    <cellStyle name="Percent 2 4 4 2 7 2" xfId="37288"/>
    <cellStyle name="Percent 2 4 4 2 8" xfId="30008"/>
    <cellStyle name="Percent 2 4 4 3" xfId="30009"/>
    <cellStyle name="Percent 2 4 4 3 2" xfId="30010"/>
    <cellStyle name="Percent 2 4 4 3 2 2" xfId="30011"/>
    <cellStyle name="Percent 2 4 4 3 2 2 2" xfId="30012"/>
    <cellStyle name="Percent 2 4 4 3 2 2 3" xfId="30013"/>
    <cellStyle name="Percent 2 4 4 3 2 3" xfId="30014"/>
    <cellStyle name="Percent 2 4 4 3 2 3 2" xfId="30015"/>
    <cellStyle name="Percent 2 4 4 3 2 4" xfId="30016"/>
    <cellStyle name="Percent 2 4 4 3 3" xfId="30017"/>
    <cellStyle name="Percent 2 4 4 3 3 2" xfId="30018"/>
    <cellStyle name="Percent 2 4 4 3 3 2 2" xfId="30019"/>
    <cellStyle name="Percent 2 4 4 3 3 3" xfId="30020"/>
    <cellStyle name="Percent 2 4 4 3 4" xfId="30021"/>
    <cellStyle name="Percent 2 4 4 3 4 2" xfId="30022"/>
    <cellStyle name="Percent 2 4 4 3 4 3" xfId="30023"/>
    <cellStyle name="Percent 2 4 4 3 5" xfId="30024"/>
    <cellStyle name="Percent 2 4 4 3 5 2" xfId="30025"/>
    <cellStyle name="Percent 2 4 4 3 6" xfId="30026"/>
    <cellStyle name="Percent 2 4 4 3 6 2" xfId="37289"/>
    <cellStyle name="Percent 2 4 4 3 7" xfId="30027"/>
    <cellStyle name="Percent 2 4 4 4" xfId="30028"/>
    <cellStyle name="Percent 2 4 4 4 2" xfId="30029"/>
    <cellStyle name="Percent 2 4 4 4 2 2" xfId="30030"/>
    <cellStyle name="Percent 2 4 4 4 2 2 2" xfId="30031"/>
    <cellStyle name="Percent 2 4 4 4 2 3" xfId="30032"/>
    <cellStyle name="Percent 2 4 4 4 3" xfId="30033"/>
    <cellStyle name="Percent 2 4 4 4 3 2" xfId="30034"/>
    <cellStyle name="Percent 2 4 4 4 4" xfId="30035"/>
    <cellStyle name="Percent 2 4 4 5" xfId="30036"/>
    <cellStyle name="Percent 2 4 4 5 2" xfId="30037"/>
    <cellStyle name="Percent 2 4 4 5 2 2" xfId="30038"/>
    <cellStyle name="Percent 2 4 4 5 3" xfId="30039"/>
    <cellStyle name="Percent 2 4 4 6" xfId="30040"/>
    <cellStyle name="Percent 2 4 4 6 2" xfId="30041"/>
    <cellStyle name="Percent 2 4 4 6 2 2" xfId="30042"/>
    <cellStyle name="Percent 2 4 4 6 3" xfId="30043"/>
    <cellStyle name="Percent 2 4 4 7" xfId="30044"/>
    <cellStyle name="Percent 2 4 4 7 2" xfId="30045"/>
    <cellStyle name="Percent 2 4 4 8" xfId="30046"/>
    <cellStyle name="Percent 2 4 4 8 2" xfId="37290"/>
    <cellStyle name="Percent 2 4 4 9" xfId="30047"/>
    <cellStyle name="Percent 2 4 5" xfId="30048"/>
    <cellStyle name="Percent 2 4 5 2" xfId="30049"/>
    <cellStyle name="Percent 2 4 5 2 2" xfId="30050"/>
    <cellStyle name="Percent 2 4 5 2 2 2" xfId="30051"/>
    <cellStyle name="Percent 2 4 5 2 2 2 2" xfId="30052"/>
    <cellStyle name="Percent 2 4 5 2 2 2 3" xfId="30053"/>
    <cellStyle name="Percent 2 4 5 2 2 3" xfId="30054"/>
    <cellStyle name="Percent 2 4 5 2 2 3 2" xfId="30055"/>
    <cellStyle name="Percent 2 4 5 2 2 4" xfId="30056"/>
    <cellStyle name="Percent 2 4 5 2 3" xfId="30057"/>
    <cellStyle name="Percent 2 4 5 2 3 2" xfId="30058"/>
    <cellStyle name="Percent 2 4 5 2 3 2 2" xfId="30059"/>
    <cellStyle name="Percent 2 4 5 2 3 3" xfId="30060"/>
    <cellStyle name="Percent 2 4 5 2 4" xfId="30061"/>
    <cellStyle name="Percent 2 4 5 2 4 2" xfId="30062"/>
    <cellStyle name="Percent 2 4 5 2 4 3" xfId="30063"/>
    <cellStyle name="Percent 2 4 5 2 5" xfId="30064"/>
    <cellStyle name="Percent 2 4 5 2 5 2" xfId="30065"/>
    <cellStyle name="Percent 2 4 5 2 6" xfId="30066"/>
    <cellStyle name="Percent 2 4 5 2 6 2" xfId="37291"/>
    <cellStyle name="Percent 2 4 5 2 7" xfId="30067"/>
    <cellStyle name="Percent 2 4 5 3" xfId="30068"/>
    <cellStyle name="Percent 2 4 5 3 2" xfId="30069"/>
    <cellStyle name="Percent 2 4 5 3 2 2" xfId="30070"/>
    <cellStyle name="Percent 2 4 5 3 2 2 2" xfId="30071"/>
    <cellStyle name="Percent 2 4 5 3 2 3" xfId="30072"/>
    <cellStyle name="Percent 2 4 5 3 3" xfId="30073"/>
    <cellStyle name="Percent 2 4 5 3 3 2" xfId="30074"/>
    <cellStyle name="Percent 2 4 5 3 4" xfId="30075"/>
    <cellStyle name="Percent 2 4 5 4" xfId="30076"/>
    <cellStyle name="Percent 2 4 5 4 2" xfId="30077"/>
    <cellStyle name="Percent 2 4 5 4 2 2" xfId="30078"/>
    <cellStyle name="Percent 2 4 5 4 3" xfId="30079"/>
    <cellStyle name="Percent 2 4 5 5" xfId="30080"/>
    <cellStyle name="Percent 2 4 5 5 2" xfId="30081"/>
    <cellStyle name="Percent 2 4 5 5 2 2" xfId="30082"/>
    <cellStyle name="Percent 2 4 5 5 3" xfId="30083"/>
    <cellStyle name="Percent 2 4 5 6" xfId="30084"/>
    <cellStyle name="Percent 2 4 5 6 2" xfId="30085"/>
    <cellStyle name="Percent 2 4 5 7" xfId="30086"/>
    <cellStyle name="Percent 2 4 5 7 2" xfId="37292"/>
    <cellStyle name="Percent 2 4 5 8" xfId="30087"/>
    <cellStyle name="Percent 2 4 6" xfId="30088"/>
    <cellStyle name="Percent 2 4 6 2" xfId="30089"/>
    <cellStyle name="Percent 2 4 6 2 2" xfId="30090"/>
    <cellStyle name="Percent 2 4 6 2 2 2" xfId="30091"/>
    <cellStyle name="Percent 2 4 6 2 2 2 2" xfId="30092"/>
    <cellStyle name="Percent 2 4 6 2 2 2 3" xfId="30093"/>
    <cellStyle name="Percent 2 4 6 2 2 3" xfId="30094"/>
    <cellStyle name="Percent 2 4 6 2 2 3 2" xfId="30095"/>
    <cellStyle name="Percent 2 4 6 2 2 4" xfId="30096"/>
    <cellStyle name="Percent 2 4 6 2 3" xfId="30097"/>
    <cellStyle name="Percent 2 4 6 2 3 2" xfId="30098"/>
    <cellStyle name="Percent 2 4 6 2 3 2 2" xfId="30099"/>
    <cellStyle name="Percent 2 4 6 2 3 3" xfId="30100"/>
    <cellStyle name="Percent 2 4 6 2 4" xfId="30101"/>
    <cellStyle name="Percent 2 4 6 2 4 2" xfId="30102"/>
    <cellStyle name="Percent 2 4 6 2 4 3" xfId="30103"/>
    <cellStyle name="Percent 2 4 6 2 5" xfId="30104"/>
    <cellStyle name="Percent 2 4 6 2 5 2" xfId="30105"/>
    <cellStyle name="Percent 2 4 6 2 6" xfId="30106"/>
    <cellStyle name="Percent 2 4 6 2 6 2" xfId="37293"/>
    <cellStyle name="Percent 2 4 6 2 7" xfId="30107"/>
    <cellStyle name="Percent 2 4 6 3" xfId="30108"/>
    <cellStyle name="Percent 2 4 6 3 2" xfId="30109"/>
    <cellStyle name="Percent 2 4 6 3 2 2" xfId="30110"/>
    <cellStyle name="Percent 2 4 6 3 2 2 2" xfId="30111"/>
    <cellStyle name="Percent 2 4 6 3 2 3" xfId="30112"/>
    <cellStyle name="Percent 2 4 6 3 3" xfId="30113"/>
    <cellStyle name="Percent 2 4 6 3 3 2" xfId="30114"/>
    <cellStyle name="Percent 2 4 6 3 4" xfId="30115"/>
    <cellStyle name="Percent 2 4 6 4" xfId="30116"/>
    <cellStyle name="Percent 2 4 6 4 2" xfId="30117"/>
    <cellStyle name="Percent 2 4 6 4 2 2" xfId="30118"/>
    <cellStyle name="Percent 2 4 6 4 3" xfId="30119"/>
    <cellStyle name="Percent 2 4 6 5" xfId="30120"/>
    <cellStyle name="Percent 2 4 6 5 2" xfId="30121"/>
    <cellStyle name="Percent 2 4 6 5 2 2" xfId="30122"/>
    <cellStyle name="Percent 2 4 6 5 3" xfId="30123"/>
    <cellStyle name="Percent 2 4 6 6" xfId="30124"/>
    <cellStyle name="Percent 2 4 6 6 2" xfId="30125"/>
    <cellStyle name="Percent 2 4 6 7" xfId="30126"/>
    <cellStyle name="Percent 2 4 6 7 2" xfId="37294"/>
    <cellStyle name="Percent 2 4 6 8" xfId="30127"/>
    <cellStyle name="Percent 2 4 7" xfId="30128"/>
    <cellStyle name="Percent 2 4 7 2" xfId="30129"/>
    <cellStyle name="Percent 2 4 7 2 2" xfId="30130"/>
    <cellStyle name="Percent 2 4 7 2 2 2" xfId="30131"/>
    <cellStyle name="Percent 2 4 7 2 2 2 2" xfId="30132"/>
    <cellStyle name="Percent 2 4 7 2 2 2 3" xfId="30133"/>
    <cellStyle name="Percent 2 4 7 2 2 3" xfId="30134"/>
    <cellStyle name="Percent 2 4 7 2 2 3 2" xfId="30135"/>
    <cellStyle name="Percent 2 4 7 2 2 4" xfId="30136"/>
    <cellStyle name="Percent 2 4 7 2 3" xfId="30137"/>
    <cellStyle name="Percent 2 4 7 2 3 2" xfId="30138"/>
    <cellStyle name="Percent 2 4 7 2 3 2 2" xfId="30139"/>
    <cellStyle name="Percent 2 4 7 2 3 3" xfId="30140"/>
    <cellStyle name="Percent 2 4 7 2 4" xfId="30141"/>
    <cellStyle name="Percent 2 4 7 2 4 2" xfId="30142"/>
    <cellStyle name="Percent 2 4 7 2 4 3" xfId="30143"/>
    <cellStyle name="Percent 2 4 7 2 5" xfId="30144"/>
    <cellStyle name="Percent 2 4 7 2 5 2" xfId="30145"/>
    <cellStyle name="Percent 2 4 7 2 6" xfId="30146"/>
    <cellStyle name="Percent 2 4 7 2 6 2" xfId="37295"/>
    <cellStyle name="Percent 2 4 7 2 7" xfId="30147"/>
    <cellStyle name="Percent 2 4 7 3" xfId="30148"/>
    <cellStyle name="Percent 2 4 7 3 2" xfId="30149"/>
    <cellStyle name="Percent 2 4 7 3 2 2" xfId="30150"/>
    <cellStyle name="Percent 2 4 7 3 2 2 2" xfId="30151"/>
    <cellStyle name="Percent 2 4 7 3 2 3" xfId="30152"/>
    <cellStyle name="Percent 2 4 7 3 3" xfId="30153"/>
    <cellStyle name="Percent 2 4 7 3 3 2" xfId="30154"/>
    <cellStyle name="Percent 2 4 7 3 4" xfId="30155"/>
    <cellStyle name="Percent 2 4 7 4" xfId="30156"/>
    <cellStyle name="Percent 2 4 7 4 2" xfId="30157"/>
    <cellStyle name="Percent 2 4 7 4 2 2" xfId="30158"/>
    <cellStyle name="Percent 2 4 7 4 3" xfId="30159"/>
    <cellStyle name="Percent 2 4 7 5" xfId="30160"/>
    <cellStyle name="Percent 2 4 7 5 2" xfId="30161"/>
    <cellStyle name="Percent 2 4 7 5 2 2" xfId="30162"/>
    <cellStyle name="Percent 2 4 7 5 3" xfId="30163"/>
    <cellStyle name="Percent 2 4 7 6" xfId="30164"/>
    <cellStyle name="Percent 2 4 7 6 2" xfId="30165"/>
    <cellStyle name="Percent 2 4 7 7" xfId="30166"/>
    <cellStyle name="Percent 2 4 7 7 2" xfId="37296"/>
    <cellStyle name="Percent 2 4 7 8" xfId="30167"/>
    <cellStyle name="Percent 2 4 8" xfId="30168"/>
    <cellStyle name="Percent 2 4 8 2" xfId="30169"/>
    <cellStyle name="Percent 2 4 8 2 2" xfId="30170"/>
    <cellStyle name="Percent 2 4 8 2 2 2" xfId="30171"/>
    <cellStyle name="Percent 2 4 8 2 2 3" xfId="30172"/>
    <cellStyle name="Percent 2 4 8 2 3" xfId="30173"/>
    <cellStyle name="Percent 2 4 8 2 3 2" xfId="30174"/>
    <cellStyle name="Percent 2 4 8 2 4" xfId="30175"/>
    <cellStyle name="Percent 2 4 8 3" xfId="30176"/>
    <cellStyle name="Percent 2 4 8 3 2" xfId="30177"/>
    <cellStyle name="Percent 2 4 8 3 2 2" xfId="30178"/>
    <cellStyle name="Percent 2 4 8 3 3" xfId="30179"/>
    <cellStyle name="Percent 2 4 8 4" xfId="30180"/>
    <cellStyle name="Percent 2 4 8 4 2" xfId="30181"/>
    <cellStyle name="Percent 2 4 8 4 3" xfId="30182"/>
    <cellStyle name="Percent 2 4 8 5" xfId="30183"/>
    <cellStyle name="Percent 2 4 8 5 2" xfId="30184"/>
    <cellStyle name="Percent 2 4 8 6" xfId="30185"/>
    <cellStyle name="Percent 2 4 8 6 2" xfId="37297"/>
    <cellStyle name="Percent 2 4 8 7" xfId="30186"/>
    <cellStyle name="Percent 2 4 9" xfId="30187"/>
    <cellStyle name="Percent 2 4 9 2" xfId="30188"/>
    <cellStyle name="Percent 2 4 9 2 2" xfId="30189"/>
    <cellStyle name="Percent 2 4 9 2 2 2" xfId="30190"/>
    <cellStyle name="Percent 2 4 9 2 3" xfId="30191"/>
    <cellStyle name="Percent 2 4 9 3" xfId="30192"/>
    <cellStyle name="Percent 2 4 9 3 2" xfId="30193"/>
    <cellStyle name="Percent 2 4 9 4" xfId="30194"/>
    <cellStyle name="Percent 2 5" xfId="30195"/>
    <cellStyle name="Percent 2 5 10" xfId="30196"/>
    <cellStyle name="Percent 2 5 10 2" xfId="30197"/>
    <cellStyle name="Percent 2 5 10 2 2" xfId="30198"/>
    <cellStyle name="Percent 2 5 10 3" xfId="30199"/>
    <cellStyle name="Percent 2 5 11" xfId="30200"/>
    <cellStyle name="Percent 2 5 11 2" xfId="30201"/>
    <cellStyle name="Percent 2 5 11 2 2" xfId="30202"/>
    <cellStyle name="Percent 2 5 11 3" xfId="30203"/>
    <cellStyle name="Percent 2 5 12" xfId="30204"/>
    <cellStyle name="Percent 2 5 12 2" xfId="30205"/>
    <cellStyle name="Percent 2 5 13" xfId="30206"/>
    <cellStyle name="Percent 2 5 13 2" xfId="37298"/>
    <cellStyle name="Percent 2 5 14" xfId="30207"/>
    <cellStyle name="Percent 2 5 2" xfId="30208"/>
    <cellStyle name="Percent 2 5 2 10" xfId="30209"/>
    <cellStyle name="Percent 2 5 2 2" xfId="30210"/>
    <cellStyle name="Percent 2 5 2 2 2" xfId="30211"/>
    <cellStyle name="Percent 2 5 2 2 2 2" xfId="30212"/>
    <cellStyle name="Percent 2 5 2 2 2 2 2" xfId="30213"/>
    <cellStyle name="Percent 2 5 2 2 2 2 2 2" xfId="30214"/>
    <cellStyle name="Percent 2 5 2 2 2 2 2 2 2" xfId="30215"/>
    <cellStyle name="Percent 2 5 2 2 2 2 2 2 3" xfId="30216"/>
    <cellStyle name="Percent 2 5 2 2 2 2 2 3" xfId="30217"/>
    <cellStyle name="Percent 2 5 2 2 2 2 2 3 2" xfId="30218"/>
    <cellStyle name="Percent 2 5 2 2 2 2 2 4" xfId="30219"/>
    <cellStyle name="Percent 2 5 2 2 2 2 3" xfId="30220"/>
    <cellStyle name="Percent 2 5 2 2 2 2 3 2" xfId="30221"/>
    <cellStyle name="Percent 2 5 2 2 2 2 3 2 2" xfId="30222"/>
    <cellStyle name="Percent 2 5 2 2 2 2 3 3" xfId="30223"/>
    <cellStyle name="Percent 2 5 2 2 2 2 4" xfId="30224"/>
    <cellStyle name="Percent 2 5 2 2 2 2 4 2" xfId="30225"/>
    <cellStyle name="Percent 2 5 2 2 2 2 4 3" xfId="30226"/>
    <cellStyle name="Percent 2 5 2 2 2 2 5" xfId="30227"/>
    <cellStyle name="Percent 2 5 2 2 2 2 5 2" xfId="30228"/>
    <cellStyle name="Percent 2 5 2 2 2 2 6" xfId="30229"/>
    <cellStyle name="Percent 2 5 2 2 2 2 6 2" xfId="37299"/>
    <cellStyle name="Percent 2 5 2 2 2 2 7" xfId="30230"/>
    <cellStyle name="Percent 2 5 2 2 2 3" xfId="30231"/>
    <cellStyle name="Percent 2 5 2 2 2 3 2" xfId="30232"/>
    <cellStyle name="Percent 2 5 2 2 2 3 2 2" xfId="30233"/>
    <cellStyle name="Percent 2 5 2 2 2 3 2 2 2" xfId="30234"/>
    <cellStyle name="Percent 2 5 2 2 2 3 2 3" xfId="30235"/>
    <cellStyle name="Percent 2 5 2 2 2 3 3" xfId="30236"/>
    <cellStyle name="Percent 2 5 2 2 2 3 3 2" xfId="30237"/>
    <cellStyle name="Percent 2 5 2 2 2 3 4" xfId="30238"/>
    <cellStyle name="Percent 2 5 2 2 2 4" xfId="30239"/>
    <cellStyle name="Percent 2 5 2 2 2 4 2" xfId="30240"/>
    <cellStyle name="Percent 2 5 2 2 2 4 2 2" xfId="30241"/>
    <cellStyle name="Percent 2 5 2 2 2 4 3" xfId="30242"/>
    <cellStyle name="Percent 2 5 2 2 2 5" xfId="30243"/>
    <cellStyle name="Percent 2 5 2 2 2 5 2" xfId="30244"/>
    <cellStyle name="Percent 2 5 2 2 2 5 2 2" xfId="30245"/>
    <cellStyle name="Percent 2 5 2 2 2 5 3" xfId="30246"/>
    <cellStyle name="Percent 2 5 2 2 2 6" xfId="30247"/>
    <cellStyle name="Percent 2 5 2 2 2 6 2" xfId="30248"/>
    <cellStyle name="Percent 2 5 2 2 2 7" xfId="30249"/>
    <cellStyle name="Percent 2 5 2 2 2 7 2" xfId="37300"/>
    <cellStyle name="Percent 2 5 2 2 2 8" xfId="30250"/>
    <cellStyle name="Percent 2 5 2 2 3" xfId="30251"/>
    <cellStyle name="Percent 2 5 2 2 3 2" xfId="30252"/>
    <cellStyle name="Percent 2 5 2 2 3 2 2" xfId="30253"/>
    <cellStyle name="Percent 2 5 2 2 3 2 2 2" xfId="30254"/>
    <cellStyle name="Percent 2 5 2 2 3 2 2 3" xfId="30255"/>
    <cellStyle name="Percent 2 5 2 2 3 2 3" xfId="30256"/>
    <cellStyle name="Percent 2 5 2 2 3 2 3 2" xfId="30257"/>
    <cellStyle name="Percent 2 5 2 2 3 2 4" xfId="30258"/>
    <cellStyle name="Percent 2 5 2 2 3 3" xfId="30259"/>
    <cellStyle name="Percent 2 5 2 2 3 3 2" xfId="30260"/>
    <cellStyle name="Percent 2 5 2 2 3 3 2 2" xfId="30261"/>
    <cellStyle name="Percent 2 5 2 2 3 3 3" xfId="30262"/>
    <cellStyle name="Percent 2 5 2 2 3 4" xfId="30263"/>
    <cellStyle name="Percent 2 5 2 2 3 4 2" xfId="30264"/>
    <cellStyle name="Percent 2 5 2 2 3 4 3" xfId="30265"/>
    <cellStyle name="Percent 2 5 2 2 3 5" xfId="30266"/>
    <cellStyle name="Percent 2 5 2 2 3 5 2" xfId="30267"/>
    <cellStyle name="Percent 2 5 2 2 3 6" xfId="30268"/>
    <cellStyle name="Percent 2 5 2 2 3 6 2" xfId="37301"/>
    <cellStyle name="Percent 2 5 2 2 3 7" xfId="30269"/>
    <cellStyle name="Percent 2 5 2 2 4" xfId="30270"/>
    <cellStyle name="Percent 2 5 2 2 4 2" xfId="30271"/>
    <cellStyle name="Percent 2 5 2 2 4 2 2" xfId="30272"/>
    <cellStyle name="Percent 2 5 2 2 4 2 2 2" xfId="30273"/>
    <cellStyle name="Percent 2 5 2 2 4 2 3" xfId="30274"/>
    <cellStyle name="Percent 2 5 2 2 4 3" xfId="30275"/>
    <cellStyle name="Percent 2 5 2 2 4 3 2" xfId="30276"/>
    <cellStyle name="Percent 2 5 2 2 4 4" xfId="30277"/>
    <cellStyle name="Percent 2 5 2 2 5" xfId="30278"/>
    <cellStyle name="Percent 2 5 2 2 5 2" xfId="30279"/>
    <cellStyle name="Percent 2 5 2 2 5 2 2" xfId="30280"/>
    <cellStyle name="Percent 2 5 2 2 5 3" xfId="30281"/>
    <cellStyle name="Percent 2 5 2 2 6" xfId="30282"/>
    <cellStyle name="Percent 2 5 2 2 6 2" xfId="30283"/>
    <cellStyle name="Percent 2 5 2 2 6 2 2" xfId="30284"/>
    <cellStyle name="Percent 2 5 2 2 6 3" xfId="30285"/>
    <cellStyle name="Percent 2 5 2 2 7" xfId="30286"/>
    <cellStyle name="Percent 2 5 2 2 7 2" xfId="30287"/>
    <cellStyle name="Percent 2 5 2 2 8" xfId="30288"/>
    <cellStyle name="Percent 2 5 2 2 8 2" xfId="37302"/>
    <cellStyle name="Percent 2 5 2 2 9" xfId="30289"/>
    <cellStyle name="Percent 2 5 2 3" xfId="30290"/>
    <cellStyle name="Percent 2 5 2 3 2" xfId="30291"/>
    <cellStyle name="Percent 2 5 2 3 2 2" xfId="30292"/>
    <cellStyle name="Percent 2 5 2 3 2 2 2" xfId="30293"/>
    <cellStyle name="Percent 2 5 2 3 2 2 2 2" xfId="30294"/>
    <cellStyle name="Percent 2 5 2 3 2 2 2 3" xfId="30295"/>
    <cellStyle name="Percent 2 5 2 3 2 2 3" xfId="30296"/>
    <cellStyle name="Percent 2 5 2 3 2 2 3 2" xfId="30297"/>
    <cellStyle name="Percent 2 5 2 3 2 2 4" xfId="30298"/>
    <cellStyle name="Percent 2 5 2 3 2 3" xfId="30299"/>
    <cellStyle name="Percent 2 5 2 3 2 3 2" xfId="30300"/>
    <cellStyle name="Percent 2 5 2 3 2 3 2 2" xfId="30301"/>
    <cellStyle name="Percent 2 5 2 3 2 3 3" xfId="30302"/>
    <cellStyle name="Percent 2 5 2 3 2 4" xfId="30303"/>
    <cellStyle name="Percent 2 5 2 3 2 4 2" xfId="30304"/>
    <cellStyle name="Percent 2 5 2 3 2 4 3" xfId="30305"/>
    <cellStyle name="Percent 2 5 2 3 2 5" xfId="30306"/>
    <cellStyle name="Percent 2 5 2 3 2 5 2" xfId="30307"/>
    <cellStyle name="Percent 2 5 2 3 2 6" xfId="30308"/>
    <cellStyle name="Percent 2 5 2 3 2 6 2" xfId="37303"/>
    <cellStyle name="Percent 2 5 2 3 2 7" xfId="30309"/>
    <cellStyle name="Percent 2 5 2 3 3" xfId="30310"/>
    <cellStyle name="Percent 2 5 2 3 3 2" xfId="30311"/>
    <cellStyle name="Percent 2 5 2 3 3 2 2" xfId="30312"/>
    <cellStyle name="Percent 2 5 2 3 3 2 2 2" xfId="30313"/>
    <cellStyle name="Percent 2 5 2 3 3 2 3" xfId="30314"/>
    <cellStyle name="Percent 2 5 2 3 3 3" xfId="30315"/>
    <cellStyle name="Percent 2 5 2 3 3 3 2" xfId="30316"/>
    <cellStyle name="Percent 2 5 2 3 3 4" xfId="30317"/>
    <cellStyle name="Percent 2 5 2 3 4" xfId="30318"/>
    <cellStyle name="Percent 2 5 2 3 4 2" xfId="30319"/>
    <cellStyle name="Percent 2 5 2 3 4 2 2" xfId="30320"/>
    <cellStyle name="Percent 2 5 2 3 4 3" xfId="30321"/>
    <cellStyle name="Percent 2 5 2 3 5" xfId="30322"/>
    <cellStyle name="Percent 2 5 2 3 5 2" xfId="30323"/>
    <cellStyle name="Percent 2 5 2 3 5 2 2" xfId="30324"/>
    <cellStyle name="Percent 2 5 2 3 5 3" xfId="30325"/>
    <cellStyle name="Percent 2 5 2 3 6" xfId="30326"/>
    <cellStyle name="Percent 2 5 2 3 6 2" xfId="30327"/>
    <cellStyle name="Percent 2 5 2 3 7" xfId="30328"/>
    <cellStyle name="Percent 2 5 2 3 7 2" xfId="37304"/>
    <cellStyle name="Percent 2 5 2 3 8" xfId="30329"/>
    <cellStyle name="Percent 2 5 2 4" xfId="30330"/>
    <cellStyle name="Percent 2 5 2 4 2" xfId="30331"/>
    <cellStyle name="Percent 2 5 2 4 2 2" xfId="30332"/>
    <cellStyle name="Percent 2 5 2 4 2 2 2" xfId="30333"/>
    <cellStyle name="Percent 2 5 2 4 2 2 3" xfId="30334"/>
    <cellStyle name="Percent 2 5 2 4 2 3" xfId="30335"/>
    <cellStyle name="Percent 2 5 2 4 2 3 2" xfId="30336"/>
    <cellStyle name="Percent 2 5 2 4 2 4" xfId="30337"/>
    <cellStyle name="Percent 2 5 2 4 3" xfId="30338"/>
    <cellStyle name="Percent 2 5 2 4 3 2" xfId="30339"/>
    <cellStyle name="Percent 2 5 2 4 3 2 2" xfId="30340"/>
    <cellStyle name="Percent 2 5 2 4 3 3" xfId="30341"/>
    <cellStyle name="Percent 2 5 2 4 4" xfId="30342"/>
    <cellStyle name="Percent 2 5 2 4 4 2" xfId="30343"/>
    <cellStyle name="Percent 2 5 2 4 4 3" xfId="30344"/>
    <cellStyle name="Percent 2 5 2 4 5" xfId="30345"/>
    <cellStyle name="Percent 2 5 2 4 5 2" xfId="30346"/>
    <cellStyle name="Percent 2 5 2 4 6" xfId="30347"/>
    <cellStyle name="Percent 2 5 2 4 6 2" xfId="37305"/>
    <cellStyle name="Percent 2 5 2 4 7" xfId="30348"/>
    <cellStyle name="Percent 2 5 2 5" xfId="30349"/>
    <cellStyle name="Percent 2 5 2 5 2" xfId="30350"/>
    <cellStyle name="Percent 2 5 2 5 2 2" xfId="30351"/>
    <cellStyle name="Percent 2 5 2 5 2 2 2" xfId="30352"/>
    <cellStyle name="Percent 2 5 2 5 2 3" xfId="30353"/>
    <cellStyle name="Percent 2 5 2 5 3" xfId="30354"/>
    <cellStyle name="Percent 2 5 2 5 3 2" xfId="30355"/>
    <cellStyle name="Percent 2 5 2 5 4" xfId="30356"/>
    <cellStyle name="Percent 2 5 2 6" xfId="30357"/>
    <cellStyle name="Percent 2 5 2 6 2" xfId="30358"/>
    <cellStyle name="Percent 2 5 2 6 2 2" xfId="30359"/>
    <cellStyle name="Percent 2 5 2 6 3" xfId="30360"/>
    <cellStyle name="Percent 2 5 2 7" xfId="30361"/>
    <cellStyle name="Percent 2 5 2 7 2" xfId="30362"/>
    <cellStyle name="Percent 2 5 2 7 2 2" xfId="30363"/>
    <cellStyle name="Percent 2 5 2 7 3" xfId="30364"/>
    <cellStyle name="Percent 2 5 2 8" xfId="30365"/>
    <cellStyle name="Percent 2 5 2 8 2" xfId="30366"/>
    <cellStyle name="Percent 2 5 2 9" xfId="30367"/>
    <cellStyle name="Percent 2 5 2 9 2" xfId="37306"/>
    <cellStyle name="Percent 2 5 3" xfId="30368"/>
    <cellStyle name="Percent 2 5 3 2" xfId="30369"/>
    <cellStyle name="Percent 2 5 3 2 2" xfId="30370"/>
    <cellStyle name="Percent 2 5 3 2 2 2" xfId="30371"/>
    <cellStyle name="Percent 2 5 3 2 2 2 2" xfId="30372"/>
    <cellStyle name="Percent 2 5 3 2 2 2 2 2" xfId="30373"/>
    <cellStyle name="Percent 2 5 3 2 2 2 2 3" xfId="30374"/>
    <cellStyle name="Percent 2 5 3 2 2 2 3" xfId="30375"/>
    <cellStyle name="Percent 2 5 3 2 2 2 3 2" xfId="30376"/>
    <cellStyle name="Percent 2 5 3 2 2 2 4" xfId="30377"/>
    <cellStyle name="Percent 2 5 3 2 2 3" xfId="30378"/>
    <cellStyle name="Percent 2 5 3 2 2 3 2" xfId="30379"/>
    <cellStyle name="Percent 2 5 3 2 2 3 2 2" xfId="30380"/>
    <cellStyle name="Percent 2 5 3 2 2 3 3" xfId="30381"/>
    <cellStyle name="Percent 2 5 3 2 2 4" xfId="30382"/>
    <cellStyle name="Percent 2 5 3 2 2 4 2" xfId="30383"/>
    <cellStyle name="Percent 2 5 3 2 2 4 3" xfId="30384"/>
    <cellStyle name="Percent 2 5 3 2 2 5" xfId="30385"/>
    <cellStyle name="Percent 2 5 3 2 2 5 2" xfId="30386"/>
    <cellStyle name="Percent 2 5 3 2 2 6" xfId="30387"/>
    <cellStyle name="Percent 2 5 3 2 2 6 2" xfId="37307"/>
    <cellStyle name="Percent 2 5 3 2 2 7" xfId="30388"/>
    <cellStyle name="Percent 2 5 3 2 3" xfId="30389"/>
    <cellStyle name="Percent 2 5 3 2 3 2" xfId="30390"/>
    <cellStyle name="Percent 2 5 3 2 3 2 2" xfId="30391"/>
    <cellStyle name="Percent 2 5 3 2 3 2 2 2" xfId="30392"/>
    <cellStyle name="Percent 2 5 3 2 3 2 3" xfId="30393"/>
    <cellStyle name="Percent 2 5 3 2 3 3" xfId="30394"/>
    <cellStyle name="Percent 2 5 3 2 3 3 2" xfId="30395"/>
    <cellStyle name="Percent 2 5 3 2 3 4" xfId="30396"/>
    <cellStyle name="Percent 2 5 3 2 4" xfId="30397"/>
    <cellStyle name="Percent 2 5 3 2 4 2" xfId="30398"/>
    <cellStyle name="Percent 2 5 3 2 4 2 2" xfId="30399"/>
    <cellStyle name="Percent 2 5 3 2 4 3" xfId="30400"/>
    <cellStyle name="Percent 2 5 3 2 5" xfId="30401"/>
    <cellStyle name="Percent 2 5 3 2 5 2" xfId="30402"/>
    <cellStyle name="Percent 2 5 3 2 5 2 2" xfId="30403"/>
    <cellStyle name="Percent 2 5 3 2 5 3" xfId="30404"/>
    <cellStyle name="Percent 2 5 3 2 6" xfId="30405"/>
    <cellStyle name="Percent 2 5 3 2 6 2" xfId="30406"/>
    <cellStyle name="Percent 2 5 3 2 7" xfId="30407"/>
    <cellStyle name="Percent 2 5 3 2 7 2" xfId="37308"/>
    <cellStyle name="Percent 2 5 3 2 8" xfId="30408"/>
    <cellStyle name="Percent 2 5 3 3" xfId="30409"/>
    <cellStyle name="Percent 2 5 3 3 2" xfId="30410"/>
    <cellStyle name="Percent 2 5 3 3 2 2" xfId="30411"/>
    <cellStyle name="Percent 2 5 3 3 2 2 2" xfId="30412"/>
    <cellStyle name="Percent 2 5 3 3 2 2 3" xfId="30413"/>
    <cellStyle name="Percent 2 5 3 3 2 3" xfId="30414"/>
    <cellStyle name="Percent 2 5 3 3 2 3 2" xfId="30415"/>
    <cellStyle name="Percent 2 5 3 3 2 4" xfId="30416"/>
    <cellStyle name="Percent 2 5 3 3 3" xfId="30417"/>
    <cellStyle name="Percent 2 5 3 3 3 2" xfId="30418"/>
    <cellStyle name="Percent 2 5 3 3 3 2 2" xfId="30419"/>
    <cellStyle name="Percent 2 5 3 3 3 3" xfId="30420"/>
    <cellStyle name="Percent 2 5 3 3 4" xfId="30421"/>
    <cellStyle name="Percent 2 5 3 3 4 2" xfId="30422"/>
    <cellStyle name="Percent 2 5 3 3 4 3" xfId="30423"/>
    <cellStyle name="Percent 2 5 3 3 5" xfId="30424"/>
    <cellStyle name="Percent 2 5 3 3 5 2" xfId="30425"/>
    <cellStyle name="Percent 2 5 3 3 6" xfId="30426"/>
    <cellStyle name="Percent 2 5 3 3 6 2" xfId="37309"/>
    <cellStyle name="Percent 2 5 3 3 7" xfId="30427"/>
    <cellStyle name="Percent 2 5 3 4" xfId="30428"/>
    <cellStyle name="Percent 2 5 3 4 2" xfId="30429"/>
    <cellStyle name="Percent 2 5 3 4 2 2" xfId="30430"/>
    <cellStyle name="Percent 2 5 3 4 2 2 2" xfId="30431"/>
    <cellStyle name="Percent 2 5 3 4 2 3" xfId="30432"/>
    <cellStyle name="Percent 2 5 3 4 3" xfId="30433"/>
    <cellStyle name="Percent 2 5 3 4 3 2" xfId="30434"/>
    <cellStyle name="Percent 2 5 3 4 4" xfId="30435"/>
    <cellStyle name="Percent 2 5 3 5" xfId="30436"/>
    <cellStyle name="Percent 2 5 3 5 2" xfId="30437"/>
    <cellStyle name="Percent 2 5 3 5 2 2" xfId="30438"/>
    <cellStyle name="Percent 2 5 3 5 3" xfId="30439"/>
    <cellStyle name="Percent 2 5 3 6" xfId="30440"/>
    <cellStyle name="Percent 2 5 3 6 2" xfId="30441"/>
    <cellStyle name="Percent 2 5 3 6 2 2" xfId="30442"/>
    <cellStyle name="Percent 2 5 3 6 3" xfId="30443"/>
    <cellStyle name="Percent 2 5 3 7" xfId="30444"/>
    <cellStyle name="Percent 2 5 3 7 2" xfId="30445"/>
    <cellStyle name="Percent 2 5 3 8" xfId="30446"/>
    <cellStyle name="Percent 2 5 3 8 2" xfId="37310"/>
    <cellStyle name="Percent 2 5 3 9" xfId="30447"/>
    <cellStyle name="Percent 2 5 4" xfId="30448"/>
    <cellStyle name="Percent 2 5 4 2" xfId="30449"/>
    <cellStyle name="Percent 2 5 4 2 2" xfId="30450"/>
    <cellStyle name="Percent 2 5 4 2 2 2" xfId="30451"/>
    <cellStyle name="Percent 2 5 4 2 2 2 2" xfId="30452"/>
    <cellStyle name="Percent 2 5 4 2 2 2 2 2" xfId="30453"/>
    <cellStyle name="Percent 2 5 4 2 2 2 2 3" xfId="30454"/>
    <cellStyle name="Percent 2 5 4 2 2 2 3" xfId="30455"/>
    <cellStyle name="Percent 2 5 4 2 2 2 3 2" xfId="30456"/>
    <cellStyle name="Percent 2 5 4 2 2 2 4" xfId="30457"/>
    <cellStyle name="Percent 2 5 4 2 2 3" xfId="30458"/>
    <cellStyle name="Percent 2 5 4 2 2 3 2" xfId="30459"/>
    <cellStyle name="Percent 2 5 4 2 2 3 2 2" xfId="30460"/>
    <cellStyle name="Percent 2 5 4 2 2 3 3" xfId="30461"/>
    <cellStyle name="Percent 2 5 4 2 2 4" xfId="30462"/>
    <cellStyle name="Percent 2 5 4 2 2 4 2" xfId="30463"/>
    <cellStyle name="Percent 2 5 4 2 2 4 3" xfId="30464"/>
    <cellStyle name="Percent 2 5 4 2 2 5" xfId="30465"/>
    <cellStyle name="Percent 2 5 4 2 2 5 2" xfId="30466"/>
    <cellStyle name="Percent 2 5 4 2 2 6" xfId="30467"/>
    <cellStyle name="Percent 2 5 4 2 2 6 2" xfId="37311"/>
    <cellStyle name="Percent 2 5 4 2 2 7" xfId="30468"/>
    <cellStyle name="Percent 2 5 4 2 3" xfId="30469"/>
    <cellStyle name="Percent 2 5 4 2 3 2" xfId="30470"/>
    <cellStyle name="Percent 2 5 4 2 3 2 2" xfId="30471"/>
    <cellStyle name="Percent 2 5 4 2 3 2 2 2" xfId="30472"/>
    <cellStyle name="Percent 2 5 4 2 3 2 3" xfId="30473"/>
    <cellStyle name="Percent 2 5 4 2 3 3" xfId="30474"/>
    <cellStyle name="Percent 2 5 4 2 3 3 2" xfId="30475"/>
    <cellStyle name="Percent 2 5 4 2 3 4" xfId="30476"/>
    <cellStyle name="Percent 2 5 4 2 4" xfId="30477"/>
    <cellStyle name="Percent 2 5 4 2 4 2" xfId="30478"/>
    <cellStyle name="Percent 2 5 4 2 4 2 2" xfId="30479"/>
    <cellStyle name="Percent 2 5 4 2 4 3" xfId="30480"/>
    <cellStyle name="Percent 2 5 4 2 5" xfId="30481"/>
    <cellStyle name="Percent 2 5 4 2 5 2" xfId="30482"/>
    <cellStyle name="Percent 2 5 4 2 5 2 2" xfId="30483"/>
    <cellStyle name="Percent 2 5 4 2 5 3" xfId="30484"/>
    <cellStyle name="Percent 2 5 4 2 6" xfId="30485"/>
    <cellStyle name="Percent 2 5 4 2 6 2" xfId="30486"/>
    <cellStyle name="Percent 2 5 4 2 7" xfId="30487"/>
    <cellStyle name="Percent 2 5 4 2 7 2" xfId="37312"/>
    <cellStyle name="Percent 2 5 4 2 8" xfId="30488"/>
    <cellStyle name="Percent 2 5 4 3" xfId="30489"/>
    <cellStyle name="Percent 2 5 4 3 2" xfId="30490"/>
    <cellStyle name="Percent 2 5 4 3 2 2" xfId="30491"/>
    <cellStyle name="Percent 2 5 4 3 2 2 2" xfId="30492"/>
    <cellStyle name="Percent 2 5 4 3 2 2 3" xfId="30493"/>
    <cellStyle name="Percent 2 5 4 3 2 3" xfId="30494"/>
    <cellStyle name="Percent 2 5 4 3 2 3 2" xfId="30495"/>
    <cellStyle name="Percent 2 5 4 3 2 4" xfId="30496"/>
    <cellStyle name="Percent 2 5 4 3 3" xfId="30497"/>
    <cellStyle name="Percent 2 5 4 3 3 2" xfId="30498"/>
    <cellStyle name="Percent 2 5 4 3 3 2 2" xfId="30499"/>
    <cellStyle name="Percent 2 5 4 3 3 3" xfId="30500"/>
    <cellStyle name="Percent 2 5 4 3 4" xfId="30501"/>
    <cellStyle name="Percent 2 5 4 3 4 2" xfId="30502"/>
    <cellStyle name="Percent 2 5 4 3 4 3" xfId="30503"/>
    <cellStyle name="Percent 2 5 4 3 5" xfId="30504"/>
    <cellStyle name="Percent 2 5 4 3 5 2" xfId="30505"/>
    <cellStyle name="Percent 2 5 4 3 6" xfId="30506"/>
    <cellStyle name="Percent 2 5 4 3 6 2" xfId="37313"/>
    <cellStyle name="Percent 2 5 4 3 7" xfId="30507"/>
    <cellStyle name="Percent 2 5 4 4" xfId="30508"/>
    <cellStyle name="Percent 2 5 4 4 2" xfId="30509"/>
    <cellStyle name="Percent 2 5 4 4 2 2" xfId="30510"/>
    <cellStyle name="Percent 2 5 4 4 2 2 2" xfId="30511"/>
    <cellStyle name="Percent 2 5 4 4 2 3" xfId="30512"/>
    <cellStyle name="Percent 2 5 4 4 3" xfId="30513"/>
    <cellStyle name="Percent 2 5 4 4 3 2" xfId="30514"/>
    <cellStyle name="Percent 2 5 4 4 4" xfId="30515"/>
    <cellStyle name="Percent 2 5 4 5" xfId="30516"/>
    <cellStyle name="Percent 2 5 4 5 2" xfId="30517"/>
    <cellStyle name="Percent 2 5 4 5 2 2" xfId="30518"/>
    <cellStyle name="Percent 2 5 4 5 3" xfId="30519"/>
    <cellStyle name="Percent 2 5 4 6" xfId="30520"/>
    <cellStyle name="Percent 2 5 4 6 2" xfId="30521"/>
    <cellStyle name="Percent 2 5 4 6 2 2" xfId="30522"/>
    <cellStyle name="Percent 2 5 4 6 3" xfId="30523"/>
    <cellStyle name="Percent 2 5 4 7" xfId="30524"/>
    <cellStyle name="Percent 2 5 4 7 2" xfId="30525"/>
    <cellStyle name="Percent 2 5 4 8" xfId="30526"/>
    <cellStyle name="Percent 2 5 4 8 2" xfId="37314"/>
    <cellStyle name="Percent 2 5 4 9" xfId="30527"/>
    <cellStyle name="Percent 2 5 5" xfId="30528"/>
    <cellStyle name="Percent 2 5 5 2" xfId="30529"/>
    <cellStyle name="Percent 2 5 5 2 2" xfId="30530"/>
    <cellStyle name="Percent 2 5 5 2 2 2" xfId="30531"/>
    <cellStyle name="Percent 2 5 5 2 2 2 2" xfId="30532"/>
    <cellStyle name="Percent 2 5 5 2 2 2 3" xfId="30533"/>
    <cellStyle name="Percent 2 5 5 2 2 3" xfId="30534"/>
    <cellStyle name="Percent 2 5 5 2 2 3 2" xfId="30535"/>
    <cellStyle name="Percent 2 5 5 2 2 4" xfId="30536"/>
    <cellStyle name="Percent 2 5 5 2 3" xfId="30537"/>
    <cellStyle name="Percent 2 5 5 2 3 2" xfId="30538"/>
    <cellStyle name="Percent 2 5 5 2 3 2 2" xfId="30539"/>
    <cellStyle name="Percent 2 5 5 2 3 3" xfId="30540"/>
    <cellStyle name="Percent 2 5 5 2 4" xfId="30541"/>
    <cellStyle name="Percent 2 5 5 2 4 2" xfId="30542"/>
    <cellStyle name="Percent 2 5 5 2 4 3" xfId="30543"/>
    <cellStyle name="Percent 2 5 5 2 5" xfId="30544"/>
    <cellStyle name="Percent 2 5 5 2 5 2" xfId="30545"/>
    <cellStyle name="Percent 2 5 5 2 6" xfId="30546"/>
    <cellStyle name="Percent 2 5 5 2 6 2" xfId="37315"/>
    <cellStyle name="Percent 2 5 5 2 7" xfId="30547"/>
    <cellStyle name="Percent 2 5 5 3" xfId="30548"/>
    <cellStyle name="Percent 2 5 5 3 2" xfId="30549"/>
    <cellStyle name="Percent 2 5 5 3 2 2" xfId="30550"/>
    <cellStyle name="Percent 2 5 5 3 2 2 2" xfId="30551"/>
    <cellStyle name="Percent 2 5 5 3 2 3" xfId="30552"/>
    <cellStyle name="Percent 2 5 5 3 3" xfId="30553"/>
    <cellStyle name="Percent 2 5 5 3 3 2" xfId="30554"/>
    <cellStyle name="Percent 2 5 5 3 4" xfId="30555"/>
    <cellStyle name="Percent 2 5 5 4" xfId="30556"/>
    <cellStyle name="Percent 2 5 5 4 2" xfId="30557"/>
    <cellStyle name="Percent 2 5 5 4 2 2" xfId="30558"/>
    <cellStyle name="Percent 2 5 5 4 3" xfId="30559"/>
    <cellStyle name="Percent 2 5 5 5" xfId="30560"/>
    <cellStyle name="Percent 2 5 5 5 2" xfId="30561"/>
    <cellStyle name="Percent 2 5 5 5 2 2" xfId="30562"/>
    <cellStyle name="Percent 2 5 5 5 3" xfId="30563"/>
    <cellStyle name="Percent 2 5 5 6" xfId="30564"/>
    <cellStyle name="Percent 2 5 5 6 2" xfId="30565"/>
    <cellStyle name="Percent 2 5 5 7" xfId="30566"/>
    <cellStyle name="Percent 2 5 5 7 2" xfId="37316"/>
    <cellStyle name="Percent 2 5 5 8" xfId="30567"/>
    <cellStyle name="Percent 2 5 6" xfId="30568"/>
    <cellStyle name="Percent 2 5 6 2" xfId="30569"/>
    <cellStyle name="Percent 2 5 6 2 2" xfId="30570"/>
    <cellStyle name="Percent 2 5 6 2 2 2" xfId="30571"/>
    <cellStyle name="Percent 2 5 6 2 2 2 2" xfId="30572"/>
    <cellStyle name="Percent 2 5 6 2 2 2 3" xfId="30573"/>
    <cellStyle name="Percent 2 5 6 2 2 3" xfId="30574"/>
    <cellStyle name="Percent 2 5 6 2 2 3 2" xfId="30575"/>
    <cellStyle name="Percent 2 5 6 2 2 4" xfId="30576"/>
    <cellStyle name="Percent 2 5 6 2 3" xfId="30577"/>
    <cellStyle name="Percent 2 5 6 2 3 2" xfId="30578"/>
    <cellStyle name="Percent 2 5 6 2 3 2 2" xfId="30579"/>
    <cellStyle name="Percent 2 5 6 2 3 3" xfId="30580"/>
    <cellStyle name="Percent 2 5 6 2 4" xfId="30581"/>
    <cellStyle name="Percent 2 5 6 2 4 2" xfId="30582"/>
    <cellStyle name="Percent 2 5 6 2 4 3" xfId="30583"/>
    <cellStyle name="Percent 2 5 6 2 5" xfId="30584"/>
    <cellStyle name="Percent 2 5 6 2 5 2" xfId="30585"/>
    <cellStyle name="Percent 2 5 6 2 6" xfId="30586"/>
    <cellStyle name="Percent 2 5 6 2 6 2" xfId="37317"/>
    <cellStyle name="Percent 2 5 6 2 7" xfId="30587"/>
    <cellStyle name="Percent 2 5 6 3" xfId="30588"/>
    <cellStyle name="Percent 2 5 6 3 2" xfId="30589"/>
    <cellStyle name="Percent 2 5 6 3 2 2" xfId="30590"/>
    <cellStyle name="Percent 2 5 6 3 2 2 2" xfId="30591"/>
    <cellStyle name="Percent 2 5 6 3 2 3" xfId="30592"/>
    <cellStyle name="Percent 2 5 6 3 3" xfId="30593"/>
    <cellStyle name="Percent 2 5 6 3 3 2" xfId="30594"/>
    <cellStyle name="Percent 2 5 6 3 4" xfId="30595"/>
    <cellStyle name="Percent 2 5 6 4" xfId="30596"/>
    <cellStyle name="Percent 2 5 6 4 2" xfId="30597"/>
    <cellStyle name="Percent 2 5 6 4 2 2" xfId="30598"/>
    <cellStyle name="Percent 2 5 6 4 3" xfId="30599"/>
    <cellStyle name="Percent 2 5 6 5" xfId="30600"/>
    <cellStyle name="Percent 2 5 6 5 2" xfId="30601"/>
    <cellStyle name="Percent 2 5 6 5 2 2" xfId="30602"/>
    <cellStyle name="Percent 2 5 6 5 3" xfId="30603"/>
    <cellStyle name="Percent 2 5 6 6" xfId="30604"/>
    <cellStyle name="Percent 2 5 6 6 2" xfId="30605"/>
    <cellStyle name="Percent 2 5 6 7" xfId="30606"/>
    <cellStyle name="Percent 2 5 6 7 2" xfId="37318"/>
    <cellStyle name="Percent 2 5 6 8" xfId="30607"/>
    <cellStyle name="Percent 2 5 7" xfId="30608"/>
    <cellStyle name="Percent 2 5 7 2" xfId="30609"/>
    <cellStyle name="Percent 2 5 7 2 2" xfId="30610"/>
    <cellStyle name="Percent 2 5 7 2 2 2" xfId="30611"/>
    <cellStyle name="Percent 2 5 7 2 2 2 2" xfId="30612"/>
    <cellStyle name="Percent 2 5 7 2 2 2 3" xfId="30613"/>
    <cellStyle name="Percent 2 5 7 2 2 3" xfId="30614"/>
    <cellStyle name="Percent 2 5 7 2 2 3 2" xfId="30615"/>
    <cellStyle name="Percent 2 5 7 2 2 4" xfId="30616"/>
    <cellStyle name="Percent 2 5 7 2 3" xfId="30617"/>
    <cellStyle name="Percent 2 5 7 2 3 2" xfId="30618"/>
    <cellStyle name="Percent 2 5 7 2 3 2 2" xfId="30619"/>
    <cellStyle name="Percent 2 5 7 2 3 3" xfId="30620"/>
    <cellStyle name="Percent 2 5 7 2 4" xfId="30621"/>
    <cellStyle name="Percent 2 5 7 2 4 2" xfId="30622"/>
    <cellStyle name="Percent 2 5 7 2 4 3" xfId="30623"/>
    <cellStyle name="Percent 2 5 7 2 5" xfId="30624"/>
    <cellStyle name="Percent 2 5 7 2 5 2" xfId="30625"/>
    <cellStyle name="Percent 2 5 7 2 6" xfId="30626"/>
    <cellStyle name="Percent 2 5 7 2 6 2" xfId="37319"/>
    <cellStyle name="Percent 2 5 7 2 7" xfId="30627"/>
    <cellStyle name="Percent 2 5 7 3" xfId="30628"/>
    <cellStyle name="Percent 2 5 7 3 2" xfId="30629"/>
    <cellStyle name="Percent 2 5 7 3 2 2" xfId="30630"/>
    <cellStyle name="Percent 2 5 7 3 2 2 2" xfId="30631"/>
    <cellStyle name="Percent 2 5 7 3 2 3" xfId="30632"/>
    <cellStyle name="Percent 2 5 7 3 3" xfId="30633"/>
    <cellStyle name="Percent 2 5 7 3 3 2" xfId="30634"/>
    <cellStyle name="Percent 2 5 7 3 4" xfId="30635"/>
    <cellStyle name="Percent 2 5 7 4" xfId="30636"/>
    <cellStyle name="Percent 2 5 7 4 2" xfId="30637"/>
    <cellStyle name="Percent 2 5 7 4 2 2" xfId="30638"/>
    <cellStyle name="Percent 2 5 7 4 3" xfId="30639"/>
    <cellStyle name="Percent 2 5 7 5" xfId="30640"/>
    <cellStyle name="Percent 2 5 7 5 2" xfId="30641"/>
    <cellStyle name="Percent 2 5 7 5 2 2" xfId="30642"/>
    <cellStyle name="Percent 2 5 7 5 3" xfId="30643"/>
    <cellStyle name="Percent 2 5 7 6" xfId="30644"/>
    <cellStyle name="Percent 2 5 7 6 2" xfId="30645"/>
    <cellStyle name="Percent 2 5 7 7" xfId="30646"/>
    <cellStyle name="Percent 2 5 7 7 2" xfId="37320"/>
    <cellStyle name="Percent 2 5 7 8" xfId="30647"/>
    <cellStyle name="Percent 2 5 8" xfId="30648"/>
    <cellStyle name="Percent 2 5 8 2" xfId="30649"/>
    <cellStyle name="Percent 2 5 8 2 2" xfId="30650"/>
    <cellStyle name="Percent 2 5 8 2 2 2" xfId="30651"/>
    <cellStyle name="Percent 2 5 8 2 2 3" xfId="30652"/>
    <cellStyle name="Percent 2 5 8 2 3" xfId="30653"/>
    <cellStyle name="Percent 2 5 8 2 3 2" xfId="30654"/>
    <cellStyle name="Percent 2 5 8 2 4" xfId="30655"/>
    <cellStyle name="Percent 2 5 8 3" xfId="30656"/>
    <cellStyle name="Percent 2 5 8 3 2" xfId="30657"/>
    <cellStyle name="Percent 2 5 8 3 2 2" xfId="30658"/>
    <cellStyle name="Percent 2 5 8 3 3" xfId="30659"/>
    <cellStyle name="Percent 2 5 8 4" xfId="30660"/>
    <cellStyle name="Percent 2 5 8 4 2" xfId="30661"/>
    <cellStyle name="Percent 2 5 8 4 3" xfId="30662"/>
    <cellStyle name="Percent 2 5 8 5" xfId="30663"/>
    <cellStyle name="Percent 2 5 8 5 2" xfId="30664"/>
    <cellStyle name="Percent 2 5 8 6" xfId="30665"/>
    <cellStyle name="Percent 2 5 8 6 2" xfId="37321"/>
    <cellStyle name="Percent 2 5 8 7" xfId="30666"/>
    <cellStyle name="Percent 2 5 9" xfId="30667"/>
    <cellStyle name="Percent 2 5 9 2" xfId="30668"/>
    <cellStyle name="Percent 2 5 9 2 2" xfId="30669"/>
    <cellStyle name="Percent 2 5 9 2 2 2" xfId="30670"/>
    <cellStyle name="Percent 2 5 9 2 3" xfId="30671"/>
    <cellStyle name="Percent 2 5 9 3" xfId="30672"/>
    <cellStyle name="Percent 2 5 9 3 2" xfId="30673"/>
    <cellStyle name="Percent 2 5 9 4" xfId="30674"/>
    <cellStyle name="Percent 2 6" xfId="30675"/>
    <cellStyle name="Percent 2 6 10" xfId="30676"/>
    <cellStyle name="Percent 2 6 10 2" xfId="30677"/>
    <cellStyle name="Percent 2 6 10 2 2" xfId="30678"/>
    <cellStyle name="Percent 2 6 10 3" xfId="30679"/>
    <cellStyle name="Percent 2 6 11" xfId="30680"/>
    <cellStyle name="Percent 2 6 11 2" xfId="30681"/>
    <cellStyle name="Percent 2 6 12" xfId="30682"/>
    <cellStyle name="Percent 2 6 12 2" xfId="37322"/>
    <cellStyle name="Percent 2 6 13" xfId="30683"/>
    <cellStyle name="Percent 2 6 2" xfId="30684"/>
    <cellStyle name="Percent 2 6 2 10" xfId="30685"/>
    <cellStyle name="Percent 2 6 2 2" xfId="30686"/>
    <cellStyle name="Percent 2 6 2 2 2" xfId="30687"/>
    <cellStyle name="Percent 2 6 2 2 2 2" xfId="30688"/>
    <cellStyle name="Percent 2 6 2 2 2 2 2" xfId="30689"/>
    <cellStyle name="Percent 2 6 2 2 2 2 2 2" xfId="30690"/>
    <cellStyle name="Percent 2 6 2 2 2 2 2 2 2" xfId="30691"/>
    <cellStyle name="Percent 2 6 2 2 2 2 2 2 3" xfId="30692"/>
    <cellStyle name="Percent 2 6 2 2 2 2 2 3" xfId="30693"/>
    <cellStyle name="Percent 2 6 2 2 2 2 2 3 2" xfId="30694"/>
    <cellStyle name="Percent 2 6 2 2 2 2 2 4" xfId="30695"/>
    <cellStyle name="Percent 2 6 2 2 2 2 3" xfId="30696"/>
    <cellStyle name="Percent 2 6 2 2 2 2 3 2" xfId="30697"/>
    <cellStyle name="Percent 2 6 2 2 2 2 3 2 2" xfId="30698"/>
    <cellStyle name="Percent 2 6 2 2 2 2 3 3" xfId="30699"/>
    <cellStyle name="Percent 2 6 2 2 2 2 4" xfId="30700"/>
    <cellStyle name="Percent 2 6 2 2 2 2 4 2" xfId="30701"/>
    <cellStyle name="Percent 2 6 2 2 2 2 4 3" xfId="30702"/>
    <cellStyle name="Percent 2 6 2 2 2 2 5" xfId="30703"/>
    <cellStyle name="Percent 2 6 2 2 2 2 5 2" xfId="30704"/>
    <cellStyle name="Percent 2 6 2 2 2 2 6" xfId="30705"/>
    <cellStyle name="Percent 2 6 2 2 2 2 6 2" xfId="37323"/>
    <cellStyle name="Percent 2 6 2 2 2 2 7" xfId="30706"/>
    <cellStyle name="Percent 2 6 2 2 2 3" xfId="30707"/>
    <cellStyle name="Percent 2 6 2 2 2 3 2" xfId="30708"/>
    <cellStyle name="Percent 2 6 2 2 2 3 2 2" xfId="30709"/>
    <cellStyle name="Percent 2 6 2 2 2 3 2 2 2" xfId="30710"/>
    <cellStyle name="Percent 2 6 2 2 2 3 2 3" xfId="30711"/>
    <cellStyle name="Percent 2 6 2 2 2 3 3" xfId="30712"/>
    <cellStyle name="Percent 2 6 2 2 2 3 3 2" xfId="30713"/>
    <cellStyle name="Percent 2 6 2 2 2 3 4" xfId="30714"/>
    <cellStyle name="Percent 2 6 2 2 2 4" xfId="30715"/>
    <cellStyle name="Percent 2 6 2 2 2 4 2" xfId="30716"/>
    <cellStyle name="Percent 2 6 2 2 2 4 2 2" xfId="30717"/>
    <cellStyle name="Percent 2 6 2 2 2 4 3" xfId="30718"/>
    <cellStyle name="Percent 2 6 2 2 2 5" xfId="30719"/>
    <cellStyle name="Percent 2 6 2 2 2 5 2" xfId="30720"/>
    <cellStyle name="Percent 2 6 2 2 2 5 2 2" xfId="30721"/>
    <cellStyle name="Percent 2 6 2 2 2 5 3" xfId="30722"/>
    <cellStyle name="Percent 2 6 2 2 2 6" xfId="30723"/>
    <cellStyle name="Percent 2 6 2 2 2 6 2" xfId="30724"/>
    <cellStyle name="Percent 2 6 2 2 2 7" xfId="30725"/>
    <cellStyle name="Percent 2 6 2 2 2 7 2" xfId="37324"/>
    <cellStyle name="Percent 2 6 2 2 2 8" xfId="30726"/>
    <cellStyle name="Percent 2 6 2 2 3" xfId="30727"/>
    <cellStyle name="Percent 2 6 2 2 3 2" xfId="30728"/>
    <cellStyle name="Percent 2 6 2 2 3 2 2" xfId="30729"/>
    <cellStyle name="Percent 2 6 2 2 3 2 2 2" xfId="30730"/>
    <cellStyle name="Percent 2 6 2 2 3 2 2 3" xfId="30731"/>
    <cellStyle name="Percent 2 6 2 2 3 2 3" xfId="30732"/>
    <cellStyle name="Percent 2 6 2 2 3 2 3 2" xfId="30733"/>
    <cellStyle name="Percent 2 6 2 2 3 2 4" xfId="30734"/>
    <cellStyle name="Percent 2 6 2 2 3 3" xfId="30735"/>
    <cellStyle name="Percent 2 6 2 2 3 3 2" xfId="30736"/>
    <cellStyle name="Percent 2 6 2 2 3 3 2 2" xfId="30737"/>
    <cellStyle name="Percent 2 6 2 2 3 3 3" xfId="30738"/>
    <cellStyle name="Percent 2 6 2 2 3 4" xfId="30739"/>
    <cellStyle name="Percent 2 6 2 2 3 4 2" xfId="30740"/>
    <cellStyle name="Percent 2 6 2 2 3 4 3" xfId="30741"/>
    <cellStyle name="Percent 2 6 2 2 3 5" xfId="30742"/>
    <cellStyle name="Percent 2 6 2 2 3 5 2" xfId="30743"/>
    <cellStyle name="Percent 2 6 2 2 3 6" xfId="30744"/>
    <cellStyle name="Percent 2 6 2 2 3 6 2" xfId="37325"/>
    <cellStyle name="Percent 2 6 2 2 3 7" xfId="30745"/>
    <cellStyle name="Percent 2 6 2 2 4" xfId="30746"/>
    <cellStyle name="Percent 2 6 2 2 4 2" xfId="30747"/>
    <cellStyle name="Percent 2 6 2 2 4 2 2" xfId="30748"/>
    <cellStyle name="Percent 2 6 2 2 4 2 2 2" xfId="30749"/>
    <cellStyle name="Percent 2 6 2 2 4 2 3" xfId="30750"/>
    <cellStyle name="Percent 2 6 2 2 4 3" xfId="30751"/>
    <cellStyle name="Percent 2 6 2 2 4 3 2" xfId="30752"/>
    <cellStyle name="Percent 2 6 2 2 4 4" xfId="30753"/>
    <cellStyle name="Percent 2 6 2 2 5" xfId="30754"/>
    <cellStyle name="Percent 2 6 2 2 5 2" xfId="30755"/>
    <cellStyle name="Percent 2 6 2 2 5 2 2" xfId="30756"/>
    <cellStyle name="Percent 2 6 2 2 5 3" xfId="30757"/>
    <cellStyle name="Percent 2 6 2 2 6" xfId="30758"/>
    <cellStyle name="Percent 2 6 2 2 6 2" xfId="30759"/>
    <cellStyle name="Percent 2 6 2 2 6 2 2" xfId="30760"/>
    <cellStyle name="Percent 2 6 2 2 6 3" xfId="30761"/>
    <cellStyle name="Percent 2 6 2 2 7" xfId="30762"/>
    <cellStyle name="Percent 2 6 2 2 7 2" xfId="30763"/>
    <cellStyle name="Percent 2 6 2 2 8" xfId="30764"/>
    <cellStyle name="Percent 2 6 2 2 8 2" xfId="37326"/>
    <cellStyle name="Percent 2 6 2 2 9" xfId="30765"/>
    <cellStyle name="Percent 2 6 2 3" xfId="30766"/>
    <cellStyle name="Percent 2 6 2 3 2" xfId="30767"/>
    <cellStyle name="Percent 2 6 2 3 2 2" xfId="30768"/>
    <cellStyle name="Percent 2 6 2 3 2 2 2" xfId="30769"/>
    <cellStyle name="Percent 2 6 2 3 2 2 2 2" xfId="30770"/>
    <cellStyle name="Percent 2 6 2 3 2 2 2 3" xfId="30771"/>
    <cellStyle name="Percent 2 6 2 3 2 2 3" xfId="30772"/>
    <cellStyle name="Percent 2 6 2 3 2 2 3 2" xfId="30773"/>
    <cellStyle name="Percent 2 6 2 3 2 2 4" xfId="30774"/>
    <cellStyle name="Percent 2 6 2 3 2 3" xfId="30775"/>
    <cellStyle name="Percent 2 6 2 3 2 3 2" xfId="30776"/>
    <cellStyle name="Percent 2 6 2 3 2 3 2 2" xfId="30777"/>
    <cellStyle name="Percent 2 6 2 3 2 3 3" xfId="30778"/>
    <cellStyle name="Percent 2 6 2 3 2 4" xfId="30779"/>
    <cellStyle name="Percent 2 6 2 3 2 4 2" xfId="30780"/>
    <cellStyle name="Percent 2 6 2 3 2 4 3" xfId="30781"/>
    <cellStyle name="Percent 2 6 2 3 2 5" xfId="30782"/>
    <cellStyle name="Percent 2 6 2 3 2 5 2" xfId="30783"/>
    <cellStyle name="Percent 2 6 2 3 2 6" xfId="30784"/>
    <cellStyle name="Percent 2 6 2 3 2 6 2" xfId="37327"/>
    <cellStyle name="Percent 2 6 2 3 2 7" xfId="30785"/>
    <cellStyle name="Percent 2 6 2 3 3" xfId="30786"/>
    <cellStyle name="Percent 2 6 2 3 3 2" xfId="30787"/>
    <cellStyle name="Percent 2 6 2 3 3 2 2" xfId="30788"/>
    <cellStyle name="Percent 2 6 2 3 3 2 2 2" xfId="30789"/>
    <cellStyle name="Percent 2 6 2 3 3 2 3" xfId="30790"/>
    <cellStyle name="Percent 2 6 2 3 3 3" xfId="30791"/>
    <cellStyle name="Percent 2 6 2 3 3 3 2" xfId="30792"/>
    <cellStyle name="Percent 2 6 2 3 3 4" xfId="30793"/>
    <cellStyle name="Percent 2 6 2 3 4" xfId="30794"/>
    <cellStyle name="Percent 2 6 2 3 4 2" xfId="30795"/>
    <cellStyle name="Percent 2 6 2 3 4 2 2" xfId="30796"/>
    <cellStyle name="Percent 2 6 2 3 4 3" xfId="30797"/>
    <cellStyle name="Percent 2 6 2 3 5" xfId="30798"/>
    <cellStyle name="Percent 2 6 2 3 5 2" xfId="30799"/>
    <cellStyle name="Percent 2 6 2 3 5 2 2" xfId="30800"/>
    <cellStyle name="Percent 2 6 2 3 5 3" xfId="30801"/>
    <cellStyle name="Percent 2 6 2 3 6" xfId="30802"/>
    <cellStyle name="Percent 2 6 2 3 6 2" xfId="30803"/>
    <cellStyle name="Percent 2 6 2 3 7" xfId="30804"/>
    <cellStyle name="Percent 2 6 2 3 7 2" xfId="37328"/>
    <cellStyle name="Percent 2 6 2 3 8" xfId="30805"/>
    <cellStyle name="Percent 2 6 2 4" xfId="30806"/>
    <cellStyle name="Percent 2 6 2 4 2" xfId="30807"/>
    <cellStyle name="Percent 2 6 2 4 2 2" xfId="30808"/>
    <cellStyle name="Percent 2 6 2 4 2 2 2" xfId="30809"/>
    <cellStyle name="Percent 2 6 2 4 2 2 3" xfId="30810"/>
    <cellStyle name="Percent 2 6 2 4 2 3" xfId="30811"/>
    <cellStyle name="Percent 2 6 2 4 2 3 2" xfId="30812"/>
    <cellStyle name="Percent 2 6 2 4 2 4" xfId="30813"/>
    <cellStyle name="Percent 2 6 2 4 3" xfId="30814"/>
    <cellStyle name="Percent 2 6 2 4 3 2" xfId="30815"/>
    <cellStyle name="Percent 2 6 2 4 3 2 2" xfId="30816"/>
    <cellStyle name="Percent 2 6 2 4 3 3" xfId="30817"/>
    <cellStyle name="Percent 2 6 2 4 4" xfId="30818"/>
    <cellStyle name="Percent 2 6 2 4 4 2" xfId="30819"/>
    <cellStyle name="Percent 2 6 2 4 4 3" xfId="30820"/>
    <cellStyle name="Percent 2 6 2 4 5" xfId="30821"/>
    <cellStyle name="Percent 2 6 2 4 5 2" xfId="30822"/>
    <cellStyle name="Percent 2 6 2 4 6" xfId="30823"/>
    <cellStyle name="Percent 2 6 2 4 6 2" xfId="37329"/>
    <cellStyle name="Percent 2 6 2 4 7" xfId="30824"/>
    <cellStyle name="Percent 2 6 2 5" xfId="30825"/>
    <cellStyle name="Percent 2 6 2 5 2" xfId="30826"/>
    <cellStyle name="Percent 2 6 2 5 2 2" xfId="30827"/>
    <cellStyle name="Percent 2 6 2 5 2 2 2" xfId="30828"/>
    <cellStyle name="Percent 2 6 2 5 2 3" xfId="30829"/>
    <cellStyle name="Percent 2 6 2 5 3" xfId="30830"/>
    <cellStyle name="Percent 2 6 2 5 3 2" xfId="30831"/>
    <cellStyle name="Percent 2 6 2 5 4" xfId="30832"/>
    <cellStyle name="Percent 2 6 2 6" xfId="30833"/>
    <cellStyle name="Percent 2 6 2 6 2" xfId="30834"/>
    <cellStyle name="Percent 2 6 2 6 2 2" xfId="30835"/>
    <cellStyle name="Percent 2 6 2 6 3" xfId="30836"/>
    <cellStyle name="Percent 2 6 2 7" xfId="30837"/>
    <cellStyle name="Percent 2 6 2 7 2" xfId="30838"/>
    <cellStyle name="Percent 2 6 2 7 2 2" xfId="30839"/>
    <cellStyle name="Percent 2 6 2 7 3" xfId="30840"/>
    <cellStyle name="Percent 2 6 2 8" xfId="30841"/>
    <cellStyle name="Percent 2 6 2 8 2" xfId="30842"/>
    <cellStyle name="Percent 2 6 2 9" xfId="30843"/>
    <cellStyle name="Percent 2 6 2 9 2" xfId="37330"/>
    <cellStyle name="Percent 2 6 3" xfId="30844"/>
    <cellStyle name="Percent 2 6 3 2" xfId="30845"/>
    <cellStyle name="Percent 2 6 3 2 2" xfId="30846"/>
    <cellStyle name="Percent 2 6 3 2 2 2" xfId="30847"/>
    <cellStyle name="Percent 2 6 3 2 2 2 2" xfId="30848"/>
    <cellStyle name="Percent 2 6 3 2 2 2 2 2" xfId="30849"/>
    <cellStyle name="Percent 2 6 3 2 2 2 2 3" xfId="30850"/>
    <cellStyle name="Percent 2 6 3 2 2 2 3" xfId="30851"/>
    <cellStyle name="Percent 2 6 3 2 2 2 3 2" xfId="30852"/>
    <cellStyle name="Percent 2 6 3 2 2 2 4" xfId="30853"/>
    <cellStyle name="Percent 2 6 3 2 2 3" xfId="30854"/>
    <cellStyle name="Percent 2 6 3 2 2 3 2" xfId="30855"/>
    <cellStyle name="Percent 2 6 3 2 2 3 2 2" xfId="30856"/>
    <cellStyle name="Percent 2 6 3 2 2 3 3" xfId="30857"/>
    <cellStyle name="Percent 2 6 3 2 2 4" xfId="30858"/>
    <cellStyle name="Percent 2 6 3 2 2 4 2" xfId="30859"/>
    <cellStyle name="Percent 2 6 3 2 2 4 3" xfId="30860"/>
    <cellStyle name="Percent 2 6 3 2 2 5" xfId="30861"/>
    <cellStyle name="Percent 2 6 3 2 2 5 2" xfId="30862"/>
    <cellStyle name="Percent 2 6 3 2 2 6" xfId="30863"/>
    <cellStyle name="Percent 2 6 3 2 2 6 2" xfId="37331"/>
    <cellStyle name="Percent 2 6 3 2 2 7" xfId="30864"/>
    <cellStyle name="Percent 2 6 3 2 3" xfId="30865"/>
    <cellStyle name="Percent 2 6 3 2 3 2" xfId="30866"/>
    <cellStyle name="Percent 2 6 3 2 3 2 2" xfId="30867"/>
    <cellStyle name="Percent 2 6 3 2 3 2 2 2" xfId="30868"/>
    <cellStyle name="Percent 2 6 3 2 3 2 3" xfId="30869"/>
    <cellStyle name="Percent 2 6 3 2 3 3" xfId="30870"/>
    <cellStyle name="Percent 2 6 3 2 3 3 2" xfId="30871"/>
    <cellStyle name="Percent 2 6 3 2 3 4" xfId="30872"/>
    <cellStyle name="Percent 2 6 3 2 4" xfId="30873"/>
    <cellStyle name="Percent 2 6 3 2 4 2" xfId="30874"/>
    <cellStyle name="Percent 2 6 3 2 4 2 2" xfId="30875"/>
    <cellStyle name="Percent 2 6 3 2 4 3" xfId="30876"/>
    <cellStyle name="Percent 2 6 3 2 5" xfId="30877"/>
    <cellStyle name="Percent 2 6 3 2 5 2" xfId="30878"/>
    <cellStyle name="Percent 2 6 3 2 5 2 2" xfId="30879"/>
    <cellStyle name="Percent 2 6 3 2 5 3" xfId="30880"/>
    <cellStyle name="Percent 2 6 3 2 6" xfId="30881"/>
    <cellStyle name="Percent 2 6 3 2 6 2" xfId="30882"/>
    <cellStyle name="Percent 2 6 3 2 7" xfId="30883"/>
    <cellStyle name="Percent 2 6 3 2 7 2" xfId="37332"/>
    <cellStyle name="Percent 2 6 3 2 8" xfId="30884"/>
    <cellStyle name="Percent 2 6 3 3" xfId="30885"/>
    <cellStyle name="Percent 2 6 3 3 2" xfId="30886"/>
    <cellStyle name="Percent 2 6 3 3 2 2" xfId="30887"/>
    <cellStyle name="Percent 2 6 3 3 2 2 2" xfId="30888"/>
    <cellStyle name="Percent 2 6 3 3 2 2 3" xfId="30889"/>
    <cellStyle name="Percent 2 6 3 3 2 3" xfId="30890"/>
    <cellStyle name="Percent 2 6 3 3 2 3 2" xfId="30891"/>
    <cellStyle name="Percent 2 6 3 3 2 4" xfId="30892"/>
    <cellStyle name="Percent 2 6 3 3 3" xfId="30893"/>
    <cellStyle name="Percent 2 6 3 3 3 2" xfId="30894"/>
    <cellStyle name="Percent 2 6 3 3 3 2 2" xfId="30895"/>
    <cellStyle name="Percent 2 6 3 3 3 3" xfId="30896"/>
    <cellStyle name="Percent 2 6 3 3 4" xfId="30897"/>
    <cellStyle name="Percent 2 6 3 3 4 2" xfId="30898"/>
    <cellStyle name="Percent 2 6 3 3 4 3" xfId="30899"/>
    <cellStyle name="Percent 2 6 3 3 5" xfId="30900"/>
    <cellStyle name="Percent 2 6 3 3 5 2" xfId="30901"/>
    <cellStyle name="Percent 2 6 3 3 6" xfId="30902"/>
    <cellStyle name="Percent 2 6 3 3 6 2" xfId="37333"/>
    <cellStyle name="Percent 2 6 3 3 7" xfId="30903"/>
    <cellStyle name="Percent 2 6 3 4" xfId="30904"/>
    <cellStyle name="Percent 2 6 3 4 2" xfId="30905"/>
    <cellStyle name="Percent 2 6 3 4 2 2" xfId="30906"/>
    <cellStyle name="Percent 2 6 3 4 2 2 2" xfId="30907"/>
    <cellStyle name="Percent 2 6 3 4 2 3" xfId="30908"/>
    <cellStyle name="Percent 2 6 3 4 3" xfId="30909"/>
    <cellStyle name="Percent 2 6 3 4 3 2" xfId="30910"/>
    <cellStyle name="Percent 2 6 3 4 4" xfId="30911"/>
    <cellStyle name="Percent 2 6 3 5" xfId="30912"/>
    <cellStyle name="Percent 2 6 3 5 2" xfId="30913"/>
    <cellStyle name="Percent 2 6 3 5 2 2" xfId="30914"/>
    <cellStyle name="Percent 2 6 3 5 3" xfId="30915"/>
    <cellStyle name="Percent 2 6 3 6" xfId="30916"/>
    <cellStyle name="Percent 2 6 3 6 2" xfId="30917"/>
    <cellStyle name="Percent 2 6 3 6 2 2" xfId="30918"/>
    <cellStyle name="Percent 2 6 3 6 3" xfId="30919"/>
    <cellStyle name="Percent 2 6 3 7" xfId="30920"/>
    <cellStyle name="Percent 2 6 3 7 2" xfId="30921"/>
    <cellStyle name="Percent 2 6 3 8" xfId="30922"/>
    <cellStyle name="Percent 2 6 3 8 2" xfId="37334"/>
    <cellStyle name="Percent 2 6 3 9" xfId="30923"/>
    <cellStyle name="Percent 2 6 4" xfId="30924"/>
    <cellStyle name="Percent 2 6 4 2" xfId="30925"/>
    <cellStyle name="Percent 2 6 4 2 2" xfId="30926"/>
    <cellStyle name="Percent 2 6 4 2 2 2" xfId="30927"/>
    <cellStyle name="Percent 2 6 4 2 2 2 2" xfId="30928"/>
    <cellStyle name="Percent 2 6 4 2 2 2 3" xfId="30929"/>
    <cellStyle name="Percent 2 6 4 2 2 3" xfId="30930"/>
    <cellStyle name="Percent 2 6 4 2 2 3 2" xfId="30931"/>
    <cellStyle name="Percent 2 6 4 2 2 4" xfId="30932"/>
    <cellStyle name="Percent 2 6 4 2 3" xfId="30933"/>
    <cellStyle name="Percent 2 6 4 2 3 2" xfId="30934"/>
    <cellStyle name="Percent 2 6 4 2 3 2 2" xfId="30935"/>
    <cellStyle name="Percent 2 6 4 2 3 3" xfId="30936"/>
    <cellStyle name="Percent 2 6 4 2 4" xfId="30937"/>
    <cellStyle name="Percent 2 6 4 2 4 2" xfId="30938"/>
    <cellStyle name="Percent 2 6 4 2 4 3" xfId="30939"/>
    <cellStyle name="Percent 2 6 4 2 5" xfId="30940"/>
    <cellStyle name="Percent 2 6 4 2 5 2" xfId="30941"/>
    <cellStyle name="Percent 2 6 4 2 6" xfId="30942"/>
    <cellStyle name="Percent 2 6 4 2 6 2" xfId="37335"/>
    <cellStyle name="Percent 2 6 4 2 7" xfId="30943"/>
    <cellStyle name="Percent 2 6 4 3" xfId="30944"/>
    <cellStyle name="Percent 2 6 4 3 2" xfId="30945"/>
    <cellStyle name="Percent 2 6 4 3 2 2" xfId="30946"/>
    <cellStyle name="Percent 2 6 4 3 2 2 2" xfId="30947"/>
    <cellStyle name="Percent 2 6 4 3 2 3" xfId="30948"/>
    <cellStyle name="Percent 2 6 4 3 3" xfId="30949"/>
    <cellStyle name="Percent 2 6 4 3 3 2" xfId="30950"/>
    <cellStyle name="Percent 2 6 4 3 4" xfId="30951"/>
    <cellStyle name="Percent 2 6 4 4" xfId="30952"/>
    <cellStyle name="Percent 2 6 4 4 2" xfId="30953"/>
    <cellStyle name="Percent 2 6 4 4 2 2" xfId="30954"/>
    <cellStyle name="Percent 2 6 4 4 3" xfId="30955"/>
    <cellStyle name="Percent 2 6 4 5" xfId="30956"/>
    <cellStyle name="Percent 2 6 4 5 2" xfId="30957"/>
    <cellStyle name="Percent 2 6 4 5 2 2" xfId="30958"/>
    <cellStyle name="Percent 2 6 4 5 3" xfId="30959"/>
    <cellStyle name="Percent 2 6 4 6" xfId="30960"/>
    <cellStyle name="Percent 2 6 4 6 2" xfId="30961"/>
    <cellStyle name="Percent 2 6 4 7" xfId="30962"/>
    <cellStyle name="Percent 2 6 4 7 2" xfId="37336"/>
    <cellStyle name="Percent 2 6 4 8" xfId="30963"/>
    <cellStyle name="Percent 2 6 5" xfId="30964"/>
    <cellStyle name="Percent 2 6 5 2" xfId="30965"/>
    <cellStyle name="Percent 2 6 5 2 2" xfId="30966"/>
    <cellStyle name="Percent 2 6 5 2 2 2" xfId="30967"/>
    <cellStyle name="Percent 2 6 5 2 2 2 2" xfId="30968"/>
    <cellStyle name="Percent 2 6 5 2 2 2 3" xfId="30969"/>
    <cellStyle name="Percent 2 6 5 2 2 3" xfId="30970"/>
    <cellStyle name="Percent 2 6 5 2 2 3 2" xfId="30971"/>
    <cellStyle name="Percent 2 6 5 2 2 4" xfId="30972"/>
    <cellStyle name="Percent 2 6 5 2 3" xfId="30973"/>
    <cellStyle name="Percent 2 6 5 2 3 2" xfId="30974"/>
    <cellStyle name="Percent 2 6 5 2 3 2 2" xfId="30975"/>
    <cellStyle name="Percent 2 6 5 2 3 3" xfId="30976"/>
    <cellStyle name="Percent 2 6 5 2 4" xfId="30977"/>
    <cellStyle name="Percent 2 6 5 2 4 2" xfId="30978"/>
    <cellStyle name="Percent 2 6 5 2 4 3" xfId="30979"/>
    <cellStyle name="Percent 2 6 5 2 5" xfId="30980"/>
    <cellStyle name="Percent 2 6 5 2 5 2" xfId="30981"/>
    <cellStyle name="Percent 2 6 5 2 6" xfId="30982"/>
    <cellStyle name="Percent 2 6 5 2 6 2" xfId="37337"/>
    <cellStyle name="Percent 2 6 5 2 7" xfId="30983"/>
    <cellStyle name="Percent 2 6 5 3" xfId="30984"/>
    <cellStyle name="Percent 2 6 5 3 2" xfId="30985"/>
    <cellStyle name="Percent 2 6 5 3 2 2" xfId="30986"/>
    <cellStyle name="Percent 2 6 5 3 2 2 2" xfId="30987"/>
    <cellStyle name="Percent 2 6 5 3 2 3" xfId="30988"/>
    <cellStyle name="Percent 2 6 5 3 3" xfId="30989"/>
    <cellStyle name="Percent 2 6 5 3 3 2" xfId="30990"/>
    <cellStyle name="Percent 2 6 5 3 4" xfId="30991"/>
    <cellStyle name="Percent 2 6 5 4" xfId="30992"/>
    <cellStyle name="Percent 2 6 5 4 2" xfId="30993"/>
    <cellStyle name="Percent 2 6 5 4 2 2" xfId="30994"/>
    <cellStyle name="Percent 2 6 5 4 3" xfId="30995"/>
    <cellStyle name="Percent 2 6 5 5" xfId="30996"/>
    <cellStyle name="Percent 2 6 5 5 2" xfId="30997"/>
    <cellStyle name="Percent 2 6 5 5 2 2" xfId="30998"/>
    <cellStyle name="Percent 2 6 5 5 3" xfId="30999"/>
    <cellStyle name="Percent 2 6 5 6" xfId="31000"/>
    <cellStyle name="Percent 2 6 5 6 2" xfId="31001"/>
    <cellStyle name="Percent 2 6 5 7" xfId="31002"/>
    <cellStyle name="Percent 2 6 5 7 2" xfId="37338"/>
    <cellStyle name="Percent 2 6 5 8" xfId="31003"/>
    <cellStyle name="Percent 2 6 6" xfId="184"/>
    <cellStyle name="Percent 2 6 7" xfId="31004"/>
    <cellStyle name="Percent 2 6 7 2" xfId="31005"/>
    <cellStyle name="Percent 2 6 7 2 2" xfId="31006"/>
    <cellStyle name="Percent 2 6 7 2 2 2" xfId="31007"/>
    <cellStyle name="Percent 2 6 7 2 2 3" xfId="31008"/>
    <cellStyle name="Percent 2 6 7 2 3" xfId="31009"/>
    <cellStyle name="Percent 2 6 7 2 3 2" xfId="31010"/>
    <cellStyle name="Percent 2 6 7 2 4" xfId="31011"/>
    <cellStyle name="Percent 2 6 7 3" xfId="31012"/>
    <cellStyle name="Percent 2 6 7 3 2" xfId="31013"/>
    <cellStyle name="Percent 2 6 7 3 2 2" xfId="31014"/>
    <cellStyle name="Percent 2 6 7 3 3" xfId="31015"/>
    <cellStyle name="Percent 2 6 7 4" xfId="31016"/>
    <cellStyle name="Percent 2 6 7 4 2" xfId="31017"/>
    <cellStyle name="Percent 2 6 7 4 3" xfId="31018"/>
    <cellStyle name="Percent 2 6 7 5" xfId="31019"/>
    <cellStyle name="Percent 2 6 7 5 2" xfId="31020"/>
    <cellStyle name="Percent 2 6 7 6" xfId="31021"/>
    <cellStyle name="Percent 2 6 7 6 2" xfId="37339"/>
    <cellStyle name="Percent 2 6 7 7" xfId="31022"/>
    <cellStyle name="Percent 2 6 8" xfId="31023"/>
    <cellStyle name="Percent 2 6 8 2" xfId="31024"/>
    <cellStyle name="Percent 2 6 8 2 2" xfId="31025"/>
    <cellStyle name="Percent 2 6 8 2 2 2" xfId="31026"/>
    <cellStyle name="Percent 2 6 8 2 3" xfId="31027"/>
    <cellStyle name="Percent 2 6 8 3" xfId="31028"/>
    <cellStyle name="Percent 2 6 8 3 2" xfId="31029"/>
    <cellStyle name="Percent 2 6 8 4" xfId="31030"/>
    <cellStyle name="Percent 2 6 9" xfId="31031"/>
    <cellStyle name="Percent 2 6 9 2" xfId="31032"/>
    <cellStyle name="Percent 2 6 9 2 2" xfId="31033"/>
    <cellStyle name="Percent 2 6 9 3" xfId="31034"/>
    <cellStyle name="Percent 2 7" xfId="31035"/>
    <cellStyle name="Percent 2 7 10" xfId="31036"/>
    <cellStyle name="Percent 2 7 2" xfId="31037"/>
    <cellStyle name="Percent 2 7 2 2" xfId="31038"/>
    <cellStyle name="Percent 2 7 2 2 2" xfId="31039"/>
    <cellStyle name="Percent 2 7 2 2 2 2" xfId="31040"/>
    <cellStyle name="Percent 2 7 2 2 2 2 2" xfId="31041"/>
    <cellStyle name="Percent 2 7 2 2 2 2 2 2" xfId="31042"/>
    <cellStyle name="Percent 2 7 2 2 2 2 2 3" xfId="31043"/>
    <cellStyle name="Percent 2 7 2 2 2 2 3" xfId="31044"/>
    <cellStyle name="Percent 2 7 2 2 2 2 3 2" xfId="31045"/>
    <cellStyle name="Percent 2 7 2 2 2 2 4" xfId="31046"/>
    <cellStyle name="Percent 2 7 2 2 2 3" xfId="31047"/>
    <cellStyle name="Percent 2 7 2 2 2 3 2" xfId="31048"/>
    <cellStyle name="Percent 2 7 2 2 2 3 2 2" xfId="31049"/>
    <cellStyle name="Percent 2 7 2 2 2 3 3" xfId="31050"/>
    <cellStyle name="Percent 2 7 2 2 2 4" xfId="31051"/>
    <cellStyle name="Percent 2 7 2 2 2 4 2" xfId="31052"/>
    <cellStyle name="Percent 2 7 2 2 2 4 3" xfId="31053"/>
    <cellStyle name="Percent 2 7 2 2 2 5" xfId="31054"/>
    <cellStyle name="Percent 2 7 2 2 2 5 2" xfId="31055"/>
    <cellStyle name="Percent 2 7 2 2 2 6" xfId="31056"/>
    <cellStyle name="Percent 2 7 2 2 2 6 2" xfId="37340"/>
    <cellStyle name="Percent 2 7 2 2 2 7" xfId="31057"/>
    <cellStyle name="Percent 2 7 2 2 3" xfId="31058"/>
    <cellStyle name="Percent 2 7 2 2 3 2" xfId="31059"/>
    <cellStyle name="Percent 2 7 2 2 3 2 2" xfId="31060"/>
    <cellStyle name="Percent 2 7 2 2 3 2 2 2" xfId="31061"/>
    <cellStyle name="Percent 2 7 2 2 3 2 3" xfId="31062"/>
    <cellStyle name="Percent 2 7 2 2 3 3" xfId="31063"/>
    <cellStyle name="Percent 2 7 2 2 3 3 2" xfId="31064"/>
    <cellStyle name="Percent 2 7 2 2 3 4" xfId="31065"/>
    <cellStyle name="Percent 2 7 2 2 4" xfId="31066"/>
    <cellStyle name="Percent 2 7 2 2 4 2" xfId="31067"/>
    <cellStyle name="Percent 2 7 2 2 4 2 2" xfId="31068"/>
    <cellStyle name="Percent 2 7 2 2 4 3" xfId="31069"/>
    <cellStyle name="Percent 2 7 2 2 5" xfId="31070"/>
    <cellStyle name="Percent 2 7 2 2 5 2" xfId="31071"/>
    <cellStyle name="Percent 2 7 2 2 5 2 2" xfId="31072"/>
    <cellStyle name="Percent 2 7 2 2 5 3" xfId="31073"/>
    <cellStyle name="Percent 2 7 2 2 6" xfId="31074"/>
    <cellStyle name="Percent 2 7 2 2 6 2" xfId="31075"/>
    <cellStyle name="Percent 2 7 2 2 7" xfId="31076"/>
    <cellStyle name="Percent 2 7 2 2 7 2" xfId="37341"/>
    <cellStyle name="Percent 2 7 2 2 8" xfId="31077"/>
    <cellStyle name="Percent 2 7 2 3" xfId="31078"/>
    <cellStyle name="Percent 2 7 2 3 2" xfId="31079"/>
    <cellStyle name="Percent 2 7 2 3 2 2" xfId="31080"/>
    <cellStyle name="Percent 2 7 2 3 2 2 2" xfId="31081"/>
    <cellStyle name="Percent 2 7 2 3 2 2 3" xfId="31082"/>
    <cellStyle name="Percent 2 7 2 3 2 3" xfId="31083"/>
    <cellStyle name="Percent 2 7 2 3 2 3 2" xfId="31084"/>
    <cellStyle name="Percent 2 7 2 3 2 4" xfId="31085"/>
    <cellStyle name="Percent 2 7 2 3 3" xfId="31086"/>
    <cellStyle name="Percent 2 7 2 3 3 2" xfId="31087"/>
    <cellStyle name="Percent 2 7 2 3 3 2 2" xfId="31088"/>
    <cellStyle name="Percent 2 7 2 3 3 3" xfId="31089"/>
    <cellStyle name="Percent 2 7 2 3 4" xfId="31090"/>
    <cellStyle name="Percent 2 7 2 3 4 2" xfId="31091"/>
    <cellStyle name="Percent 2 7 2 3 4 3" xfId="31092"/>
    <cellStyle name="Percent 2 7 2 3 5" xfId="31093"/>
    <cellStyle name="Percent 2 7 2 3 5 2" xfId="31094"/>
    <cellStyle name="Percent 2 7 2 3 6" xfId="31095"/>
    <cellStyle name="Percent 2 7 2 3 6 2" xfId="37342"/>
    <cellStyle name="Percent 2 7 2 3 7" xfId="31096"/>
    <cellStyle name="Percent 2 7 2 4" xfId="31097"/>
    <cellStyle name="Percent 2 7 2 4 2" xfId="31098"/>
    <cellStyle name="Percent 2 7 2 4 2 2" xfId="31099"/>
    <cellStyle name="Percent 2 7 2 4 2 2 2" xfId="31100"/>
    <cellStyle name="Percent 2 7 2 4 2 3" xfId="31101"/>
    <cellStyle name="Percent 2 7 2 4 3" xfId="31102"/>
    <cellStyle name="Percent 2 7 2 4 3 2" xfId="31103"/>
    <cellStyle name="Percent 2 7 2 4 4" xfId="31104"/>
    <cellStyle name="Percent 2 7 2 5" xfId="31105"/>
    <cellStyle name="Percent 2 7 2 5 2" xfId="31106"/>
    <cellStyle name="Percent 2 7 2 5 2 2" xfId="31107"/>
    <cellStyle name="Percent 2 7 2 5 3" xfId="31108"/>
    <cellStyle name="Percent 2 7 2 6" xfId="31109"/>
    <cellStyle name="Percent 2 7 2 6 2" xfId="31110"/>
    <cellStyle name="Percent 2 7 2 6 2 2" xfId="31111"/>
    <cellStyle name="Percent 2 7 2 6 3" xfId="31112"/>
    <cellStyle name="Percent 2 7 2 7" xfId="31113"/>
    <cellStyle name="Percent 2 7 2 7 2" xfId="31114"/>
    <cellStyle name="Percent 2 7 2 8" xfId="31115"/>
    <cellStyle name="Percent 2 7 2 8 2" xfId="37343"/>
    <cellStyle name="Percent 2 7 2 9" xfId="31116"/>
    <cellStyle name="Percent 2 7 3" xfId="31117"/>
    <cellStyle name="Percent 2 7 3 2" xfId="31118"/>
    <cellStyle name="Percent 2 7 3 2 2" xfId="31119"/>
    <cellStyle name="Percent 2 7 3 2 2 2" xfId="31120"/>
    <cellStyle name="Percent 2 7 3 2 2 2 2" xfId="31121"/>
    <cellStyle name="Percent 2 7 3 2 2 2 3" xfId="31122"/>
    <cellStyle name="Percent 2 7 3 2 2 3" xfId="31123"/>
    <cellStyle name="Percent 2 7 3 2 2 3 2" xfId="31124"/>
    <cellStyle name="Percent 2 7 3 2 2 4" xfId="31125"/>
    <cellStyle name="Percent 2 7 3 2 3" xfId="31126"/>
    <cellStyle name="Percent 2 7 3 2 3 2" xfId="31127"/>
    <cellStyle name="Percent 2 7 3 2 3 2 2" xfId="31128"/>
    <cellStyle name="Percent 2 7 3 2 3 3" xfId="31129"/>
    <cellStyle name="Percent 2 7 3 2 4" xfId="31130"/>
    <cellStyle name="Percent 2 7 3 2 4 2" xfId="31131"/>
    <cellStyle name="Percent 2 7 3 2 4 3" xfId="31132"/>
    <cellStyle name="Percent 2 7 3 2 5" xfId="31133"/>
    <cellStyle name="Percent 2 7 3 2 5 2" xfId="31134"/>
    <cellStyle name="Percent 2 7 3 2 6" xfId="31135"/>
    <cellStyle name="Percent 2 7 3 2 6 2" xfId="37344"/>
    <cellStyle name="Percent 2 7 3 2 7" xfId="31136"/>
    <cellStyle name="Percent 2 7 3 3" xfId="31137"/>
    <cellStyle name="Percent 2 7 3 3 2" xfId="31138"/>
    <cellStyle name="Percent 2 7 3 3 2 2" xfId="31139"/>
    <cellStyle name="Percent 2 7 3 3 2 2 2" xfId="31140"/>
    <cellStyle name="Percent 2 7 3 3 2 3" xfId="31141"/>
    <cellStyle name="Percent 2 7 3 3 3" xfId="31142"/>
    <cellStyle name="Percent 2 7 3 3 3 2" xfId="31143"/>
    <cellStyle name="Percent 2 7 3 3 4" xfId="31144"/>
    <cellStyle name="Percent 2 7 3 4" xfId="31145"/>
    <cellStyle name="Percent 2 7 3 4 2" xfId="31146"/>
    <cellStyle name="Percent 2 7 3 4 2 2" xfId="31147"/>
    <cellStyle name="Percent 2 7 3 4 3" xfId="31148"/>
    <cellStyle name="Percent 2 7 3 5" xfId="31149"/>
    <cellStyle name="Percent 2 7 3 5 2" xfId="31150"/>
    <cellStyle name="Percent 2 7 3 5 2 2" xfId="31151"/>
    <cellStyle name="Percent 2 7 3 5 3" xfId="31152"/>
    <cellStyle name="Percent 2 7 3 6" xfId="31153"/>
    <cellStyle name="Percent 2 7 3 6 2" xfId="31154"/>
    <cellStyle name="Percent 2 7 3 7" xfId="31155"/>
    <cellStyle name="Percent 2 7 3 7 2" xfId="37345"/>
    <cellStyle name="Percent 2 7 3 8" xfId="31156"/>
    <cellStyle name="Percent 2 7 4" xfId="31157"/>
    <cellStyle name="Percent 2 7 4 2" xfId="31158"/>
    <cellStyle name="Percent 2 7 4 2 2" xfId="31159"/>
    <cellStyle name="Percent 2 7 4 2 2 2" xfId="31160"/>
    <cellStyle name="Percent 2 7 4 2 2 3" xfId="31161"/>
    <cellStyle name="Percent 2 7 4 2 3" xfId="31162"/>
    <cellStyle name="Percent 2 7 4 2 3 2" xfId="31163"/>
    <cellStyle name="Percent 2 7 4 2 4" xfId="31164"/>
    <cellStyle name="Percent 2 7 4 3" xfId="31165"/>
    <cellStyle name="Percent 2 7 4 3 2" xfId="31166"/>
    <cellStyle name="Percent 2 7 4 3 2 2" xfId="31167"/>
    <cellStyle name="Percent 2 7 4 3 3" xfId="31168"/>
    <cellStyle name="Percent 2 7 4 4" xfId="31169"/>
    <cellStyle name="Percent 2 7 4 4 2" xfId="31170"/>
    <cellStyle name="Percent 2 7 4 4 3" xfId="31171"/>
    <cellStyle name="Percent 2 7 4 5" xfId="31172"/>
    <cellStyle name="Percent 2 7 4 5 2" xfId="31173"/>
    <cellStyle name="Percent 2 7 4 6" xfId="31174"/>
    <cellStyle name="Percent 2 7 4 6 2" xfId="37346"/>
    <cellStyle name="Percent 2 7 4 7" xfId="31175"/>
    <cellStyle name="Percent 2 7 5" xfId="31176"/>
    <cellStyle name="Percent 2 7 5 2" xfId="31177"/>
    <cellStyle name="Percent 2 7 5 2 2" xfId="31178"/>
    <cellStyle name="Percent 2 7 5 2 2 2" xfId="31179"/>
    <cellStyle name="Percent 2 7 5 2 3" xfId="31180"/>
    <cellStyle name="Percent 2 7 5 3" xfId="31181"/>
    <cellStyle name="Percent 2 7 5 3 2" xfId="31182"/>
    <cellStyle name="Percent 2 7 5 4" xfId="31183"/>
    <cellStyle name="Percent 2 7 6" xfId="31184"/>
    <cellStyle name="Percent 2 7 6 2" xfId="31185"/>
    <cellStyle name="Percent 2 7 6 2 2" xfId="31186"/>
    <cellStyle name="Percent 2 7 6 3" xfId="31187"/>
    <cellStyle name="Percent 2 7 7" xfId="31188"/>
    <cellStyle name="Percent 2 7 7 2" xfId="31189"/>
    <cellStyle name="Percent 2 7 7 2 2" xfId="31190"/>
    <cellStyle name="Percent 2 7 7 3" xfId="31191"/>
    <cellStyle name="Percent 2 7 8" xfId="31192"/>
    <cellStyle name="Percent 2 7 8 2" xfId="31193"/>
    <cellStyle name="Percent 2 7 9" xfId="31194"/>
    <cellStyle name="Percent 2 7 9 2" xfId="37347"/>
    <cellStyle name="Percent 2 8" xfId="31195"/>
    <cellStyle name="Percent 2 8 2" xfId="31196"/>
    <cellStyle name="Percent 2 8 2 2" xfId="31197"/>
    <cellStyle name="Percent 2 8 2 2 2" xfId="31198"/>
    <cellStyle name="Percent 2 8 2 2 2 2" xfId="31199"/>
    <cellStyle name="Percent 2 8 2 2 2 2 2" xfId="31200"/>
    <cellStyle name="Percent 2 8 2 2 2 2 3" xfId="31201"/>
    <cellStyle name="Percent 2 8 2 2 2 3" xfId="31202"/>
    <cellStyle name="Percent 2 8 2 2 2 3 2" xfId="31203"/>
    <cellStyle name="Percent 2 8 2 2 2 4" xfId="31204"/>
    <cellStyle name="Percent 2 8 2 2 3" xfId="31205"/>
    <cellStyle name="Percent 2 8 2 2 3 2" xfId="31206"/>
    <cellStyle name="Percent 2 8 2 2 3 2 2" xfId="31207"/>
    <cellStyle name="Percent 2 8 2 2 3 3" xfId="31208"/>
    <cellStyle name="Percent 2 8 2 2 4" xfId="31209"/>
    <cellStyle name="Percent 2 8 2 2 4 2" xfId="31210"/>
    <cellStyle name="Percent 2 8 2 2 4 3" xfId="31211"/>
    <cellStyle name="Percent 2 8 2 2 5" xfId="31212"/>
    <cellStyle name="Percent 2 8 2 2 5 2" xfId="31213"/>
    <cellStyle name="Percent 2 8 2 2 6" xfId="31214"/>
    <cellStyle name="Percent 2 8 2 2 6 2" xfId="37348"/>
    <cellStyle name="Percent 2 8 2 2 7" xfId="31215"/>
    <cellStyle name="Percent 2 8 2 3" xfId="31216"/>
    <cellStyle name="Percent 2 8 2 3 2" xfId="31217"/>
    <cellStyle name="Percent 2 8 2 3 2 2" xfId="31218"/>
    <cellStyle name="Percent 2 8 2 3 2 2 2" xfId="31219"/>
    <cellStyle name="Percent 2 8 2 3 2 3" xfId="31220"/>
    <cellStyle name="Percent 2 8 2 3 3" xfId="31221"/>
    <cellStyle name="Percent 2 8 2 3 3 2" xfId="31222"/>
    <cellStyle name="Percent 2 8 2 3 4" xfId="31223"/>
    <cellStyle name="Percent 2 8 2 4" xfId="31224"/>
    <cellStyle name="Percent 2 8 2 4 2" xfId="31225"/>
    <cellStyle name="Percent 2 8 2 4 2 2" xfId="31226"/>
    <cellStyle name="Percent 2 8 2 4 3" xfId="31227"/>
    <cellStyle name="Percent 2 8 2 5" xfId="31228"/>
    <cellStyle name="Percent 2 8 2 5 2" xfId="31229"/>
    <cellStyle name="Percent 2 8 2 5 2 2" xfId="31230"/>
    <cellStyle name="Percent 2 8 2 5 3" xfId="31231"/>
    <cellStyle name="Percent 2 8 2 6" xfId="31232"/>
    <cellStyle name="Percent 2 8 2 6 2" xfId="31233"/>
    <cellStyle name="Percent 2 8 2 7" xfId="31234"/>
    <cellStyle name="Percent 2 8 2 7 2" xfId="37349"/>
    <cellStyle name="Percent 2 8 2 8" xfId="31235"/>
    <cellStyle name="Percent 2 8 3" xfId="31236"/>
    <cellStyle name="Percent 2 8 3 2" xfId="31237"/>
    <cellStyle name="Percent 2 8 3 2 2" xfId="31238"/>
    <cellStyle name="Percent 2 8 3 2 2 2" xfId="31239"/>
    <cellStyle name="Percent 2 8 3 2 2 3" xfId="31240"/>
    <cellStyle name="Percent 2 8 3 2 3" xfId="31241"/>
    <cellStyle name="Percent 2 8 3 2 3 2" xfId="31242"/>
    <cellStyle name="Percent 2 8 3 2 4" xfId="31243"/>
    <cellStyle name="Percent 2 8 3 3" xfId="31244"/>
    <cellStyle name="Percent 2 8 3 3 2" xfId="31245"/>
    <cellStyle name="Percent 2 8 3 3 2 2" xfId="31246"/>
    <cellStyle name="Percent 2 8 3 3 3" xfId="31247"/>
    <cellStyle name="Percent 2 8 3 4" xfId="31248"/>
    <cellStyle name="Percent 2 8 3 4 2" xfId="31249"/>
    <cellStyle name="Percent 2 8 3 4 3" xfId="31250"/>
    <cellStyle name="Percent 2 8 3 5" xfId="31251"/>
    <cellStyle name="Percent 2 8 3 5 2" xfId="31252"/>
    <cellStyle name="Percent 2 8 3 6" xfId="31253"/>
    <cellStyle name="Percent 2 8 3 6 2" xfId="37350"/>
    <cellStyle name="Percent 2 8 3 7" xfId="31254"/>
    <cellStyle name="Percent 2 8 4" xfId="31255"/>
    <cellStyle name="Percent 2 8 4 2" xfId="31256"/>
    <cellStyle name="Percent 2 8 4 2 2" xfId="31257"/>
    <cellStyle name="Percent 2 8 4 2 2 2" xfId="31258"/>
    <cellStyle name="Percent 2 8 4 2 3" xfId="31259"/>
    <cellStyle name="Percent 2 8 4 3" xfId="31260"/>
    <cellStyle name="Percent 2 8 4 3 2" xfId="31261"/>
    <cellStyle name="Percent 2 8 4 4" xfId="31262"/>
    <cellStyle name="Percent 2 8 5" xfId="31263"/>
    <cellStyle name="Percent 2 8 5 2" xfId="31264"/>
    <cellStyle name="Percent 2 8 5 2 2" xfId="31265"/>
    <cellStyle name="Percent 2 8 5 3" xfId="31266"/>
    <cellStyle name="Percent 2 8 6" xfId="31267"/>
    <cellStyle name="Percent 2 8 6 2" xfId="31268"/>
    <cellStyle name="Percent 2 8 6 2 2" xfId="31269"/>
    <cellStyle name="Percent 2 8 6 3" xfId="31270"/>
    <cellStyle name="Percent 2 8 7" xfId="31271"/>
    <cellStyle name="Percent 2 8 7 2" xfId="31272"/>
    <cellStyle name="Percent 2 8 8" xfId="31273"/>
    <cellStyle name="Percent 2 8 8 2" xfId="37351"/>
    <cellStyle name="Percent 2 8 9" xfId="31274"/>
    <cellStyle name="Percent 2 9" xfId="31275"/>
    <cellStyle name="Percent 2 9 2" xfId="31276"/>
    <cellStyle name="Percent 2 9 2 2" xfId="31277"/>
    <cellStyle name="Percent 2 9 2 2 2" xfId="31278"/>
    <cellStyle name="Percent 2 9 2 2 2 2" xfId="31279"/>
    <cellStyle name="Percent 2 9 2 2 2 2 2" xfId="31280"/>
    <cellStyle name="Percent 2 9 2 2 2 2 3" xfId="31281"/>
    <cellStyle name="Percent 2 9 2 2 2 3" xfId="31282"/>
    <cellStyle name="Percent 2 9 2 2 2 3 2" xfId="31283"/>
    <cellStyle name="Percent 2 9 2 2 2 4" xfId="31284"/>
    <cellStyle name="Percent 2 9 2 2 3" xfId="31285"/>
    <cellStyle name="Percent 2 9 2 2 3 2" xfId="31286"/>
    <cellStyle name="Percent 2 9 2 2 3 2 2" xfId="31287"/>
    <cellStyle name="Percent 2 9 2 2 3 3" xfId="31288"/>
    <cellStyle name="Percent 2 9 2 2 4" xfId="31289"/>
    <cellStyle name="Percent 2 9 2 2 4 2" xfId="31290"/>
    <cellStyle name="Percent 2 9 2 2 4 3" xfId="31291"/>
    <cellStyle name="Percent 2 9 2 2 5" xfId="31292"/>
    <cellStyle name="Percent 2 9 2 2 5 2" xfId="31293"/>
    <cellStyle name="Percent 2 9 2 2 6" xfId="31294"/>
    <cellStyle name="Percent 2 9 2 2 6 2" xfId="37352"/>
    <cellStyle name="Percent 2 9 2 2 7" xfId="31295"/>
    <cellStyle name="Percent 2 9 2 3" xfId="31296"/>
    <cellStyle name="Percent 2 9 2 3 2" xfId="31297"/>
    <cellStyle name="Percent 2 9 2 3 2 2" xfId="31298"/>
    <cellStyle name="Percent 2 9 2 3 2 2 2" xfId="31299"/>
    <cellStyle name="Percent 2 9 2 3 2 3" xfId="31300"/>
    <cellStyle name="Percent 2 9 2 3 3" xfId="31301"/>
    <cellStyle name="Percent 2 9 2 3 3 2" xfId="31302"/>
    <cellStyle name="Percent 2 9 2 3 4" xfId="31303"/>
    <cellStyle name="Percent 2 9 2 4" xfId="31304"/>
    <cellStyle name="Percent 2 9 2 4 2" xfId="31305"/>
    <cellStyle name="Percent 2 9 2 4 2 2" xfId="31306"/>
    <cellStyle name="Percent 2 9 2 4 3" xfId="31307"/>
    <cellStyle name="Percent 2 9 2 5" xfId="31308"/>
    <cellStyle name="Percent 2 9 2 5 2" xfId="31309"/>
    <cellStyle name="Percent 2 9 2 5 2 2" xfId="31310"/>
    <cellStyle name="Percent 2 9 2 5 3" xfId="31311"/>
    <cellStyle name="Percent 2 9 2 6" xfId="31312"/>
    <cellStyle name="Percent 2 9 2 6 2" xfId="31313"/>
    <cellStyle name="Percent 2 9 2 7" xfId="31314"/>
    <cellStyle name="Percent 2 9 2 7 2" xfId="37353"/>
    <cellStyle name="Percent 2 9 2 8" xfId="31315"/>
    <cellStyle name="Percent 2 9 3" xfId="31316"/>
    <cellStyle name="Percent 2 9 3 2" xfId="31317"/>
    <cellStyle name="Percent 2 9 3 2 2" xfId="31318"/>
    <cellStyle name="Percent 2 9 3 2 2 2" xfId="31319"/>
    <cellStyle name="Percent 2 9 3 2 2 3" xfId="31320"/>
    <cellStyle name="Percent 2 9 3 2 3" xfId="31321"/>
    <cellStyle name="Percent 2 9 3 2 3 2" xfId="31322"/>
    <cellStyle name="Percent 2 9 3 2 4" xfId="31323"/>
    <cellStyle name="Percent 2 9 3 3" xfId="31324"/>
    <cellStyle name="Percent 2 9 3 3 2" xfId="31325"/>
    <cellStyle name="Percent 2 9 3 3 2 2" xfId="31326"/>
    <cellStyle name="Percent 2 9 3 3 3" xfId="31327"/>
    <cellStyle name="Percent 2 9 3 4" xfId="31328"/>
    <cellStyle name="Percent 2 9 3 4 2" xfId="31329"/>
    <cellStyle name="Percent 2 9 3 4 3" xfId="31330"/>
    <cellStyle name="Percent 2 9 3 5" xfId="31331"/>
    <cellStyle name="Percent 2 9 3 5 2" xfId="31332"/>
    <cellStyle name="Percent 2 9 3 6" xfId="31333"/>
    <cellStyle name="Percent 2 9 3 6 2" xfId="37354"/>
    <cellStyle name="Percent 2 9 3 7" xfId="31334"/>
    <cellStyle name="Percent 2 9 4" xfId="31335"/>
    <cellStyle name="Percent 2 9 4 2" xfId="31336"/>
    <cellStyle name="Percent 2 9 4 2 2" xfId="31337"/>
    <cellStyle name="Percent 2 9 4 2 2 2" xfId="31338"/>
    <cellStyle name="Percent 2 9 4 2 3" xfId="31339"/>
    <cellStyle name="Percent 2 9 4 3" xfId="31340"/>
    <cellStyle name="Percent 2 9 4 3 2" xfId="31341"/>
    <cellStyle name="Percent 2 9 4 4" xfId="31342"/>
    <cellStyle name="Percent 2 9 5" xfId="31343"/>
    <cellStyle name="Percent 2 9 5 2" xfId="31344"/>
    <cellStyle name="Percent 2 9 5 2 2" xfId="31345"/>
    <cellStyle name="Percent 2 9 5 3" xfId="31346"/>
    <cellStyle name="Percent 2 9 6" xfId="31347"/>
    <cellStyle name="Percent 2 9 6 2" xfId="31348"/>
    <cellStyle name="Percent 2 9 6 2 2" xfId="31349"/>
    <cellStyle name="Percent 2 9 6 3" xfId="31350"/>
    <cellStyle name="Percent 2 9 7" xfId="31351"/>
    <cellStyle name="Percent 2 9 7 2" xfId="31352"/>
    <cellStyle name="Percent 2 9 8" xfId="31353"/>
    <cellStyle name="Percent 2 9 8 2" xfId="37355"/>
    <cellStyle name="Percent 2 9 9" xfId="31354"/>
    <cellStyle name="Percent 20" xfId="37975"/>
    <cellStyle name="Percent 3" xfId="151"/>
    <cellStyle name="Percent 3 10" xfId="31355"/>
    <cellStyle name="Percent 3 10 2" xfId="31356"/>
    <cellStyle name="Percent 3 10 2 2" xfId="31357"/>
    <cellStyle name="Percent 3 10 2 2 2" xfId="31358"/>
    <cellStyle name="Percent 3 10 2 2 2 2" xfId="31359"/>
    <cellStyle name="Percent 3 10 2 2 2 3" xfId="31360"/>
    <cellStyle name="Percent 3 10 2 2 3" xfId="31361"/>
    <cellStyle name="Percent 3 10 2 2 3 2" xfId="31362"/>
    <cellStyle name="Percent 3 10 2 2 4" xfId="31363"/>
    <cellStyle name="Percent 3 10 2 3" xfId="31364"/>
    <cellStyle name="Percent 3 10 2 3 2" xfId="31365"/>
    <cellStyle name="Percent 3 10 2 3 2 2" xfId="31366"/>
    <cellStyle name="Percent 3 10 2 3 3" xfId="31367"/>
    <cellStyle name="Percent 3 10 2 4" xfId="31368"/>
    <cellStyle name="Percent 3 10 2 4 2" xfId="31369"/>
    <cellStyle name="Percent 3 10 2 4 3" xfId="31370"/>
    <cellStyle name="Percent 3 10 2 5" xfId="31371"/>
    <cellStyle name="Percent 3 10 2 5 2" xfId="31372"/>
    <cellStyle name="Percent 3 10 2 6" xfId="31373"/>
    <cellStyle name="Percent 3 10 2 6 2" xfId="37356"/>
    <cellStyle name="Percent 3 10 2 7" xfId="31374"/>
    <cellStyle name="Percent 3 10 3" xfId="31375"/>
    <cellStyle name="Percent 3 10 3 2" xfId="31376"/>
    <cellStyle name="Percent 3 10 3 2 2" xfId="31377"/>
    <cellStyle name="Percent 3 10 3 2 2 2" xfId="31378"/>
    <cellStyle name="Percent 3 10 3 2 3" xfId="31379"/>
    <cellStyle name="Percent 3 10 3 3" xfId="31380"/>
    <cellStyle name="Percent 3 10 3 3 2" xfId="31381"/>
    <cellStyle name="Percent 3 10 3 4" xfId="31382"/>
    <cellStyle name="Percent 3 10 4" xfId="31383"/>
    <cellStyle name="Percent 3 10 4 2" xfId="31384"/>
    <cellStyle name="Percent 3 10 4 2 2" xfId="31385"/>
    <cellStyle name="Percent 3 10 4 3" xfId="31386"/>
    <cellStyle name="Percent 3 10 5" xfId="31387"/>
    <cellStyle name="Percent 3 10 5 2" xfId="31388"/>
    <cellStyle name="Percent 3 10 5 2 2" xfId="31389"/>
    <cellStyle name="Percent 3 10 5 3" xfId="31390"/>
    <cellStyle name="Percent 3 10 6" xfId="31391"/>
    <cellStyle name="Percent 3 10 6 2" xfId="31392"/>
    <cellStyle name="Percent 3 10 7" xfId="31393"/>
    <cellStyle name="Percent 3 10 7 2" xfId="37357"/>
    <cellStyle name="Percent 3 10 8" xfId="31394"/>
    <cellStyle name="Percent 3 11" xfId="31395"/>
    <cellStyle name="Percent 3 11 2" xfId="31396"/>
    <cellStyle name="Percent 3 11 2 2" xfId="31397"/>
    <cellStyle name="Percent 3 11 2 2 2" xfId="31398"/>
    <cellStyle name="Percent 3 11 2 2 2 2" xfId="31399"/>
    <cellStyle name="Percent 3 11 2 2 2 3" xfId="31400"/>
    <cellStyle name="Percent 3 11 2 2 3" xfId="31401"/>
    <cellStyle name="Percent 3 11 2 2 3 2" xfId="31402"/>
    <cellStyle name="Percent 3 11 2 2 4" xfId="31403"/>
    <cellStyle name="Percent 3 11 2 3" xfId="31404"/>
    <cellStyle name="Percent 3 11 2 3 2" xfId="31405"/>
    <cellStyle name="Percent 3 11 2 3 2 2" xfId="31406"/>
    <cellStyle name="Percent 3 11 2 3 3" xfId="31407"/>
    <cellStyle name="Percent 3 11 2 4" xfId="31408"/>
    <cellStyle name="Percent 3 11 2 4 2" xfId="31409"/>
    <cellStyle name="Percent 3 11 2 4 3" xfId="31410"/>
    <cellStyle name="Percent 3 11 2 5" xfId="31411"/>
    <cellStyle name="Percent 3 11 2 5 2" xfId="31412"/>
    <cellStyle name="Percent 3 11 2 6" xfId="31413"/>
    <cellStyle name="Percent 3 11 2 6 2" xfId="37358"/>
    <cellStyle name="Percent 3 11 2 7" xfId="31414"/>
    <cellStyle name="Percent 3 11 3" xfId="31415"/>
    <cellStyle name="Percent 3 11 3 2" xfId="31416"/>
    <cellStyle name="Percent 3 11 3 2 2" xfId="31417"/>
    <cellStyle name="Percent 3 11 3 2 2 2" xfId="31418"/>
    <cellStyle name="Percent 3 11 3 2 3" xfId="31419"/>
    <cellStyle name="Percent 3 11 3 3" xfId="31420"/>
    <cellStyle name="Percent 3 11 3 3 2" xfId="31421"/>
    <cellStyle name="Percent 3 11 3 4" xfId="31422"/>
    <cellStyle name="Percent 3 11 4" xfId="31423"/>
    <cellStyle name="Percent 3 11 4 2" xfId="31424"/>
    <cellStyle name="Percent 3 11 4 2 2" xfId="31425"/>
    <cellStyle name="Percent 3 11 4 3" xfId="31426"/>
    <cellStyle name="Percent 3 11 5" xfId="31427"/>
    <cellStyle name="Percent 3 11 5 2" xfId="31428"/>
    <cellStyle name="Percent 3 11 5 2 2" xfId="31429"/>
    <cellStyle name="Percent 3 11 5 3" xfId="31430"/>
    <cellStyle name="Percent 3 11 6" xfId="31431"/>
    <cellStyle name="Percent 3 11 6 2" xfId="31432"/>
    <cellStyle name="Percent 3 11 7" xfId="31433"/>
    <cellStyle name="Percent 3 11 7 2" xfId="37359"/>
    <cellStyle name="Percent 3 11 8" xfId="31434"/>
    <cellStyle name="Percent 3 12" xfId="31435"/>
    <cellStyle name="Percent 3 12 2" xfId="31436"/>
    <cellStyle name="Percent 3 12 2 2" xfId="31437"/>
    <cellStyle name="Percent 3 12 2 2 2" xfId="31438"/>
    <cellStyle name="Percent 3 12 2 2 2 2" xfId="31439"/>
    <cellStyle name="Percent 3 12 2 2 2 3" xfId="31440"/>
    <cellStyle name="Percent 3 12 2 2 3" xfId="31441"/>
    <cellStyle name="Percent 3 12 2 2 3 2" xfId="31442"/>
    <cellStyle name="Percent 3 12 2 2 4" xfId="31443"/>
    <cellStyle name="Percent 3 12 2 3" xfId="31444"/>
    <cellStyle name="Percent 3 12 2 3 2" xfId="31445"/>
    <cellStyle name="Percent 3 12 2 3 2 2" xfId="31446"/>
    <cellStyle name="Percent 3 12 2 3 3" xfId="31447"/>
    <cellStyle name="Percent 3 12 2 4" xfId="31448"/>
    <cellStyle name="Percent 3 12 2 4 2" xfId="31449"/>
    <cellStyle name="Percent 3 12 2 4 3" xfId="31450"/>
    <cellStyle name="Percent 3 12 2 5" xfId="31451"/>
    <cellStyle name="Percent 3 12 2 5 2" xfId="31452"/>
    <cellStyle name="Percent 3 12 2 6" xfId="31453"/>
    <cellStyle name="Percent 3 12 2 6 2" xfId="37360"/>
    <cellStyle name="Percent 3 12 2 7" xfId="31454"/>
    <cellStyle name="Percent 3 12 3" xfId="31455"/>
    <cellStyle name="Percent 3 12 3 2" xfId="31456"/>
    <cellStyle name="Percent 3 12 3 2 2" xfId="31457"/>
    <cellStyle name="Percent 3 12 3 2 2 2" xfId="31458"/>
    <cellStyle name="Percent 3 12 3 2 3" xfId="31459"/>
    <cellStyle name="Percent 3 12 3 3" xfId="31460"/>
    <cellStyle name="Percent 3 12 3 3 2" xfId="31461"/>
    <cellStyle name="Percent 3 12 3 4" xfId="31462"/>
    <cellStyle name="Percent 3 12 4" xfId="31463"/>
    <cellStyle name="Percent 3 12 4 2" xfId="31464"/>
    <cellStyle name="Percent 3 12 4 2 2" xfId="31465"/>
    <cellStyle name="Percent 3 12 4 3" xfId="31466"/>
    <cellStyle name="Percent 3 12 5" xfId="31467"/>
    <cellStyle name="Percent 3 12 5 2" xfId="31468"/>
    <cellStyle name="Percent 3 12 5 2 2" xfId="31469"/>
    <cellStyle name="Percent 3 12 5 3" xfId="31470"/>
    <cellStyle name="Percent 3 12 6" xfId="31471"/>
    <cellStyle name="Percent 3 12 6 2" xfId="31472"/>
    <cellStyle name="Percent 3 12 7" xfId="31473"/>
    <cellStyle name="Percent 3 12 7 2" xfId="37361"/>
    <cellStyle name="Percent 3 12 8" xfId="31474"/>
    <cellStyle name="Percent 3 13" xfId="31475"/>
    <cellStyle name="Percent 3 13 2" xfId="31476"/>
    <cellStyle name="Percent 3 13 2 2" xfId="31477"/>
    <cellStyle name="Percent 3 13 2 2 2" xfId="31478"/>
    <cellStyle name="Percent 3 13 2 2 3" xfId="31479"/>
    <cellStyle name="Percent 3 13 2 3" xfId="31480"/>
    <cellStyle name="Percent 3 13 2 3 2" xfId="31481"/>
    <cellStyle name="Percent 3 13 2 4" xfId="31482"/>
    <cellStyle name="Percent 3 13 3" xfId="31483"/>
    <cellStyle name="Percent 3 13 3 2" xfId="31484"/>
    <cellStyle name="Percent 3 13 3 2 2" xfId="31485"/>
    <cellStyle name="Percent 3 13 3 3" xfId="31486"/>
    <cellStyle name="Percent 3 13 4" xfId="31487"/>
    <cellStyle name="Percent 3 13 4 2" xfId="31488"/>
    <cellStyle name="Percent 3 13 4 3" xfId="31489"/>
    <cellStyle name="Percent 3 13 5" xfId="31490"/>
    <cellStyle name="Percent 3 13 5 2" xfId="31491"/>
    <cellStyle name="Percent 3 13 6" xfId="31492"/>
    <cellStyle name="Percent 3 13 6 2" xfId="37362"/>
    <cellStyle name="Percent 3 13 7" xfId="31493"/>
    <cellStyle name="Percent 3 14" xfId="31494"/>
    <cellStyle name="Percent 3 14 2" xfId="31495"/>
    <cellStyle name="Percent 3 14 2 2" xfId="31496"/>
    <cellStyle name="Percent 3 14 2 2 2" xfId="31497"/>
    <cellStyle name="Percent 3 14 2 3" xfId="31498"/>
    <cellStyle name="Percent 3 14 3" xfId="31499"/>
    <cellStyle name="Percent 3 14 3 2" xfId="31500"/>
    <cellStyle name="Percent 3 14 4" xfId="31501"/>
    <cellStyle name="Percent 3 15" xfId="31502"/>
    <cellStyle name="Percent 3 15 2" xfId="31503"/>
    <cellStyle name="Percent 3 15 2 2" xfId="31504"/>
    <cellStyle name="Percent 3 15 3" xfId="31505"/>
    <cellStyle name="Percent 3 16" xfId="31506"/>
    <cellStyle name="Percent 3 16 2" xfId="31507"/>
    <cellStyle name="Percent 3 16 2 2" xfId="31508"/>
    <cellStyle name="Percent 3 16 3" xfId="31509"/>
    <cellStyle name="Percent 3 17" xfId="31510"/>
    <cellStyle name="Percent 3 17 2" xfId="31511"/>
    <cellStyle name="Percent 3 18" xfId="31512"/>
    <cellStyle name="Percent 3 18 2" xfId="37363"/>
    <cellStyle name="Percent 3 19" xfId="31513"/>
    <cellStyle name="Percent 3 2" xfId="180"/>
    <cellStyle name="Percent 3 2 10" xfId="31514"/>
    <cellStyle name="Percent 3 2 10 2" xfId="31515"/>
    <cellStyle name="Percent 3 2 10 2 2" xfId="31516"/>
    <cellStyle name="Percent 3 2 10 2 2 2" xfId="31517"/>
    <cellStyle name="Percent 3 2 10 2 2 2 2" xfId="31518"/>
    <cellStyle name="Percent 3 2 10 2 2 2 3" xfId="31519"/>
    <cellStyle name="Percent 3 2 10 2 2 3" xfId="31520"/>
    <cellStyle name="Percent 3 2 10 2 2 3 2" xfId="31521"/>
    <cellStyle name="Percent 3 2 10 2 2 4" xfId="31522"/>
    <cellStyle name="Percent 3 2 10 2 3" xfId="31523"/>
    <cellStyle name="Percent 3 2 10 2 3 2" xfId="31524"/>
    <cellStyle name="Percent 3 2 10 2 3 2 2" xfId="31525"/>
    <cellStyle name="Percent 3 2 10 2 3 3" xfId="31526"/>
    <cellStyle name="Percent 3 2 10 2 4" xfId="31527"/>
    <cellStyle name="Percent 3 2 10 2 4 2" xfId="31528"/>
    <cellStyle name="Percent 3 2 10 2 4 3" xfId="31529"/>
    <cellStyle name="Percent 3 2 10 2 5" xfId="31530"/>
    <cellStyle name="Percent 3 2 10 2 5 2" xfId="31531"/>
    <cellStyle name="Percent 3 2 10 2 6" xfId="31532"/>
    <cellStyle name="Percent 3 2 10 2 6 2" xfId="37364"/>
    <cellStyle name="Percent 3 2 10 2 7" xfId="31533"/>
    <cellStyle name="Percent 3 2 10 3" xfId="31534"/>
    <cellStyle name="Percent 3 2 10 3 2" xfId="31535"/>
    <cellStyle name="Percent 3 2 10 3 2 2" xfId="31536"/>
    <cellStyle name="Percent 3 2 10 3 2 2 2" xfId="31537"/>
    <cellStyle name="Percent 3 2 10 3 2 3" xfId="31538"/>
    <cellStyle name="Percent 3 2 10 3 3" xfId="31539"/>
    <cellStyle name="Percent 3 2 10 3 3 2" xfId="31540"/>
    <cellStyle name="Percent 3 2 10 3 4" xfId="31541"/>
    <cellStyle name="Percent 3 2 10 4" xfId="31542"/>
    <cellStyle name="Percent 3 2 10 4 2" xfId="31543"/>
    <cellStyle name="Percent 3 2 10 4 2 2" xfId="31544"/>
    <cellStyle name="Percent 3 2 10 4 3" xfId="31545"/>
    <cellStyle name="Percent 3 2 10 5" xfId="31546"/>
    <cellStyle name="Percent 3 2 10 5 2" xfId="31547"/>
    <cellStyle name="Percent 3 2 10 5 2 2" xfId="31548"/>
    <cellStyle name="Percent 3 2 10 5 3" xfId="31549"/>
    <cellStyle name="Percent 3 2 10 6" xfId="31550"/>
    <cellStyle name="Percent 3 2 10 6 2" xfId="31551"/>
    <cellStyle name="Percent 3 2 10 7" xfId="31552"/>
    <cellStyle name="Percent 3 2 10 7 2" xfId="37365"/>
    <cellStyle name="Percent 3 2 10 8" xfId="31553"/>
    <cellStyle name="Percent 3 2 11" xfId="31554"/>
    <cellStyle name="Percent 3 2 11 2" xfId="31555"/>
    <cellStyle name="Percent 3 2 11 2 2" xfId="31556"/>
    <cellStyle name="Percent 3 2 11 2 2 2" xfId="31557"/>
    <cellStyle name="Percent 3 2 11 2 2 2 2" xfId="31558"/>
    <cellStyle name="Percent 3 2 11 2 2 2 3" xfId="31559"/>
    <cellStyle name="Percent 3 2 11 2 2 3" xfId="31560"/>
    <cellStyle name="Percent 3 2 11 2 2 3 2" xfId="31561"/>
    <cellStyle name="Percent 3 2 11 2 2 4" xfId="31562"/>
    <cellStyle name="Percent 3 2 11 2 3" xfId="31563"/>
    <cellStyle name="Percent 3 2 11 2 3 2" xfId="31564"/>
    <cellStyle name="Percent 3 2 11 2 3 2 2" xfId="31565"/>
    <cellStyle name="Percent 3 2 11 2 3 3" xfId="31566"/>
    <cellStyle name="Percent 3 2 11 2 4" xfId="31567"/>
    <cellStyle name="Percent 3 2 11 2 4 2" xfId="31568"/>
    <cellStyle name="Percent 3 2 11 2 4 3" xfId="31569"/>
    <cellStyle name="Percent 3 2 11 2 5" xfId="31570"/>
    <cellStyle name="Percent 3 2 11 2 5 2" xfId="31571"/>
    <cellStyle name="Percent 3 2 11 2 6" xfId="31572"/>
    <cellStyle name="Percent 3 2 11 2 6 2" xfId="37366"/>
    <cellStyle name="Percent 3 2 11 2 7" xfId="31573"/>
    <cellStyle name="Percent 3 2 11 3" xfId="31574"/>
    <cellStyle name="Percent 3 2 11 3 2" xfId="31575"/>
    <cellStyle name="Percent 3 2 11 3 2 2" xfId="31576"/>
    <cellStyle name="Percent 3 2 11 3 2 2 2" xfId="31577"/>
    <cellStyle name="Percent 3 2 11 3 2 3" xfId="31578"/>
    <cellStyle name="Percent 3 2 11 3 3" xfId="31579"/>
    <cellStyle name="Percent 3 2 11 3 3 2" xfId="31580"/>
    <cellStyle name="Percent 3 2 11 3 4" xfId="31581"/>
    <cellStyle name="Percent 3 2 11 4" xfId="31582"/>
    <cellStyle name="Percent 3 2 11 4 2" xfId="31583"/>
    <cellStyle name="Percent 3 2 11 4 2 2" xfId="31584"/>
    <cellStyle name="Percent 3 2 11 4 3" xfId="31585"/>
    <cellStyle name="Percent 3 2 11 5" xfId="31586"/>
    <cellStyle name="Percent 3 2 11 5 2" xfId="31587"/>
    <cellStyle name="Percent 3 2 11 5 2 2" xfId="31588"/>
    <cellStyle name="Percent 3 2 11 5 3" xfId="31589"/>
    <cellStyle name="Percent 3 2 11 6" xfId="31590"/>
    <cellStyle name="Percent 3 2 11 6 2" xfId="31591"/>
    <cellStyle name="Percent 3 2 11 7" xfId="31592"/>
    <cellStyle name="Percent 3 2 11 7 2" xfId="37367"/>
    <cellStyle name="Percent 3 2 11 8" xfId="31593"/>
    <cellStyle name="Percent 3 2 12" xfId="31594"/>
    <cellStyle name="Percent 3 2 12 2" xfId="31595"/>
    <cellStyle name="Percent 3 2 12 2 2" xfId="31596"/>
    <cellStyle name="Percent 3 2 12 2 2 2" xfId="31597"/>
    <cellStyle name="Percent 3 2 12 2 2 3" xfId="31598"/>
    <cellStyle name="Percent 3 2 12 2 3" xfId="31599"/>
    <cellStyle name="Percent 3 2 12 2 3 2" xfId="31600"/>
    <cellStyle name="Percent 3 2 12 2 4" xfId="31601"/>
    <cellStyle name="Percent 3 2 12 3" xfId="31602"/>
    <cellStyle name="Percent 3 2 12 3 2" xfId="31603"/>
    <cellStyle name="Percent 3 2 12 3 2 2" xfId="31604"/>
    <cellStyle name="Percent 3 2 12 3 3" xfId="31605"/>
    <cellStyle name="Percent 3 2 12 4" xfId="31606"/>
    <cellStyle name="Percent 3 2 12 4 2" xfId="31607"/>
    <cellStyle name="Percent 3 2 12 4 3" xfId="31608"/>
    <cellStyle name="Percent 3 2 12 5" xfId="31609"/>
    <cellStyle name="Percent 3 2 12 5 2" xfId="31610"/>
    <cellStyle name="Percent 3 2 12 6" xfId="31611"/>
    <cellStyle name="Percent 3 2 12 6 2" xfId="37368"/>
    <cellStyle name="Percent 3 2 12 7" xfId="31612"/>
    <cellStyle name="Percent 3 2 13" xfId="31613"/>
    <cellStyle name="Percent 3 2 13 2" xfId="31614"/>
    <cellStyle name="Percent 3 2 13 2 2" xfId="31615"/>
    <cellStyle name="Percent 3 2 13 2 2 2" xfId="31616"/>
    <cellStyle name="Percent 3 2 13 2 3" xfId="31617"/>
    <cellStyle name="Percent 3 2 13 3" xfId="31618"/>
    <cellStyle name="Percent 3 2 13 3 2" xfId="31619"/>
    <cellStyle name="Percent 3 2 13 4" xfId="31620"/>
    <cellStyle name="Percent 3 2 14" xfId="31621"/>
    <cellStyle name="Percent 3 2 14 2" xfId="31622"/>
    <cellStyle name="Percent 3 2 14 2 2" xfId="31623"/>
    <cellStyle name="Percent 3 2 14 3" xfId="31624"/>
    <cellStyle name="Percent 3 2 15" xfId="31625"/>
    <cellStyle name="Percent 3 2 15 2" xfId="31626"/>
    <cellStyle name="Percent 3 2 15 2 2" xfId="31627"/>
    <cellStyle name="Percent 3 2 15 3" xfId="31628"/>
    <cellStyle name="Percent 3 2 16" xfId="31629"/>
    <cellStyle name="Percent 3 2 16 2" xfId="31630"/>
    <cellStyle name="Percent 3 2 17" xfId="31631"/>
    <cellStyle name="Percent 3 2 17 2" xfId="37369"/>
    <cellStyle name="Percent 3 2 18" xfId="31632"/>
    <cellStyle name="Percent 3 2 2" xfId="31633"/>
    <cellStyle name="Percent 3 2 2 10" xfId="31634"/>
    <cellStyle name="Percent 3 2 2 10 2" xfId="31635"/>
    <cellStyle name="Percent 3 2 2 10 2 2" xfId="31636"/>
    <cellStyle name="Percent 3 2 2 10 3" xfId="31637"/>
    <cellStyle name="Percent 3 2 2 11" xfId="31638"/>
    <cellStyle name="Percent 3 2 2 11 2" xfId="31639"/>
    <cellStyle name="Percent 3 2 2 11 2 2" xfId="31640"/>
    <cellStyle name="Percent 3 2 2 11 3" xfId="31641"/>
    <cellStyle name="Percent 3 2 2 12" xfId="31642"/>
    <cellStyle name="Percent 3 2 2 12 2" xfId="31643"/>
    <cellStyle name="Percent 3 2 2 13" xfId="31644"/>
    <cellStyle name="Percent 3 2 2 13 2" xfId="37370"/>
    <cellStyle name="Percent 3 2 2 14" xfId="31645"/>
    <cellStyle name="Percent 3 2 2 2" xfId="31646"/>
    <cellStyle name="Percent 3 2 2 2 10" xfId="31647"/>
    <cellStyle name="Percent 3 2 2 2 2" xfId="31648"/>
    <cellStyle name="Percent 3 2 2 2 2 2" xfId="31649"/>
    <cellStyle name="Percent 3 2 2 2 2 2 2" xfId="31650"/>
    <cellStyle name="Percent 3 2 2 2 2 2 2 2" xfId="31651"/>
    <cellStyle name="Percent 3 2 2 2 2 2 2 2 2" xfId="31652"/>
    <cellStyle name="Percent 3 2 2 2 2 2 2 2 2 2" xfId="31653"/>
    <cellStyle name="Percent 3 2 2 2 2 2 2 2 2 3" xfId="31654"/>
    <cellStyle name="Percent 3 2 2 2 2 2 2 2 3" xfId="31655"/>
    <cellStyle name="Percent 3 2 2 2 2 2 2 2 3 2" xfId="31656"/>
    <cellStyle name="Percent 3 2 2 2 2 2 2 2 4" xfId="31657"/>
    <cellStyle name="Percent 3 2 2 2 2 2 2 3" xfId="31658"/>
    <cellStyle name="Percent 3 2 2 2 2 2 2 3 2" xfId="31659"/>
    <cellStyle name="Percent 3 2 2 2 2 2 2 3 2 2" xfId="31660"/>
    <cellStyle name="Percent 3 2 2 2 2 2 2 3 3" xfId="31661"/>
    <cellStyle name="Percent 3 2 2 2 2 2 2 4" xfId="31662"/>
    <cellStyle name="Percent 3 2 2 2 2 2 2 4 2" xfId="31663"/>
    <cellStyle name="Percent 3 2 2 2 2 2 2 4 3" xfId="31664"/>
    <cellStyle name="Percent 3 2 2 2 2 2 2 5" xfId="31665"/>
    <cellStyle name="Percent 3 2 2 2 2 2 2 5 2" xfId="31666"/>
    <cellStyle name="Percent 3 2 2 2 2 2 2 6" xfId="31667"/>
    <cellStyle name="Percent 3 2 2 2 2 2 2 6 2" xfId="37371"/>
    <cellStyle name="Percent 3 2 2 2 2 2 2 7" xfId="31668"/>
    <cellStyle name="Percent 3 2 2 2 2 2 3" xfId="31669"/>
    <cellStyle name="Percent 3 2 2 2 2 2 3 2" xfId="31670"/>
    <cellStyle name="Percent 3 2 2 2 2 2 3 2 2" xfId="31671"/>
    <cellStyle name="Percent 3 2 2 2 2 2 3 2 2 2" xfId="31672"/>
    <cellStyle name="Percent 3 2 2 2 2 2 3 2 3" xfId="31673"/>
    <cellStyle name="Percent 3 2 2 2 2 2 3 3" xfId="31674"/>
    <cellStyle name="Percent 3 2 2 2 2 2 3 3 2" xfId="31675"/>
    <cellStyle name="Percent 3 2 2 2 2 2 3 4" xfId="31676"/>
    <cellStyle name="Percent 3 2 2 2 2 2 4" xfId="31677"/>
    <cellStyle name="Percent 3 2 2 2 2 2 4 2" xfId="31678"/>
    <cellStyle name="Percent 3 2 2 2 2 2 4 2 2" xfId="31679"/>
    <cellStyle name="Percent 3 2 2 2 2 2 4 3" xfId="31680"/>
    <cellStyle name="Percent 3 2 2 2 2 2 5" xfId="31681"/>
    <cellStyle name="Percent 3 2 2 2 2 2 5 2" xfId="31682"/>
    <cellStyle name="Percent 3 2 2 2 2 2 5 2 2" xfId="31683"/>
    <cellStyle name="Percent 3 2 2 2 2 2 5 3" xfId="31684"/>
    <cellStyle name="Percent 3 2 2 2 2 2 6" xfId="31685"/>
    <cellStyle name="Percent 3 2 2 2 2 2 6 2" xfId="31686"/>
    <cellStyle name="Percent 3 2 2 2 2 2 7" xfId="31687"/>
    <cellStyle name="Percent 3 2 2 2 2 2 7 2" xfId="37372"/>
    <cellStyle name="Percent 3 2 2 2 2 2 8" xfId="31688"/>
    <cellStyle name="Percent 3 2 2 2 2 3" xfId="31689"/>
    <cellStyle name="Percent 3 2 2 2 2 3 2" xfId="31690"/>
    <cellStyle name="Percent 3 2 2 2 2 3 2 2" xfId="31691"/>
    <cellStyle name="Percent 3 2 2 2 2 3 2 2 2" xfId="31692"/>
    <cellStyle name="Percent 3 2 2 2 2 3 2 2 3" xfId="31693"/>
    <cellStyle name="Percent 3 2 2 2 2 3 2 3" xfId="31694"/>
    <cellStyle name="Percent 3 2 2 2 2 3 2 3 2" xfId="31695"/>
    <cellStyle name="Percent 3 2 2 2 2 3 2 4" xfId="31696"/>
    <cellStyle name="Percent 3 2 2 2 2 3 3" xfId="31697"/>
    <cellStyle name="Percent 3 2 2 2 2 3 3 2" xfId="31698"/>
    <cellStyle name="Percent 3 2 2 2 2 3 3 2 2" xfId="31699"/>
    <cellStyle name="Percent 3 2 2 2 2 3 3 3" xfId="31700"/>
    <cellStyle name="Percent 3 2 2 2 2 3 4" xfId="31701"/>
    <cellStyle name="Percent 3 2 2 2 2 3 4 2" xfId="31702"/>
    <cellStyle name="Percent 3 2 2 2 2 3 4 3" xfId="31703"/>
    <cellStyle name="Percent 3 2 2 2 2 3 5" xfId="31704"/>
    <cellStyle name="Percent 3 2 2 2 2 3 5 2" xfId="31705"/>
    <cellStyle name="Percent 3 2 2 2 2 3 6" xfId="31706"/>
    <cellStyle name="Percent 3 2 2 2 2 3 6 2" xfId="37373"/>
    <cellStyle name="Percent 3 2 2 2 2 3 7" xfId="31707"/>
    <cellStyle name="Percent 3 2 2 2 2 4" xfId="31708"/>
    <cellStyle name="Percent 3 2 2 2 2 4 2" xfId="31709"/>
    <cellStyle name="Percent 3 2 2 2 2 4 2 2" xfId="31710"/>
    <cellStyle name="Percent 3 2 2 2 2 4 2 2 2" xfId="31711"/>
    <cellStyle name="Percent 3 2 2 2 2 4 2 3" xfId="31712"/>
    <cellStyle name="Percent 3 2 2 2 2 4 3" xfId="31713"/>
    <cellStyle name="Percent 3 2 2 2 2 4 3 2" xfId="31714"/>
    <cellStyle name="Percent 3 2 2 2 2 4 4" xfId="31715"/>
    <cellStyle name="Percent 3 2 2 2 2 5" xfId="31716"/>
    <cellStyle name="Percent 3 2 2 2 2 5 2" xfId="31717"/>
    <cellStyle name="Percent 3 2 2 2 2 5 2 2" xfId="31718"/>
    <cellStyle name="Percent 3 2 2 2 2 5 3" xfId="31719"/>
    <cellStyle name="Percent 3 2 2 2 2 6" xfId="31720"/>
    <cellStyle name="Percent 3 2 2 2 2 6 2" xfId="31721"/>
    <cellStyle name="Percent 3 2 2 2 2 6 2 2" xfId="31722"/>
    <cellStyle name="Percent 3 2 2 2 2 6 3" xfId="31723"/>
    <cellStyle name="Percent 3 2 2 2 2 7" xfId="31724"/>
    <cellStyle name="Percent 3 2 2 2 2 7 2" xfId="31725"/>
    <cellStyle name="Percent 3 2 2 2 2 8" xfId="31726"/>
    <cellStyle name="Percent 3 2 2 2 2 8 2" xfId="37374"/>
    <cellStyle name="Percent 3 2 2 2 2 9" xfId="31727"/>
    <cellStyle name="Percent 3 2 2 2 3" xfId="31728"/>
    <cellStyle name="Percent 3 2 2 2 3 2" xfId="31729"/>
    <cellStyle name="Percent 3 2 2 2 3 2 2" xfId="31730"/>
    <cellStyle name="Percent 3 2 2 2 3 2 2 2" xfId="31731"/>
    <cellStyle name="Percent 3 2 2 2 3 2 2 2 2" xfId="31732"/>
    <cellStyle name="Percent 3 2 2 2 3 2 2 2 3" xfId="31733"/>
    <cellStyle name="Percent 3 2 2 2 3 2 2 3" xfId="31734"/>
    <cellStyle name="Percent 3 2 2 2 3 2 2 3 2" xfId="31735"/>
    <cellStyle name="Percent 3 2 2 2 3 2 2 4" xfId="31736"/>
    <cellStyle name="Percent 3 2 2 2 3 2 3" xfId="31737"/>
    <cellStyle name="Percent 3 2 2 2 3 2 3 2" xfId="31738"/>
    <cellStyle name="Percent 3 2 2 2 3 2 3 2 2" xfId="31739"/>
    <cellStyle name="Percent 3 2 2 2 3 2 3 3" xfId="31740"/>
    <cellStyle name="Percent 3 2 2 2 3 2 4" xfId="31741"/>
    <cellStyle name="Percent 3 2 2 2 3 2 4 2" xfId="31742"/>
    <cellStyle name="Percent 3 2 2 2 3 2 4 3" xfId="31743"/>
    <cellStyle name="Percent 3 2 2 2 3 2 5" xfId="31744"/>
    <cellStyle name="Percent 3 2 2 2 3 2 5 2" xfId="31745"/>
    <cellStyle name="Percent 3 2 2 2 3 2 6" xfId="31746"/>
    <cellStyle name="Percent 3 2 2 2 3 2 6 2" xfId="37375"/>
    <cellStyle name="Percent 3 2 2 2 3 2 7" xfId="31747"/>
    <cellStyle name="Percent 3 2 2 2 3 3" xfId="31748"/>
    <cellStyle name="Percent 3 2 2 2 3 3 2" xfId="31749"/>
    <cellStyle name="Percent 3 2 2 2 3 3 2 2" xfId="31750"/>
    <cellStyle name="Percent 3 2 2 2 3 3 2 2 2" xfId="31751"/>
    <cellStyle name="Percent 3 2 2 2 3 3 2 3" xfId="31752"/>
    <cellStyle name="Percent 3 2 2 2 3 3 3" xfId="31753"/>
    <cellStyle name="Percent 3 2 2 2 3 3 3 2" xfId="31754"/>
    <cellStyle name="Percent 3 2 2 2 3 3 4" xfId="31755"/>
    <cellStyle name="Percent 3 2 2 2 3 4" xfId="31756"/>
    <cellStyle name="Percent 3 2 2 2 3 4 2" xfId="31757"/>
    <cellStyle name="Percent 3 2 2 2 3 4 2 2" xfId="31758"/>
    <cellStyle name="Percent 3 2 2 2 3 4 3" xfId="31759"/>
    <cellStyle name="Percent 3 2 2 2 3 5" xfId="31760"/>
    <cellStyle name="Percent 3 2 2 2 3 5 2" xfId="31761"/>
    <cellStyle name="Percent 3 2 2 2 3 5 2 2" xfId="31762"/>
    <cellStyle name="Percent 3 2 2 2 3 5 3" xfId="31763"/>
    <cellStyle name="Percent 3 2 2 2 3 6" xfId="31764"/>
    <cellStyle name="Percent 3 2 2 2 3 6 2" xfId="31765"/>
    <cellStyle name="Percent 3 2 2 2 3 7" xfId="31766"/>
    <cellStyle name="Percent 3 2 2 2 3 7 2" xfId="37376"/>
    <cellStyle name="Percent 3 2 2 2 3 8" xfId="31767"/>
    <cellStyle name="Percent 3 2 2 2 4" xfId="31768"/>
    <cellStyle name="Percent 3 2 2 2 4 2" xfId="31769"/>
    <cellStyle name="Percent 3 2 2 2 4 2 2" xfId="31770"/>
    <cellStyle name="Percent 3 2 2 2 4 2 2 2" xfId="31771"/>
    <cellStyle name="Percent 3 2 2 2 4 2 2 3" xfId="31772"/>
    <cellStyle name="Percent 3 2 2 2 4 2 3" xfId="31773"/>
    <cellStyle name="Percent 3 2 2 2 4 2 3 2" xfId="31774"/>
    <cellStyle name="Percent 3 2 2 2 4 2 4" xfId="31775"/>
    <cellStyle name="Percent 3 2 2 2 4 3" xfId="31776"/>
    <cellStyle name="Percent 3 2 2 2 4 3 2" xfId="31777"/>
    <cellStyle name="Percent 3 2 2 2 4 3 2 2" xfId="31778"/>
    <cellStyle name="Percent 3 2 2 2 4 3 3" xfId="31779"/>
    <cellStyle name="Percent 3 2 2 2 4 4" xfId="31780"/>
    <cellStyle name="Percent 3 2 2 2 4 4 2" xfId="31781"/>
    <cellStyle name="Percent 3 2 2 2 4 4 3" xfId="31782"/>
    <cellStyle name="Percent 3 2 2 2 4 5" xfId="31783"/>
    <cellStyle name="Percent 3 2 2 2 4 5 2" xfId="31784"/>
    <cellStyle name="Percent 3 2 2 2 4 6" xfId="31785"/>
    <cellStyle name="Percent 3 2 2 2 4 6 2" xfId="37377"/>
    <cellStyle name="Percent 3 2 2 2 4 7" xfId="31786"/>
    <cellStyle name="Percent 3 2 2 2 5" xfId="31787"/>
    <cellStyle name="Percent 3 2 2 2 5 2" xfId="31788"/>
    <cellStyle name="Percent 3 2 2 2 5 2 2" xfId="31789"/>
    <cellStyle name="Percent 3 2 2 2 5 2 2 2" xfId="31790"/>
    <cellStyle name="Percent 3 2 2 2 5 2 3" xfId="31791"/>
    <cellStyle name="Percent 3 2 2 2 5 3" xfId="31792"/>
    <cellStyle name="Percent 3 2 2 2 5 3 2" xfId="31793"/>
    <cellStyle name="Percent 3 2 2 2 5 4" xfId="31794"/>
    <cellStyle name="Percent 3 2 2 2 6" xfId="31795"/>
    <cellStyle name="Percent 3 2 2 2 6 2" xfId="31796"/>
    <cellStyle name="Percent 3 2 2 2 6 2 2" xfId="31797"/>
    <cellStyle name="Percent 3 2 2 2 6 3" xfId="31798"/>
    <cellStyle name="Percent 3 2 2 2 7" xfId="31799"/>
    <cellStyle name="Percent 3 2 2 2 7 2" xfId="31800"/>
    <cellStyle name="Percent 3 2 2 2 7 2 2" xfId="31801"/>
    <cellStyle name="Percent 3 2 2 2 7 3" xfId="31802"/>
    <cellStyle name="Percent 3 2 2 2 8" xfId="31803"/>
    <cellStyle name="Percent 3 2 2 2 8 2" xfId="31804"/>
    <cellStyle name="Percent 3 2 2 2 9" xfId="31805"/>
    <cellStyle name="Percent 3 2 2 2 9 2" xfId="37378"/>
    <cellStyle name="Percent 3 2 2 3" xfId="31806"/>
    <cellStyle name="Percent 3 2 2 3 2" xfId="31807"/>
    <cellStyle name="Percent 3 2 2 3 2 2" xfId="31808"/>
    <cellStyle name="Percent 3 2 2 3 2 2 2" xfId="31809"/>
    <cellStyle name="Percent 3 2 2 3 2 2 2 2" xfId="31810"/>
    <cellStyle name="Percent 3 2 2 3 2 2 2 2 2" xfId="31811"/>
    <cellStyle name="Percent 3 2 2 3 2 2 2 2 3" xfId="31812"/>
    <cellStyle name="Percent 3 2 2 3 2 2 2 3" xfId="31813"/>
    <cellStyle name="Percent 3 2 2 3 2 2 2 3 2" xfId="31814"/>
    <cellStyle name="Percent 3 2 2 3 2 2 2 4" xfId="31815"/>
    <cellStyle name="Percent 3 2 2 3 2 2 3" xfId="31816"/>
    <cellStyle name="Percent 3 2 2 3 2 2 3 2" xfId="31817"/>
    <cellStyle name="Percent 3 2 2 3 2 2 3 2 2" xfId="31818"/>
    <cellStyle name="Percent 3 2 2 3 2 2 3 3" xfId="31819"/>
    <cellStyle name="Percent 3 2 2 3 2 2 4" xfId="31820"/>
    <cellStyle name="Percent 3 2 2 3 2 2 4 2" xfId="31821"/>
    <cellStyle name="Percent 3 2 2 3 2 2 4 3" xfId="31822"/>
    <cellStyle name="Percent 3 2 2 3 2 2 5" xfId="31823"/>
    <cellStyle name="Percent 3 2 2 3 2 2 5 2" xfId="31824"/>
    <cellStyle name="Percent 3 2 2 3 2 2 6" xfId="31825"/>
    <cellStyle name="Percent 3 2 2 3 2 2 6 2" xfId="37379"/>
    <cellStyle name="Percent 3 2 2 3 2 2 7" xfId="31826"/>
    <cellStyle name="Percent 3 2 2 3 2 3" xfId="31827"/>
    <cellStyle name="Percent 3 2 2 3 2 3 2" xfId="31828"/>
    <cellStyle name="Percent 3 2 2 3 2 3 2 2" xfId="31829"/>
    <cellStyle name="Percent 3 2 2 3 2 3 2 2 2" xfId="31830"/>
    <cellStyle name="Percent 3 2 2 3 2 3 2 3" xfId="31831"/>
    <cellStyle name="Percent 3 2 2 3 2 3 3" xfId="31832"/>
    <cellStyle name="Percent 3 2 2 3 2 3 3 2" xfId="31833"/>
    <cellStyle name="Percent 3 2 2 3 2 3 4" xfId="31834"/>
    <cellStyle name="Percent 3 2 2 3 2 4" xfId="31835"/>
    <cellStyle name="Percent 3 2 2 3 2 4 2" xfId="31836"/>
    <cellStyle name="Percent 3 2 2 3 2 4 2 2" xfId="31837"/>
    <cellStyle name="Percent 3 2 2 3 2 4 3" xfId="31838"/>
    <cellStyle name="Percent 3 2 2 3 2 5" xfId="31839"/>
    <cellStyle name="Percent 3 2 2 3 2 5 2" xfId="31840"/>
    <cellStyle name="Percent 3 2 2 3 2 5 2 2" xfId="31841"/>
    <cellStyle name="Percent 3 2 2 3 2 5 3" xfId="31842"/>
    <cellStyle name="Percent 3 2 2 3 2 6" xfId="31843"/>
    <cellStyle name="Percent 3 2 2 3 2 6 2" xfId="31844"/>
    <cellStyle name="Percent 3 2 2 3 2 7" xfId="31845"/>
    <cellStyle name="Percent 3 2 2 3 2 7 2" xfId="37380"/>
    <cellStyle name="Percent 3 2 2 3 2 8" xfId="31846"/>
    <cellStyle name="Percent 3 2 2 3 3" xfId="31847"/>
    <cellStyle name="Percent 3 2 2 3 3 2" xfId="31848"/>
    <cellStyle name="Percent 3 2 2 3 3 2 2" xfId="31849"/>
    <cellStyle name="Percent 3 2 2 3 3 2 2 2" xfId="31850"/>
    <cellStyle name="Percent 3 2 2 3 3 2 2 3" xfId="31851"/>
    <cellStyle name="Percent 3 2 2 3 3 2 3" xfId="31852"/>
    <cellStyle name="Percent 3 2 2 3 3 2 3 2" xfId="31853"/>
    <cellStyle name="Percent 3 2 2 3 3 2 4" xfId="31854"/>
    <cellStyle name="Percent 3 2 2 3 3 3" xfId="31855"/>
    <cellStyle name="Percent 3 2 2 3 3 3 2" xfId="31856"/>
    <cellStyle name="Percent 3 2 2 3 3 3 2 2" xfId="31857"/>
    <cellStyle name="Percent 3 2 2 3 3 3 3" xfId="31858"/>
    <cellStyle name="Percent 3 2 2 3 3 4" xfId="31859"/>
    <cellStyle name="Percent 3 2 2 3 3 4 2" xfId="31860"/>
    <cellStyle name="Percent 3 2 2 3 3 4 3" xfId="31861"/>
    <cellStyle name="Percent 3 2 2 3 3 5" xfId="31862"/>
    <cellStyle name="Percent 3 2 2 3 3 5 2" xfId="31863"/>
    <cellStyle name="Percent 3 2 2 3 3 6" xfId="31864"/>
    <cellStyle name="Percent 3 2 2 3 3 6 2" xfId="37381"/>
    <cellStyle name="Percent 3 2 2 3 3 7" xfId="31865"/>
    <cellStyle name="Percent 3 2 2 3 4" xfId="31866"/>
    <cellStyle name="Percent 3 2 2 3 4 2" xfId="31867"/>
    <cellStyle name="Percent 3 2 2 3 4 2 2" xfId="31868"/>
    <cellStyle name="Percent 3 2 2 3 4 2 2 2" xfId="31869"/>
    <cellStyle name="Percent 3 2 2 3 4 2 3" xfId="31870"/>
    <cellStyle name="Percent 3 2 2 3 4 3" xfId="31871"/>
    <cellStyle name="Percent 3 2 2 3 4 3 2" xfId="31872"/>
    <cellStyle name="Percent 3 2 2 3 4 4" xfId="31873"/>
    <cellStyle name="Percent 3 2 2 3 5" xfId="31874"/>
    <cellStyle name="Percent 3 2 2 3 5 2" xfId="31875"/>
    <cellStyle name="Percent 3 2 2 3 5 2 2" xfId="31876"/>
    <cellStyle name="Percent 3 2 2 3 5 3" xfId="31877"/>
    <cellStyle name="Percent 3 2 2 3 6" xfId="31878"/>
    <cellStyle name="Percent 3 2 2 3 6 2" xfId="31879"/>
    <cellStyle name="Percent 3 2 2 3 6 2 2" xfId="31880"/>
    <cellStyle name="Percent 3 2 2 3 6 3" xfId="31881"/>
    <cellStyle name="Percent 3 2 2 3 7" xfId="31882"/>
    <cellStyle name="Percent 3 2 2 3 7 2" xfId="31883"/>
    <cellStyle name="Percent 3 2 2 3 8" xfId="31884"/>
    <cellStyle name="Percent 3 2 2 3 8 2" xfId="37382"/>
    <cellStyle name="Percent 3 2 2 3 9" xfId="31885"/>
    <cellStyle name="Percent 3 2 2 4" xfId="31886"/>
    <cellStyle name="Percent 3 2 2 4 2" xfId="31887"/>
    <cellStyle name="Percent 3 2 2 4 2 2" xfId="31888"/>
    <cellStyle name="Percent 3 2 2 4 2 2 2" xfId="31889"/>
    <cellStyle name="Percent 3 2 2 4 2 2 2 2" xfId="31890"/>
    <cellStyle name="Percent 3 2 2 4 2 2 2 2 2" xfId="31891"/>
    <cellStyle name="Percent 3 2 2 4 2 2 2 2 3" xfId="31892"/>
    <cellStyle name="Percent 3 2 2 4 2 2 2 3" xfId="31893"/>
    <cellStyle name="Percent 3 2 2 4 2 2 2 3 2" xfId="31894"/>
    <cellStyle name="Percent 3 2 2 4 2 2 2 4" xfId="31895"/>
    <cellStyle name="Percent 3 2 2 4 2 2 3" xfId="31896"/>
    <cellStyle name="Percent 3 2 2 4 2 2 3 2" xfId="31897"/>
    <cellStyle name="Percent 3 2 2 4 2 2 3 2 2" xfId="31898"/>
    <cellStyle name="Percent 3 2 2 4 2 2 3 3" xfId="31899"/>
    <cellStyle name="Percent 3 2 2 4 2 2 4" xfId="31900"/>
    <cellStyle name="Percent 3 2 2 4 2 2 4 2" xfId="31901"/>
    <cellStyle name="Percent 3 2 2 4 2 2 4 3" xfId="31902"/>
    <cellStyle name="Percent 3 2 2 4 2 2 5" xfId="31903"/>
    <cellStyle name="Percent 3 2 2 4 2 2 5 2" xfId="31904"/>
    <cellStyle name="Percent 3 2 2 4 2 2 6" xfId="31905"/>
    <cellStyle name="Percent 3 2 2 4 2 2 6 2" xfId="37383"/>
    <cellStyle name="Percent 3 2 2 4 2 2 7" xfId="31906"/>
    <cellStyle name="Percent 3 2 2 4 2 3" xfId="31907"/>
    <cellStyle name="Percent 3 2 2 4 2 3 2" xfId="31908"/>
    <cellStyle name="Percent 3 2 2 4 2 3 2 2" xfId="31909"/>
    <cellStyle name="Percent 3 2 2 4 2 3 2 2 2" xfId="31910"/>
    <cellStyle name="Percent 3 2 2 4 2 3 2 3" xfId="31911"/>
    <cellStyle name="Percent 3 2 2 4 2 3 3" xfId="31912"/>
    <cellStyle name="Percent 3 2 2 4 2 3 3 2" xfId="31913"/>
    <cellStyle name="Percent 3 2 2 4 2 3 4" xfId="31914"/>
    <cellStyle name="Percent 3 2 2 4 2 4" xfId="31915"/>
    <cellStyle name="Percent 3 2 2 4 2 4 2" xfId="31916"/>
    <cellStyle name="Percent 3 2 2 4 2 4 2 2" xfId="31917"/>
    <cellStyle name="Percent 3 2 2 4 2 4 3" xfId="31918"/>
    <cellStyle name="Percent 3 2 2 4 2 5" xfId="31919"/>
    <cellStyle name="Percent 3 2 2 4 2 5 2" xfId="31920"/>
    <cellStyle name="Percent 3 2 2 4 2 5 2 2" xfId="31921"/>
    <cellStyle name="Percent 3 2 2 4 2 5 3" xfId="31922"/>
    <cellStyle name="Percent 3 2 2 4 2 6" xfId="31923"/>
    <cellStyle name="Percent 3 2 2 4 2 6 2" xfId="31924"/>
    <cellStyle name="Percent 3 2 2 4 2 7" xfId="31925"/>
    <cellStyle name="Percent 3 2 2 4 2 7 2" xfId="37384"/>
    <cellStyle name="Percent 3 2 2 4 2 8" xfId="31926"/>
    <cellStyle name="Percent 3 2 2 4 3" xfId="31927"/>
    <cellStyle name="Percent 3 2 2 4 3 2" xfId="31928"/>
    <cellStyle name="Percent 3 2 2 4 3 2 2" xfId="31929"/>
    <cellStyle name="Percent 3 2 2 4 3 2 2 2" xfId="31930"/>
    <cellStyle name="Percent 3 2 2 4 3 2 2 3" xfId="31931"/>
    <cellStyle name="Percent 3 2 2 4 3 2 3" xfId="31932"/>
    <cellStyle name="Percent 3 2 2 4 3 2 3 2" xfId="31933"/>
    <cellStyle name="Percent 3 2 2 4 3 2 4" xfId="31934"/>
    <cellStyle name="Percent 3 2 2 4 3 3" xfId="31935"/>
    <cellStyle name="Percent 3 2 2 4 3 3 2" xfId="31936"/>
    <cellStyle name="Percent 3 2 2 4 3 3 2 2" xfId="31937"/>
    <cellStyle name="Percent 3 2 2 4 3 3 3" xfId="31938"/>
    <cellStyle name="Percent 3 2 2 4 3 4" xfId="31939"/>
    <cellStyle name="Percent 3 2 2 4 3 4 2" xfId="31940"/>
    <cellStyle name="Percent 3 2 2 4 3 4 3" xfId="31941"/>
    <cellStyle name="Percent 3 2 2 4 3 5" xfId="31942"/>
    <cellStyle name="Percent 3 2 2 4 3 5 2" xfId="31943"/>
    <cellStyle name="Percent 3 2 2 4 3 6" xfId="31944"/>
    <cellStyle name="Percent 3 2 2 4 3 6 2" xfId="37385"/>
    <cellStyle name="Percent 3 2 2 4 3 7" xfId="31945"/>
    <cellStyle name="Percent 3 2 2 4 4" xfId="31946"/>
    <cellStyle name="Percent 3 2 2 4 4 2" xfId="31947"/>
    <cellStyle name="Percent 3 2 2 4 4 2 2" xfId="31948"/>
    <cellStyle name="Percent 3 2 2 4 4 2 2 2" xfId="31949"/>
    <cellStyle name="Percent 3 2 2 4 4 2 3" xfId="31950"/>
    <cellStyle name="Percent 3 2 2 4 4 3" xfId="31951"/>
    <cellStyle name="Percent 3 2 2 4 4 3 2" xfId="31952"/>
    <cellStyle name="Percent 3 2 2 4 4 4" xfId="31953"/>
    <cellStyle name="Percent 3 2 2 4 5" xfId="31954"/>
    <cellStyle name="Percent 3 2 2 4 5 2" xfId="31955"/>
    <cellStyle name="Percent 3 2 2 4 5 2 2" xfId="31956"/>
    <cellStyle name="Percent 3 2 2 4 5 3" xfId="31957"/>
    <cellStyle name="Percent 3 2 2 4 6" xfId="31958"/>
    <cellStyle name="Percent 3 2 2 4 6 2" xfId="31959"/>
    <cellStyle name="Percent 3 2 2 4 6 2 2" xfId="31960"/>
    <cellStyle name="Percent 3 2 2 4 6 3" xfId="31961"/>
    <cellStyle name="Percent 3 2 2 4 7" xfId="31962"/>
    <cellStyle name="Percent 3 2 2 4 7 2" xfId="31963"/>
    <cellStyle name="Percent 3 2 2 4 8" xfId="31964"/>
    <cellStyle name="Percent 3 2 2 4 8 2" xfId="37386"/>
    <cellStyle name="Percent 3 2 2 4 9" xfId="31965"/>
    <cellStyle name="Percent 3 2 2 5" xfId="31966"/>
    <cellStyle name="Percent 3 2 2 5 2" xfId="31967"/>
    <cellStyle name="Percent 3 2 2 5 2 2" xfId="31968"/>
    <cellStyle name="Percent 3 2 2 5 2 2 2" xfId="31969"/>
    <cellStyle name="Percent 3 2 2 5 2 2 2 2" xfId="31970"/>
    <cellStyle name="Percent 3 2 2 5 2 2 2 3" xfId="31971"/>
    <cellStyle name="Percent 3 2 2 5 2 2 3" xfId="31972"/>
    <cellStyle name="Percent 3 2 2 5 2 2 3 2" xfId="31973"/>
    <cellStyle name="Percent 3 2 2 5 2 2 4" xfId="31974"/>
    <cellStyle name="Percent 3 2 2 5 2 3" xfId="31975"/>
    <cellStyle name="Percent 3 2 2 5 2 3 2" xfId="31976"/>
    <cellStyle name="Percent 3 2 2 5 2 3 2 2" xfId="31977"/>
    <cellStyle name="Percent 3 2 2 5 2 3 3" xfId="31978"/>
    <cellStyle name="Percent 3 2 2 5 2 4" xfId="31979"/>
    <cellStyle name="Percent 3 2 2 5 2 4 2" xfId="31980"/>
    <cellStyle name="Percent 3 2 2 5 2 4 3" xfId="31981"/>
    <cellStyle name="Percent 3 2 2 5 2 5" xfId="31982"/>
    <cellStyle name="Percent 3 2 2 5 2 5 2" xfId="31983"/>
    <cellStyle name="Percent 3 2 2 5 2 6" xfId="31984"/>
    <cellStyle name="Percent 3 2 2 5 2 6 2" xfId="37387"/>
    <cellStyle name="Percent 3 2 2 5 2 7" xfId="31985"/>
    <cellStyle name="Percent 3 2 2 5 3" xfId="31986"/>
    <cellStyle name="Percent 3 2 2 5 3 2" xfId="31987"/>
    <cellStyle name="Percent 3 2 2 5 3 2 2" xfId="31988"/>
    <cellStyle name="Percent 3 2 2 5 3 2 2 2" xfId="31989"/>
    <cellStyle name="Percent 3 2 2 5 3 2 3" xfId="31990"/>
    <cellStyle name="Percent 3 2 2 5 3 3" xfId="31991"/>
    <cellStyle name="Percent 3 2 2 5 3 3 2" xfId="31992"/>
    <cellStyle name="Percent 3 2 2 5 3 4" xfId="31993"/>
    <cellStyle name="Percent 3 2 2 5 4" xfId="31994"/>
    <cellStyle name="Percent 3 2 2 5 4 2" xfId="31995"/>
    <cellStyle name="Percent 3 2 2 5 4 2 2" xfId="31996"/>
    <cellStyle name="Percent 3 2 2 5 4 3" xfId="31997"/>
    <cellStyle name="Percent 3 2 2 5 5" xfId="31998"/>
    <cellStyle name="Percent 3 2 2 5 5 2" xfId="31999"/>
    <cellStyle name="Percent 3 2 2 5 5 2 2" xfId="32000"/>
    <cellStyle name="Percent 3 2 2 5 5 3" xfId="32001"/>
    <cellStyle name="Percent 3 2 2 5 6" xfId="32002"/>
    <cellStyle name="Percent 3 2 2 5 6 2" xfId="32003"/>
    <cellStyle name="Percent 3 2 2 5 7" xfId="32004"/>
    <cellStyle name="Percent 3 2 2 5 7 2" xfId="37388"/>
    <cellStyle name="Percent 3 2 2 5 8" xfId="32005"/>
    <cellStyle name="Percent 3 2 2 6" xfId="32006"/>
    <cellStyle name="Percent 3 2 2 6 2" xfId="32007"/>
    <cellStyle name="Percent 3 2 2 6 2 2" xfId="32008"/>
    <cellStyle name="Percent 3 2 2 6 2 2 2" xfId="32009"/>
    <cellStyle name="Percent 3 2 2 6 2 2 2 2" xfId="32010"/>
    <cellStyle name="Percent 3 2 2 6 2 2 2 3" xfId="32011"/>
    <cellStyle name="Percent 3 2 2 6 2 2 3" xfId="32012"/>
    <cellStyle name="Percent 3 2 2 6 2 2 3 2" xfId="32013"/>
    <cellStyle name="Percent 3 2 2 6 2 2 4" xfId="32014"/>
    <cellStyle name="Percent 3 2 2 6 2 3" xfId="32015"/>
    <cellStyle name="Percent 3 2 2 6 2 3 2" xfId="32016"/>
    <cellStyle name="Percent 3 2 2 6 2 3 2 2" xfId="32017"/>
    <cellStyle name="Percent 3 2 2 6 2 3 3" xfId="32018"/>
    <cellStyle name="Percent 3 2 2 6 2 4" xfId="32019"/>
    <cellStyle name="Percent 3 2 2 6 2 4 2" xfId="32020"/>
    <cellStyle name="Percent 3 2 2 6 2 4 3" xfId="32021"/>
    <cellStyle name="Percent 3 2 2 6 2 5" xfId="32022"/>
    <cellStyle name="Percent 3 2 2 6 2 5 2" xfId="32023"/>
    <cellStyle name="Percent 3 2 2 6 2 6" xfId="32024"/>
    <cellStyle name="Percent 3 2 2 6 2 6 2" xfId="37389"/>
    <cellStyle name="Percent 3 2 2 6 2 7" xfId="32025"/>
    <cellStyle name="Percent 3 2 2 6 3" xfId="32026"/>
    <cellStyle name="Percent 3 2 2 6 3 2" xfId="32027"/>
    <cellStyle name="Percent 3 2 2 6 3 2 2" xfId="32028"/>
    <cellStyle name="Percent 3 2 2 6 3 2 2 2" xfId="32029"/>
    <cellStyle name="Percent 3 2 2 6 3 2 3" xfId="32030"/>
    <cellStyle name="Percent 3 2 2 6 3 3" xfId="32031"/>
    <cellStyle name="Percent 3 2 2 6 3 3 2" xfId="32032"/>
    <cellStyle name="Percent 3 2 2 6 3 4" xfId="32033"/>
    <cellStyle name="Percent 3 2 2 6 4" xfId="32034"/>
    <cellStyle name="Percent 3 2 2 6 4 2" xfId="32035"/>
    <cellStyle name="Percent 3 2 2 6 4 2 2" xfId="32036"/>
    <cellStyle name="Percent 3 2 2 6 4 3" xfId="32037"/>
    <cellStyle name="Percent 3 2 2 6 5" xfId="32038"/>
    <cellStyle name="Percent 3 2 2 6 5 2" xfId="32039"/>
    <cellStyle name="Percent 3 2 2 6 5 2 2" xfId="32040"/>
    <cellStyle name="Percent 3 2 2 6 5 3" xfId="32041"/>
    <cellStyle name="Percent 3 2 2 6 6" xfId="32042"/>
    <cellStyle name="Percent 3 2 2 6 6 2" xfId="32043"/>
    <cellStyle name="Percent 3 2 2 6 7" xfId="32044"/>
    <cellStyle name="Percent 3 2 2 6 7 2" xfId="37390"/>
    <cellStyle name="Percent 3 2 2 6 8" xfId="32045"/>
    <cellStyle name="Percent 3 2 2 7" xfId="32046"/>
    <cellStyle name="Percent 3 2 2 7 2" xfId="32047"/>
    <cellStyle name="Percent 3 2 2 7 2 2" xfId="32048"/>
    <cellStyle name="Percent 3 2 2 7 2 2 2" xfId="32049"/>
    <cellStyle name="Percent 3 2 2 7 2 2 2 2" xfId="32050"/>
    <cellStyle name="Percent 3 2 2 7 2 2 2 3" xfId="32051"/>
    <cellStyle name="Percent 3 2 2 7 2 2 3" xfId="32052"/>
    <cellStyle name="Percent 3 2 2 7 2 2 3 2" xfId="32053"/>
    <cellStyle name="Percent 3 2 2 7 2 2 4" xfId="32054"/>
    <cellStyle name="Percent 3 2 2 7 2 3" xfId="32055"/>
    <cellStyle name="Percent 3 2 2 7 2 3 2" xfId="32056"/>
    <cellStyle name="Percent 3 2 2 7 2 3 2 2" xfId="32057"/>
    <cellStyle name="Percent 3 2 2 7 2 3 3" xfId="32058"/>
    <cellStyle name="Percent 3 2 2 7 2 4" xfId="32059"/>
    <cellStyle name="Percent 3 2 2 7 2 4 2" xfId="32060"/>
    <cellStyle name="Percent 3 2 2 7 2 4 3" xfId="32061"/>
    <cellStyle name="Percent 3 2 2 7 2 5" xfId="32062"/>
    <cellStyle name="Percent 3 2 2 7 2 5 2" xfId="32063"/>
    <cellStyle name="Percent 3 2 2 7 2 6" xfId="32064"/>
    <cellStyle name="Percent 3 2 2 7 2 6 2" xfId="37391"/>
    <cellStyle name="Percent 3 2 2 7 2 7" xfId="32065"/>
    <cellStyle name="Percent 3 2 2 7 3" xfId="32066"/>
    <cellStyle name="Percent 3 2 2 7 3 2" xfId="32067"/>
    <cellStyle name="Percent 3 2 2 7 3 2 2" xfId="32068"/>
    <cellStyle name="Percent 3 2 2 7 3 2 2 2" xfId="32069"/>
    <cellStyle name="Percent 3 2 2 7 3 2 3" xfId="32070"/>
    <cellStyle name="Percent 3 2 2 7 3 3" xfId="32071"/>
    <cellStyle name="Percent 3 2 2 7 3 3 2" xfId="32072"/>
    <cellStyle name="Percent 3 2 2 7 3 4" xfId="32073"/>
    <cellStyle name="Percent 3 2 2 7 4" xfId="32074"/>
    <cellStyle name="Percent 3 2 2 7 4 2" xfId="32075"/>
    <cellStyle name="Percent 3 2 2 7 4 2 2" xfId="32076"/>
    <cellStyle name="Percent 3 2 2 7 4 3" xfId="32077"/>
    <cellStyle name="Percent 3 2 2 7 5" xfId="32078"/>
    <cellStyle name="Percent 3 2 2 7 5 2" xfId="32079"/>
    <cellStyle name="Percent 3 2 2 7 5 2 2" xfId="32080"/>
    <cellStyle name="Percent 3 2 2 7 5 3" xfId="32081"/>
    <cellStyle name="Percent 3 2 2 7 6" xfId="32082"/>
    <cellStyle name="Percent 3 2 2 7 6 2" xfId="32083"/>
    <cellStyle name="Percent 3 2 2 7 7" xfId="32084"/>
    <cellStyle name="Percent 3 2 2 7 7 2" xfId="37392"/>
    <cellStyle name="Percent 3 2 2 7 8" xfId="32085"/>
    <cellStyle name="Percent 3 2 2 8" xfId="32086"/>
    <cellStyle name="Percent 3 2 2 8 2" xfId="32087"/>
    <cellStyle name="Percent 3 2 2 8 2 2" xfId="32088"/>
    <cellStyle name="Percent 3 2 2 8 2 2 2" xfId="32089"/>
    <cellStyle name="Percent 3 2 2 8 2 2 3" xfId="32090"/>
    <cellStyle name="Percent 3 2 2 8 2 3" xfId="32091"/>
    <cellStyle name="Percent 3 2 2 8 2 3 2" xfId="32092"/>
    <cellStyle name="Percent 3 2 2 8 2 4" xfId="32093"/>
    <cellStyle name="Percent 3 2 2 8 3" xfId="32094"/>
    <cellStyle name="Percent 3 2 2 8 3 2" xfId="32095"/>
    <cellStyle name="Percent 3 2 2 8 3 2 2" xfId="32096"/>
    <cellStyle name="Percent 3 2 2 8 3 3" xfId="32097"/>
    <cellStyle name="Percent 3 2 2 8 4" xfId="32098"/>
    <cellStyle name="Percent 3 2 2 8 4 2" xfId="32099"/>
    <cellStyle name="Percent 3 2 2 8 4 3" xfId="32100"/>
    <cellStyle name="Percent 3 2 2 8 5" xfId="32101"/>
    <cellStyle name="Percent 3 2 2 8 5 2" xfId="32102"/>
    <cellStyle name="Percent 3 2 2 8 6" xfId="32103"/>
    <cellStyle name="Percent 3 2 2 8 6 2" xfId="37393"/>
    <cellStyle name="Percent 3 2 2 8 7" xfId="32104"/>
    <cellStyle name="Percent 3 2 2 9" xfId="32105"/>
    <cellStyle name="Percent 3 2 2 9 2" xfId="32106"/>
    <cellStyle name="Percent 3 2 2 9 2 2" xfId="32107"/>
    <cellStyle name="Percent 3 2 2 9 2 2 2" xfId="32108"/>
    <cellStyle name="Percent 3 2 2 9 2 3" xfId="32109"/>
    <cellStyle name="Percent 3 2 2 9 3" xfId="32110"/>
    <cellStyle name="Percent 3 2 2 9 3 2" xfId="32111"/>
    <cellStyle name="Percent 3 2 2 9 4" xfId="32112"/>
    <cellStyle name="Percent 3 2 3" xfId="32113"/>
    <cellStyle name="Percent 3 2 3 10" xfId="32114"/>
    <cellStyle name="Percent 3 2 3 10 2" xfId="32115"/>
    <cellStyle name="Percent 3 2 3 10 2 2" xfId="32116"/>
    <cellStyle name="Percent 3 2 3 10 3" xfId="32117"/>
    <cellStyle name="Percent 3 2 3 11" xfId="32118"/>
    <cellStyle name="Percent 3 2 3 11 2" xfId="32119"/>
    <cellStyle name="Percent 3 2 3 11 2 2" xfId="32120"/>
    <cellStyle name="Percent 3 2 3 11 3" xfId="32121"/>
    <cellStyle name="Percent 3 2 3 12" xfId="32122"/>
    <cellStyle name="Percent 3 2 3 12 2" xfId="32123"/>
    <cellStyle name="Percent 3 2 3 13" xfId="32124"/>
    <cellStyle name="Percent 3 2 3 13 2" xfId="37394"/>
    <cellStyle name="Percent 3 2 3 14" xfId="32125"/>
    <cellStyle name="Percent 3 2 3 2" xfId="32126"/>
    <cellStyle name="Percent 3 2 3 2 10" xfId="32127"/>
    <cellStyle name="Percent 3 2 3 2 2" xfId="32128"/>
    <cellStyle name="Percent 3 2 3 2 2 2" xfId="32129"/>
    <cellStyle name="Percent 3 2 3 2 2 2 2" xfId="32130"/>
    <cellStyle name="Percent 3 2 3 2 2 2 2 2" xfId="32131"/>
    <cellStyle name="Percent 3 2 3 2 2 2 2 2 2" xfId="32132"/>
    <cellStyle name="Percent 3 2 3 2 2 2 2 2 2 2" xfId="32133"/>
    <cellStyle name="Percent 3 2 3 2 2 2 2 2 2 3" xfId="32134"/>
    <cellStyle name="Percent 3 2 3 2 2 2 2 2 3" xfId="32135"/>
    <cellStyle name="Percent 3 2 3 2 2 2 2 2 3 2" xfId="32136"/>
    <cellStyle name="Percent 3 2 3 2 2 2 2 2 4" xfId="32137"/>
    <cellStyle name="Percent 3 2 3 2 2 2 2 3" xfId="32138"/>
    <cellStyle name="Percent 3 2 3 2 2 2 2 3 2" xfId="32139"/>
    <cellStyle name="Percent 3 2 3 2 2 2 2 3 2 2" xfId="32140"/>
    <cellStyle name="Percent 3 2 3 2 2 2 2 3 3" xfId="32141"/>
    <cellStyle name="Percent 3 2 3 2 2 2 2 4" xfId="32142"/>
    <cellStyle name="Percent 3 2 3 2 2 2 2 4 2" xfId="32143"/>
    <cellStyle name="Percent 3 2 3 2 2 2 2 4 3" xfId="32144"/>
    <cellStyle name="Percent 3 2 3 2 2 2 2 5" xfId="32145"/>
    <cellStyle name="Percent 3 2 3 2 2 2 2 5 2" xfId="32146"/>
    <cellStyle name="Percent 3 2 3 2 2 2 2 6" xfId="32147"/>
    <cellStyle name="Percent 3 2 3 2 2 2 2 6 2" xfId="37395"/>
    <cellStyle name="Percent 3 2 3 2 2 2 2 7" xfId="32148"/>
    <cellStyle name="Percent 3 2 3 2 2 2 3" xfId="32149"/>
    <cellStyle name="Percent 3 2 3 2 2 2 3 2" xfId="32150"/>
    <cellStyle name="Percent 3 2 3 2 2 2 3 2 2" xfId="32151"/>
    <cellStyle name="Percent 3 2 3 2 2 2 3 2 2 2" xfId="32152"/>
    <cellStyle name="Percent 3 2 3 2 2 2 3 2 3" xfId="32153"/>
    <cellStyle name="Percent 3 2 3 2 2 2 3 3" xfId="32154"/>
    <cellStyle name="Percent 3 2 3 2 2 2 3 3 2" xfId="32155"/>
    <cellStyle name="Percent 3 2 3 2 2 2 3 4" xfId="32156"/>
    <cellStyle name="Percent 3 2 3 2 2 2 4" xfId="32157"/>
    <cellStyle name="Percent 3 2 3 2 2 2 4 2" xfId="32158"/>
    <cellStyle name="Percent 3 2 3 2 2 2 4 2 2" xfId="32159"/>
    <cellStyle name="Percent 3 2 3 2 2 2 4 3" xfId="32160"/>
    <cellStyle name="Percent 3 2 3 2 2 2 5" xfId="32161"/>
    <cellStyle name="Percent 3 2 3 2 2 2 5 2" xfId="32162"/>
    <cellStyle name="Percent 3 2 3 2 2 2 5 2 2" xfId="32163"/>
    <cellStyle name="Percent 3 2 3 2 2 2 5 3" xfId="32164"/>
    <cellStyle name="Percent 3 2 3 2 2 2 6" xfId="32165"/>
    <cellStyle name="Percent 3 2 3 2 2 2 6 2" xfId="32166"/>
    <cellStyle name="Percent 3 2 3 2 2 2 7" xfId="32167"/>
    <cellStyle name="Percent 3 2 3 2 2 2 7 2" xfId="37396"/>
    <cellStyle name="Percent 3 2 3 2 2 2 8" xfId="32168"/>
    <cellStyle name="Percent 3 2 3 2 2 3" xfId="32169"/>
    <cellStyle name="Percent 3 2 3 2 2 3 2" xfId="32170"/>
    <cellStyle name="Percent 3 2 3 2 2 3 2 2" xfId="32171"/>
    <cellStyle name="Percent 3 2 3 2 2 3 2 2 2" xfId="32172"/>
    <cellStyle name="Percent 3 2 3 2 2 3 2 2 3" xfId="32173"/>
    <cellStyle name="Percent 3 2 3 2 2 3 2 3" xfId="32174"/>
    <cellStyle name="Percent 3 2 3 2 2 3 2 3 2" xfId="32175"/>
    <cellStyle name="Percent 3 2 3 2 2 3 2 4" xfId="32176"/>
    <cellStyle name="Percent 3 2 3 2 2 3 3" xfId="32177"/>
    <cellStyle name="Percent 3 2 3 2 2 3 3 2" xfId="32178"/>
    <cellStyle name="Percent 3 2 3 2 2 3 3 2 2" xfId="32179"/>
    <cellStyle name="Percent 3 2 3 2 2 3 3 3" xfId="32180"/>
    <cellStyle name="Percent 3 2 3 2 2 3 4" xfId="32181"/>
    <cellStyle name="Percent 3 2 3 2 2 3 4 2" xfId="32182"/>
    <cellStyle name="Percent 3 2 3 2 2 3 4 3" xfId="32183"/>
    <cellStyle name="Percent 3 2 3 2 2 3 5" xfId="32184"/>
    <cellStyle name="Percent 3 2 3 2 2 3 5 2" xfId="32185"/>
    <cellStyle name="Percent 3 2 3 2 2 3 6" xfId="32186"/>
    <cellStyle name="Percent 3 2 3 2 2 3 6 2" xfId="37397"/>
    <cellStyle name="Percent 3 2 3 2 2 3 7" xfId="32187"/>
    <cellStyle name="Percent 3 2 3 2 2 4" xfId="32188"/>
    <cellStyle name="Percent 3 2 3 2 2 4 2" xfId="32189"/>
    <cellStyle name="Percent 3 2 3 2 2 4 2 2" xfId="32190"/>
    <cellStyle name="Percent 3 2 3 2 2 4 2 2 2" xfId="32191"/>
    <cellStyle name="Percent 3 2 3 2 2 4 2 3" xfId="32192"/>
    <cellStyle name="Percent 3 2 3 2 2 4 3" xfId="32193"/>
    <cellStyle name="Percent 3 2 3 2 2 4 3 2" xfId="32194"/>
    <cellStyle name="Percent 3 2 3 2 2 4 4" xfId="32195"/>
    <cellStyle name="Percent 3 2 3 2 2 5" xfId="32196"/>
    <cellStyle name="Percent 3 2 3 2 2 5 2" xfId="32197"/>
    <cellStyle name="Percent 3 2 3 2 2 5 2 2" xfId="32198"/>
    <cellStyle name="Percent 3 2 3 2 2 5 3" xfId="32199"/>
    <cellStyle name="Percent 3 2 3 2 2 6" xfId="32200"/>
    <cellStyle name="Percent 3 2 3 2 2 6 2" xfId="32201"/>
    <cellStyle name="Percent 3 2 3 2 2 6 2 2" xfId="32202"/>
    <cellStyle name="Percent 3 2 3 2 2 6 3" xfId="32203"/>
    <cellStyle name="Percent 3 2 3 2 2 7" xfId="32204"/>
    <cellStyle name="Percent 3 2 3 2 2 7 2" xfId="32205"/>
    <cellStyle name="Percent 3 2 3 2 2 8" xfId="32206"/>
    <cellStyle name="Percent 3 2 3 2 2 8 2" xfId="37398"/>
    <cellStyle name="Percent 3 2 3 2 2 9" xfId="32207"/>
    <cellStyle name="Percent 3 2 3 2 3" xfId="32208"/>
    <cellStyle name="Percent 3 2 3 2 3 2" xfId="32209"/>
    <cellStyle name="Percent 3 2 3 2 3 2 2" xfId="32210"/>
    <cellStyle name="Percent 3 2 3 2 3 2 2 2" xfId="32211"/>
    <cellStyle name="Percent 3 2 3 2 3 2 2 2 2" xfId="32212"/>
    <cellStyle name="Percent 3 2 3 2 3 2 2 2 3" xfId="32213"/>
    <cellStyle name="Percent 3 2 3 2 3 2 2 3" xfId="32214"/>
    <cellStyle name="Percent 3 2 3 2 3 2 2 3 2" xfId="32215"/>
    <cellStyle name="Percent 3 2 3 2 3 2 2 4" xfId="32216"/>
    <cellStyle name="Percent 3 2 3 2 3 2 3" xfId="32217"/>
    <cellStyle name="Percent 3 2 3 2 3 2 3 2" xfId="32218"/>
    <cellStyle name="Percent 3 2 3 2 3 2 3 2 2" xfId="32219"/>
    <cellStyle name="Percent 3 2 3 2 3 2 3 3" xfId="32220"/>
    <cellStyle name="Percent 3 2 3 2 3 2 4" xfId="32221"/>
    <cellStyle name="Percent 3 2 3 2 3 2 4 2" xfId="32222"/>
    <cellStyle name="Percent 3 2 3 2 3 2 4 3" xfId="32223"/>
    <cellStyle name="Percent 3 2 3 2 3 2 5" xfId="32224"/>
    <cellStyle name="Percent 3 2 3 2 3 2 5 2" xfId="32225"/>
    <cellStyle name="Percent 3 2 3 2 3 2 6" xfId="32226"/>
    <cellStyle name="Percent 3 2 3 2 3 2 6 2" xfId="37399"/>
    <cellStyle name="Percent 3 2 3 2 3 2 7" xfId="32227"/>
    <cellStyle name="Percent 3 2 3 2 3 3" xfId="32228"/>
    <cellStyle name="Percent 3 2 3 2 3 3 2" xfId="32229"/>
    <cellStyle name="Percent 3 2 3 2 3 3 2 2" xfId="32230"/>
    <cellStyle name="Percent 3 2 3 2 3 3 2 2 2" xfId="32231"/>
    <cellStyle name="Percent 3 2 3 2 3 3 2 3" xfId="32232"/>
    <cellStyle name="Percent 3 2 3 2 3 3 3" xfId="32233"/>
    <cellStyle name="Percent 3 2 3 2 3 3 3 2" xfId="32234"/>
    <cellStyle name="Percent 3 2 3 2 3 3 4" xfId="32235"/>
    <cellStyle name="Percent 3 2 3 2 3 4" xfId="32236"/>
    <cellStyle name="Percent 3 2 3 2 3 4 2" xfId="32237"/>
    <cellStyle name="Percent 3 2 3 2 3 4 2 2" xfId="32238"/>
    <cellStyle name="Percent 3 2 3 2 3 4 3" xfId="32239"/>
    <cellStyle name="Percent 3 2 3 2 3 5" xfId="32240"/>
    <cellStyle name="Percent 3 2 3 2 3 5 2" xfId="32241"/>
    <cellStyle name="Percent 3 2 3 2 3 5 2 2" xfId="32242"/>
    <cellStyle name="Percent 3 2 3 2 3 5 3" xfId="32243"/>
    <cellStyle name="Percent 3 2 3 2 3 6" xfId="32244"/>
    <cellStyle name="Percent 3 2 3 2 3 6 2" xfId="32245"/>
    <cellStyle name="Percent 3 2 3 2 3 7" xfId="32246"/>
    <cellStyle name="Percent 3 2 3 2 3 7 2" xfId="37400"/>
    <cellStyle name="Percent 3 2 3 2 3 8" xfId="32247"/>
    <cellStyle name="Percent 3 2 3 2 4" xfId="32248"/>
    <cellStyle name="Percent 3 2 3 2 4 2" xfId="32249"/>
    <cellStyle name="Percent 3 2 3 2 4 2 2" xfId="32250"/>
    <cellStyle name="Percent 3 2 3 2 4 2 2 2" xfId="32251"/>
    <cellStyle name="Percent 3 2 3 2 4 2 2 3" xfId="32252"/>
    <cellStyle name="Percent 3 2 3 2 4 2 3" xfId="32253"/>
    <cellStyle name="Percent 3 2 3 2 4 2 3 2" xfId="32254"/>
    <cellStyle name="Percent 3 2 3 2 4 2 4" xfId="32255"/>
    <cellStyle name="Percent 3 2 3 2 4 3" xfId="32256"/>
    <cellStyle name="Percent 3 2 3 2 4 3 2" xfId="32257"/>
    <cellStyle name="Percent 3 2 3 2 4 3 2 2" xfId="32258"/>
    <cellStyle name="Percent 3 2 3 2 4 3 3" xfId="32259"/>
    <cellStyle name="Percent 3 2 3 2 4 4" xfId="32260"/>
    <cellStyle name="Percent 3 2 3 2 4 4 2" xfId="32261"/>
    <cellStyle name="Percent 3 2 3 2 4 4 3" xfId="32262"/>
    <cellStyle name="Percent 3 2 3 2 4 5" xfId="32263"/>
    <cellStyle name="Percent 3 2 3 2 4 5 2" xfId="32264"/>
    <cellStyle name="Percent 3 2 3 2 4 6" xfId="32265"/>
    <cellStyle name="Percent 3 2 3 2 4 6 2" xfId="37401"/>
    <cellStyle name="Percent 3 2 3 2 4 7" xfId="32266"/>
    <cellStyle name="Percent 3 2 3 2 5" xfId="32267"/>
    <cellStyle name="Percent 3 2 3 2 5 2" xfId="32268"/>
    <cellStyle name="Percent 3 2 3 2 5 2 2" xfId="32269"/>
    <cellStyle name="Percent 3 2 3 2 5 2 2 2" xfId="32270"/>
    <cellStyle name="Percent 3 2 3 2 5 2 3" xfId="32271"/>
    <cellStyle name="Percent 3 2 3 2 5 3" xfId="32272"/>
    <cellStyle name="Percent 3 2 3 2 5 3 2" xfId="32273"/>
    <cellStyle name="Percent 3 2 3 2 5 4" xfId="32274"/>
    <cellStyle name="Percent 3 2 3 2 6" xfId="32275"/>
    <cellStyle name="Percent 3 2 3 2 6 2" xfId="32276"/>
    <cellStyle name="Percent 3 2 3 2 6 2 2" xfId="32277"/>
    <cellStyle name="Percent 3 2 3 2 6 3" xfId="32278"/>
    <cellStyle name="Percent 3 2 3 2 7" xfId="32279"/>
    <cellStyle name="Percent 3 2 3 2 7 2" xfId="32280"/>
    <cellStyle name="Percent 3 2 3 2 7 2 2" xfId="32281"/>
    <cellStyle name="Percent 3 2 3 2 7 3" xfId="32282"/>
    <cellStyle name="Percent 3 2 3 2 8" xfId="32283"/>
    <cellStyle name="Percent 3 2 3 2 8 2" xfId="32284"/>
    <cellStyle name="Percent 3 2 3 2 9" xfId="32285"/>
    <cellStyle name="Percent 3 2 3 2 9 2" xfId="37402"/>
    <cellStyle name="Percent 3 2 3 3" xfId="32286"/>
    <cellStyle name="Percent 3 2 3 3 2" xfId="32287"/>
    <cellStyle name="Percent 3 2 3 3 2 2" xfId="32288"/>
    <cellStyle name="Percent 3 2 3 3 2 2 2" xfId="32289"/>
    <cellStyle name="Percent 3 2 3 3 2 2 2 2" xfId="32290"/>
    <cellStyle name="Percent 3 2 3 3 2 2 2 2 2" xfId="32291"/>
    <cellStyle name="Percent 3 2 3 3 2 2 2 2 3" xfId="32292"/>
    <cellStyle name="Percent 3 2 3 3 2 2 2 3" xfId="32293"/>
    <cellStyle name="Percent 3 2 3 3 2 2 2 3 2" xfId="32294"/>
    <cellStyle name="Percent 3 2 3 3 2 2 2 4" xfId="32295"/>
    <cellStyle name="Percent 3 2 3 3 2 2 3" xfId="32296"/>
    <cellStyle name="Percent 3 2 3 3 2 2 3 2" xfId="32297"/>
    <cellStyle name="Percent 3 2 3 3 2 2 3 2 2" xfId="32298"/>
    <cellStyle name="Percent 3 2 3 3 2 2 3 3" xfId="32299"/>
    <cellStyle name="Percent 3 2 3 3 2 2 4" xfId="32300"/>
    <cellStyle name="Percent 3 2 3 3 2 2 4 2" xfId="32301"/>
    <cellStyle name="Percent 3 2 3 3 2 2 4 3" xfId="32302"/>
    <cellStyle name="Percent 3 2 3 3 2 2 5" xfId="32303"/>
    <cellStyle name="Percent 3 2 3 3 2 2 5 2" xfId="32304"/>
    <cellStyle name="Percent 3 2 3 3 2 2 6" xfId="32305"/>
    <cellStyle name="Percent 3 2 3 3 2 2 6 2" xfId="37403"/>
    <cellStyle name="Percent 3 2 3 3 2 2 7" xfId="32306"/>
    <cellStyle name="Percent 3 2 3 3 2 3" xfId="32307"/>
    <cellStyle name="Percent 3 2 3 3 2 3 2" xfId="32308"/>
    <cellStyle name="Percent 3 2 3 3 2 3 2 2" xfId="32309"/>
    <cellStyle name="Percent 3 2 3 3 2 3 2 2 2" xfId="32310"/>
    <cellStyle name="Percent 3 2 3 3 2 3 2 3" xfId="32311"/>
    <cellStyle name="Percent 3 2 3 3 2 3 3" xfId="32312"/>
    <cellStyle name="Percent 3 2 3 3 2 3 3 2" xfId="32313"/>
    <cellStyle name="Percent 3 2 3 3 2 3 4" xfId="32314"/>
    <cellStyle name="Percent 3 2 3 3 2 4" xfId="32315"/>
    <cellStyle name="Percent 3 2 3 3 2 4 2" xfId="32316"/>
    <cellStyle name="Percent 3 2 3 3 2 4 2 2" xfId="32317"/>
    <cellStyle name="Percent 3 2 3 3 2 4 3" xfId="32318"/>
    <cellStyle name="Percent 3 2 3 3 2 5" xfId="32319"/>
    <cellStyle name="Percent 3 2 3 3 2 5 2" xfId="32320"/>
    <cellStyle name="Percent 3 2 3 3 2 5 2 2" xfId="32321"/>
    <cellStyle name="Percent 3 2 3 3 2 5 3" xfId="32322"/>
    <cellStyle name="Percent 3 2 3 3 2 6" xfId="32323"/>
    <cellStyle name="Percent 3 2 3 3 2 6 2" xfId="32324"/>
    <cellStyle name="Percent 3 2 3 3 2 7" xfId="32325"/>
    <cellStyle name="Percent 3 2 3 3 2 7 2" xfId="37404"/>
    <cellStyle name="Percent 3 2 3 3 2 8" xfId="32326"/>
    <cellStyle name="Percent 3 2 3 3 3" xfId="32327"/>
    <cellStyle name="Percent 3 2 3 3 3 2" xfId="32328"/>
    <cellStyle name="Percent 3 2 3 3 3 2 2" xfId="32329"/>
    <cellStyle name="Percent 3 2 3 3 3 2 2 2" xfId="32330"/>
    <cellStyle name="Percent 3 2 3 3 3 2 2 3" xfId="32331"/>
    <cellStyle name="Percent 3 2 3 3 3 2 3" xfId="32332"/>
    <cellStyle name="Percent 3 2 3 3 3 2 3 2" xfId="32333"/>
    <cellStyle name="Percent 3 2 3 3 3 2 4" xfId="32334"/>
    <cellStyle name="Percent 3 2 3 3 3 3" xfId="32335"/>
    <cellStyle name="Percent 3 2 3 3 3 3 2" xfId="32336"/>
    <cellStyle name="Percent 3 2 3 3 3 3 2 2" xfId="32337"/>
    <cellStyle name="Percent 3 2 3 3 3 3 3" xfId="32338"/>
    <cellStyle name="Percent 3 2 3 3 3 4" xfId="32339"/>
    <cellStyle name="Percent 3 2 3 3 3 4 2" xfId="32340"/>
    <cellStyle name="Percent 3 2 3 3 3 4 3" xfId="32341"/>
    <cellStyle name="Percent 3 2 3 3 3 5" xfId="32342"/>
    <cellStyle name="Percent 3 2 3 3 3 5 2" xfId="32343"/>
    <cellStyle name="Percent 3 2 3 3 3 6" xfId="32344"/>
    <cellStyle name="Percent 3 2 3 3 3 6 2" xfId="37405"/>
    <cellStyle name="Percent 3 2 3 3 3 7" xfId="32345"/>
    <cellStyle name="Percent 3 2 3 3 4" xfId="32346"/>
    <cellStyle name="Percent 3 2 3 3 4 2" xfId="32347"/>
    <cellStyle name="Percent 3 2 3 3 4 2 2" xfId="32348"/>
    <cellStyle name="Percent 3 2 3 3 4 2 2 2" xfId="32349"/>
    <cellStyle name="Percent 3 2 3 3 4 2 3" xfId="32350"/>
    <cellStyle name="Percent 3 2 3 3 4 3" xfId="32351"/>
    <cellStyle name="Percent 3 2 3 3 4 3 2" xfId="32352"/>
    <cellStyle name="Percent 3 2 3 3 4 4" xfId="32353"/>
    <cellStyle name="Percent 3 2 3 3 5" xfId="32354"/>
    <cellStyle name="Percent 3 2 3 3 5 2" xfId="32355"/>
    <cellStyle name="Percent 3 2 3 3 5 2 2" xfId="32356"/>
    <cellStyle name="Percent 3 2 3 3 5 3" xfId="32357"/>
    <cellStyle name="Percent 3 2 3 3 6" xfId="32358"/>
    <cellStyle name="Percent 3 2 3 3 6 2" xfId="32359"/>
    <cellStyle name="Percent 3 2 3 3 6 2 2" xfId="32360"/>
    <cellStyle name="Percent 3 2 3 3 6 3" xfId="32361"/>
    <cellStyle name="Percent 3 2 3 3 7" xfId="32362"/>
    <cellStyle name="Percent 3 2 3 3 7 2" xfId="32363"/>
    <cellStyle name="Percent 3 2 3 3 8" xfId="32364"/>
    <cellStyle name="Percent 3 2 3 3 8 2" xfId="37406"/>
    <cellStyle name="Percent 3 2 3 3 9" xfId="32365"/>
    <cellStyle name="Percent 3 2 3 4" xfId="32366"/>
    <cellStyle name="Percent 3 2 3 4 2" xfId="32367"/>
    <cellStyle name="Percent 3 2 3 4 2 2" xfId="32368"/>
    <cellStyle name="Percent 3 2 3 4 2 2 2" xfId="32369"/>
    <cellStyle name="Percent 3 2 3 4 2 2 2 2" xfId="32370"/>
    <cellStyle name="Percent 3 2 3 4 2 2 2 2 2" xfId="32371"/>
    <cellStyle name="Percent 3 2 3 4 2 2 2 2 3" xfId="32372"/>
    <cellStyle name="Percent 3 2 3 4 2 2 2 3" xfId="32373"/>
    <cellStyle name="Percent 3 2 3 4 2 2 2 3 2" xfId="32374"/>
    <cellStyle name="Percent 3 2 3 4 2 2 2 4" xfId="32375"/>
    <cellStyle name="Percent 3 2 3 4 2 2 3" xfId="32376"/>
    <cellStyle name="Percent 3 2 3 4 2 2 3 2" xfId="32377"/>
    <cellStyle name="Percent 3 2 3 4 2 2 3 2 2" xfId="32378"/>
    <cellStyle name="Percent 3 2 3 4 2 2 3 3" xfId="32379"/>
    <cellStyle name="Percent 3 2 3 4 2 2 4" xfId="32380"/>
    <cellStyle name="Percent 3 2 3 4 2 2 4 2" xfId="32381"/>
    <cellStyle name="Percent 3 2 3 4 2 2 4 3" xfId="32382"/>
    <cellStyle name="Percent 3 2 3 4 2 2 5" xfId="32383"/>
    <cellStyle name="Percent 3 2 3 4 2 2 5 2" xfId="32384"/>
    <cellStyle name="Percent 3 2 3 4 2 2 6" xfId="32385"/>
    <cellStyle name="Percent 3 2 3 4 2 2 6 2" xfId="37407"/>
    <cellStyle name="Percent 3 2 3 4 2 2 7" xfId="32386"/>
    <cellStyle name="Percent 3 2 3 4 2 3" xfId="32387"/>
    <cellStyle name="Percent 3 2 3 4 2 3 2" xfId="32388"/>
    <cellStyle name="Percent 3 2 3 4 2 3 2 2" xfId="32389"/>
    <cellStyle name="Percent 3 2 3 4 2 3 2 2 2" xfId="32390"/>
    <cellStyle name="Percent 3 2 3 4 2 3 2 3" xfId="32391"/>
    <cellStyle name="Percent 3 2 3 4 2 3 3" xfId="32392"/>
    <cellStyle name="Percent 3 2 3 4 2 3 3 2" xfId="32393"/>
    <cellStyle name="Percent 3 2 3 4 2 3 4" xfId="32394"/>
    <cellStyle name="Percent 3 2 3 4 2 4" xfId="32395"/>
    <cellStyle name="Percent 3 2 3 4 2 4 2" xfId="32396"/>
    <cellStyle name="Percent 3 2 3 4 2 4 2 2" xfId="32397"/>
    <cellStyle name="Percent 3 2 3 4 2 4 3" xfId="32398"/>
    <cellStyle name="Percent 3 2 3 4 2 5" xfId="32399"/>
    <cellStyle name="Percent 3 2 3 4 2 5 2" xfId="32400"/>
    <cellStyle name="Percent 3 2 3 4 2 5 2 2" xfId="32401"/>
    <cellStyle name="Percent 3 2 3 4 2 5 3" xfId="32402"/>
    <cellStyle name="Percent 3 2 3 4 2 6" xfId="32403"/>
    <cellStyle name="Percent 3 2 3 4 2 6 2" xfId="32404"/>
    <cellStyle name="Percent 3 2 3 4 2 7" xfId="32405"/>
    <cellStyle name="Percent 3 2 3 4 2 7 2" xfId="37408"/>
    <cellStyle name="Percent 3 2 3 4 2 8" xfId="32406"/>
    <cellStyle name="Percent 3 2 3 4 3" xfId="32407"/>
    <cellStyle name="Percent 3 2 3 4 3 2" xfId="32408"/>
    <cellStyle name="Percent 3 2 3 4 3 2 2" xfId="32409"/>
    <cellStyle name="Percent 3 2 3 4 3 2 2 2" xfId="32410"/>
    <cellStyle name="Percent 3 2 3 4 3 2 2 3" xfId="32411"/>
    <cellStyle name="Percent 3 2 3 4 3 2 3" xfId="32412"/>
    <cellStyle name="Percent 3 2 3 4 3 2 3 2" xfId="32413"/>
    <cellStyle name="Percent 3 2 3 4 3 2 4" xfId="32414"/>
    <cellStyle name="Percent 3 2 3 4 3 3" xfId="32415"/>
    <cellStyle name="Percent 3 2 3 4 3 3 2" xfId="32416"/>
    <cellStyle name="Percent 3 2 3 4 3 3 2 2" xfId="32417"/>
    <cellStyle name="Percent 3 2 3 4 3 3 3" xfId="32418"/>
    <cellStyle name="Percent 3 2 3 4 3 4" xfId="32419"/>
    <cellStyle name="Percent 3 2 3 4 3 4 2" xfId="32420"/>
    <cellStyle name="Percent 3 2 3 4 3 4 3" xfId="32421"/>
    <cellStyle name="Percent 3 2 3 4 3 5" xfId="32422"/>
    <cellStyle name="Percent 3 2 3 4 3 5 2" xfId="32423"/>
    <cellStyle name="Percent 3 2 3 4 3 6" xfId="32424"/>
    <cellStyle name="Percent 3 2 3 4 3 6 2" xfId="37409"/>
    <cellStyle name="Percent 3 2 3 4 3 7" xfId="32425"/>
    <cellStyle name="Percent 3 2 3 4 4" xfId="32426"/>
    <cellStyle name="Percent 3 2 3 4 4 2" xfId="32427"/>
    <cellStyle name="Percent 3 2 3 4 4 2 2" xfId="32428"/>
    <cellStyle name="Percent 3 2 3 4 4 2 2 2" xfId="32429"/>
    <cellStyle name="Percent 3 2 3 4 4 2 3" xfId="32430"/>
    <cellStyle name="Percent 3 2 3 4 4 3" xfId="32431"/>
    <cellStyle name="Percent 3 2 3 4 4 3 2" xfId="32432"/>
    <cellStyle name="Percent 3 2 3 4 4 4" xfId="32433"/>
    <cellStyle name="Percent 3 2 3 4 5" xfId="32434"/>
    <cellStyle name="Percent 3 2 3 4 5 2" xfId="32435"/>
    <cellStyle name="Percent 3 2 3 4 5 2 2" xfId="32436"/>
    <cellStyle name="Percent 3 2 3 4 5 3" xfId="32437"/>
    <cellStyle name="Percent 3 2 3 4 6" xfId="32438"/>
    <cellStyle name="Percent 3 2 3 4 6 2" xfId="32439"/>
    <cellStyle name="Percent 3 2 3 4 6 2 2" xfId="32440"/>
    <cellStyle name="Percent 3 2 3 4 6 3" xfId="32441"/>
    <cellStyle name="Percent 3 2 3 4 7" xfId="32442"/>
    <cellStyle name="Percent 3 2 3 4 7 2" xfId="32443"/>
    <cellStyle name="Percent 3 2 3 4 8" xfId="32444"/>
    <cellStyle name="Percent 3 2 3 4 8 2" xfId="37410"/>
    <cellStyle name="Percent 3 2 3 4 9" xfId="32445"/>
    <cellStyle name="Percent 3 2 3 5" xfId="32446"/>
    <cellStyle name="Percent 3 2 3 5 2" xfId="32447"/>
    <cellStyle name="Percent 3 2 3 5 2 2" xfId="32448"/>
    <cellStyle name="Percent 3 2 3 5 2 2 2" xfId="32449"/>
    <cellStyle name="Percent 3 2 3 5 2 2 2 2" xfId="32450"/>
    <cellStyle name="Percent 3 2 3 5 2 2 2 3" xfId="32451"/>
    <cellStyle name="Percent 3 2 3 5 2 2 3" xfId="32452"/>
    <cellStyle name="Percent 3 2 3 5 2 2 3 2" xfId="32453"/>
    <cellStyle name="Percent 3 2 3 5 2 2 4" xfId="32454"/>
    <cellStyle name="Percent 3 2 3 5 2 3" xfId="32455"/>
    <cellStyle name="Percent 3 2 3 5 2 3 2" xfId="32456"/>
    <cellStyle name="Percent 3 2 3 5 2 3 2 2" xfId="32457"/>
    <cellStyle name="Percent 3 2 3 5 2 3 3" xfId="32458"/>
    <cellStyle name="Percent 3 2 3 5 2 4" xfId="32459"/>
    <cellStyle name="Percent 3 2 3 5 2 4 2" xfId="32460"/>
    <cellStyle name="Percent 3 2 3 5 2 4 3" xfId="32461"/>
    <cellStyle name="Percent 3 2 3 5 2 5" xfId="32462"/>
    <cellStyle name="Percent 3 2 3 5 2 5 2" xfId="32463"/>
    <cellStyle name="Percent 3 2 3 5 2 6" xfId="32464"/>
    <cellStyle name="Percent 3 2 3 5 2 6 2" xfId="37411"/>
    <cellStyle name="Percent 3 2 3 5 2 7" xfId="32465"/>
    <cellStyle name="Percent 3 2 3 5 3" xfId="32466"/>
    <cellStyle name="Percent 3 2 3 5 3 2" xfId="32467"/>
    <cellStyle name="Percent 3 2 3 5 3 2 2" xfId="32468"/>
    <cellStyle name="Percent 3 2 3 5 3 2 2 2" xfId="32469"/>
    <cellStyle name="Percent 3 2 3 5 3 2 3" xfId="32470"/>
    <cellStyle name="Percent 3 2 3 5 3 3" xfId="32471"/>
    <cellStyle name="Percent 3 2 3 5 3 3 2" xfId="32472"/>
    <cellStyle name="Percent 3 2 3 5 3 4" xfId="32473"/>
    <cellStyle name="Percent 3 2 3 5 4" xfId="32474"/>
    <cellStyle name="Percent 3 2 3 5 4 2" xfId="32475"/>
    <cellStyle name="Percent 3 2 3 5 4 2 2" xfId="32476"/>
    <cellStyle name="Percent 3 2 3 5 4 3" xfId="32477"/>
    <cellStyle name="Percent 3 2 3 5 5" xfId="32478"/>
    <cellStyle name="Percent 3 2 3 5 5 2" xfId="32479"/>
    <cellStyle name="Percent 3 2 3 5 5 2 2" xfId="32480"/>
    <cellStyle name="Percent 3 2 3 5 5 3" xfId="32481"/>
    <cellStyle name="Percent 3 2 3 5 6" xfId="32482"/>
    <cellStyle name="Percent 3 2 3 5 6 2" xfId="32483"/>
    <cellStyle name="Percent 3 2 3 5 7" xfId="32484"/>
    <cellStyle name="Percent 3 2 3 5 7 2" xfId="37412"/>
    <cellStyle name="Percent 3 2 3 5 8" xfId="32485"/>
    <cellStyle name="Percent 3 2 3 6" xfId="32486"/>
    <cellStyle name="Percent 3 2 3 6 2" xfId="32487"/>
    <cellStyle name="Percent 3 2 3 6 2 2" xfId="32488"/>
    <cellStyle name="Percent 3 2 3 6 2 2 2" xfId="32489"/>
    <cellStyle name="Percent 3 2 3 6 2 2 2 2" xfId="32490"/>
    <cellStyle name="Percent 3 2 3 6 2 2 2 3" xfId="32491"/>
    <cellStyle name="Percent 3 2 3 6 2 2 3" xfId="32492"/>
    <cellStyle name="Percent 3 2 3 6 2 2 3 2" xfId="32493"/>
    <cellStyle name="Percent 3 2 3 6 2 2 4" xfId="32494"/>
    <cellStyle name="Percent 3 2 3 6 2 3" xfId="32495"/>
    <cellStyle name="Percent 3 2 3 6 2 3 2" xfId="32496"/>
    <cellStyle name="Percent 3 2 3 6 2 3 2 2" xfId="32497"/>
    <cellStyle name="Percent 3 2 3 6 2 3 3" xfId="32498"/>
    <cellStyle name="Percent 3 2 3 6 2 4" xfId="32499"/>
    <cellStyle name="Percent 3 2 3 6 2 4 2" xfId="32500"/>
    <cellStyle name="Percent 3 2 3 6 2 4 3" xfId="32501"/>
    <cellStyle name="Percent 3 2 3 6 2 5" xfId="32502"/>
    <cellStyle name="Percent 3 2 3 6 2 5 2" xfId="32503"/>
    <cellStyle name="Percent 3 2 3 6 2 6" xfId="32504"/>
    <cellStyle name="Percent 3 2 3 6 2 6 2" xfId="37413"/>
    <cellStyle name="Percent 3 2 3 6 2 7" xfId="32505"/>
    <cellStyle name="Percent 3 2 3 6 3" xfId="32506"/>
    <cellStyle name="Percent 3 2 3 6 3 2" xfId="32507"/>
    <cellStyle name="Percent 3 2 3 6 3 2 2" xfId="32508"/>
    <cellStyle name="Percent 3 2 3 6 3 2 2 2" xfId="32509"/>
    <cellStyle name="Percent 3 2 3 6 3 2 3" xfId="32510"/>
    <cellStyle name="Percent 3 2 3 6 3 3" xfId="32511"/>
    <cellStyle name="Percent 3 2 3 6 3 3 2" xfId="32512"/>
    <cellStyle name="Percent 3 2 3 6 3 4" xfId="32513"/>
    <cellStyle name="Percent 3 2 3 6 4" xfId="32514"/>
    <cellStyle name="Percent 3 2 3 6 4 2" xfId="32515"/>
    <cellStyle name="Percent 3 2 3 6 4 2 2" xfId="32516"/>
    <cellStyle name="Percent 3 2 3 6 4 3" xfId="32517"/>
    <cellStyle name="Percent 3 2 3 6 5" xfId="32518"/>
    <cellStyle name="Percent 3 2 3 6 5 2" xfId="32519"/>
    <cellStyle name="Percent 3 2 3 6 5 2 2" xfId="32520"/>
    <cellStyle name="Percent 3 2 3 6 5 3" xfId="32521"/>
    <cellStyle name="Percent 3 2 3 6 6" xfId="32522"/>
    <cellStyle name="Percent 3 2 3 6 6 2" xfId="32523"/>
    <cellStyle name="Percent 3 2 3 6 7" xfId="32524"/>
    <cellStyle name="Percent 3 2 3 6 7 2" xfId="37414"/>
    <cellStyle name="Percent 3 2 3 6 8" xfId="32525"/>
    <cellStyle name="Percent 3 2 3 7" xfId="32526"/>
    <cellStyle name="Percent 3 2 3 7 2" xfId="32527"/>
    <cellStyle name="Percent 3 2 3 7 2 2" xfId="32528"/>
    <cellStyle name="Percent 3 2 3 7 2 2 2" xfId="32529"/>
    <cellStyle name="Percent 3 2 3 7 2 2 2 2" xfId="32530"/>
    <cellStyle name="Percent 3 2 3 7 2 2 2 3" xfId="32531"/>
    <cellStyle name="Percent 3 2 3 7 2 2 3" xfId="32532"/>
    <cellStyle name="Percent 3 2 3 7 2 2 3 2" xfId="32533"/>
    <cellStyle name="Percent 3 2 3 7 2 2 4" xfId="32534"/>
    <cellStyle name="Percent 3 2 3 7 2 3" xfId="32535"/>
    <cellStyle name="Percent 3 2 3 7 2 3 2" xfId="32536"/>
    <cellStyle name="Percent 3 2 3 7 2 3 2 2" xfId="32537"/>
    <cellStyle name="Percent 3 2 3 7 2 3 3" xfId="32538"/>
    <cellStyle name="Percent 3 2 3 7 2 4" xfId="32539"/>
    <cellStyle name="Percent 3 2 3 7 2 4 2" xfId="32540"/>
    <cellStyle name="Percent 3 2 3 7 2 4 3" xfId="32541"/>
    <cellStyle name="Percent 3 2 3 7 2 5" xfId="32542"/>
    <cellStyle name="Percent 3 2 3 7 2 5 2" xfId="32543"/>
    <cellStyle name="Percent 3 2 3 7 2 6" xfId="32544"/>
    <cellStyle name="Percent 3 2 3 7 2 6 2" xfId="37415"/>
    <cellStyle name="Percent 3 2 3 7 2 7" xfId="32545"/>
    <cellStyle name="Percent 3 2 3 7 3" xfId="32546"/>
    <cellStyle name="Percent 3 2 3 7 3 2" xfId="32547"/>
    <cellStyle name="Percent 3 2 3 7 3 2 2" xfId="32548"/>
    <cellStyle name="Percent 3 2 3 7 3 2 2 2" xfId="32549"/>
    <cellStyle name="Percent 3 2 3 7 3 2 3" xfId="32550"/>
    <cellStyle name="Percent 3 2 3 7 3 3" xfId="32551"/>
    <cellStyle name="Percent 3 2 3 7 3 3 2" xfId="32552"/>
    <cellStyle name="Percent 3 2 3 7 3 4" xfId="32553"/>
    <cellStyle name="Percent 3 2 3 7 4" xfId="32554"/>
    <cellStyle name="Percent 3 2 3 7 4 2" xfId="32555"/>
    <cellStyle name="Percent 3 2 3 7 4 2 2" xfId="32556"/>
    <cellStyle name="Percent 3 2 3 7 4 3" xfId="32557"/>
    <cellStyle name="Percent 3 2 3 7 5" xfId="32558"/>
    <cellStyle name="Percent 3 2 3 7 5 2" xfId="32559"/>
    <cellStyle name="Percent 3 2 3 7 5 2 2" xfId="32560"/>
    <cellStyle name="Percent 3 2 3 7 5 3" xfId="32561"/>
    <cellStyle name="Percent 3 2 3 7 6" xfId="32562"/>
    <cellStyle name="Percent 3 2 3 7 6 2" xfId="32563"/>
    <cellStyle name="Percent 3 2 3 7 7" xfId="32564"/>
    <cellStyle name="Percent 3 2 3 7 7 2" xfId="37416"/>
    <cellStyle name="Percent 3 2 3 7 8" xfId="32565"/>
    <cellStyle name="Percent 3 2 3 8" xfId="32566"/>
    <cellStyle name="Percent 3 2 3 8 2" xfId="32567"/>
    <cellStyle name="Percent 3 2 3 8 2 2" xfId="32568"/>
    <cellStyle name="Percent 3 2 3 8 2 2 2" xfId="32569"/>
    <cellStyle name="Percent 3 2 3 8 2 2 3" xfId="32570"/>
    <cellStyle name="Percent 3 2 3 8 2 3" xfId="32571"/>
    <cellStyle name="Percent 3 2 3 8 2 3 2" xfId="32572"/>
    <cellStyle name="Percent 3 2 3 8 2 4" xfId="32573"/>
    <cellStyle name="Percent 3 2 3 8 3" xfId="32574"/>
    <cellStyle name="Percent 3 2 3 8 3 2" xfId="32575"/>
    <cellStyle name="Percent 3 2 3 8 3 2 2" xfId="32576"/>
    <cellStyle name="Percent 3 2 3 8 3 3" xfId="32577"/>
    <cellStyle name="Percent 3 2 3 8 4" xfId="32578"/>
    <cellStyle name="Percent 3 2 3 8 4 2" xfId="32579"/>
    <cellStyle name="Percent 3 2 3 8 4 3" xfId="32580"/>
    <cellStyle name="Percent 3 2 3 8 5" xfId="32581"/>
    <cellStyle name="Percent 3 2 3 8 5 2" xfId="32582"/>
    <cellStyle name="Percent 3 2 3 8 6" xfId="32583"/>
    <cellStyle name="Percent 3 2 3 8 6 2" xfId="37417"/>
    <cellStyle name="Percent 3 2 3 8 7" xfId="32584"/>
    <cellStyle name="Percent 3 2 3 9" xfId="32585"/>
    <cellStyle name="Percent 3 2 3 9 2" xfId="32586"/>
    <cellStyle name="Percent 3 2 3 9 2 2" xfId="32587"/>
    <cellStyle name="Percent 3 2 3 9 2 2 2" xfId="32588"/>
    <cellStyle name="Percent 3 2 3 9 2 3" xfId="32589"/>
    <cellStyle name="Percent 3 2 3 9 3" xfId="32590"/>
    <cellStyle name="Percent 3 2 3 9 3 2" xfId="32591"/>
    <cellStyle name="Percent 3 2 3 9 4" xfId="32592"/>
    <cellStyle name="Percent 3 2 4" xfId="32593"/>
    <cellStyle name="Percent 3 2 4 10" xfId="32594"/>
    <cellStyle name="Percent 3 2 4 10 2" xfId="32595"/>
    <cellStyle name="Percent 3 2 4 11" xfId="32596"/>
    <cellStyle name="Percent 3 2 4 11 2" xfId="37418"/>
    <cellStyle name="Percent 3 2 4 12" xfId="32597"/>
    <cellStyle name="Percent 3 2 4 2" xfId="32598"/>
    <cellStyle name="Percent 3 2 4 2 10" xfId="32599"/>
    <cellStyle name="Percent 3 2 4 2 2" xfId="32600"/>
    <cellStyle name="Percent 3 2 4 2 2 2" xfId="32601"/>
    <cellStyle name="Percent 3 2 4 2 2 2 2" xfId="32602"/>
    <cellStyle name="Percent 3 2 4 2 2 2 2 2" xfId="32603"/>
    <cellStyle name="Percent 3 2 4 2 2 2 2 2 2" xfId="32604"/>
    <cellStyle name="Percent 3 2 4 2 2 2 2 2 2 2" xfId="32605"/>
    <cellStyle name="Percent 3 2 4 2 2 2 2 2 2 3" xfId="32606"/>
    <cellStyle name="Percent 3 2 4 2 2 2 2 2 3" xfId="32607"/>
    <cellStyle name="Percent 3 2 4 2 2 2 2 2 3 2" xfId="32608"/>
    <cellStyle name="Percent 3 2 4 2 2 2 2 2 4" xfId="32609"/>
    <cellStyle name="Percent 3 2 4 2 2 2 2 3" xfId="32610"/>
    <cellStyle name="Percent 3 2 4 2 2 2 2 3 2" xfId="32611"/>
    <cellStyle name="Percent 3 2 4 2 2 2 2 3 2 2" xfId="32612"/>
    <cellStyle name="Percent 3 2 4 2 2 2 2 3 3" xfId="32613"/>
    <cellStyle name="Percent 3 2 4 2 2 2 2 4" xfId="32614"/>
    <cellStyle name="Percent 3 2 4 2 2 2 2 4 2" xfId="32615"/>
    <cellStyle name="Percent 3 2 4 2 2 2 2 4 3" xfId="32616"/>
    <cellStyle name="Percent 3 2 4 2 2 2 2 5" xfId="32617"/>
    <cellStyle name="Percent 3 2 4 2 2 2 2 5 2" xfId="32618"/>
    <cellStyle name="Percent 3 2 4 2 2 2 2 6" xfId="32619"/>
    <cellStyle name="Percent 3 2 4 2 2 2 2 6 2" xfId="37419"/>
    <cellStyle name="Percent 3 2 4 2 2 2 2 7" xfId="32620"/>
    <cellStyle name="Percent 3 2 4 2 2 2 3" xfId="32621"/>
    <cellStyle name="Percent 3 2 4 2 2 2 3 2" xfId="32622"/>
    <cellStyle name="Percent 3 2 4 2 2 2 3 2 2" xfId="32623"/>
    <cellStyle name="Percent 3 2 4 2 2 2 3 2 2 2" xfId="32624"/>
    <cellStyle name="Percent 3 2 4 2 2 2 3 2 3" xfId="32625"/>
    <cellStyle name="Percent 3 2 4 2 2 2 3 3" xfId="32626"/>
    <cellStyle name="Percent 3 2 4 2 2 2 3 3 2" xfId="32627"/>
    <cellStyle name="Percent 3 2 4 2 2 2 3 4" xfId="32628"/>
    <cellStyle name="Percent 3 2 4 2 2 2 4" xfId="32629"/>
    <cellStyle name="Percent 3 2 4 2 2 2 4 2" xfId="32630"/>
    <cellStyle name="Percent 3 2 4 2 2 2 4 2 2" xfId="32631"/>
    <cellStyle name="Percent 3 2 4 2 2 2 4 3" xfId="32632"/>
    <cellStyle name="Percent 3 2 4 2 2 2 5" xfId="32633"/>
    <cellStyle name="Percent 3 2 4 2 2 2 5 2" xfId="32634"/>
    <cellStyle name="Percent 3 2 4 2 2 2 5 2 2" xfId="32635"/>
    <cellStyle name="Percent 3 2 4 2 2 2 5 3" xfId="32636"/>
    <cellStyle name="Percent 3 2 4 2 2 2 6" xfId="32637"/>
    <cellStyle name="Percent 3 2 4 2 2 2 6 2" xfId="32638"/>
    <cellStyle name="Percent 3 2 4 2 2 2 7" xfId="32639"/>
    <cellStyle name="Percent 3 2 4 2 2 2 7 2" xfId="37420"/>
    <cellStyle name="Percent 3 2 4 2 2 2 8" xfId="32640"/>
    <cellStyle name="Percent 3 2 4 2 2 3" xfId="32641"/>
    <cellStyle name="Percent 3 2 4 2 2 3 2" xfId="32642"/>
    <cellStyle name="Percent 3 2 4 2 2 3 2 2" xfId="32643"/>
    <cellStyle name="Percent 3 2 4 2 2 3 2 2 2" xfId="32644"/>
    <cellStyle name="Percent 3 2 4 2 2 3 2 2 3" xfId="32645"/>
    <cellStyle name="Percent 3 2 4 2 2 3 2 3" xfId="32646"/>
    <cellStyle name="Percent 3 2 4 2 2 3 2 3 2" xfId="32647"/>
    <cellStyle name="Percent 3 2 4 2 2 3 2 4" xfId="32648"/>
    <cellStyle name="Percent 3 2 4 2 2 3 3" xfId="32649"/>
    <cellStyle name="Percent 3 2 4 2 2 3 3 2" xfId="32650"/>
    <cellStyle name="Percent 3 2 4 2 2 3 3 2 2" xfId="32651"/>
    <cellStyle name="Percent 3 2 4 2 2 3 3 3" xfId="32652"/>
    <cellStyle name="Percent 3 2 4 2 2 3 4" xfId="32653"/>
    <cellStyle name="Percent 3 2 4 2 2 3 4 2" xfId="32654"/>
    <cellStyle name="Percent 3 2 4 2 2 3 4 3" xfId="32655"/>
    <cellStyle name="Percent 3 2 4 2 2 3 5" xfId="32656"/>
    <cellStyle name="Percent 3 2 4 2 2 3 5 2" xfId="32657"/>
    <cellStyle name="Percent 3 2 4 2 2 3 6" xfId="32658"/>
    <cellStyle name="Percent 3 2 4 2 2 3 6 2" xfId="37421"/>
    <cellStyle name="Percent 3 2 4 2 2 3 7" xfId="32659"/>
    <cellStyle name="Percent 3 2 4 2 2 4" xfId="32660"/>
    <cellStyle name="Percent 3 2 4 2 2 4 2" xfId="32661"/>
    <cellStyle name="Percent 3 2 4 2 2 4 2 2" xfId="32662"/>
    <cellStyle name="Percent 3 2 4 2 2 4 2 2 2" xfId="32663"/>
    <cellStyle name="Percent 3 2 4 2 2 4 2 3" xfId="32664"/>
    <cellStyle name="Percent 3 2 4 2 2 4 3" xfId="32665"/>
    <cellStyle name="Percent 3 2 4 2 2 4 3 2" xfId="32666"/>
    <cellStyle name="Percent 3 2 4 2 2 4 4" xfId="32667"/>
    <cellStyle name="Percent 3 2 4 2 2 5" xfId="32668"/>
    <cellStyle name="Percent 3 2 4 2 2 5 2" xfId="32669"/>
    <cellStyle name="Percent 3 2 4 2 2 5 2 2" xfId="32670"/>
    <cellStyle name="Percent 3 2 4 2 2 5 3" xfId="32671"/>
    <cellStyle name="Percent 3 2 4 2 2 6" xfId="32672"/>
    <cellStyle name="Percent 3 2 4 2 2 6 2" xfId="32673"/>
    <cellStyle name="Percent 3 2 4 2 2 6 2 2" xfId="32674"/>
    <cellStyle name="Percent 3 2 4 2 2 6 3" xfId="32675"/>
    <cellStyle name="Percent 3 2 4 2 2 7" xfId="32676"/>
    <cellStyle name="Percent 3 2 4 2 2 7 2" xfId="32677"/>
    <cellStyle name="Percent 3 2 4 2 2 8" xfId="32678"/>
    <cellStyle name="Percent 3 2 4 2 2 8 2" xfId="37422"/>
    <cellStyle name="Percent 3 2 4 2 2 9" xfId="32679"/>
    <cellStyle name="Percent 3 2 4 2 3" xfId="32680"/>
    <cellStyle name="Percent 3 2 4 2 3 2" xfId="32681"/>
    <cellStyle name="Percent 3 2 4 2 3 2 2" xfId="32682"/>
    <cellStyle name="Percent 3 2 4 2 3 2 2 2" xfId="32683"/>
    <cellStyle name="Percent 3 2 4 2 3 2 2 2 2" xfId="32684"/>
    <cellStyle name="Percent 3 2 4 2 3 2 2 2 3" xfId="32685"/>
    <cellStyle name="Percent 3 2 4 2 3 2 2 3" xfId="32686"/>
    <cellStyle name="Percent 3 2 4 2 3 2 2 3 2" xfId="32687"/>
    <cellStyle name="Percent 3 2 4 2 3 2 2 4" xfId="32688"/>
    <cellStyle name="Percent 3 2 4 2 3 2 3" xfId="32689"/>
    <cellStyle name="Percent 3 2 4 2 3 2 3 2" xfId="32690"/>
    <cellStyle name="Percent 3 2 4 2 3 2 3 2 2" xfId="32691"/>
    <cellStyle name="Percent 3 2 4 2 3 2 3 3" xfId="32692"/>
    <cellStyle name="Percent 3 2 4 2 3 2 4" xfId="32693"/>
    <cellStyle name="Percent 3 2 4 2 3 2 4 2" xfId="32694"/>
    <cellStyle name="Percent 3 2 4 2 3 2 4 3" xfId="32695"/>
    <cellStyle name="Percent 3 2 4 2 3 2 5" xfId="32696"/>
    <cellStyle name="Percent 3 2 4 2 3 2 5 2" xfId="32697"/>
    <cellStyle name="Percent 3 2 4 2 3 2 6" xfId="32698"/>
    <cellStyle name="Percent 3 2 4 2 3 2 6 2" xfId="37423"/>
    <cellStyle name="Percent 3 2 4 2 3 2 7" xfId="32699"/>
    <cellStyle name="Percent 3 2 4 2 3 3" xfId="32700"/>
    <cellStyle name="Percent 3 2 4 2 3 3 2" xfId="32701"/>
    <cellStyle name="Percent 3 2 4 2 3 3 2 2" xfId="32702"/>
    <cellStyle name="Percent 3 2 4 2 3 3 2 2 2" xfId="32703"/>
    <cellStyle name="Percent 3 2 4 2 3 3 2 3" xfId="32704"/>
    <cellStyle name="Percent 3 2 4 2 3 3 3" xfId="32705"/>
    <cellStyle name="Percent 3 2 4 2 3 3 3 2" xfId="32706"/>
    <cellStyle name="Percent 3 2 4 2 3 3 4" xfId="32707"/>
    <cellStyle name="Percent 3 2 4 2 3 4" xfId="32708"/>
    <cellStyle name="Percent 3 2 4 2 3 4 2" xfId="32709"/>
    <cellStyle name="Percent 3 2 4 2 3 4 2 2" xfId="32710"/>
    <cellStyle name="Percent 3 2 4 2 3 4 3" xfId="32711"/>
    <cellStyle name="Percent 3 2 4 2 3 5" xfId="32712"/>
    <cellStyle name="Percent 3 2 4 2 3 5 2" xfId="32713"/>
    <cellStyle name="Percent 3 2 4 2 3 5 2 2" xfId="32714"/>
    <cellStyle name="Percent 3 2 4 2 3 5 3" xfId="32715"/>
    <cellStyle name="Percent 3 2 4 2 3 6" xfId="32716"/>
    <cellStyle name="Percent 3 2 4 2 3 6 2" xfId="32717"/>
    <cellStyle name="Percent 3 2 4 2 3 7" xfId="32718"/>
    <cellStyle name="Percent 3 2 4 2 3 7 2" xfId="37424"/>
    <cellStyle name="Percent 3 2 4 2 3 8" xfId="32719"/>
    <cellStyle name="Percent 3 2 4 2 4" xfId="32720"/>
    <cellStyle name="Percent 3 2 4 2 4 2" xfId="32721"/>
    <cellStyle name="Percent 3 2 4 2 4 2 2" xfId="32722"/>
    <cellStyle name="Percent 3 2 4 2 4 2 2 2" xfId="32723"/>
    <cellStyle name="Percent 3 2 4 2 4 2 2 3" xfId="32724"/>
    <cellStyle name="Percent 3 2 4 2 4 2 3" xfId="32725"/>
    <cellStyle name="Percent 3 2 4 2 4 2 3 2" xfId="32726"/>
    <cellStyle name="Percent 3 2 4 2 4 2 4" xfId="32727"/>
    <cellStyle name="Percent 3 2 4 2 4 3" xfId="32728"/>
    <cellStyle name="Percent 3 2 4 2 4 3 2" xfId="32729"/>
    <cellStyle name="Percent 3 2 4 2 4 3 2 2" xfId="32730"/>
    <cellStyle name="Percent 3 2 4 2 4 3 3" xfId="32731"/>
    <cellStyle name="Percent 3 2 4 2 4 4" xfId="32732"/>
    <cellStyle name="Percent 3 2 4 2 4 4 2" xfId="32733"/>
    <cellStyle name="Percent 3 2 4 2 4 4 3" xfId="32734"/>
    <cellStyle name="Percent 3 2 4 2 4 5" xfId="32735"/>
    <cellStyle name="Percent 3 2 4 2 4 5 2" xfId="32736"/>
    <cellStyle name="Percent 3 2 4 2 4 6" xfId="32737"/>
    <cellStyle name="Percent 3 2 4 2 4 6 2" xfId="37425"/>
    <cellStyle name="Percent 3 2 4 2 4 7" xfId="32738"/>
    <cellStyle name="Percent 3 2 4 2 5" xfId="32739"/>
    <cellStyle name="Percent 3 2 4 2 5 2" xfId="32740"/>
    <cellStyle name="Percent 3 2 4 2 5 2 2" xfId="32741"/>
    <cellStyle name="Percent 3 2 4 2 5 2 2 2" xfId="32742"/>
    <cellStyle name="Percent 3 2 4 2 5 2 3" xfId="32743"/>
    <cellStyle name="Percent 3 2 4 2 5 3" xfId="32744"/>
    <cellStyle name="Percent 3 2 4 2 5 3 2" xfId="32745"/>
    <cellStyle name="Percent 3 2 4 2 5 4" xfId="32746"/>
    <cellStyle name="Percent 3 2 4 2 6" xfId="32747"/>
    <cellStyle name="Percent 3 2 4 2 6 2" xfId="32748"/>
    <cellStyle name="Percent 3 2 4 2 6 2 2" xfId="32749"/>
    <cellStyle name="Percent 3 2 4 2 6 3" xfId="32750"/>
    <cellStyle name="Percent 3 2 4 2 7" xfId="32751"/>
    <cellStyle name="Percent 3 2 4 2 7 2" xfId="32752"/>
    <cellStyle name="Percent 3 2 4 2 7 2 2" xfId="32753"/>
    <cellStyle name="Percent 3 2 4 2 7 3" xfId="32754"/>
    <cellStyle name="Percent 3 2 4 2 8" xfId="32755"/>
    <cellStyle name="Percent 3 2 4 2 8 2" xfId="32756"/>
    <cellStyle name="Percent 3 2 4 2 9" xfId="32757"/>
    <cellStyle name="Percent 3 2 4 2 9 2" xfId="37426"/>
    <cellStyle name="Percent 3 2 4 3" xfId="32758"/>
    <cellStyle name="Percent 3 2 4 3 2" xfId="32759"/>
    <cellStyle name="Percent 3 2 4 3 2 2" xfId="32760"/>
    <cellStyle name="Percent 3 2 4 3 2 2 2" xfId="32761"/>
    <cellStyle name="Percent 3 2 4 3 2 2 2 2" xfId="32762"/>
    <cellStyle name="Percent 3 2 4 3 2 2 2 2 2" xfId="32763"/>
    <cellStyle name="Percent 3 2 4 3 2 2 2 2 3" xfId="32764"/>
    <cellStyle name="Percent 3 2 4 3 2 2 2 3" xfId="32765"/>
    <cellStyle name="Percent 3 2 4 3 2 2 2 3 2" xfId="32766"/>
    <cellStyle name="Percent 3 2 4 3 2 2 2 4" xfId="32767"/>
    <cellStyle name="Percent 3 2 4 3 2 2 3" xfId="32768"/>
    <cellStyle name="Percent 3 2 4 3 2 2 3 2" xfId="32769"/>
    <cellStyle name="Percent 3 2 4 3 2 2 3 2 2" xfId="32770"/>
    <cellStyle name="Percent 3 2 4 3 2 2 3 3" xfId="32771"/>
    <cellStyle name="Percent 3 2 4 3 2 2 4" xfId="32772"/>
    <cellStyle name="Percent 3 2 4 3 2 2 4 2" xfId="32773"/>
    <cellStyle name="Percent 3 2 4 3 2 2 4 3" xfId="32774"/>
    <cellStyle name="Percent 3 2 4 3 2 2 5" xfId="32775"/>
    <cellStyle name="Percent 3 2 4 3 2 2 5 2" xfId="32776"/>
    <cellStyle name="Percent 3 2 4 3 2 2 6" xfId="32777"/>
    <cellStyle name="Percent 3 2 4 3 2 2 6 2" xfId="37427"/>
    <cellStyle name="Percent 3 2 4 3 2 2 7" xfId="32778"/>
    <cellStyle name="Percent 3 2 4 3 2 3" xfId="32779"/>
    <cellStyle name="Percent 3 2 4 3 2 3 2" xfId="32780"/>
    <cellStyle name="Percent 3 2 4 3 2 3 2 2" xfId="32781"/>
    <cellStyle name="Percent 3 2 4 3 2 3 2 2 2" xfId="32782"/>
    <cellStyle name="Percent 3 2 4 3 2 3 2 3" xfId="32783"/>
    <cellStyle name="Percent 3 2 4 3 2 3 3" xfId="32784"/>
    <cellStyle name="Percent 3 2 4 3 2 3 3 2" xfId="32785"/>
    <cellStyle name="Percent 3 2 4 3 2 3 4" xfId="32786"/>
    <cellStyle name="Percent 3 2 4 3 2 4" xfId="32787"/>
    <cellStyle name="Percent 3 2 4 3 2 4 2" xfId="32788"/>
    <cellStyle name="Percent 3 2 4 3 2 4 2 2" xfId="32789"/>
    <cellStyle name="Percent 3 2 4 3 2 4 3" xfId="32790"/>
    <cellStyle name="Percent 3 2 4 3 2 5" xfId="32791"/>
    <cellStyle name="Percent 3 2 4 3 2 5 2" xfId="32792"/>
    <cellStyle name="Percent 3 2 4 3 2 5 2 2" xfId="32793"/>
    <cellStyle name="Percent 3 2 4 3 2 5 3" xfId="32794"/>
    <cellStyle name="Percent 3 2 4 3 2 6" xfId="32795"/>
    <cellStyle name="Percent 3 2 4 3 2 6 2" xfId="32796"/>
    <cellStyle name="Percent 3 2 4 3 2 7" xfId="32797"/>
    <cellStyle name="Percent 3 2 4 3 2 7 2" xfId="37428"/>
    <cellStyle name="Percent 3 2 4 3 2 8" xfId="32798"/>
    <cellStyle name="Percent 3 2 4 3 3" xfId="32799"/>
    <cellStyle name="Percent 3 2 4 3 3 2" xfId="32800"/>
    <cellStyle name="Percent 3 2 4 3 3 2 2" xfId="32801"/>
    <cellStyle name="Percent 3 2 4 3 3 2 2 2" xfId="32802"/>
    <cellStyle name="Percent 3 2 4 3 3 2 2 3" xfId="32803"/>
    <cellStyle name="Percent 3 2 4 3 3 2 3" xfId="32804"/>
    <cellStyle name="Percent 3 2 4 3 3 2 3 2" xfId="32805"/>
    <cellStyle name="Percent 3 2 4 3 3 2 4" xfId="32806"/>
    <cellStyle name="Percent 3 2 4 3 3 3" xfId="32807"/>
    <cellStyle name="Percent 3 2 4 3 3 3 2" xfId="32808"/>
    <cellStyle name="Percent 3 2 4 3 3 3 2 2" xfId="32809"/>
    <cellStyle name="Percent 3 2 4 3 3 3 3" xfId="32810"/>
    <cellStyle name="Percent 3 2 4 3 3 4" xfId="32811"/>
    <cellStyle name="Percent 3 2 4 3 3 4 2" xfId="32812"/>
    <cellStyle name="Percent 3 2 4 3 3 4 3" xfId="32813"/>
    <cellStyle name="Percent 3 2 4 3 3 5" xfId="32814"/>
    <cellStyle name="Percent 3 2 4 3 3 5 2" xfId="32815"/>
    <cellStyle name="Percent 3 2 4 3 3 6" xfId="32816"/>
    <cellStyle name="Percent 3 2 4 3 3 6 2" xfId="37429"/>
    <cellStyle name="Percent 3 2 4 3 3 7" xfId="32817"/>
    <cellStyle name="Percent 3 2 4 3 4" xfId="32818"/>
    <cellStyle name="Percent 3 2 4 3 4 2" xfId="32819"/>
    <cellStyle name="Percent 3 2 4 3 4 2 2" xfId="32820"/>
    <cellStyle name="Percent 3 2 4 3 4 2 2 2" xfId="32821"/>
    <cellStyle name="Percent 3 2 4 3 4 2 3" xfId="32822"/>
    <cellStyle name="Percent 3 2 4 3 4 3" xfId="32823"/>
    <cellStyle name="Percent 3 2 4 3 4 3 2" xfId="32824"/>
    <cellStyle name="Percent 3 2 4 3 4 4" xfId="32825"/>
    <cellStyle name="Percent 3 2 4 3 5" xfId="32826"/>
    <cellStyle name="Percent 3 2 4 3 5 2" xfId="32827"/>
    <cellStyle name="Percent 3 2 4 3 5 2 2" xfId="32828"/>
    <cellStyle name="Percent 3 2 4 3 5 3" xfId="32829"/>
    <cellStyle name="Percent 3 2 4 3 6" xfId="32830"/>
    <cellStyle name="Percent 3 2 4 3 6 2" xfId="32831"/>
    <cellStyle name="Percent 3 2 4 3 6 2 2" xfId="32832"/>
    <cellStyle name="Percent 3 2 4 3 6 3" xfId="32833"/>
    <cellStyle name="Percent 3 2 4 3 7" xfId="32834"/>
    <cellStyle name="Percent 3 2 4 3 7 2" xfId="32835"/>
    <cellStyle name="Percent 3 2 4 3 8" xfId="32836"/>
    <cellStyle name="Percent 3 2 4 3 8 2" xfId="37430"/>
    <cellStyle name="Percent 3 2 4 3 9" xfId="32837"/>
    <cellStyle name="Percent 3 2 4 4" xfId="32838"/>
    <cellStyle name="Percent 3 2 4 4 2" xfId="32839"/>
    <cellStyle name="Percent 3 2 4 4 2 2" xfId="32840"/>
    <cellStyle name="Percent 3 2 4 4 2 2 2" xfId="32841"/>
    <cellStyle name="Percent 3 2 4 4 2 2 2 2" xfId="32842"/>
    <cellStyle name="Percent 3 2 4 4 2 2 2 3" xfId="32843"/>
    <cellStyle name="Percent 3 2 4 4 2 2 3" xfId="32844"/>
    <cellStyle name="Percent 3 2 4 4 2 2 3 2" xfId="32845"/>
    <cellStyle name="Percent 3 2 4 4 2 2 4" xfId="32846"/>
    <cellStyle name="Percent 3 2 4 4 2 3" xfId="32847"/>
    <cellStyle name="Percent 3 2 4 4 2 3 2" xfId="32848"/>
    <cellStyle name="Percent 3 2 4 4 2 3 2 2" xfId="32849"/>
    <cellStyle name="Percent 3 2 4 4 2 3 3" xfId="32850"/>
    <cellStyle name="Percent 3 2 4 4 2 4" xfId="32851"/>
    <cellStyle name="Percent 3 2 4 4 2 4 2" xfId="32852"/>
    <cellStyle name="Percent 3 2 4 4 2 4 3" xfId="32853"/>
    <cellStyle name="Percent 3 2 4 4 2 5" xfId="32854"/>
    <cellStyle name="Percent 3 2 4 4 2 5 2" xfId="32855"/>
    <cellStyle name="Percent 3 2 4 4 2 6" xfId="32856"/>
    <cellStyle name="Percent 3 2 4 4 2 6 2" xfId="37431"/>
    <cellStyle name="Percent 3 2 4 4 2 7" xfId="32857"/>
    <cellStyle name="Percent 3 2 4 4 3" xfId="32858"/>
    <cellStyle name="Percent 3 2 4 4 3 2" xfId="32859"/>
    <cellStyle name="Percent 3 2 4 4 3 2 2" xfId="32860"/>
    <cellStyle name="Percent 3 2 4 4 3 2 2 2" xfId="32861"/>
    <cellStyle name="Percent 3 2 4 4 3 2 3" xfId="32862"/>
    <cellStyle name="Percent 3 2 4 4 3 3" xfId="32863"/>
    <cellStyle name="Percent 3 2 4 4 3 3 2" xfId="32864"/>
    <cellStyle name="Percent 3 2 4 4 3 4" xfId="32865"/>
    <cellStyle name="Percent 3 2 4 4 4" xfId="32866"/>
    <cellStyle name="Percent 3 2 4 4 4 2" xfId="32867"/>
    <cellStyle name="Percent 3 2 4 4 4 2 2" xfId="32868"/>
    <cellStyle name="Percent 3 2 4 4 4 3" xfId="32869"/>
    <cellStyle name="Percent 3 2 4 4 5" xfId="32870"/>
    <cellStyle name="Percent 3 2 4 4 5 2" xfId="32871"/>
    <cellStyle name="Percent 3 2 4 4 5 2 2" xfId="32872"/>
    <cellStyle name="Percent 3 2 4 4 5 3" xfId="32873"/>
    <cellStyle name="Percent 3 2 4 4 6" xfId="32874"/>
    <cellStyle name="Percent 3 2 4 4 6 2" xfId="32875"/>
    <cellStyle name="Percent 3 2 4 4 7" xfId="32876"/>
    <cellStyle name="Percent 3 2 4 4 7 2" xfId="37432"/>
    <cellStyle name="Percent 3 2 4 4 8" xfId="32877"/>
    <cellStyle name="Percent 3 2 4 5" xfId="32878"/>
    <cellStyle name="Percent 3 2 4 5 2" xfId="32879"/>
    <cellStyle name="Percent 3 2 4 5 2 2" xfId="32880"/>
    <cellStyle name="Percent 3 2 4 5 2 2 2" xfId="32881"/>
    <cellStyle name="Percent 3 2 4 5 2 2 2 2" xfId="32882"/>
    <cellStyle name="Percent 3 2 4 5 2 2 2 3" xfId="32883"/>
    <cellStyle name="Percent 3 2 4 5 2 2 3" xfId="32884"/>
    <cellStyle name="Percent 3 2 4 5 2 2 3 2" xfId="32885"/>
    <cellStyle name="Percent 3 2 4 5 2 2 4" xfId="32886"/>
    <cellStyle name="Percent 3 2 4 5 2 3" xfId="32887"/>
    <cellStyle name="Percent 3 2 4 5 2 3 2" xfId="32888"/>
    <cellStyle name="Percent 3 2 4 5 2 3 2 2" xfId="32889"/>
    <cellStyle name="Percent 3 2 4 5 2 3 3" xfId="32890"/>
    <cellStyle name="Percent 3 2 4 5 2 4" xfId="32891"/>
    <cellStyle name="Percent 3 2 4 5 2 4 2" xfId="32892"/>
    <cellStyle name="Percent 3 2 4 5 2 4 3" xfId="32893"/>
    <cellStyle name="Percent 3 2 4 5 2 5" xfId="32894"/>
    <cellStyle name="Percent 3 2 4 5 2 5 2" xfId="32895"/>
    <cellStyle name="Percent 3 2 4 5 2 6" xfId="32896"/>
    <cellStyle name="Percent 3 2 4 5 2 6 2" xfId="37433"/>
    <cellStyle name="Percent 3 2 4 5 2 7" xfId="32897"/>
    <cellStyle name="Percent 3 2 4 5 3" xfId="32898"/>
    <cellStyle name="Percent 3 2 4 5 3 2" xfId="32899"/>
    <cellStyle name="Percent 3 2 4 5 3 2 2" xfId="32900"/>
    <cellStyle name="Percent 3 2 4 5 3 2 2 2" xfId="32901"/>
    <cellStyle name="Percent 3 2 4 5 3 2 3" xfId="32902"/>
    <cellStyle name="Percent 3 2 4 5 3 3" xfId="32903"/>
    <cellStyle name="Percent 3 2 4 5 3 3 2" xfId="32904"/>
    <cellStyle name="Percent 3 2 4 5 3 4" xfId="32905"/>
    <cellStyle name="Percent 3 2 4 5 4" xfId="32906"/>
    <cellStyle name="Percent 3 2 4 5 4 2" xfId="32907"/>
    <cellStyle name="Percent 3 2 4 5 4 2 2" xfId="32908"/>
    <cellStyle name="Percent 3 2 4 5 4 3" xfId="32909"/>
    <cellStyle name="Percent 3 2 4 5 5" xfId="32910"/>
    <cellStyle name="Percent 3 2 4 5 5 2" xfId="32911"/>
    <cellStyle name="Percent 3 2 4 5 5 2 2" xfId="32912"/>
    <cellStyle name="Percent 3 2 4 5 5 3" xfId="32913"/>
    <cellStyle name="Percent 3 2 4 5 6" xfId="32914"/>
    <cellStyle name="Percent 3 2 4 5 6 2" xfId="32915"/>
    <cellStyle name="Percent 3 2 4 5 7" xfId="32916"/>
    <cellStyle name="Percent 3 2 4 5 7 2" xfId="37434"/>
    <cellStyle name="Percent 3 2 4 5 8" xfId="32917"/>
    <cellStyle name="Percent 3 2 4 6" xfId="32918"/>
    <cellStyle name="Percent 3 2 4 6 2" xfId="32919"/>
    <cellStyle name="Percent 3 2 4 6 2 2" xfId="32920"/>
    <cellStyle name="Percent 3 2 4 6 2 2 2" xfId="32921"/>
    <cellStyle name="Percent 3 2 4 6 2 2 3" xfId="32922"/>
    <cellStyle name="Percent 3 2 4 6 2 3" xfId="32923"/>
    <cellStyle name="Percent 3 2 4 6 2 3 2" xfId="32924"/>
    <cellStyle name="Percent 3 2 4 6 2 4" xfId="32925"/>
    <cellStyle name="Percent 3 2 4 6 3" xfId="32926"/>
    <cellStyle name="Percent 3 2 4 6 3 2" xfId="32927"/>
    <cellStyle name="Percent 3 2 4 6 3 2 2" xfId="32928"/>
    <cellStyle name="Percent 3 2 4 6 3 3" xfId="32929"/>
    <cellStyle name="Percent 3 2 4 6 4" xfId="32930"/>
    <cellStyle name="Percent 3 2 4 6 4 2" xfId="32931"/>
    <cellStyle name="Percent 3 2 4 6 4 3" xfId="32932"/>
    <cellStyle name="Percent 3 2 4 6 5" xfId="32933"/>
    <cellStyle name="Percent 3 2 4 6 5 2" xfId="32934"/>
    <cellStyle name="Percent 3 2 4 6 6" xfId="32935"/>
    <cellStyle name="Percent 3 2 4 6 6 2" xfId="37435"/>
    <cellStyle name="Percent 3 2 4 6 7" xfId="32936"/>
    <cellStyle name="Percent 3 2 4 7" xfId="32937"/>
    <cellStyle name="Percent 3 2 4 7 2" xfId="32938"/>
    <cellStyle name="Percent 3 2 4 7 2 2" xfId="32939"/>
    <cellStyle name="Percent 3 2 4 7 2 2 2" xfId="32940"/>
    <cellStyle name="Percent 3 2 4 7 2 3" xfId="32941"/>
    <cellStyle name="Percent 3 2 4 7 3" xfId="32942"/>
    <cellStyle name="Percent 3 2 4 7 3 2" xfId="32943"/>
    <cellStyle name="Percent 3 2 4 7 4" xfId="32944"/>
    <cellStyle name="Percent 3 2 4 8" xfId="32945"/>
    <cellStyle name="Percent 3 2 4 8 2" xfId="32946"/>
    <cellStyle name="Percent 3 2 4 8 2 2" xfId="32947"/>
    <cellStyle name="Percent 3 2 4 8 3" xfId="32948"/>
    <cellStyle name="Percent 3 2 4 9" xfId="32949"/>
    <cellStyle name="Percent 3 2 4 9 2" xfId="32950"/>
    <cellStyle name="Percent 3 2 4 9 2 2" xfId="32951"/>
    <cellStyle name="Percent 3 2 4 9 3" xfId="32952"/>
    <cellStyle name="Percent 3 2 5" xfId="32953"/>
    <cellStyle name="Percent 3 2 5 10" xfId="32954"/>
    <cellStyle name="Percent 3 2 5 10 2" xfId="32955"/>
    <cellStyle name="Percent 3 2 5 11" xfId="32956"/>
    <cellStyle name="Percent 3 2 5 11 2" xfId="37436"/>
    <cellStyle name="Percent 3 2 5 12" xfId="32957"/>
    <cellStyle name="Percent 3 2 5 2" xfId="32958"/>
    <cellStyle name="Percent 3 2 5 2 10" xfId="32959"/>
    <cellStyle name="Percent 3 2 5 2 2" xfId="32960"/>
    <cellStyle name="Percent 3 2 5 2 2 2" xfId="32961"/>
    <cellStyle name="Percent 3 2 5 2 2 2 2" xfId="32962"/>
    <cellStyle name="Percent 3 2 5 2 2 2 2 2" xfId="32963"/>
    <cellStyle name="Percent 3 2 5 2 2 2 2 2 2" xfId="32964"/>
    <cellStyle name="Percent 3 2 5 2 2 2 2 2 2 2" xfId="32965"/>
    <cellStyle name="Percent 3 2 5 2 2 2 2 2 2 3" xfId="32966"/>
    <cellStyle name="Percent 3 2 5 2 2 2 2 2 3" xfId="32967"/>
    <cellStyle name="Percent 3 2 5 2 2 2 2 2 3 2" xfId="32968"/>
    <cellStyle name="Percent 3 2 5 2 2 2 2 2 4" xfId="32969"/>
    <cellStyle name="Percent 3 2 5 2 2 2 2 3" xfId="32970"/>
    <cellStyle name="Percent 3 2 5 2 2 2 2 3 2" xfId="32971"/>
    <cellStyle name="Percent 3 2 5 2 2 2 2 3 2 2" xfId="32972"/>
    <cellStyle name="Percent 3 2 5 2 2 2 2 3 3" xfId="32973"/>
    <cellStyle name="Percent 3 2 5 2 2 2 2 4" xfId="32974"/>
    <cellStyle name="Percent 3 2 5 2 2 2 2 4 2" xfId="32975"/>
    <cellStyle name="Percent 3 2 5 2 2 2 2 4 3" xfId="32976"/>
    <cellStyle name="Percent 3 2 5 2 2 2 2 5" xfId="32977"/>
    <cellStyle name="Percent 3 2 5 2 2 2 2 5 2" xfId="32978"/>
    <cellStyle name="Percent 3 2 5 2 2 2 2 6" xfId="32979"/>
    <cellStyle name="Percent 3 2 5 2 2 2 2 6 2" xfId="37437"/>
    <cellStyle name="Percent 3 2 5 2 2 2 2 7" xfId="32980"/>
    <cellStyle name="Percent 3 2 5 2 2 2 3" xfId="32981"/>
    <cellStyle name="Percent 3 2 5 2 2 2 3 2" xfId="32982"/>
    <cellStyle name="Percent 3 2 5 2 2 2 3 2 2" xfId="32983"/>
    <cellStyle name="Percent 3 2 5 2 2 2 3 2 2 2" xfId="32984"/>
    <cellStyle name="Percent 3 2 5 2 2 2 3 2 3" xfId="32985"/>
    <cellStyle name="Percent 3 2 5 2 2 2 3 3" xfId="32986"/>
    <cellStyle name="Percent 3 2 5 2 2 2 3 3 2" xfId="32987"/>
    <cellStyle name="Percent 3 2 5 2 2 2 3 4" xfId="32988"/>
    <cellStyle name="Percent 3 2 5 2 2 2 4" xfId="32989"/>
    <cellStyle name="Percent 3 2 5 2 2 2 4 2" xfId="32990"/>
    <cellStyle name="Percent 3 2 5 2 2 2 4 2 2" xfId="32991"/>
    <cellStyle name="Percent 3 2 5 2 2 2 4 3" xfId="32992"/>
    <cellStyle name="Percent 3 2 5 2 2 2 5" xfId="32993"/>
    <cellStyle name="Percent 3 2 5 2 2 2 5 2" xfId="32994"/>
    <cellStyle name="Percent 3 2 5 2 2 2 5 2 2" xfId="32995"/>
    <cellStyle name="Percent 3 2 5 2 2 2 5 3" xfId="32996"/>
    <cellStyle name="Percent 3 2 5 2 2 2 6" xfId="32997"/>
    <cellStyle name="Percent 3 2 5 2 2 2 6 2" xfId="32998"/>
    <cellStyle name="Percent 3 2 5 2 2 2 7" xfId="32999"/>
    <cellStyle name="Percent 3 2 5 2 2 2 7 2" xfId="37438"/>
    <cellStyle name="Percent 3 2 5 2 2 2 8" xfId="33000"/>
    <cellStyle name="Percent 3 2 5 2 2 3" xfId="33001"/>
    <cellStyle name="Percent 3 2 5 2 2 3 2" xfId="33002"/>
    <cellStyle name="Percent 3 2 5 2 2 3 2 2" xfId="33003"/>
    <cellStyle name="Percent 3 2 5 2 2 3 2 2 2" xfId="33004"/>
    <cellStyle name="Percent 3 2 5 2 2 3 2 2 3" xfId="33005"/>
    <cellStyle name="Percent 3 2 5 2 2 3 2 3" xfId="33006"/>
    <cellStyle name="Percent 3 2 5 2 2 3 2 3 2" xfId="33007"/>
    <cellStyle name="Percent 3 2 5 2 2 3 2 4" xfId="33008"/>
    <cellStyle name="Percent 3 2 5 2 2 3 3" xfId="33009"/>
    <cellStyle name="Percent 3 2 5 2 2 3 3 2" xfId="33010"/>
    <cellStyle name="Percent 3 2 5 2 2 3 3 2 2" xfId="33011"/>
    <cellStyle name="Percent 3 2 5 2 2 3 3 3" xfId="33012"/>
    <cellStyle name="Percent 3 2 5 2 2 3 4" xfId="33013"/>
    <cellStyle name="Percent 3 2 5 2 2 3 4 2" xfId="33014"/>
    <cellStyle name="Percent 3 2 5 2 2 3 4 3" xfId="33015"/>
    <cellStyle name="Percent 3 2 5 2 2 3 5" xfId="33016"/>
    <cellStyle name="Percent 3 2 5 2 2 3 5 2" xfId="33017"/>
    <cellStyle name="Percent 3 2 5 2 2 3 6" xfId="33018"/>
    <cellStyle name="Percent 3 2 5 2 2 3 6 2" xfId="37439"/>
    <cellStyle name="Percent 3 2 5 2 2 3 7" xfId="33019"/>
    <cellStyle name="Percent 3 2 5 2 2 4" xfId="33020"/>
    <cellStyle name="Percent 3 2 5 2 2 4 2" xfId="33021"/>
    <cellStyle name="Percent 3 2 5 2 2 4 2 2" xfId="33022"/>
    <cellStyle name="Percent 3 2 5 2 2 4 2 2 2" xfId="33023"/>
    <cellStyle name="Percent 3 2 5 2 2 4 2 3" xfId="33024"/>
    <cellStyle name="Percent 3 2 5 2 2 4 3" xfId="33025"/>
    <cellStyle name="Percent 3 2 5 2 2 4 3 2" xfId="33026"/>
    <cellStyle name="Percent 3 2 5 2 2 4 4" xfId="33027"/>
    <cellStyle name="Percent 3 2 5 2 2 5" xfId="33028"/>
    <cellStyle name="Percent 3 2 5 2 2 5 2" xfId="33029"/>
    <cellStyle name="Percent 3 2 5 2 2 5 2 2" xfId="33030"/>
    <cellStyle name="Percent 3 2 5 2 2 5 3" xfId="33031"/>
    <cellStyle name="Percent 3 2 5 2 2 6" xfId="33032"/>
    <cellStyle name="Percent 3 2 5 2 2 6 2" xfId="33033"/>
    <cellStyle name="Percent 3 2 5 2 2 6 2 2" xfId="33034"/>
    <cellStyle name="Percent 3 2 5 2 2 6 3" xfId="33035"/>
    <cellStyle name="Percent 3 2 5 2 2 7" xfId="33036"/>
    <cellStyle name="Percent 3 2 5 2 2 7 2" xfId="33037"/>
    <cellStyle name="Percent 3 2 5 2 2 8" xfId="33038"/>
    <cellStyle name="Percent 3 2 5 2 2 8 2" xfId="37440"/>
    <cellStyle name="Percent 3 2 5 2 2 9" xfId="33039"/>
    <cellStyle name="Percent 3 2 5 2 3" xfId="33040"/>
    <cellStyle name="Percent 3 2 5 2 3 2" xfId="33041"/>
    <cellStyle name="Percent 3 2 5 2 3 2 2" xfId="33042"/>
    <cellStyle name="Percent 3 2 5 2 3 2 2 2" xfId="33043"/>
    <cellStyle name="Percent 3 2 5 2 3 2 2 2 2" xfId="33044"/>
    <cellStyle name="Percent 3 2 5 2 3 2 2 2 3" xfId="33045"/>
    <cellStyle name="Percent 3 2 5 2 3 2 2 3" xfId="33046"/>
    <cellStyle name="Percent 3 2 5 2 3 2 2 3 2" xfId="33047"/>
    <cellStyle name="Percent 3 2 5 2 3 2 2 4" xfId="33048"/>
    <cellStyle name="Percent 3 2 5 2 3 2 3" xfId="33049"/>
    <cellStyle name="Percent 3 2 5 2 3 2 3 2" xfId="33050"/>
    <cellStyle name="Percent 3 2 5 2 3 2 3 2 2" xfId="33051"/>
    <cellStyle name="Percent 3 2 5 2 3 2 3 3" xfId="33052"/>
    <cellStyle name="Percent 3 2 5 2 3 2 4" xfId="33053"/>
    <cellStyle name="Percent 3 2 5 2 3 2 4 2" xfId="33054"/>
    <cellStyle name="Percent 3 2 5 2 3 2 4 3" xfId="33055"/>
    <cellStyle name="Percent 3 2 5 2 3 2 5" xfId="33056"/>
    <cellStyle name="Percent 3 2 5 2 3 2 5 2" xfId="33057"/>
    <cellStyle name="Percent 3 2 5 2 3 2 6" xfId="33058"/>
    <cellStyle name="Percent 3 2 5 2 3 2 6 2" xfId="37441"/>
    <cellStyle name="Percent 3 2 5 2 3 2 7" xfId="33059"/>
    <cellStyle name="Percent 3 2 5 2 3 3" xfId="33060"/>
    <cellStyle name="Percent 3 2 5 2 3 3 2" xfId="33061"/>
    <cellStyle name="Percent 3 2 5 2 3 3 2 2" xfId="33062"/>
    <cellStyle name="Percent 3 2 5 2 3 3 2 2 2" xfId="33063"/>
    <cellStyle name="Percent 3 2 5 2 3 3 2 3" xfId="33064"/>
    <cellStyle name="Percent 3 2 5 2 3 3 3" xfId="33065"/>
    <cellStyle name="Percent 3 2 5 2 3 3 3 2" xfId="33066"/>
    <cellStyle name="Percent 3 2 5 2 3 3 4" xfId="33067"/>
    <cellStyle name="Percent 3 2 5 2 3 4" xfId="33068"/>
    <cellStyle name="Percent 3 2 5 2 3 4 2" xfId="33069"/>
    <cellStyle name="Percent 3 2 5 2 3 4 2 2" xfId="33070"/>
    <cellStyle name="Percent 3 2 5 2 3 4 3" xfId="33071"/>
    <cellStyle name="Percent 3 2 5 2 3 5" xfId="33072"/>
    <cellStyle name="Percent 3 2 5 2 3 5 2" xfId="33073"/>
    <cellStyle name="Percent 3 2 5 2 3 5 2 2" xfId="33074"/>
    <cellStyle name="Percent 3 2 5 2 3 5 3" xfId="33075"/>
    <cellStyle name="Percent 3 2 5 2 3 6" xfId="33076"/>
    <cellStyle name="Percent 3 2 5 2 3 6 2" xfId="33077"/>
    <cellStyle name="Percent 3 2 5 2 3 7" xfId="33078"/>
    <cellStyle name="Percent 3 2 5 2 3 7 2" xfId="37442"/>
    <cellStyle name="Percent 3 2 5 2 3 8" xfId="33079"/>
    <cellStyle name="Percent 3 2 5 2 4" xfId="33080"/>
    <cellStyle name="Percent 3 2 5 2 4 2" xfId="33081"/>
    <cellStyle name="Percent 3 2 5 2 4 2 2" xfId="33082"/>
    <cellStyle name="Percent 3 2 5 2 4 2 2 2" xfId="33083"/>
    <cellStyle name="Percent 3 2 5 2 4 2 2 3" xfId="33084"/>
    <cellStyle name="Percent 3 2 5 2 4 2 3" xfId="33085"/>
    <cellStyle name="Percent 3 2 5 2 4 2 3 2" xfId="33086"/>
    <cellStyle name="Percent 3 2 5 2 4 2 4" xfId="33087"/>
    <cellStyle name="Percent 3 2 5 2 4 3" xfId="33088"/>
    <cellStyle name="Percent 3 2 5 2 4 3 2" xfId="33089"/>
    <cellStyle name="Percent 3 2 5 2 4 3 2 2" xfId="33090"/>
    <cellStyle name="Percent 3 2 5 2 4 3 3" xfId="33091"/>
    <cellStyle name="Percent 3 2 5 2 4 4" xfId="33092"/>
    <cellStyle name="Percent 3 2 5 2 4 4 2" xfId="33093"/>
    <cellStyle name="Percent 3 2 5 2 4 4 3" xfId="33094"/>
    <cellStyle name="Percent 3 2 5 2 4 5" xfId="33095"/>
    <cellStyle name="Percent 3 2 5 2 4 5 2" xfId="33096"/>
    <cellStyle name="Percent 3 2 5 2 4 6" xfId="33097"/>
    <cellStyle name="Percent 3 2 5 2 4 6 2" xfId="37443"/>
    <cellStyle name="Percent 3 2 5 2 4 7" xfId="33098"/>
    <cellStyle name="Percent 3 2 5 2 5" xfId="33099"/>
    <cellStyle name="Percent 3 2 5 2 5 2" xfId="33100"/>
    <cellStyle name="Percent 3 2 5 2 5 2 2" xfId="33101"/>
    <cellStyle name="Percent 3 2 5 2 5 2 2 2" xfId="33102"/>
    <cellStyle name="Percent 3 2 5 2 5 2 3" xfId="33103"/>
    <cellStyle name="Percent 3 2 5 2 5 3" xfId="33104"/>
    <cellStyle name="Percent 3 2 5 2 5 3 2" xfId="33105"/>
    <cellStyle name="Percent 3 2 5 2 5 4" xfId="33106"/>
    <cellStyle name="Percent 3 2 5 2 6" xfId="33107"/>
    <cellStyle name="Percent 3 2 5 2 6 2" xfId="33108"/>
    <cellStyle name="Percent 3 2 5 2 6 2 2" xfId="33109"/>
    <cellStyle name="Percent 3 2 5 2 6 3" xfId="33110"/>
    <cellStyle name="Percent 3 2 5 2 7" xfId="33111"/>
    <cellStyle name="Percent 3 2 5 2 7 2" xfId="33112"/>
    <cellStyle name="Percent 3 2 5 2 7 2 2" xfId="33113"/>
    <cellStyle name="Percent 3 2 5 2 7 3" xfId="33114"/>
    <cellStyle name="Percent 3 2 5 2 8" xfId="33115"/>
    <cellStyle name="Percent 3 2 5 2 8 2" xfId="33116"/>
    <cellStyle name="Percent 3 2 5 2 9" xfId="33117"/>
    <cellStyle name="Percent 3 2 5 2 9 2" xfId="37444"/>
    <cellStyle name="Percent 3 2 5 3" xfId="33118"/>
    <cellStyle name="Percent 3 2 5 3 2" xfId="33119"/>
    <cellStyle name="Percent 3 2 5 3 2 2" xfId="33120"/>
    <cellStyle name="Percent 3 2 5 3 2 2 2" xfId="33121"/>
    <cellStyle name="Percent 3 2 5 3 2 2 2 2" xfId="33122"/>
    <cellStyle name="Percent 3 2 5 3 2 2 2 2 2" xfId="33123"/>
    <cellStyle name="Percent 3 2 5 3 2 2 2 2 3" xfId="33124"/>
    <cellStyle name="Percent 3 2 5 3 2 2 2 3" xfId="33125"/>
    <cellStyle name="Percent 3 2 5 3 2 2 2 3 2" xfId="33126"/>
    <cellStyle name="Percent 3 2 5 3 2 2 2 4" xfId="33127"/>
    <cellStyle name="Percent 3 2 5 3 2 2 3" xfId="33128"/>
    <cellStyle name="Percent 3 2 5 3 2 2 3 2" xfId="33129"/>
    <cellStyle name="Percent 3 2 5 3 2 2 3 2 2" xfId="33130"/>
    <cellStyle name="Percent 3 2 5 3 2 2 3 3" xfId="33131"/>
    <cellStyle name="Percent 3 2 5 3 2 2 4" xfId="33132"/>
    <cellStyle name="Percent 3 2 5 3 2 2 4 2" xfId="33133"/>
    <cellStyle name="Percent 3 2 5 3 2 2 4 3" xfId="33134"/>
    <cellStyle name="Percent 3 2 5 3 2 2 5" xfId="33135"/>
    <cellStyle name="Percent 3 2 5 3 2 2 5 2" xfId="33136"/>
    <cellStyle name="Percent 3 2 5 3 2 2 6" xfId="33137"/>
    <cellStyle name="Percent 3 2 5 3 2 2 6 2" xfId="37445"/>
    <cellStyle name="Percent 3 2 5 3 2 2 7" xfId="33138"/>
    <cellStyle name="Percent 3 2 5 3 2 3" xfId="33139"/>
    <cellStyle name="Percent 3 2 5 3 2 3 2" xfId="33140"/>
    <cellStyle name="Percent 3 2 5 3 2 3 2 2" xfId="33141"/>
    <cellStyle name="Percent 3 2 5 3 2 3 2 2 2" xfId="33142"/>
    <cellStyle name="Percent 3 2 5 3 2 3 2 3" xfId="33143"/>
    <cellStyle name="Percent 3 2 5 3 2 3 3" xfId="33144"/>
    <cellStyle name="Percent 3 2 5 3 2 3 3 2" xfId="33145"/>
    <cellStyle name="Percent 3 2 5 3 2 3 4" xfId="33146"/>
    <cellStyle name="Percent 3 2 5 3 2 4" xfId="33147"/>
    <cellStyle name="Percent 3 2 5 3 2 4 2" xfId="33148"/>
    <cellStyle name="Percent 3 2 5 3 2 4 2 2" xfId="33149"/>
    <cellStyle name="Percent 3 2 5 3 2 4 3" xfId="33150"/>
    <cellStyle name="Percent 3 2 5 3 2 5" xfId="33151"/>
    <cellStyle name="Percent 3 2 5 3 2 5 2" xfId="33152"/>
    <cellStyle name="Percent 3 2 5 3 2 5 2 2" xfId="33153"/>
    <cellStyle name="Percent 3 2 5 3 2 5 3" xfId="33154"/>
    <cellStyle name="Percent 3 2 5 3 2 6" xfId="33155"/>
    <cellStyle name="Percent 3 2 5 3 2 6 2" xfId="33156"/>
    <cellStyle name="Percent 3 2 5 3 2 7" xfId="33157"/>
    <cellStyle name="Percent 3 2 5 3 2 7 2" xfId="37446"/>
    <cellStyle name="Percent 3 2 5 3 2 8" xfId="33158"/>
    <cellStyle name="Percent 3 2 5 3 3" xfId="33159"/>
    <cellStyle name="Percent 3 2 5 3 3 2" xfId="33160"/>
    <cellStyle name="Percent 3 2 5 3 3 2 2" xfId="33161"/>
    <cellStyle name="Percent 3 2 5 3 3 2 2 2" xfId="33162"/>
    <cellStyle name="Percent 3 2 5 3 3 2 2 3" xfId="33163"/>
    <cellStyle name="Percent 3 2 5 3 3 2 3" xfId="33164"/>
    <cellStyle name="Percent 3 2 5 3 3 2 3 2" xfId="33165"/>
    <cellStyle name="Percent 3 2 5 3 3 2 4" xfId="33166"/>
    <cellStyle name="Percent 3 2 5 3 3 3" xfId="33167"/>
    <cellStyle name="Percent 3 2 5 3 3 3 2" xfId="33168"/>
    <cellStyle name="Percent 3 2 5 3 3 3 2 2" xfId="33169"/>
    <cellStyle name="Percent 3 2 5 3 3 3 3" xfId="33170"/>
    <cellStyle name="Percent 3 2 5 3 3 4" xfId="33171"/>
    <cellStyle name="Percent 3 2 5 3 3 4 2" xfId="33172"/>
    <cellStyle name="Percent 3 2 5 3 3 4 3" xfId="33173"/>
    <cellStyle name="Percent 3 2 5 3 3 5" xfId="33174"/>
    <cellStyle name="Percent 3 2 5 3 3 5 2" xfId="33175"/>
    <cellStyle name="Percent 3 2 5 3 3 6" xfId="33176"/>
    <cellStyle name="Percent 3 2 5 3 3 6 2" xfId="37447"/>
    <cellStyle name="Percent 3 2 5 3 3 7" xfId="33177"/>
    <cellStyle name="Percent 3 2 5 3 4" xfId="33178"/>
    <cellStyle name="Percent 3 2 5 3 4 2" xfId="33179"/>
    <cellStyle name="Percent 3 2 5 3 4 2 2" xfId="33180"/>
    <cellStyle name="Percent 3 2 5 3 4 2 2 2" xfId="33181"/>
    <cellStyle name="Percent 3 2 5 3 4 2 3" xfId="33182"/>
    <cellStyle name="Percent 3 2 5 3 4 3" xfId="33183"/>
    <cellStyle name="Percent 3 2 5 3 4 3 2" xfId="33184"/>
    <cellStyle name="Percent 3 2 5 3 4 4" xfId="33185"/>
    <cellStyle name="Percent 3 2 5 3 5" xfId="33186"/>
    <cellStyle name="Percent 3 2 5 3 5 2" xfId="33187"/>
    <cellStyle name="Percent 3 2 5 3 5 2 2" xfId="33188"/>
    <cellStyle name="Percent 3 2 5 3 5 3" xfId="33189"/>
    <cellStyle name="Percent 3 2 5 3 6" xfId="33190"/>
    <cellStyle name="Percent 3 2 5 3 6 2" xfId="33191"/>
    <cellStyle name="Percent 3 2 5 3 6 2 2" xfId="33192"/>
    <cellStyle name="Percent 3 2 5 3 6 3" xfId="33193"/>
    <cellStyle name="Percent 3 2 5 3 7" xfId="33194"/>
    <cellStyle name="Percent 3 2 5 3 7 2" xfId="33195"/>
    <cellStyle name="Percent 3 2 5 3 8" xfId="33196"/>
    <cellStyle name="Percent 3 2 5 3 8 2" xfId="37448"/>
    <cellStyle name="Percent 3 2 5 3 9" xfId="33197"/>
    <cellStyle name="Percent 3 2 5 4" xfId="33198"/>
    <cellStyle name="Percent 3 2 5 4 2" xfId="33199"/>
    <cellStyle name="Percent 3 2 5 4 2 2" xfId="33200"/>
    <cellStyle name="Percent 3 2 5 4 2 2 2" xfId="33201"/>
    <cellStyle name="Percent 3 2 5 4 2 2 2 2" xfId="33202"/>
    <cellStyle name="Percent 3 2 5 4 2 2 2 3" xfId="33203"/>
    <cellStyle name="Percent 3 2 5 4 2 2 3" xfId="33204"/>
    <cellStyle name="Percent 3 2 5 4 2 2 3 2" xfId="33205"/>
    <cellStyle name="Percent 3 2 5 4 2 2 4" xfId="33206"/>
    <cellStyle name="Percent 3 2 5 4 2 3" xfId="33207"/>
    <cellStyle name="Percent 3 2 5 4 2 3 2" xfId="33208"/>
    <cellStyle name="Percent 3 2 5 4 2 3 2 2" xfId="33209"/>
    <cellStyle name="Percent 3 2 5 4 2 3 3" xfId="33210"/>
    <cellStyle name="Percent 3 2 5 4 2 4" xfId="33211"/>
    <cellStyle name="Percent 3 2 5 4 2 4 2" xfId="33212"/>
    <cellStyle name="Percent 3 2 5 4 2 4 3" xfId="33213"/>
    <cellStyle name="Percent 3 2 5 4 2 5" xfId="33214"/>
    <cellStyle name="Percent 3 2 5 4 2 5 2" xfId="33215"/>
    <cellStyle name="Percent 3 2 5 4 2 6" xfId="33216"/>
    <cellStyle name="Percent 3 2 5 4 2 6 2" xfId="37449"/>
    <cellStyle name="Percent 3 2 5 4 2 7" xfId="33217"/>
    <cellStyle name="Percent 3 2 5 4 3" xfId="33218"/>
    <cellStyle name="Percent 3 2 5 4 3 2" xfId="33219"/>
    <cellStyle name="Percent 3 2 5 4 3 2 2" xfId="33220"/>
    <cellStyle name="Percent 3 2 5 4 3 2 2 2" xfId="33221"/>
    <cellStyle name="Percent 3 2 5 4 3 2 3" xfId="33222"/>
    <cellStyle name="Percent 3 2 5 4 3 3" xfId="33223"/>
    <cellStyle name="Percent 3 2 5 4 3 3 2" xfId="33224"/>
    <cellStyle name="Percent 3 2 5 4 3 4" xfId="33225"/>
    <cellStyle name="Percent 3 2 5 4 4" xfId="33226"/>
    <cellStyle name="Percent 3 2 5 4 4 2" xfId="33227"/>
    <cellStyle name="Percent 3 2 5 4 4 2 2" xfId="33228"/>
    <cellStyle name="Percent 3 2 5 4 4 3" xfId="33229"/>
    <cellStyle name="Percent 3 2 5 4 5" xfId="33230"/>
    <cellStyle name="Percent 3 2 5 4 5 2" xfId="33231"/>
    <cellStyle name="Percent 3 2 5 4 5 2 2" xfId="33232"/>
    <cellStyle name="Percent 3 2 5 4 5 3" xfId="33233"/>
    <cellStyle name="Percent 3 2 5 4 6" xfId="33234"/>
    <cellStyle name="Percent 3 2 5 4 6 2" xfId="33235"/>
    <cellStyle name="Percent 3 2 5 4 7" xfId="33236"/>
    <cellStyle name="Percent 3 2 5 4 7 2" xfId="37450"/>
    <cellStyle name="Percent 3 2 5 4 8" xfId="33237"/>
    <cellStyle name="Percent 3 2 5 5" xfId="33238"/>
    <cellStyle name="Percent 3 2 5 5 2" xfId="33239"/>
    <cellStyle name="Percent 3 2 5 5 2 2" xfId="33240"/>
    <cellStyle name="Percent 3 2 5 5 2 2 2" xfId="33241"/>
    <cellStyle name="Percent 3 2 5 5 2 2 2 2" xfId="33242"/>
    <cellStyle name="Percent 3 2 5 5 2 2 2 3" xfId="33243"/>
    <cellStyle name="Percent 3 2 5 5 2 2 3" xfId="33244"/>
    <cellStyle name="Percent 3 2 5 5 2 2 3 2" xfId="33245"/>
    <cellStyle name="Percent 3 2 5 5 2 2 4" xfId="33246"/>
    <cellStyle name="Percent 3 2 5 5 2 3" xfId="33247"/>
    <cellStyle name="Percent 3 2 5 5 2 3 2" xfId="33248"/>
    <cellStyle name="Percent 3 2 5 5 2 3 2 2" xfId="33249"/>
    <cellStyle name="Percent 3 2 5 5 2 3 3" xfId="33250"/>
    <cellStyle name="Percent 3 2 5 5 2 4" xfId="33251"/>
    <cellStyle name="Percent 3 2 5 5 2 4 2" xfId="33252"/>
    <cellStyle name="Percent 3 2 5 5 2 4 3" xfId="33253"/>
    <cellStyle name="Percent 3 2 5 5 2 5" xfId="33254"/>
    <cellStyle name="Percent 3 2 5 5 2 5 2" xfId="33255"/>
    <cellStyle name="Percent 3 2 5 5 2 6" xfId="33256"/>
    <cellStyle name="Percent 3 2 5 5 2 6 2" xfId="37451"/>
    <cellStyle name="Percent 3 2 5 5 2 7" xfId="33257"/>
    <cellStyle name="Percent 3 2 5 5 3" xfId="33258"/>
    <cellStyle name="Percent 3 2 5 5 3 2" xfId="33259"/>
    <cellStyle name="Percent 3 2 5 5 3 2 2" xfId="33260"/>
    <cellStyle name="Percent 3 2 5 5 3 2 2 2" xfId="33261"/>
    <cellStyle name="Percent 3 2 5 5 3 2 3" xfId="33262"/>
    <cellStyle name="Percent 3 2 5 5 3 3" xfId="33263"/>
    <cellStyle name="Percent 3 2 5 5 3 3 2" xfId="33264"/>
    <cellStyle name="Percent 3 2 5 5 3 4" xfId="33265"/>
    <cellStyle name="Percent 3 2 5 5 4" xfId="33266"/>
    <cellStyle name="Percent 3 2 5 5 4 2" xfId="33267"/>
    <cellStyle name="Percent 3 2 5 5 4 2 2" xfId="33268"/>
    <cellStyle name="Percent 3 2 5 5 4 3" xfId="33269"/>
    <cellStyle name="Percent 3 2 5 5 5" xfId="33270"/>
    <cellStyle name="Percent 3 2 5 5 5 2" xfId="33271"/>
    <cellStyle name="Percent 3 2 5 5 5 2 2" xfId="33272"/>
    <cellStyle name="Percent 3 2 5 5 5 3" xfId="33273"/>
    <cellStyle name="Percent 3 2 5 5 6" xfId="33274"/>
    <cellStyle name="Percent 3 2 5 5 6 2" xfId="33275"/>
    <cellStyle name="Percent 3 2 5 5 7" xfId="33276"/>
    <cellStyle name="Percent 3 2 5 5 7 2" xfId="37452"/>
    <cellStyle name="Percent 3 2 5 5 8" xfId="33277"/>
    <cellStyle name="Percent 3 2 5 6" xfId="33278"/>
    <cellStyle name="Percent 3 2 5 6 2" xfId="33279"/>
    <cellStyle name="Percent 3 2 5 6 2 2" xfId="33280"/>
    <cellStyle name="Percent 3 2 5 6 2 2 2" xfId="33281"/>
    <cellStyle name="Percent 3 2 5 6 2 2 3" xfId="33282"/>
    <cellStyle name="Percent 3 2 5 6 2 3" xfId="33283"/>
    <cellStyle name="Percent 3 2 5 6 2 3 2" xfId="33284"/>
    <cellStyle name="Percent 3 2 5 6 2 4" xfId="33285"/>
    <cellStyle name="Percent 3 2 5 6 3" xfId="33286"/>
    <cellStyle name="Percent 3 2 5 6 3 2" xfId="33287"/>
    <cellStyle name="Percent 3 2 5 6 3 2 2" xfId="33288"/>
    <cellStyle name="Percent 3 2 5 6 3 3" xfId="33289"/>
    <cellStyle name="Percent 3 2 5 6 4" xfId="33290"/>
    <cellStyle name="Percent 3 2 5 6 4 2" xfId="33291"/>
    <cellStyle name="Percent 3 2 5 6 4 3" xfId="33292"/>
    <cellStyle name="Percent 3 2 5 6 5" xfId="33293"/>
    <cellStyle name="Percent 3 2 5 6 5 2" xfId="33294"/>
    <cellStyle name="Percent 3 2 5 6 6" xfId="33295"/>
    <cellStyle name="Percent 3 2 5 6 6 2" xfId="37453"/>
    <cellStyle name="Percent 3 2 5 6 7" xfId="33296"/>
    <cellStyle name="Percent 3 2 5 7" xfId="33297"/>
    <cellStyle name="Percent 3 2 5 7 2" xfId="33298"/>
    <cellStyle name="Percent 3 2 5 7 2 2" xfId="33299"/>
    <cellStyle name="Percent 3 2 5 7 2 2 2" xfId="33300"/>
    <cellStyle name="Percent 3 2 5 7 2 3" xfId="33301"/>
    <cellStyle name="Percent 3 2 5 7 3" xfId="33302"/>
    <cellStyle name="Percent 3 2 5 7 3 2" xfId="33303"/>
    <cellStyle name="Percent 3 2 5 7 4" xfId="33304"/>
    <cellStyle name="Percent 3 2 5 8" xfId="33305"/>
    <cellStyle name="Percent 3 2 5 8 2" xfId="33306"/>
    <cellStyle name="Percent 3 2 5 8 2 2" xfId="33307"/>
    <cellStyle name="Percent 3 2 5 8 3" xfId="33308"/>
    <cellStyle name="Percent 3 2 5 9" xfId="33309"/>
    <cellStyle name="Percent 3 2 5 9 2" xfId="33310"/>
    <cellStyle name="Percent 3 2 5 9 2 2" xfId="33311"/>
    <cellStyle name="Percent 3 2 5 9 3" xfId="33312"/>
    <cellStyle name="Percent 3 2 6" xfId="33313"/>
    <cellStyle name="Percent 3 2 6 10" xfId="33314"/>
    <cellStyle name="Percent 3 2 6 2" xfId="33315"/>
    <cellStyle name="Percent 3 2 6 2 2" xfId="33316"/>
    <cellStyle name="Percent 3 2 6 2 2 2" xfId="33317"/>
    <cellStyle name="Percent 3 2 6 2 2 2 2" xfId="33318"/>
    <cellStyle name="Percent 3 2 6 2 2 2 2 2" xfId="33319"/>
    <cellStyle name="Percent 3 2 6 2 2 2 2 2 2" xfId="33320"/>
    <cellStyle name="Percent 3 2 6 2 2 2 2 2 3" xfId="33321"/>
    <cellStyle name="Percent 3 2 6 2 2 2 2 3" xfId="33322"/>
    <cellStyle name="Percent 3 2 6 2 2 2 2 3 2" xfId="33323"/>
    <cellStyle name="Percent 3 2 6 2 2 2 2 4" xfId="33324"/>
    <cellStyle name="Percent 3 2 6 2 2 2 3" xfId="33325"/>
    <cellStyle name="Percent 3 2 6 2 2 2 3 2" xfId="33326"/>
    <cellStyle name="Percent 3 2 6 2 2 2 3 2 2" xfId="33327"/>
    <cellStyle name="Percent 3 2 6 2 2 2 3 3" xfId="33328"/>
    <cellStyle name="Percent 3 2 6 2 2 2 4" xfId="33329"/>
    <cellStyle name="Percent 3 2 6 2 2 2 4 2" xfId="33330"/>
    <cellStyle name="Percent 3 2 6 2 2 2 4 3" xfId="33331"/>
    <cellStyle name="Percent 3 2 6 2 2 2 5" xfId="33332"/>
    <cellStyle name="Percent 3 2 6 2 2 2 5 2" xfId="33333"/>
    <cellStyle name="Percent 3 2 6 2 2 2 6" xfId="33334"/>
    <cellStyle name="Percent 3 2 6 2 2 2 6 2" xfId="37454"/>
    <cellStyle name="Percent 3 2 6 2 2 2 7" xfId="33335"/>
    <cellStyle name="Percent 3 2 6 2 2 3" xfId="33336"/>
    <cellStyle name="Percent 3 2 6 2 2 3 2" xfId="33337"/>
    <cellStyle name="Percent 3 2 6 2 2 3 2 2" xfId="33338"/>
    <cellStyle name="Percent 3 2 6 2 2 3 2 2 2" xfId="33339"/>
    <cellStyle name="Percent 3 2 6 2 2 3 2 3" xfId="33340"/>
    <cellStyle name="Percent 3 2 6 2 2 3 3" xfId="33341"/>
    <cellStyle name="Percent 3 2 6 2 2 3 3 2" xfId="33342"/>
    <cellStyle name="Percent 3 2 6 2 2 3 4" xfId="33343"/>
    <cellStyle name="Percent 3 2 6 2 2 4" xfId="33344"/>
    <cellStyle name="Percent 3 2 6 2 2 4 2" xfId="33345"/>
    <cellStyle name="Percent 3 2 6 2 2 4 2 2" xfId="33346"/>
    <cellStyle name="Percent 3 2 6 2 2 4 3" xfId="33347"/>
    <cellStyle name="Percent 3 2 6 2 2 5" xfId="33348"/>
    <cellStyle name="Percent 3 2 6 2 2 5 2" xfId="33349"/>
    <cellStyle name="Percent 3 2 6 2 2 5 2 2" xfId="33350"/>
    <cellStyle name="Percent 3 2 6 2 2 5 3" xfId="33351"/>
    <cellStyle name="Percent 3 2 6 2 2 6" xfId="33352"/>
    <cellStyle name="Percent 3 2 6 2 2 6 2" xfId="33353"/>
    <cellStyle name="Percent 3 2 6 2 2 7" xfId="33354"/>
    <cellStyle name="Percent 3 2 6 2 2 7 2" xfId="37455"/>
    <cellStyle name="Percent 3 2 6 2 2 8" xfId="33355"/>
    <cellStyle name="Percent 3 2 6 2 3" xfId="33356"/>
    <cellStyle name="Percent 3 2 6 2 3 2" xfId="33357"/>
    <cellStyle name="Percent 3 2 6 2 3 2 2" xfId="33358"/>
    <cellStyle name="Percent 3 2 6 2 3 2 2 2" xfId="33359"/>
    <cellStyle name="Percent 3 2 6 2 3 2 2 3" xfId="33360"/>
    <cellStyle name="Percent 3 2 6 2 3 2 3" xfId="33361"/>
    <cellStyle name="Percent 3 2 6 2 3 2 3 2" xfId="33362"/>
    <cellStyle name="Percent 3 2 6 2 3 2 4" xfId="33363"/>
    <cellStyle name="Percent 3 2 6 2 3 3" xfId="33364"/>
    <cellStyle name="Percent 3 2 6 2 3 3 2" xfId="33365"/>
    <cellStyle name="Percent 3 2 6 2 3 3 2 2" xfId="33366"/>
    <cellStyle name="Percent 3 2 6 2 3 3 3" xfId="33367"/>
    <cellStyle name="Percent 3 2 6 2 3 4" xfId="33368"/>
    <cellStyle name="Percent 3 2 6 2 3 4 2" xfId="33369"/>
    <cellStyle name="Percent 3 2 6 2 3 4 3" xfId="33370"/>
    <cellStyle name="Percent 3 2 6 2 3 5" xfId="33371"/>
    <cellStyle name="Percent 3 2 6 2 3 5 2" xfId="33372"/>
    <cellStyle name="Percent 3 2 6 2 3 6" xfId="33373"/>
    <cellStyle name="Percent 3 2 6 2 3 6 2" xfId="37456"/>
    <cellStyle name="Percent 3 2 6 2 3 7" xfId="33374"/>
    <cellStyle name="Percent 3 2 6 2 4" xfId="33375"/>
    <cellStyle name="Percent 3 2 6 2 4 2" xfId="33376"/>
    <cellStyle name="Percent 3 2 6 2 4 2 2" xfId="33377"/>
    <cellStyle name="Percent 3 2 6 2 4 2 2 2" xfId="33378"/>
    <cellStyle name="Percent 3 2 6 2 4 2 3" xfId="33379"/>
    <cellStyle name="Percent 3 2 6 2 4 3" xfId="33380"/>
    <cellStyle name="Percent 3 2 6 2 4 3 2" xfId="33381"/>
    <cellStyle name="Percent 3 2 6 2 4 4" xfId="33382"/>
    <cellStyle name="Percent 3 2 6 2 5" xfId="33383"/>
    <cellStyle name="Percent 3 2 6 2 5 2" xfId="33384"/>
    <cellStyle name="Percent 3 2 6 2 5 2 2" xfId="33385"/>
    <cellStyle name="Percent 3 2 6 2 5 3" xfId="33386"/>
    <cellStyle name="Percent 3 2 6 2 6" xfId="33387"/>
    <cellStyle name="Percent 3 2 6 2 6 2" xfId="33388"/>
    <cellStyle name="Percent 3 2 6 2 6 2 2" xfId="33389"/>
    <cellStyle name="Percent 3 2 6 2 6 3" xfId="33390"/>
    <cellStyle name="Percent 3 2 6 2 7" xfId="33391"/>
    <cellStyle name="Percent 3 2 6 2 7 2" xfId="33392"/>
    <cellStyle name="Percent 3 2 6 2 8" xfId="33393"/>
    <cellStyle name="Percent 3 2 6 2 8 2" xfId="37457"/>
    <cellStyle name="Percent 3 2 6 2 9" xfId="33394"/>
    <cellStyle name="Percent 3 2 6 3" xfId="33395"/>
    <cellStyle name="Percent 3 2 6 3 2" xfId="33396"/>
    <cellStyle name="Percent 3 2 6 3 2 2" xfId="33397"/>
    <cellStyle name="Percent 3 2 6 3 2 2 2" xfId="33398"/>
    <cellStyle name="Percent 3 2 6 3 2 2 2 2" xfId="33399"/>
    <cellStyle name="Percent 3 2 6 3 2 2 2 3" xfId="33400"/>
    <cellStyle name="Percent 3 2 6 3 2 2 3" xfId="33401"/>
    <cellStyle name="Percent 3 2 6 3 2 2 3 2" xfId="33402"/>
    <cellStyle name="Percent 3 2 6 3 2 2 4" xfId="33403"/>
    <cellStyle name="Percent 3 2 6 3 2 3" xfId="33404"/>
    <cellStyle name="Percent 3 2 6 3 2 3 2" xfId="33405"/>
    <cellStyle name="Percent 3 2 6 3 2 3 2 2" xfId="33406"/>
    <cellStyle name="Percent 3 2 6 3 2 3 3" xfId="33407"/>
    <cellStyle name="Percent 3 2 6 3 2 4" xfId="33408"/>
    <cellStyle name="Percent 3 2 6 3 2 4 2" xfId="33409"/>
    <cellStyle name="Percent 3 2 6 3 2 4 3" xfId="33410"/>
    <cellStyle name="Percent 3 2 6 3 2 5" xfId="33411"/>
    <cellStyle name="Percent 3 2 6 3 2 5 2" xfId="33412"/>
    <cellStyle name="Percent 3 2 6 3 2 6" xfId="33413"/>
    <cellStyle name="Percent 3 2 6 3 2 6 2" xfId="37458"/>
    <cellStyle name="Percent 3 2 6 3 2 7" xfId="33414"/>
    <cellStyle name="Percent 3 2 6 3 3" xfId="33415"/>
    <cellStyle name="Percent 3 2 6 3 3 2" xfId="33416"/>
    <cellStyle name="Percent 3 2 6 3 3 2 2" xfId="33417"/>
    <cellStyle name="Percent 3 2 6 3 3 2 2 2" xfId="33418"/>
    <cellStyle name="Percent 3 2 6 3 3 2 3" xfId="33419"/>
    <cellStyle name="Percent 3 2 6 3 3 3" xfId="33420"/>
    <cellStyle name="Percent 3 2 6 3 3 3 2" xfId="33421"/>
    <cellStyle name="Percent 3 2 6 3 3 4" xfId="33422"/>
    <cellStyle name="Percent 3 2 6 3 4" xfId="33423"/>
    <cellStyle name="Percent 3 2 6 3 4 2" xfId="33424"/>
    <cellStyle name="Percent 3 2 6 3 4 2 2" xfId="33425"/>
    <cellStyle name="Percent 3 2 6 3 4 3" xfId="33426"/>
    <cellStyle name="Percent 3 2 6 3 5" xfId="33427"/>
    <cellStyle name="Percent 3 2 6 3 5 2" xfId="33428"/>
    <cellStyle name="Percent 3 2 6 3 5 2 2" xfId="33429"/>
    <cellStyle name="Percent 3 2 6 3 5 3" xfId="33430"/>
    <cellStyle name="Percent 3 2 6 3 6" xfId="33431"/>
    <cellStyle name="Percent 3 2 6 3 6 2" xfId="33432"/>
    <cellStyle name="Percent 3 2 6 3 7" xfId="33433"/>
    <cellStyle name="Percent 3 2 6 3 7 2" xfId="37459"/>
    <cellStyle name="Percent 3 2 6 3 8" xfId="33434"/>
    <cellStyle name="Percent 3 2 6 4" xfId="33435"/>
    <cellStyle name="Percent 3 2 6 4 2" xfId="33436"/>
    <cellStyle name="Percent 3 2 6 4 2 2" xfId="33437"/>
    <cellStyle name="Percent 3 2 6 4 2 2 2" xfId="33438"/>
    <cellStyle name="Percent 3 2 6 4 2 2 3" xfId="33439"/>
    <cellStyle name="Percent 3 2 6 4 2 3" xfId="33440"/>
    <cellStyle name="Percent 3 2 6 4 2 3 2" xfId="33441"/>
    <cellStyle name="Percent 3 2 6 4 2 4" xfId="33442"/>
    <cellStyle name="Percent 3 2 6 4 3" xfId="33443"/>
    <cellStyle name="Percent 3 2 6 4 3 2" xfId="33444"/>
    <cellStyle name="Percent 3 2 6 4 3 2 2" xfId="33445"/>
    <cellStyle name="Percent 3 2 6 4 3 3" xfId="33446"/>
    <cellStyle name="Percent 3 2 6 4 4" xfId="33447"/>
    <cellStyle name="Percent 3 2 6 4 4 2" xfId="33448"/>
    <cellStyle name="Percent 3 2 6 4 4 3" xfId="33449"/>
    <cellStyle name="Percent 3 2 6 4 5" xfId="33450"/>
    <cellStyle name="Percent 3 2 6 4 5 2" xfId="33451"/>
    <cellStyle name="Percent 3 2 6 4 6" xfId="33452"/>
    <cellStyle name="Percent 3 2 6 4 6 2" xfId="37460"/>
    <cellStyle name="Percent 3 2 6 4 7" xfId="33453"/>
    <cellStyle name="Percent 3 2 6 5" xfId="33454"/>
    <cellStyle name="Percent 3 2 6 5 2" xfId="33455"/>
    <cellStyle name="Percent 3 2 6 5 2 2" xfId="33456"/>
    <cellStyle name="Percent 3 2 6 5 2 2 2" xfId="33457"/>
    <cellStyle name="Percent 3 2 6 5 2 3" xfId="33458"/>
    <cellStyle name="Percent 3 2 6 5 3" xfId="33459"/>
    <cellStyle name="Percent 3 2 6 5 3 2" xfId="33460"/>
    <cellStyle name="Percent 3 2 6 5 4" xfId="33461"/>
    <cellStyle name="Percent 3 2 6 6" xfId="33462"/>
    <cellStyle name="Percent 3 2 6 6 2" xfId="33463"/>
    <cellStyle name="Percent 3 2 6 6 2 2" xfId="33464"/>
    <cellStyle name="Percent 3 2 6 6 3" xfId="33465"/>
    <cellStyle name="Percent 3 2 6 7" xfId="33466"/>
    <cellStyle name="Percent 3 2 6 7 2" xfId="33467"/>
    <cellStyle name="Percent 3 2 6 7 2 2" xfId="33468"/>
    <cellStyle name="Percent 3 2 6 7 3" xfId="33469"/>
    <cellStyle name="Percent 3 2 6 8" xfId="33470"/>
    <cellStyle name="Percent 3 2 6 8 2" xfId="33471"/>
    <cellStyle name="Percent 3 2 6 9" xfId="33472"/>
    <cellStyle name="Percent 3 2 6 9 2" xfId="37461"/>
    <cellStyle name="Percent 3 2 7" xfId="33473"/>
    <cellStyle name="Percent 3 2 7 2" xfId="33474"/>
    <cellStyle name="Percent 3 2 7 2 2" xfId="33475"/>
    <cellStyle name="Percent 3 2 7 2 2 2" xfId="33476"/>
    <cellStyle name="Percent 3 2 7 2 2 2 2" xfId="33477"/>
    <cellStyle name="Percent 3 2 7 2 2 2 2 2" xfId="33478"/>
    <cellStyle name="Percent 3 2 7 2 2 2 2 3" xfId="33479"/>
    <cellStyle name="Percent 3 2 7 2 2 2 3" xfId="33480"/>
    <cellStyle name="Percent 3 2 7 2 2 2 3 2" xfId="33481"/>
    <cellStyle name="Percent 3 2 7 2 2 2 4" xfId="33482"/>
    <cellStyle name="Percent 3 2 7 2 2 3" xfId="33483"/>
    <cellStyle name="Percent 3 2 7 2 2 3 2" xfId="33484"/>
    <cellStyle name="Percent 3 2 7 2 2 3 2 2" xfId="33485"/>
    <cellStyle name="Percent 3 2 7 2 2 3 3" xfId="33486"/>
    <cellStyle name="Percent 3 2 7 2 2 4" xfId="33487"/>
    <cellStyle name="Percent 3 2 7 2 2 4 2" xfId="33488"/>
    <cellStyle name="Percent 3 2 7 2 2 4 3" xfId="33489"/>
    <cellStyle name="Percent 3 2 7 2 2 5" xfId="33490"/>
    <cellStyle name="Percent 3 2 7 2 2 5 2" xfId="33491"/>
    <cellStyle name="Percent 3 2 7 2 2 6" xfId="33492"/>
    <cellStyle name="Percent 3 2 7 2 2 6 2" xfId="37462"/>
    <cellStyle name="Percent 3 2 7 2 2 7" xfId="33493"/>
    <cellStyle name="Percent 3 2 7 2 3" xfId="33494"/>
    <cellStyle name="Percent 3 2 7 2 3 2" xfId="33495"/>
    <cellStyle name="Percent 3 2 7 2 3 2 2" xfId="33496"/>
    <cellStyle name="Percent 3 2 7 2 3 2 2 2" xfId="33497"/>
    <cellStyle name="Percent 3 2 7 2 3 2 3" xfId="33498"/>
    <cellStyle name="Percent 3 2 7 2 3 3" xfId="33499"/>
    <cellStyle name="Percent 3 2 7 2 3 3 2" xfId="33500"/>
    <cellStyle name="Percent 3 2 7 2 3 4" xfId="33501"/>
    <cellStyle name="Percent 3 2 7 2 4" xfId="33502"/>
    <cellStyle name="Percent 3 2 7 2 4 2" xfId="33503"/>
    <cellStyle name="Percent 3 2 7 2 4 2 2" xfId="33504"/>
    <cellStyle name="Percent 3 2 7 2 4 3" xfId="33505"/>
    <cellStyle name="Percent 3 2 7 2 5" xfId="33506"/>
    <cellStyle name="Percent 3 2 7 2 5 2" xfId="33507"/>
    <cellStyle name="Percent 3 2 7 2 5 2 2" xfId="33508"/>
    <cellStyle name="Percent 3 2 7 2 5 3" xfId="33509"/>
    <cellStyle name="Percent 3 2 7 2 6" xfId="33510"/>
    <cellStyle name="Percent 3 2 7 2 6 2" xfId="33511"/>
    <cellStyle name="Percent 3 2 7 2 7" xfId="33512"/>
    <cellStyle name="Percent 3 2 7 2 7 2" xfId="37463"/>
    <cellStyle name="Percent 3 2 7 2 8" xfId="33513"/>
    <cellStyle name="Percent 3 2 7 3" xfId="33514"/>
    <cellStyle name="Percent 3 2 7 3 2" xfId="33515"/>
    <cellStyle name="Percent 3 2 7 3 2 2" xfId="33516"/>
    <cellStyle name="Percent 3 2 7 3 2 2 2" xfId="33517"/>
    <cellStyle name="Percent 3 2 7 3 2 2 3" xfId="33518"/>
    <cellStyle name="Percent 3 2 7 3 2 3" xfId="33519"/>
    <cellStyle name="Percent 3 2 7 3 2 3 2" xfId="33520"/>
    <cellStyle name="Percent 3 2 7 3 2 4" xfId="33521"/>
    <cellStyle name="Percent 3 2 7 3 3" xfId="33522"/>
    <cellStyle name="Percent 3 2 7 3 3 2" xfId="33523"/>
    <cellStyle name="Percent 3 2 7 3 3 2 2" xfId="33524"/>
    <cellStyle name="Percent 3 2 7 3 3 3" xfId="33525"/>
    <cellStyle name="Percent 3 2 7 3 4" xfId="33526"/>
    <cellStyle name="Percent 3 2 7 3 4 2" xfId="33527"/>
    <cellStyle name="Percent 3 2 7 3 4 3" xfId="33528"/>
    <cellStyle name="Percent 3 2 7 3 5" xfId="33529"/>
    <cellStyle name="Percent 3 2 7 3 5 2" xfId="33530"/>
    <cellStyle name="Percent 3 2 7 3 6" xfId="33531"/>
    <cellStyle name="Percent 3 2 7 3 6 2" xfId="37464"/>
    <cellStyle name="Percent 3 2 7 3 7" xfId="33532"/>
    <cellStyle name="Percent 3 2 7 4" xfId="33533"/>
    <cellStyle name="Percent 3 2 7 4 2" xfId="33534"/>
    <cellStyle name="Percent 3 2 7 4 2 2" xfId="33535"/>
    <cellStyle name="Percent 3 2 7 4 2 2 2" xfId="33536"/>
    <cellStyle name="Percent 3 2 7 4 2 3" xfId="33537"/>
    <cellStyle name="Percent 3 2 7 4 3" xfId="33538"/>
    <cellStyle name="Percent 3 2 7 4 3 2" xfId="33539"/>
    <cellStyle name="Percent 3 2 7 4 4" xfId="33540"/>
    <cellStyle name="Percent 3 2 7 5" xfId="33541"/>
    <cellStyle name="Percent 3 2 7 5 2" xfId="33542"/>
    <cellStyle name="Percent 3 2 7 5 2 2" xfId="33543"/>
    <cellStyle name="Percent 3 2 7 5 3" xfId="33544"/>
    <cellStyle name="Percent 3 2 7 6" xfId="33545"/>
    <cellStyle name="Percent 3 2 7 6 2" xfId="33546"/>
    <cellStyle name="Percent 3 2 7 6 2 2" xfId="33547"/>
    <cellStyle name="Percent 3 2 7 6 3" xfId="33548"/>
    <cellStyle name="Percent 3 2 7 7" xfId="33549"/>
    <cellStyle name="Percent 3 2 7 7 2" xfId="33550"/>
    <cellStyle name="Percent 3 2 7 8" xfId="33551"/>
    <cellStyle name="Percent 3 2 7 8 2" xfId="37465"/>
    <cellStyle name="Percent 3 2 7 9" xfId="33552"/>
    <cellStyle name="Percent 3 2 8" xfId="33553"/>
    <cellStyle name="Percent 3 2 8 2" xfId="33554"/>
    <cellStyle name="Percent 3 2 8 2 2" xfId="33555"/>
    <cellStyle name="Percent 3 2 8 2 2 2" xfId="33556"/>
    <cellStyle name="Percent 3 2 8 2 2 2 2" xfId="33557"/>
    <cellStyle name="Percent 3 2 8 2 2 2 2 2" xfId="33558"/>
    <cellStyle name="Percent 3 2 8 2 2 2 2 3" xfId="33559"/>
    <cellStyle name="Percent 3 2 8 2 2 2 3" xfId="33560"/>
    <cellStyle name="Percent 3 2 8 2 2 2 3 2" xfId="33561"/>
    <cellStyle name="Percent 3 2 8 2 2 2 4" xfId="33562"/>
    <cellStyle name="Percent 3 2 8 2 2 3" xfId="33563"/>
    <cellStyle name="Percent 3 2 8 2 2 3 2" xfId="33564"/>
    <cellStyle name="Percent 3 2 8 2 2 3 2 2" xfId="33565"/>
    <cellStyle name="Percent 3 2 8 2 2 3 3" xfId="33566"/>
    <cellStyle name="Percent 3 2 8 2 2 4" xfId="33567"/>
    <cellStyle name="Percent 3 2 8 2 2 4 2" xfId="33568"/>
    <cellStyle name="Percent 3 2 8 2 2 4 3" xfId="33569"/>
    <cellStyle name="Percent 3 2 8 2 2 5" xfId="33570"/>
    <cellStyle name="Percent 3 2 8 2 2 5 2" xfId="33571"/>
    <cellStyle name="Percent 3 2 8 2 2 6" xfId="33572"/>
    <cellStyle name="Percent 3 2 8 2 2 6 2" xfId="37466"/>
    <cellStyle name="Percent 3 2 8 2 2 7" xfId="33573"/>
    <cellStyle name="Percent 3 2 8 2 3" xfId="33574"/>
    <cellStyle name="Percent 3 2 8 2 3 2" xfId="33575"/>
    <cellStyle name="Percent 3 2 8 2 3 2 2" xfId="33576"/>
    <cellStyle name="Percent 3 2 8 2 3 2 2 2" xfId="33577"/>
    <cellStyle name="Percent 3 2 8 2 3 2 3" xfId="33578"/>
    <cellStyle name="Percent 3 2 8 2 3 3" xfId="33579"/>
    <cellStyle name="Percent 3 2 8 2 3 3 2" xfId="33580"/>
    <cellStyle name="Percent 3 2 8 2 3 4" xfId="33581"/>
    <cellStyle name="Percent 3 2 8 2 4" xfId="33582"/>
    <cellStyle name="Percent 3 2 8 2 4 2" xfId="33583"/>
    <cellStyle name="Percent 3 2 8 2 4 2 2" xfId="33584"/>
    <cellStyle name="Percent 3 2 8 2 4 3" xfId="33585"/>
    <cellStyle name="Percent 3 2 8 2 5" xfId="33586"/>
    <cellStyle name="Percent 3 2 8 2 5 2" xfId="33587"/>
    <cellStyle name="Percent 3 2 8 2 5 2 2" xfId="33588"/>
    <cellStyle name="Percent 3 2 8 2 5 3" xfId="33589"/>
    <cellStyle name="Percent 3 2 8 2 6" xfId="33590"/>
    <cellStyle name="Percent 3 2 8 2 6 2" xfId="33591"/>
    <cellStyle name="Percent 3 2 8 2 7" xfId="33592"/>
    <cellStyle name="Percent 3 2 8 2 7 2" xfId="37467"/>
    <cellStyle name="Percent 3 2 8 2 8" xfId="33593"/>
    <cellStyle name="Percent 3 2 8 3" xfId="33594"/>
    <cellStyle name="Percent 3 2 8 3 2" xfId="33595"/>
    <cellStyle name="Percent 3 2 8 3 2 2" xfId="33596"/>
    <cellStyle name="Percent 3 2 8 3 2 2 2" xfId="33597"/>
    <cellStyle name="Percent 3 2 8 3 2 2 3" xfId="33598"/>
    <cellStyle name="Percent 3 2 8 3 2 3" xfId="33599"/>
    <cellStyle name="Percent 3 2 8 3 2 3 2" xfId="33600"/>
    <cellStyle name="Percent 3 2 8 3 2 4" xfId="33601"/>
    <cellStyle name="Percent 3 2 8 3 3" xfId="33602"/>
    <cellStyle name="Percent 3 2 8 3 3 2" xfId="33603"/>
    <cellStyle name="Percent 3 2 8 3 3 2 2" xfId="33604"/>
    <cellStyle name="Percent 3 2 8 3 3 3" xfId="33605"/>
    <cellStyle name="Percent 3 2 8 3 4" xfId="33606"/>
    <cellStyle name="Percent 3 2 8 3 4 2" xfId="33607"/>
    <cellStyle name="Percent 3 2 8 3 4 3" xfId="33608"/>
    <cellStyle name="Percent 3 2 8 3 5" xfId="33609"/>
    <cellStyle name="Percent 3 2 8 3 5 2" xfId="33610"/>
    <cellStyle name="Percent 3 2 8 3 6" xfId="33611"/>
    <cellStyle name="Percent 3 2 8 3 6 2" xfId="37468"/>
    <cellStyle name="Percent 3 2 8 3 7" xfId="33612"/>
    <cellStyle name="Percent 3 2 8 4" xfId="33613"/>
    <cellStyle name="Percent 3 2 8 4 2" xfId="33614"/>
    <cellStyle name="Percent 3 2 8 4 2 2" xfId="33615"/>
    <cellStyle name="Percent 3 2 8 4 2 2 2" xfId="33616"/>
    <cellStyle name="Percent 3 2 8 4 2 3" xfId="33617"/>
    <cellStyle name="Percent 3 2 8 4 3" xfId="33618"/>
    <cellStyle name="Percent 3 2 8 4 3 2" xfId="33619"/>
    <cellStyle name="Percent 3 2 8 4 4" xfId="33620"/>
    <cellStyle name="Percent 3 2 8 5" xfId="33621"/>
    <cellStyle name="Percent 3 2 8 5 2" xfId="33622"/>
    <cellStyle name="Percent 3 2 8 5 2 2" xfId="33623"/>
    <cellStyle name="Percent 3 2 8 5 3" xfId="33624"/>
    <cellStyle name="Percent 3 2 8 6" xfId="33625"/>
    <cellStyle name="Percent 3 2 8 6 2" xfId="33626"/>
    <cellStyle name="Percent 3 2 8 6 2 2" xfId="33627"/>
    <cellStyle name="Percent 3 2 8 6 3" xfId="33628"/>
    <cellStyle name="Percent 3 2 8 7" xfId="33629"/>
    <cellStyle name="Percent 3 2 8 7 2" xfId="33630"/>
    <cellStyle name="Percent 3 2 8 8" xfId="33631"/>
    <cellStyle name="Percent 3 2 8 8 2" xfId="37469"/>
    <cellStyle name="Percent 3 2 8 9" xfId="33632"/>
    <cellStyle name="Percent 3 2 9" xfId="33633"/>
    <cellStyle name="Percent 3 2 9 2" xfId="33634"/>
    <cellStyle name="Percent 3 2 9 2 2" xfId="33635"/>
    <cellStyle name="Percent 3 2 9 2 2 2" xfId="33636"/>
    <cellStyle name="Percent 3 2 9 2 2 2 2" xfId="33637"/>
    <cellStyle name="Percent 3 2 9 2 2 2 3" xfId="33638"/>
    <cellStyle name="Percent 3 2 9 2 2 3" xfId="33639"/>
    <cellStyle name="Percent 3 2 9 2 2 3 2" xfId="33640"/>
    <cellStyle name="Percent 3 2 9 2 2 4" xfId="33641"/>
    <cellStyle name="Percent 3 2 9 2 3" xfId="33642"/>
    <cellStyle name="Percent 3 2 9 2 3 2" xfId="33643"/>
    <cellStyle name="Percent 3 2 9 2 3 2 2" xfId="33644"/>
    <cellStyle name="Percent 3 2 9 2 3 3" xfId="33645"/>
    <cellStyle name="Percent 3 2 9 2 4" xfId="33646"/>
    <cellStyle name="Percent 3 2 9 2 4 2" xfId="33647"/>
    <cellStyle name="Percent 3 2 9 2 4 3" xfId="33648"/>
    <cellStyle name="Percent 3 2 9 2 5" xfId="33649"/>
    <cellStyle name="Percent 3 2 9 2 5 2" xfId="33650"/>
    <cellStyle name="Percent 3 2 9 2 6" xfId="33651"/>
    <cellStyle name="Percent 3 2 9 2 6 2" xfId="37470"/>
    <cellStyle name="Percent 3 2 9 2 7" xfId="33652"/>
    <cellStyle name="Percent 3 2 9 3" xfId="33653"/>
    <cellStyle name="Percent 3 2 9 3 2" xfId="33654"/>
    <cellStyle name="Percent 3 2 9 3 2 2" xfId="33655"/>
    <cellStyle name="Percent 3 2 9 3 2 2 2" xfId="33656"/>
    <cellStyle name="Percent 3 2 9 3 2 3" xfId="33657"/>
    <cellStyle name="Percent 3 2 9 3 3" xfId="33658"/>
    <cellStyle name="Percent 3 2 9 3 3 2" xfId="33659"/>
    <cellStyle name="Percent 3 2 9 3 4" xfId="33660"/>
    <cellStyle name="Percent 3 2 9 4" xfId="33661"/>
    <cellStyle name="Percent 3 2 9 4 2" xfId="33662"/>
    <cellStyle name="Percent 3 2 9 4 2 2" xfId="33663"/>
    <cellStyle name="Percent 3 2 9 4 3" xfId="33664"/>
    <cellStyle name="Percent 3 2 9 5" xfId="33665"/>
    <cellStyle name="Percent 3 2 9 5 2" xfId="33666"/>
    <cellStyle name="Percent 3 2 9 5 2 2" xfId="33667"/>
    <cellStyle name="Percent 3 2 9 5 3" xfId="33668"/>
    <cellStyle name="Percent 3 2 9 6" xfId="33669"/>
    <cellStyle name="Percent 3 2 9 6 2" xfId="33670"/>
    <cellStyle name="Percent 3 2 9 7" xfId="33671"/>
    <cellStyle name="Percent 3 2 9 7 2" xfId="37471"/>
    <cellStyle name="Percent 3 2 9 8" xfId="33672"/>
    <cellStyle name="Percent 3 20" xfId="35798"/>
    <cellStyle name="Percent 3 3" xfId="33673"/>
    <cellStyle name="Percent 3 3 10" xfId="33674"/>
    <cellStyle name="Percent 3 3 10 2" xfId="33675"/>
    <cellStyle name="Percent 3 3 10 2 2" xfId="33676"/>
    <cellStyle name="Percent 3 3 10 3" xfId="33677"/>
    <cellStyle name="Percent 3 3 11" xfId="33678"/>
    <cellStyle name="Percent 3 3 11 2" xfId="33679"/>
    <cellStyle name="Percent 3 3 11 2 2" xfId="33680"/>
    <cellStyle name="Percent 3 3 11 3" xfId="33681"/>
    <cellStyle name="Percent 3 3 12" xfId="33682"/>
    <cellStyle name="Percent 3 3 12 2" xfId="33683"/>
    <cellStyle name="Percent 3 3 13" xfId="33684"/>
    <cellStyle name="Percent 3 3 13 2" xfId="37472"/>
    <cellStyle name="Percent 3 3 14" xfId="33685"/>
    <cellStyle name="Percent 3 3 2" xfId="33686"/>
    <cellStyle name="Percent 3 3 2 10" xfId="33687"/>
    <cellStyle name="Percent 3 3 2 2" xfId="33688"/>
    <cellStyle name="Percent 3 3 2 2 2" xfId="33689"/>
    <cellStyle name="Percent 3 3 2 2 2 2" xfId="33690"/>
    <cellStyle name="Percent 3 3 2 2 2 2 2" xfId="33691"/>
    <cellStyle name="Percent 3 3 2 2 2 2 2 2" xfId="33692"/>
    <cellStyle name="Percent 3 3 2 2 2 2 2 2 2" xfId="33693"/>
    <cellStyle name="Percent 3 3 2 2 2 2 2 2 3" xfId="33694"/>
    <cellStyle name="Percent 3 3 2 2 2 2 2 3" xfId="33695"/>
    <cellStyle name="Percent 3 3 2 2 2 2 2 3 2" xfId="33696"/>
    <cellStyle name="Percent 3 3 2 2 2 2 2 4" xfId="33697"/>
    <cellStyle name="Percent 3 3 2 2 2 2 3" xfId="33698"/>
    <cellStyle name="Percent 3 3 2 2 2 2 3 2" xfId="33699"/>
    <cellStyle name="Percent 3 3 2 2 2 2 3 2 2" xfId="33700"/>
    <cellStyle name="Percent 3 3 2 2 2 2 3 3" xfId="33701"/>
    <cellStyle name="Percent 3 3 2 2 2 2 4" xfId="33702"/>
    <cellStyle name="Percent 3 3 2 2 2 2 4 2" xfId="33703"/>
    <cellStyle name="Percent 3 3 2 2 2 2 4 3" xfId="33704"/>
    <cellStyle name="Percent 3 3 2 2 2 2 5" xfId="33705"/>
    <cellStyle name="Percent 3 3 2 2 2 2 5 2" xfId="33706"/>
    <cellStyle name="Percent 3 3 2 2 2 2 6" xfId="33707"/>
    <cellStyle name="Percent 3 3 2 2 2 2 6 2" xfId="37473"/>
    <cellStyle name="Percent 3 3 2 2 2 2 7" xfId="33708"/>
    <cellStyle name="Percent 3 3 2 2 2 3" xfId="33709"/>
    <cellStyle name="Percent 3 3 2 2 2 3 2" xfId="33710"/>
    <cellStyle name="Percent 3 3 2 2 2 3 2 2" xfId="33711"/>
    <cellStyle name="Percent 3 3 2 2 2 3 2 2 2" xfId="33712"/>
    <cellStyle name="Percent 3 3 2 2 2 3 2 3" xfId="33713"/>
    <cellStyle name="Percent 3 3 2 2 2 3 3" xfId="33714"/>
    <cellStyle name="Percent 3 3 2 2 2 3 3 2" xfId="33715"/>
    <cellStyle name="Percent 3 3 2 2 2 3 4" xfId="33716"/>
    <cellStyle name="Percent 3 3 2 2 2 4" xfId="33717"/>
    <cellStyle name="Percent 3 3 2 2 2 4 2" xfId="33718"/>
    <cellStyle name="Percent 3 3 2 2 2 4 2 2" xfId="33719"/>
    <cellStyle name="Percent 3 3 2 2 2 4 3" xfId="33720"/>
    <cellStyle name="Percent 3 3 2 2 2 5" xfId="33721"/>
    <cellStyle name="Percent 3 3 2 2 2 5 2" xfId="33722"/>
    <cellStyle name="Percent 3 3 2 2 2 5 2 2" xfId="33723"/>
    <cellStyle name="Percent 3 3 2 2 2 5 3" xfId="33724"/>
    <cellStyle name="Percent 3 3 2 2 2 6" xfId="33725"/>
    <cellStyle name="Percent 3 3 2 2 2 6 2" xfId="33726"/>
    <cellStyle name="Percent 3 3 2 2 2 7" xfId="33727"/>
    <cellStyle name="Percent 3 3 2 2 2 7 2" xfId="37474"/>
    <cellStyle name="Percent 3 3 2 2 2 8" xfId="33728"/>
    <cellStyle name="Percent 3 3 2 2 3" xfId="33729"/>
    <cellStyle name="Percent 3 3 2 2 3 2" xfId="33730"/>
    <cellStyle name="Percent 3 3 2 2 3 2 2" xfId="33731"/>
    <cellStyle name="Percent 3 3 2 2 3 2 2 2" xfId="33732"/>
    <cellStyle name="Percent 3 3 2 2 3 2 2 3" xfId="33733"/>
    <cellStyle name="Percent 3 3 2 2 3 2 3" xfId="33734"/>
    <cellStyle name="Percent 3 3 2 2 3 2 3 2" xfId="33735"/>
    <cellStyle name="Percent 3 3 2 2 3 2 4" xfId="33736"/>
    <cellStyle name="Percent 3 3 2 2 3 3" xfId="33737"/>
    <cellStyle name="Percent 3 3 2 2 3 3 2" xfId="33738"/>
    <cellStyle name="Percent 3 3 2 2 3 3 2 2" xfId="33739"/>
    <cellStyle name="Percent 3 3 2 2 3 3 3" xfId="33740"/>
    <cellStyle name="Percent 3 3 2 2 3 4" xfId="33741"/>
    <cellStyle name="Percent 3 3 2 2 3 4 2" xfId="33742"/>
    <cellStyle name="Percent 3 3 2 2 3 4 3" xfId="33743"/>
    <cellStyle name="Percent 3 3 2 2 3 5" xfId="33744"/>
    <cellStyle name="Percent 3 3 2 2 3 5 2" xfId="33745"/>
    <cellStyle name="Percent 3 3 2 2 3 6" xfId="33746"/>
    <cellStyle name="Percent 3 3 2 2 3 6 2" xfId="37475"/>
    <cellStyle name="Percent 3 3 2 2 3 7" xfId="33747"/>
    <cellStyle name="Percent 3 3 2 2 4" xfId="33748"/>
    <cellStyle name="Percent 3 3 2 2 4 2" xfId="33749"/>
    <cellStyle name="Percent 3 3 2 2 4 2 2" xfId="33750"/>
    <cellStyle name="Percent 3 3 2 2 4 2 2 2" xfId="33751"/>
    <cellStyle name="Percent 3 3 2 2 4 2 3" xfId="33752"/>
    <cellStyle name="Percent 3 3 2 2 4 3" xfId="33753"/>
    <cellStyle name="Percent 3 3 2 2 4 3 2" xfId="33754"/>
    <cellStyle name="Percent 3 3 2 2 4 4" xfId="33755"/>
    <cellStyle name="Percent 3 3 2 2 5" xfId="33756"/>
    <cellStyle name="Percent 3 3 2 2 5 2" xfId="33757"/>
    <cellStyle name="Percent 3 3 2 2 5 2 2" xfId="33758"/>
    <cellStyle name="Percent 3 3 2 2 5 3" xfId="33759"/>
    <cellStyle name="Percent 3 3 2 2 6" xfId="33760"/>
    <cellStyle name="Percent 3 3 2 2 6 2" xfId="33761"/>
    <cellStyle name="Percent 3 3 2 2 6 2 2" xfId="33762"/>
    <cellStyle name="Percent 3 3 2 2 6 3" xfId="33763"/>
    <cellStyle name="Percent 3 3 2 2 7" xfId="33764"/>
    <cellStyle name="Percent 3 3 2 2 7 2" xfId="33765"/>
    <cellStyle name="Percent 3 3 2 2 8" xfId="33766"/>
    <cellStyle name="Percent 3 3 2 2 8 2" xfId="37476"/>
    <cellStyle name="Percent 3 3 2 2 9" xfId="33767"/>
    <cellStyle name="Percent 3 3 2 3" xfId="33768"/>
    <cellStyle name="Percent 3 3 2 3 2" xfId="33769"/>
    <cellStyle name="Percent 3 3 2 3 2 2" xfId="33770"/>
    <cellStyle name="Percent 3 3 2 3 2 2 2" xfId="33771"/>
    <cellStyle name="Percent 3 3 2 3 2 2 2 2" xfId="33772"/>
    <cellStyle name="Percent 3 3 2 3 2 2 2 3" xfId="33773"/>
    <cellStyle name="Percent 3 3 2 3 2 2 3" xfId="33774"/>
    <cellStyle name="Percent 3 3 2 3 2 2 3 2" xfId="33775"/>
    <cellStyle name="Percent 3 3 2 3 2 2 4" xfId="33776"/>
    <cellStyle name="Percent 3 3 2 3 2 3" xfId="33777"/>
    <cellStyle name="Percent 3 3 2 3 2 3 2" xfId="33778"/>
    <cellStyle name="Percent 3 3 2 3 2 3 2 2" xfId="33779"/>
    <cellStyle name="Percent 3 3 2 3 2 3 3" xfId="33780"/>
    <cellStyle name="Percent 3 3 2 3 2 4" xfId="33781"/>
    <cellStyle name="Percent 3 3 2 3 2 4 2" xfId="33782"/>
    <cellStyle name="Percent 3 3 2 3 2 4 3" xfId="33783"/>
    <cellStyle name="Percent 3 3 2 3 2 5" xfId="33784"/>
    <cellStyle name="Percent 3 3 2 3 2 5 2" xfId="33785"/>
    <cellStyle name="Percent 3 3 2 3 2 6" xfId="33786"/>
    <cellStyle name="Percent 3 3 2 3 2 6 2" xfId="37477"/>
    <cellStyle name="Percent 3 3 2 3 2 7" xfId="33787"/>
    <cellStyle name="Percent 3 3 2 3 3" xfId="33788"/>
    <cellStyle name="Percent 3 3 2 3 3 2" xfId="33789"/>
    <cellStyle name="Percent 3 3 2 3 3 2 2" xfId="33790"/>
    <cellStyle name="Percent 3 3 2 3 3 2 2 2" xfId="33791"/>
    <cellStyle name="Percent 3 3 2 3 3 2 3" xfId="33792"/>
    <cellStyle name="Percent 3 3 2 3 3 3" xfId="33793"/>
    <cellStyle name="Percent 3 3 2 3 3 3 2" xfId="33794"/>
    <cellStyle name="Percent 3 3 2 3 3 4" xfId="33795"/>
    <cellStyle name="Percent 3 3 2 3 4" xfId="33796"/>
    <cellStyle name="Percent 3 3 2 3 4 2" xfId="33797"/>
    <cellStyle name="Percent 3 3 2 3 4 2 2" xfId="33798"/>
    <cellStyle name="Percent 3 3 2 3 4 3" xfId="33799"/>
    <cellStyle name="Percent 3 3 2 3 5" xfId="33800"/>
    <cellStyle name="Percent 3 3 2 3 5 2" xfId="33801"/>
    <cellStyle name="Percent 3 3 2 3 5 2 2" xfId="33802"/>
    <cellStyle name="Percent 3 3 2 3 5 3" xfId="33803"/>
    <cellStyle name="Percent 3 3 2 3 6" xfId="33804"/>
    <cellStyle name="Percent 3 3 2 3 6 2" xfId="33805"/>
    <cellStyle name="Percent 3 3 2 3 7" xfId="33806"/>
    <cellStyle name="Percent 3 3 2 3 7 2" xfId="37478"/>
    <cellStyle name="Percent 3 3 2 3 8" xfId="33807"/>
    <cellStyle name="Percent 3 3 2 4" xfId="33808"/>
    <cellStyle name="Percent 3 3 2 4 2" xfId="33809"/>
    <cellStyle name="Percent 3 3 2 4 2 2" xfId="33810"/>
    <cellStyle name="Percent 3 3 2 4 2 2 2" xfId="33811"/>
    <cellStyle name="Percent 3 3 2 4 2 2 3" xfId="33812"/>
    <cellStyle name="Percent 3 3 2 4 2 3" xfId="33813"/>
    <cellStyle name="Percent 3 3 2 4 2 3 2" xfId="33814"/>
    <cellStyle name="Percent 3 3 2 4 2 4" xfId="33815"/>
    <cellStyle name="Percent 3 3 2 4 3" xfId="33816"/>
    <cellStyle name="Percent 3 3 2 4 3 2" xfId="33817"/>
    <cellStyle name="Percent 3 3 2 4 3 2 2" xfId="33818"/>
    <cellStyle name="Percent 3 3 2 4 3 3" xfId="33819"/>
    <cellStyle name="Percent 3 3 2 4 4" xfId="33820"/>
    <cellStyle name="Percent 3 3 2 4 4 2" xfId="33821"/>
    <cellStyle name="Percent 3 3 2 4 4 3" xfId="33822"/>
    <cellStyle name="Percent 3 3 2 4 5" xfId="33823"/>
    <cellStyle name="Percent 3 3 2 4 5 2" xfId="33824"/>
    <cellStyle name="Percent 3 3 2 4 6" xfId="33825"/>
    <cellStyle name="Percent 3 3 2 4 6 2" xfId="37479"/>
    <cellStyle name="Percent 3 3 2 4 7" xfId="33826"/>
    <cellStyle name="Percent 3 3 2 5" xfId="33827"/>
    <cellStyle name="Percent 3 3 2 5 2" xfId="33828"/>
    <cellStyle name="Percent 3 3 2 5 2 2" xfId="33829"/>
    <cellStyle name="Percent 3 3 2 5 2 2 2" xfId="33830"/>
    <cellStyle name="Percent 3 3 2 5 2 3" xfId="33831"/>
    <cellStyle name="Percent 3 3 2 5 3" xfId="33832"/>
    <cellStyle name="Percent 3 3 2 5 3 2" xfId="33833"/>
    <cellStyle name="Percent 3 3 2 5 4" xfId="33834"/>
    <cellStyle name="Percent 3 3 2 6" xfId="33835"/>
    <cellStyle name="Percent 3 3 2 6 2" xfId="33836"/>
    <cellStyle name="Percent 3 3 2 6 2 2" xfId="33837"/>
    <cellStyle name="Percent 3 3 2 6 3" xfId="33838"/>
    <cellStyle name="Percent 3 3 2 7" xfId="33839"/>
    <cellStyle name="Percent 3 3 2 7 2" xfId="33840"/>
    <cellStyle name="Percent 3 3 2 7 2 2" xfId="33841"/>
    <cellStyle name="Percent 3 3 2 7 3" xfId="33842"/>
    <cellStyle name="Percent 3 3 2 8" xfId="33843"/>
    <cellStyle name="Percent 3 3 2 8 2" xfId="33844"/>
    <cellStyle name="Percent 3 3 2 9" xfId="33845"/>
    <cellStyle name="Percent 3 3 2 9 2" xfId="37480"/>
    <cellStyle name="Percent 3 3 3" xfId="33846"/>
    <cellStyle name="Percent 3 3 3 2" xfId="33847"/>
    <cellStyle name="Percent 3 3 3 2 2" xfId="33848"/>
    <cellStyle name="Percent 3 3 3 2 2 2" xfId="33849"/>
    <cellStyle name="Percent 3 3 3 2 2 2 2" xfId="33850"/>
    <cellStyle name="Percent 3 3 3 2 2 2 2 2" xfId="33851"/>
    <cellStyle name="Percent 3 3 3 2 2 2 2 3" xfId="33852"/>
    <cellStyle name="Percent 3 3 3 2 2 2 3" xfId="33853"/>
    <cellStyle name="Percent 3 3 3 2 2 2 3 2" xfId="33854"/>
    <cellStyle name="Percent 3 3 3 2 2 2 4" xfId="33855"/>
    <cellStyle name="Percent 3 3 3 2 2 3" xfId="33856"/>
    <cellStyle name="Percent 3 3 3 2 2 3 2" xfId="33857"/>
    <cellStyle name="Percent 3 3 3 2 2 3 2 2" xfId="33858"/>
    <cellStyle name="Percent 3 3 3 2 2 3 3" xfId="33859"/>
    <cellStyle name="Percent 3 3 3 2 2 4" xfId="33860"/>
    <cellStyle name="Percent 3 3 3 2 2 4 2" xfId="33861"/>
    <cellStyle name="Percent 3 3 3 2 2 4 3" xfId="33862"/>
    <cellStyle name="Percent 3 3 3 2 2 5" xfId="33863"/>
    <cellStyle name="Percent 3 3 3 2 2 5 2" xfId="33864"/>
    <cellStyle name="Percent 3 3 3 2 2 6" xfId="33865"/>
    <cellStyle name="Percent 3 3 3 2 2 6 2" xfId="37481"/>
    <cellStyle name="Percent 3 3 3 2 2 7" xfId="33866"/>
    <cellStyle name="Percent 3 3 3 2 3" xfId="33867"/>
    <cellStyle name="Percent 3 3 3 2 3 2" xfId="33868"/>
    <cellStyle name="Percent 3 3 3 2 3 2 2" xfId="33869"/>
    <cellStyle name="Percent 3 3 3 2 3 2 2 2" xfId="33870"/>
    <cellStyle name="Percent 3 3 3 2 3 2 3" xfId="33871"/>
    <cellStyle name="Percent 3 3 3 2 3 3" xfId="33872"/>
    <cellStyle name="Percent 3 3 3 2 3 3 2" xfId="33873"/>
    <cellStyle name="Percent 3 3 3 2 3 4" xfId="33874"/>
    <cellStyle name="Percent 3 3 3 2 4" xfId="33875"/>
    <cellStyle name="Percent 3 3 3 2 4 2" xfId="33876"/>
    <cellStyle name="Percent 3 3 3 2 4 2 2" xfId="33877"/>
    <cellStyle name="Percent 3 3 3 2 4 3" xfId="33878"/>
    <cellStyle name="Percent 3 3 3 2 5" xfId="33879"/>
    <cellStyle name="Percent 3 3 3 2 5 2" xfId="33880"/>
    <cellStyle name="Percent 3 3 3 2 5 2 2" xfId="33881"/>
    <cellStyle name="Percent 3 3 3 2 5 3" xfId="33882"/>
    <cellStyle name="Percent 3 3 3 2 6" xfId="33883"/>
    <cellStyle name="Percent 3 3 3 2 6 2" xfId="33884"/>
    <cellStyle name="Percent 3 3 3 2 7" xfId="33885"/>
    <cellStyle name="Percent 3 3 3 2 7 2" xfId="37482"/>
    <cellStyle name="Percent 3 3 3 2 8" xfId="33886"/>
    <cellStyle name="Percent 3 3 3 3" xfId="33887"/>
    <cellStyle name="Percent 3 3 3 3 2" xfId="33888"/>
    <cellStyle name="Percent 3 3 3 3 2 2" xfId="33889"/>
    <cellStyle name="Percent 3 3 3 3 2 2 2" xfId="33890"/>
    <cellStyle name="Percent 3 3 3 3 2 2 3" xfId="33891"/>
    <cellStyle name="Percent 3 3 3 3 2 3" xfId="33892"/>
    <cellStyle name="Percent 3 3 3 3 2 3 2" xfId="33893"/>
    <cellStyle name="Percent 3 3 3 3 2 4" xfId="33894"/>
    <cellStyle name="Percent 3 3 3 3 3" xfId="33895"/>
    <cellStyle name="Percent 3 3 3 3 3 2" xfId="33896"/>
    <cellStyle name="Percent 3 3 3 3 3 2 2" xfId="33897"/>
    <cellStyle name="Percent 3 3 3 3 3 3" xfId="33898"/>
    <cellStyle name="Percent 3 3 3 3 4" xfId="33899"/>
    <cellStyle name="Percent 3 3 3 3 4 2" xfId="33900"/>
    <cellStyle name="Percent 3 3 3 3 4 3" xfId="33901"/>
    <cellStyle name="Percent 3 3 3 3 5" xfId="33902"/>
    <cellStyle name="Percent 3 3 3 3 5 2" xfId="33903"/>
    <cellStyle name="Percent 3 3 3 3 6" xfId="33904"/>
    <cellStyle name="Percent 3 3 3 3 6 2" xfId="37483"/>
    <cellStyle name="Percent 3 3 3 3 7" xfId="33905"/>
    <cellStyle name="Percent 3 3 3 4" xfId="33906"/>
    <cellStyle name="Percent 3 3 3 4 2" xfId="33907"/>
    <cellStyle name="Percent 3 3 3 4 2 2" xfId="33908"/>
    <cellStyle name="Percent 3 3 3 4 2 2 2" xfId="33909"/>
    <cellStyle name="Percent 3 3 3 4 2 3" xfId="33910"/>
    <cellStyle name="Percent 3 3 3 4 3" xfId="33911"/>
    <cellStyle name="Percent 3 3 3 4 3 2" xfId="33912"/>
    <cellStyle name="Percent 3 3 3 4 4" xfId="33913"/>
    <cellStyle name="Percent 3 3 3 5" xfId="33914"/>
    <cellStyle name="Percent 3 3 3 5 2" xfId="33915"/>
    <cellStyle name="Percent 3 3 3 5 2 2" xfId="33916"/>
    <cellStyle name="Percent 3 3 3 5 3" xfId="33917"/>
    <cellStyle name="Percent 3 3 3 6" xfId="33918"/>
    <cellStyle name="Percent 3 3 3 6 2" xfId="33919"/>
    <cellStyle name="Percent 3 3 3 6 2 2" xfId="33920"/>
    <cellStyle name="Percent 3 3 3 6 3" xfId="33921"/>
    <cellStyle name="Percent 3 3 3 7" xfId="33922"/>
    <cellStyle name="Percent 3 3 3 7 2" xfId="33923"/>
    <cellStyle name="Percent 3 3 3 8" xfId="33924"/>
    <cellStyle name="Percent 3 3 3 8 2" xfId="37484"/>
    <cellStyle name="Percent 3 3 3 9" xfId="33925"/>
    <cellStyle name="Percent 3 3 4" xfId="33926"/>
    <cellStyle name="Percent 3 3 4 2" xfId="33927"/>
    <cellStyle name="Percent 3 3 4 2 2" xfId="33928"/>
    <cellStyle name="Percent 3 3 4 2 2 2" xfId="33929"/>
    <cellStyle name="Percent 3 3 4 2 2 2 2" xfId="33930"/>
    <cellStyle name="Percent 3 3 4 2 2 2 2 2" xfId="33931"/>
    <cellStyle name="Percent 3 3 4 2 2 2 2 3" xfId="33932"/>
    <cellStyle name="Percent 3 3 4 2 2 2 3" xfId="33933"/>
    <cellStyle name="Percent 3 3 4 2 2 2 3 2" xfId="33934"/>
    <cellStyle name="Percent 3 3 4 2 2 2 4" xfId="33935"/>
    <cellStyle name="Percent 3 3 4 2 2 3" xfId="33936"/>
    <cellStyle name="Percent 3 3 4 2 2 3 2" xfId="33937"/>
    <cellStyle name="Percent 3 3 4 2 2 3 2 2" xfId="33938"/>
    <cellStyle name="Percent 3 3 4 2 2 3 3" xfId="33939"/>
    <cellStyle name="Percent 3 3 4 2 2 4" xfId="33940"/>
    <cellStyle name="Percent 3 3 4 2 2 4 2" xfId="33941"/>
    <cellStyle name="Percent 3 3 4 2 2 4 3" xfId="33942"/>
    <cellStyle name="Percent 3 3 4 2 2 5" xfId="33943"/>
    <cellStyle name="Percent 3 3 4 2 2 5 2" xfId="33944"/>
    <cellStyle name="Percent 3 3 4 2 2 6" xfId="33945"/>
    <cellStyle name="Percent 3 3 4 2 2 6 2" xfId="37485"/>
    <cellStyle name="Percent 3 3 4 2 2 7" xfId="33946"/>
    <cellStyle name="Percent 3 3 4 2 3" xfId="33947"/>
    <cellStyle name="Percent 3 3 4 2 3 2" xfId="33948"/>
    <cellStyle name="Percent 3 3 4 2 3 2 2" xfId="33949"/>
    <cellStyle name="Percent 3 3 4 2 3 2 2 2" xfId="33950"/>
    <cellStyle name="Percent 3 3 4 2 3 2 3" xfId="33951"/>
    <cellStyle name="Percent 3 3 4 2 3 3" xfId="33952"/>
    <cellStyle name="Percent 3 3 4 2 3 3 2" xfId="33953"/>
    <cellStyle name="Percent 3 3 4 2 3 4" xfId="33954"/>
    <cellStyle name="Percent 3 3 4 2 4" xfId="33955"/>
    <cellStyle name="Percent 3 3 4 2 4 2" xfId="33956"/>
    <cellStyle name="Percent 3 3 4 2 4 2 2" xfId="33957"/>
    <cellStyle name="Percent 3 3 4 2 4 3" xfId="33958"/>
    <cellStyle name="Percent 3 3 4 2 5" xfId="33959"/>
    <cellStyle name="Percent 3 3 4 2 5 2" xfId="33960"/>
    <cellStyle name="Percent 3 3 4 2 5 2 2" xfId="33961"/>
    <cellStyle name="Percent 3 3 4 2 5 3" xfId="33962"/>
    <cellStyle name="Percent 3 3 4 2 6" xfId="33963"/>
    <cellStyle name="Percent 3 3 4 2 6 2" xfId="33964"/>
    <cellStyle name="Percent 3 3 4 2 7" xfId="33965"/>
    <cellStyle name="Percent 3 3 4 2 7 2" xfId="37486"/>
    <cellStyle name="Percent 3 3 4 2 8" xfId="33966"/>
    <cellStyle name="Percent 3 3 4 3" xfId="33967"/>
    <cellStyle name="Percent 3 3 4 3 2" xfId="33968"/>
    <cellStyle name="Percent 3 3 4 3 2 2" xfId="33969"/>
    <cellStyle name="Percent 3 3 4 3 2 2 2" xfId="33970"/>
    <cellStyle name="Percent 3 3 4 3 2 2 3" xfId="33971"/>
    <cellStyle name="Percent 3 3 4 3 2 3" xfId="33972"/>
    <cellStyle name="Percent 3 3 4 3 2 3 2" xfId="33973"/>
    <cellStyle name="Percent 3 3 4 3 2 4" xfId="33974"/>
    <cellStyle name="Percent 3 3 4 3 3" xfId="33975"/>
    <cellStyle name="Percent 3 3 4 3 3 2" xfId="33976"/>
    <cellStyle name="Percent 3 3 4 3 3 2 2" xfId="33977"/>
    <cellStyle name="Percent 3 3 4 3 3 3" xfId="33978"/>
    <cellStyle name="Percent 3 3 4 3 4" xfId="33979"/>
    <cellStyle name="Percent 3 3 4 3 4 2" xfId="33980"/>
    <cellStyle name="Percent 3 3 4 3 4 3" xfId="33981"/>
    <cellStyle name="Percent 3 3 4 3 5" xfId="33982"/>
    <cellStyle name="Percent 3 3 4 3 5 2" xfId="33983"/>
    <cellStyle name="Percent 3 3 4 3 6" xfId="33984"/>
    <cellStyle name="Percent 3 3 4 3 6 2" xfId="37487"/>
    <cellStyle name="Percent 3 3 4 3 7" xfId="33985"/>
    <cellStyle name="Percent 3 3 4 4" xfId="33986"/>
    <cellStyle name="Percent 3 3 4 4 2" xfId="33987"/>
    <cellStyle name="Percent 3 3 4 4 2 2" xfId="33988"/>
    <cellStyle name="Percent 3 3 4 4 2 2 2" xfId="33989"/>
    <cellStyle name="Percent 3 3 4 4 2 3" xfId="33990"/>
    <cellStyle name="Percent 3 3 4 4 3" xfId="33991"/>
    <cellStyle name="Percent 3 3 4 4 3 2" xfId="33992"/>
    <cellStyle name="Percent 3 3 4 4 4" xfId="33993"/>
    <cellStyle name="Percent 3 3 4 5" xfId="33994"/>
    <cellStyle name="Percent 3 3 4 5 2" xfId="33995"/>
    <cellStyle name="Percent 3 3 4 5 2 2" xfId="33996"/>
    <cellStyle name="Percent 3 3 4 5 3" xfId="33997"/>
    <cellStyle name="Percent 3 3 4 6" xfId="33998"/>
    <cellStyle name="Percent 3 3 4 6 2" xfId="33999"/>
    <cellStyle name="Percent 3 3 4 6 2 2" xfId="34000"/>
    <cellStyle name="Percent 3 3 4 6 3" xfId="34001"/>
    <cellStyle name="Percent 3 3 4 7" xfId="34002"/>
    <cellStyle name="Percent 3 3 4 7 2" xfId="34003"/>
    <cellStyle name="Percent 3 3 4 8" xfId="34004"/>
    <cellStyle name="Percent 3 3 4 8 2" xfId="37488"/>
    <cellStyle name="Percent 3 3 4 9" xfId="34005"/>
    <cellStyle name="Percent 3 3 5" xfId="34006"/>
    <cellStyle name="Percent 3 3 5 2" xfId="34007"/>
    <cellStyle name="Percent 3 3 5 2 2" xfId="34008"/>
    <cellStyle name="Percent 3 3 5 2 2 2" xfId="34009"/>
    <cellStyle name="Percent 3 3 5 2 2 2 2" xfId="34010"/>
    <cellStyle name="Percent 3 3 5 2 2 2 3" xfId="34011"/>
    <cellStyle name="Percent 3 3 5 2 2 3" xfId="34012"/>
    <cellStyle name="Percent 3 3 5 2 2 3 2" xfId="34013"/>
    <cellStyle name="Percent 3 3 5 2 2 4" xfId="34014"/>
    <cellStyle name="Percent 3 3 5 2 3" xfId="34015"/>
    <cellStyle name="Percent 3 3 5 2 3 2" xfId="34016"/>
    <cellStyle name="Percent 3 3 5 2 3 2 2" xfId="34017"/>
    <cellStyle name="Percent 3 3 5 2 3 3" xfId="34018"/>
    <cellStyle name="Percent 3 3 5 2 4" xfId="34019"/>
    <cellStyle name="Percent 3 3 5 2 4 2" xfId="34020"/>
    <cellStyle name="Percent 3 3 5 2 4 3" xfId="34021"/>
    <cellStyle name="Percent 3 3 5 2 5" xfId="34022"/>
    <cellStyle name="Percent 3 3 5 2 5 2" xfId="34023"/>
    <cellStyle name="Percent 3 3 5 2 6" xfId="34024"/>
    <cellStyle name="Percent 3 3 5 2 6 2" xfId="37489"/>
    <cellStyle name="Percent 3 3 5 2 7" xfId="34025"/>
    <cellStyle name="Percent 3 3 5 3" xfId="34026"/>
    <cellStyle name="Percent 3 3 5 3 2" xfId="34027"/>
    <cellStyle name="Percent 3 3 5 3 2 2" xfId="34028"/>
    <cellStyle name="Percent 3 3 5 3 2 2 2" xfId="34029"/>
    <cellStyle name="Percent 3 3 5 3 2 3" xfId="34030"/>
    <cellStyle name="Percent 3 3 5 3 3" xfId="34031"/>
    <cellStyle name="Percent 3 3 5 3 3 2" xfId="34032"/>
    <cellStyle name="Percent 3 3 5 3 4" xfId="34033"/>
    <cellStyle name="Percent 3 3 5 4" xfId="34034"/>
    <cellStyle name="Percent 3 3 5 4 2" xfId="34035"/>
    <cellStyle name="Percent 3 3 5 4 2 2" xfId="34036"/>
    <cellStyle name="Percent 3 3 5 4 3" xfId="34037"/>
    <cellStyle name="Percent 3 3 5 5" xfId="34038"/>
    <cellStyle name="Percent 3 3 5 5 2" xfId="34039"/>
    <cellStyle name="Percent 3 3 5 5 2 2" xfId="34040"/>
    <cellStyle name="Percent 3 3 5 5 3" xfId="34041"/>
    <cellStyle name="Percent 3 3 5 6" xfId="34042"/>
    <cellStyle name="Percent 3 3 5 6 2" xfId="34043"/>
    <cellStyle name="Percent 3 3 5 7" xfId="34044"/>
    <cellStyle name="Percent 3 3 5 7 2" xfId="37490"/>
    <cellStyle name="Percent 3 3 5 8" xfId="34045"/>
    <cellStyle name="Percent 3 3 6" xfId="34046"/>
    <cellStyle name="Percent 3 3 6 2" xfId="34047"/>
    <cellStyle name="Percent 3 3 6 2 2" xfId="34048"/>
    <cellStyle name="Percent 3 3 6 2 2 2" xfId="34049"/>
    <cellStyle name="Percent 3 3 6 2 2 2 2" xfId="34050"/>
    <cellStyle name="Percent 3 3 6 2 2 2 3" xfId="34051"/>
    <cellStyle name="Percent 3 3 6 2 2 3" xfId="34052"/>
    <cellStyle name="Percent 3 3 6 2 2 3 2" xfId="34053"/>
    <cellStyle name="Percent 3 3 6 2 2 4" xfId="34054"/>
    <cellStyle name="Percent 3 3 6 2 3" xfId="34055"/>
    <cellStyle name="Percent 3 3 6 2 3 2" xfId="34056"/>
    <cellStyle name="Percent 3 3 6 2 3 2 2" xfId="34057"/>
    <cellStyle name="Percent 3 3 6 2 3 3" xfId="34058"/>
    <cellStyle name="Percent 3 3 6 2 4" xfId="34059"/>
    <cellStyle name="Percent 3 3 6 2 4 2" xfId="34060"/>
    <cellStyle name="Percent 3 3 6 2 4 3" xfId="34061"/>
    <cellStyle name="Percent 3 3 6 2 5" xfId="34062"/>
    <cellStyle name="Percent 3 3 6 2 5 2" xfId="34063"/>
    <cellStyle name="Percent 3 3 6 2 6" xfId="34064"/>
    <cellStyle name="Percent 3 3 6 2 6 2" xfId="37491"/>
    <cellStyle name="Percent 3 3 6 2 7" xfId="34065"/>
    <cellStyle name="Percent 3 3 6 3" xfId="34066"/>
    <cellStyle name="Percent 3 3 6 3 2" xfId="34067"/>
    <cellStyle name="Percent 3 3 6 3 2 2" xfId="34068"/>
    <cellStyle name="Percent 3 3 6 3 2 2 2" xfId="34069"/>
    <cellStyle name="Percent 3 3 6 3 2 3" xfId="34070"/>
    <cellStyle name="Percent 3 3 6 3 3" xfId="34071"/>
    <cellStyle name="Percent 3 3 6 3 3 2" xfId="34072"/>
    <cellStyle name="Percent 3 3 6 3 4" xfId="34073"/>
    <cellStyle name="Percent 3 3 6 4" xfId="34074"/>
    <cellStyle name="Percent 3 3 6 4 2" xfId="34075"/>
    <cellStyle name="Percent 3 3 6 4 2 2" xfId="34076"/>
    <cellStyle name="Percent 3 3 6 4 3" xfId="34077"/>
    <cellStyle name="Percent 3 3 6 5" xfId="34078"/>
    <cellStyle name="Percent 3 3 6 5 2" xfId="34079"/>
    <cellStyle name="Percent 3 3 6 5 2 2" xfId="34080"/>
    <cellStyle name="Percent 3 3 6 5 3" xfId="34081"/>
    <cellStyle name="Percent 3 3 6 6" xfId="34082"/>
    <cellStyle name="Percent 3 3 6 6 2" xfId="34083"/>
    <cellStyle name="Percent 3 3 6 7" xfId="34084"/>
    <cellStyle name="Percent 3 3 6 7 2" xfId="37492"/>
    <cellStyle name="Percent 3 3 6 8" xfId="34085"/>
    <cellStyle name="Percent 3 3 7" xfId="34086"/>
    <cellStyle name="Percent 3 3 7 2" xfId="34087"/>
    <cellStyle name="Percent 3 3 7 2 2" xfId="34088"/>
    <cellStyle name="Percent 3 3 7 2 2 2" xfId="34089"/>
    <cellStyle name="Percent 3 3 7 2 2 2 2" xfId="34090"/>
    <cellStyle name="Percent 3 3 7 2 2 2 3" xfId="34091"/>
    <cellStyle name="Percent 3 3 7 2 2 3" xfId="34092"/>
    <cellStyle name="Percent 3 3 7 2 2 3 2" xfId="34093"/>
    <cellStyle name="Percent 3 3 7 2 2 4" xfId="34094"/>
    <cellStyle name="Percent 3 3 7 2 3" xfId="34095"/>
    <cellStyle name="Percent 3 3 7 2 3 2" xfId="34096"/>
    <cellStyle name="Percent 3 3 7 2 3 2 2" xfId="34097"/>
    <cellStyle name="Percent 3 3 7 2 3 3" xfId="34098"/>
    <cellStyle name="Percent 3 3 7 2 4" xfId="34099"/>
    <cellStyle name="Percent 3 3 7 2 4 2" xfId="34100"/>
    <cellStyle name="Percent 3 3 7 2 4 3" xfId="34101"/>
    <cellStyle name="Percent 3 3 7 2 5" xfId="34102"/>
    <cellStyle name="Percent 3 3 7 2 5 2" xfId="34103"/>
    <cellStyle name="Percent 3 3 7 2 6" xfId="34104"/>
    <cellStyle name="Percent 3 3 7 2 6 2" xfId="37493"/>
    <cellStyle name="Percent 3 3 7 2 7" xfId="34105"/>
    <cellStyle name="Percent 3 3 7 3" xfId="34106"/>
    <cellStyle name="Percent 3 3 7 3 2" xfId="34107"/>
    <cellStyle name="Percent 3 3 7 3 2 2" xfId="34108"/>
    <cellStyle name="Percent 3 3 7 3 2 2 2" xfId="34109"/>
    <cellStyle name="Percent 3 3 7 3 2 3" xfId="34110"/>
    <cellStyle name="Percent 3 3 7 3 3" xfId="34111"/>
    <cellStyle name="Percent 3 3 7 3 3 2" xfId="34112"/>
    <cellStyle name="Percent 3 3 7 3 4" xfId="34113"/>
    <cellStyle name="Percent 3 3 7 4" xfId="34114"/>
    <cellStyle name="Percent 3 3 7 4 2" xfId="34115"/>
    <cellStyle name="Percent 3 3 7 4 2 2" xfId="34116"/>
    <cellStyle name="Percent 3 3 7 4 3" xfId="34117"/>
    <cellStyle name="Percent 3 3 7 5" xfId="34118"/>
    <cellStyle name="Percent 3 3 7 5 2" xfId="34119"/>
    <cellStyle name="Percent 3 3 7 5 2 2" xfId="34120"/>
    <cellStyle name="Percent 3 3 7 5 3" xfId="34121"/>
    <cellStyle name="Percent 3 3 7 6" xfId="34122"/>
    <cellStyle name="Percent 3 3 7 6 2" xfId="34123"/>
    <cellStyle name="Percent 3 3 7 7" xfId="34124"/>
    <cellStyle name="Percent 3 3 7 7 2" xfId="37494"/>
    <cellStyle name="Percent 3 3 7 8" xfId="34125"/>
    <cellStyle name="Percent 3 3 8" xfId="34126"/>
    <cellStyle name="Percent 3 3 8 2" xfId="34127"/>
    <cellStyle name="Percent 3 3 8 2 2" xfId="34128"/>
    <cellStyle name="Percent 3 3 8 2 2 2" xfId="34129"/>
    <cellStyle name="Percent 3 3 8 2 2 3" xfId="34130"/>
    <cellStyle name="Percent 3 3 8 2 3" xfId="34131"/>
    <cellStyle name="Percent 3 3 8 2 3 2" xfId="34132"/>
    <cellStyle name="Percent 3 3 8 2 4" xfId="34133"/>
    <cellStyle name="Percent 3 3 8 3" xfId="34134"/>
    <cellStyle name="Percent 3 3 8 3 2" xfId="34135"/>
    <cellStyle name="Percent 3 3 8 3 2 2" xfId="34136"/>
    <cellStyle name="Percent 3 3 8 3 3" xfId="34137"/>
    <cellStyle name="Percent 3 3 8 4" xfId="34138"/>
    <cellStyle name="Percent 3 3 8 4 2" xfId="34139"/>
    <cellStyle name="Percent 3 3 8 4 3" xfId="34140"/>
    <cellStyle name="Percent 3 3 8 5" xfId="34141"/>
    <cellStyle name="Percent 3 3 8 5 2" xfId="34142"/>
    <cellStyle name="Percent 3 3 8 6" xfId="34143"/>
    <cellStyle name="Percent 3 3 8 6 2" xfId="37495"/>
    <cellStyle name="Percent 3 3 8 7" xfId="34144"/>
    <cellStyle name="Percent 3 3 9" xfId="34145"/>
    <cellStyle name="Percent 3 3 9 2" xfId="34146"/>
    <cellStyle name="Percent 3 3 9 2 2" xfId="34147"/>
    <cellStyle name="Percent 3 3 9 2 2 2" xfId="34148"/>
    <cellStyle name="Percent 3 3 9 2 3" xfId="34149"/>
    <cellStyle name="Percent 3 3 9 3" xfId="34150"/>
    <cellStyle name="Percent 3 3 9 3 2" xfId="34151"/>
    <cellStyle name="Percent 3 3 9 4" xfId="34152"/>
    <cellStyle name="Percent 3 4" xfId="34153"/>
    <cellStyle name="Percent 3 4 10" xfId="34154"/>
    <cellStyle name="Percent 3 4 10 2" xfId="34155"/>
    <cellStyle name="Percent 3 4 10 2 2" xfId="34156"/>
    <cellStyle name="Percent 3 4 10 3" xfId="34157"/>
    <cellStyle name="Percent 3 4 11" xfId="34158"/>
    <cellStyle name="Percent 3 4 11 2" xfId="34159"/>
    <cellStyle name="Percent 3 4 11 2 2" xfId="34160"/>
    <cellStyle name="Percent 3 4 11 3" xfId="34161"/>
    <cellStyle name="Percent 3 4 12" xfId="34162"/>
    <cellStyle name="Percent 3 4 12 2" xfId="34163"/>
    <cellStyle name="Percent 3 4 13" xfId="34164"/>
    <cellStyle name="Percent 3 4 13 2" xfId="37496"/>
    <cellStyle name="Percent 3 4 14" xfId="34165"/>
    <cellStyle name="Percent 3 4 2" xfId="34166"/>
    <cellStyle name="Percent 3 4 2 10" xfId="34167"/>
    <cellStyle name="Percent 3 4 2 2" xfId="34168"/>
    <cellStyle name="Percent 3 4 2 2 2" xfId="34169"/>
    <cellStyle name="Percent 3 4 2 2 2 2" xfId="34170"/>
    <cellStyle name="Percent 3 4 2 2 2 2 2" xfId="34171"/>
    <cellStyle name="Percent 3 4 2 2 2 2 2 2" xfId="34172"/>
    <cellStyle name="Percent 3 4 2 2 2 2 2 2 2" xfId="34173"/>
    <cellStyle name="Percent 3 4 2 2 2 2 2 2 3" xfId="34174"/>
    <cellStyle name="Percent 3 4 2 2 2 2 2 3" xfId="34175"/>
    <cellStyle name="Percent 3 4 2 2 2 2 2 3 2" xfId="34176"/>
    <cellStyle name="Percent 3 4 2 2 2 2 2 4" xfId="34177"/>
    <cellStyle name="Percent 3 4 2 2 2 2 3" xfId="34178"/>
    <cellStyle name="Percent 3 4 2 2 2 2 3 2" xfId="34179"/>
    <cellStyle name="Percent 3 4 2 2 2 2 3 2 2" xfId="34180"/>
    <cellStyle name="Percent 3 4 2 2 2 2 3 3" xfId="34181"/>
    <cellStyle name="Percent 3 4 2 2 2 2 4" xfId="34182"/>
    <cellStyle name="Percent 3 4 2 2 2 2 4 2" xfId="34183"/>
    <cellStyle name="Percent 3 4 2 2 2 2 4 3" xfId="34184"/>
    <cellStyle name="Percent 3 4 2 2 2 2 5" xfId="34185"/>
    <cellStyle name="Percent 3 4 2 2 2 2 5 2" xfId="34186"/>
    <cellStyle name="Percent 3 4 2 2 2 2 6" xfId="34187"/>
    <cellStyle name="Percent 3 4 2 2 2 2 6 2" xfId="37497"/>
    <cellStyle name="Percent 3 4 2 2 2 2 7" xfId="34188"/>
    <cellStyle name="Percent 3 4 2 2 2 3" xfId="34189"/>
    <cellStyle name="Percent 3 4 2 2 2 3 2" xfId="34190"/>
    <cellStyle name="Percent 3 4 2 2 2 3 2 2" xfId="34191"/>
    <cellStyle name="Percent 3 4 2 2 2 3 2 2 2" xfId="34192"/>
    <cellStyle name="Percent 3 4 2 2 2 3 2 3" xfId="34193"/>
    <cellStyle name="Percent 3 4 2 2 2 3 3" xfId="34194"/>
    <cellStyle name="Percent 3 4 2 2 2 3 3 2" xfId="34195"/>
    <cellStyle name="Percent 3 4 2 2 2 3 4" xfId="34196"/>
    <cellStyle name="Percent 3 4 2 2 2 4" xfId="34197"/>
    <cellStyle name="Percent 3 4 2 2 2 4 2" xfId="34198"/>
    <cellStyle name="Percent 3 4 2 2 2 4 2 2" xfId="34199"/>
    <cellStyle name="Percent 3 4 2 2 2 4 3" xfId="34200"/>
    <cellStyle name="Percent 3 4 2 2 2 5" xfId="34201"/>
    <cellStyle name="Percent 3 4 2 2 2 5 2" xfId="34202"/>
    <cellStyle name="Percent 3 4 2 2 2 5 2 2" xfId="34203"/>
    <cellStyle name="Percent 3 4 2 2 2 5 3" xfId="34204"/>
    <cellStyle name="Percent 3 4 2 2 2 6" xfId="34205"/>
    <cellStyle name="Percent 3 4 2 2 2 6 2" xfId="34206"/>
    <cellStyle name="Percent 3 4 2 2 2 7" xfId="34207"/>
    <cellStyle name="Percent 3 4 2 2 2 7 2" xfId="37498"/>
    <cellStyle name="Percent 3 4 2 2 2 8" xfId="34208"/>
    <cellStyle name="Percent 3 4 2 2 3" xfId="34209"/>
    <cellStyle name="Percent 3 4 2 2 3 2" xfId="34210"/>
    <cellStyle name="Percent 3 4 2 2 3 2 2" xfId="34211"/>
    <cellStyle name="Percent 3 4 2 2 3 2 2 2" xfId="34212"/>
    <cellStyle name="Percent 3 4 2 2 3 2 2 3" xfId="34213"/>
    <cellStyle name="Percent 3 4 2 2 3 2 3" xfId="34214"/>
    <cellStyle name="Percent 3 4 2 2 3 2 3 2" xfId="34215"/>
    <cellStyle name="Percent 3 4 2 2 3 2 4" xfId="34216"/>
    <cellStyle name="Percent 3 4 2 2 3 3" xfId="34217"/>
    <cellStyle name="Percent 3 4 2 2 3 3 2" xfId="34218"/>
    <cellStyle name="Percent 3 4 2 2 3 3 2 2" xfId="34219"/>
    <cellStyle name="Percent 3 4 2 2 3 3 3" xfId="34220"/>
    <cellStyle name="Percent 3 4 2 2 3 4" xfId="34221"/>
    <cellStyle name="Percent 3 4 2 2 3 4 2" xfId="34222"/>
    <cellStyle name="Percent 3 4 2 2 3 4 3" xfId="34223"/>
    <cellStyle name="Percent 3 4 2 2 3 5" xfId="34224"/>
    <cellStyle name="Percent 3 4 2 2 3 5 2" xfId="34225"/>
    <cellStyle name="Percent 3 4 2 2 3 6" xfId="34226"/>
    <cellStyle name="Percent 3 4 2 2 3 6 2" xfId="37499"/>
    <cellStyle name="Percent 3 4 2 2 3 7" xfId="34227"/>
    <cellStyle name="Percent 3 4 2 2 4" xfId="34228"/>
    <cellStyle name="Percent 3 4 2 2 4 2" xfId="34229"/>
    <cellStyle name="Percent 3 4 2 2 4 2 2" xfId="34230"/>
    <cellStyle name="Percent 3 4 2 2 4 2 2 2" xfId="34231"/>
    <cellStyle name="Percent 3 4 2 2 4 2 3" xfId="34232"/>
    <cellStyle name="Percent 3 4 2 2 4 3" xfId="34233"/>
    <cellStyle name="Percent 3 4 2 2 4 3 2" xfId="34234"/>
    <cellStyle name="Percent 3 4 2 2 4 4" xfId="34235"/>
    <cellStyle name="Percent 3 4 2 2 5" xfId="34236"/>
    <cellStyle name="Percent 3 4 2 2 5 2" xfId="34237"/>
    <cellStyle name="Percent 3 4 2 2 5 2 2" xfId="34238"/>
    <cellStyle name="Percent 3 4 2 2 5 3" xfId="34239"/>
    <cellStyle name="Percent 3 4 2 2 6" xfId="34240"/>
    <cellStyle name="Percent 3 4 2 2 6 2" xfId="34241"/>
    <cellStyle name="Percent 3 4 2 2 6 2 2" xfId="34242"/>
    <cellStyle name="Percent 3 4 2 2 6 3" xfId="34243"/>
    <cellStyle name="Percent 3 4 2 2 7" xfId="34244"/>
    <cellStyle name="Percent 3 4 2 2 7 2" xfId="34245"/>
    <cellStyle name="Percent 3 4 2 2 8" xfId="34246"/>
    <cellStyle name="Percent 3 4 2 2 8 2" xfId="37500"/>
    <cellStyle name="Percent 3 4 2 2 9" xfId="34247"/>
    <cellStyle name="Percent 3 4 2 3" xfId="34248"/>
    <cellStyle name="Percent 3 4 2 3 2" xfId="34249"/>
    <cellStyle name="Percent 3 4 2 3 2 2" xfId="34250"/>
    <cellStyle name="Percent 3 4 2 3 2 2 2" xfId="34251"/>
    <cellStyle name="Percent 3 4 2 3 2 2 2 2" xfId="34252"/>
    <cellStyle name="Percent 3 4 2 3 2 2 2 3" xfId="34253"/>
    <cellStyle name="Percent 3 4 2 3 2 2 3" xfId="34254"/>
    <cellStyle name="Percent 3 4 2 3 2 2 3 2" xfId="34255"/>
    <cellStyle name="Percent 3 4 2 3 2 2 4" xfId="34256"/>
    <cellStyle name="Percent 3 4 2 3 2 3" xfId="34257"/>
    <cellStyle name="Percent 3 4 2 3 2 3 2" xfId="34258"/>
    <cellStyle name="Percent 3 4 2 3 2 3 2 2" xfId="34259"/>
    <cellStyle name="Percent 3 4 2 3 2 3 3" xfId="34260"/>
    <cellStyle name="Percent 3 4 2 3 2 4" xfId="34261"/>
    <cellStyle name="Percent 3 4 2 3 2 4 2" xfId="34262"/>
    <cellStyle name="Percent 3 4 2 3 2 4 3" xfId="34263"/>
    <cellStyle name="Percent 3 4 2 3 2 5" xfId="34264"/>
    <cellStyle name="Percent 3 4 2 3 2 5 2" xfId="34265"/>
    <cellStyle name="Percent 3 4 2 3 2 6" xfId="34266"/>
    <cellStyle name="Percent 3 4 2 3 2 6 2" xfId="37501"/>
    <cellStyle name="Percent 3 4 2 3 2 7" xfId="34267"/>
    <cellStyle name="Percent 3 4 2 3 3" xfId="34268"/>
    <cellStyle name="Percent 3 4 2 3 3 2" xfId="34269"/>
    <cellStyle name="Percent 3 4 2 3 3 2 2" xfId="34270"/>
    <cellStyle name="Percent 3 4 2 3 3 2 2 2" xfId="34271"/>
    <cellStyle name="Percent 3 4 2 3 3 2 3" xfId="34272"/>
    <cellStyle name="Percent 3 4 2 3 3 3" xfId="34273"/>
    <cellStyle name="Percent 3 4 2 3 3 3 2" xfId="34274"/>
    <cellStyle name="Percent 3 4 2 3 3 4" xfId="34275"/>
    <cellStyle name="Percent 3 4 2 3 4" xfId="34276"/>
    <cellStyle name="Percent 3 4 2 3 4 2" xfId="34277"/>
    <cellStyle name="Percent 3 4 2 3 4 2 2" xfId="34278"/>
    <cellStyle name="Percent 3 4 2 3 4 3" xfId="34279"/>
    <cellStyle name="Percent 3 4 2 3 5" xfId="34280"/>
    <cellStyle name="Percent 3 4 2 3 5 2" xfId="34281"/>
    <cellStyle name="Percent 3 4 2 3 5 2 2" xfId="34282"/>
    <cellStyle name="Percent 3 4 2 3 5 3" xfId="34283"/>
    <cellStyle name="Percent 3 4 2 3 6" xfId="34284"/>
    <cellStyle name="Percent 3 4 2 3 6 2" xfId="34285"/>
    <cellStyle name="Percent 3 4 2 3 7" xfId="34286"/>
    <cellStyle name="Percent 3 4 2 3 7 2" xfId="37502"/>
    <cellStyle name="Percent 3 4 2 3 8" xfId="34287"/>
    <cellStyle name="Percent 3 4 2 4" xfId="34288"/>
    <cellStyle name="Percent 3 4 2 4 2" xfId="34289"/>
    <cellStyle name="Percent 3 4 2 4 2 2" xfId="34290"/>
    <cellStyle name="Percent 3 4 2 4 2 2 2" xfId="34291"/>
    <cellStyle name="Percent 3 4 2 4 2 2 3" xfId="34292"/>
    <cellStyle name="Percent 3 4 2 4 2 3" xfId="34293"/>
    <cellStyle name="Percent 3 4 2 4 2 3 2" xfId="34294"/>
    <cellStyle name="Percent 3 4 2 4 2 4" xfId="34295"/>
    <cellStyle name="Percent 3 4 2 4 3" xfId="34296"/>
    <cellStyle name="Percent 3 4 2 4 3 2" xfId="34297"/>
    <cellStyle name="Percent 3 4 2 4 3 2 2" xfId="34298"/>
    <cellStyle name="Percent 3 4 2 4 3 3" xfId="34299"/>
    <cellStyle name="Percent 3 4 2 4 4" xfId="34300"/>
    <cellStyle name="Percent 3 4 2 4 4 2" xfId="34301"/>
    <cellStyle name="Percent 3 4 2 4 4 3" xfId="34302"/>
    <cellStyle name="Percent 3 4 2 4 5" xfId="34303"/>
    <cellStyle name="Percent 3 4 2 4 5 2" xfId="34304"/>
    <cellStyle name="Percent 3 4 2 4 6" xfId="34305"/>
    <cellStyle name="Percent 3 4 2 4 6 2" xfId="37503"/>
    <cellStyle name="Percent 3 4 2 4 7" xfId="34306"/>
    <cellStyle name="Percent 3 4 2 5" xfId="34307"/>
    <cellStyle name="Percent 3 4 2 5 2" xfId="34308"/>
    <cellStyle name="Percent 3 4 2 5 2 2" xfId="34309"/>
    <cellStyle name="Percent 3 4 2 5 2 2 2" xfId="34310"/>
    <cellStyle name="Percent 3 4 2 5 2 3" xfId="34311"/>
    <cellStyle name="Percent 3 4 2 5 3" xfId="34312"/>
    <cellStyle name="Percent 3 4 2 5 3 2" xfId="34313"/>
    <cellStyle name="Percent 3 4 2 5 4" xfId="34314"/>
    <cellStyle name="Percent 3 4 2 6" xfId="34315"/>
    <cellStyle name="Percent 3 4 2 6 2" xfId="34316"/>
    <cellStyle name="Percent 3 4 2 6 2 2" xfId="34317"/>
    <cellStyle name="Percent 3 4 2 6 3" xfId="34318"/>
    <cellStyle name="Percent 3 4 2 7" xfId="34319"/>
    <cellStyle name="Percent 3 4 2 7 2" xfId="34320"/>
    <cellStyle name="Percent 3 4 2 7 2 2" xfId="34321"/>
    <cellStyle name="Percent 3 4 2 7 3" xfId="34322"/>
    <cellStyle name="Percent 3 4 2 8" xfId="34323"/>
    <cellStyle name="Percent 3 4 2 8 2" xfId="34324"/>
    <cellStyle name="Percent 3 4 2 9" xfId="34325"/>
    <cellStyle name="Percent 3 4 2 9 2" xfId="37504"/>
    <cellStyle name="Percent 3 4 3" xfId="34326"/>
    <cellStyle name="Percent 3 4 3 2" xfId="34327"/>
    <cellStyle name="Percent 3 4 3 2 2" xfId="34328"/>
    <cellStyle name="Percent 3 4 3 2 2 2" xfId="34329"/>
    <cellStyle name="Percent 3 4 3 2 2 2 2" xfId="34330"/>
    <cellStyle name="Percent 3 4 3 2 2 2 2 2" xfId="34331"/>
    <cellStyle name="Percent 3 4 3 2 2 2 2 3" xfId="34332"/>
    <cellStyle name="Percent 3 4 3 2 2 2 3" xfId="34333"/>
    <cellStyle name="Percent 3 4 3 2 2 2 3 2" xfId="34334"/>
    <cellStyle name="Percent 3 4 3 2 2 2 4" xfId="34335"/>
    <cellStyle name="Percent 3 4 3 2 2 3" xfId="34336"/>
    <cellStyle name="Percent 3 4 3 2 2 3 2" xfId="34337"/>
    <cellStyle name="Percent 3 4 3 2 2 3 2 2" xfId="34338"/>
    <cellStyle name="Percent 3 4 3 2 2 3 3" xfId="34339"/>
    <cellStyle name="Percent 3 4 3 2 2 4" xfId="34340"/>
    <cellStyle name="Percent 3 4 3 2 2 4 2" xfId="34341"/>
    <cellStyle name="Percent 3 4 3 2 2 4 3" xfId="34342"/>
    <cellStyle name="Percent 3 4 3 2 2 5" xfId="34343"/>
    <cellStyle name="Percent 3 4 3 2 2 5 2" xfId="34344"/>
    <cellStyle name="Percent 3 4 3 2 2 6" xfId="34345"/>
    <cellStyle name="Percent 3 4 3 2 2 6 2" xfId="37505"/>
    <cellStyle name="Percent 3 4 3 2 2 7" xfId="34346"/>
    <cellStyle name="Percent 3 4 3 2 3" xfId="34347"/>
    <cellStyle name="Percent 3 4 3 2 3 2" xfId="34348"/>
    <cellStyle name="Percent 3 4 3 2 3 2 2" xfId="34349"/>
    <cellStyle name="Percent 3 4 3 2 3 2 2 2" xfId="34350"/>
    <cellStyle name="Percent 3 4 3 2 3 2 3" xfId="34351"/>
    <cellStyle name="Percent 3 4 3 2 3 3" xfId="34352"/>
    <cellStyle name="Percent 3 4 3 2 3 3 2" xfId="34353"/>
    <cellStyle name="Percent 3 4 3 2 3 4" xfId="34354"/>
    <cellStyle name="Percent 3 4 3 2 4" xfId="34355"/>
    <cellStyle name="Percent 3 4 3 2 4 2" xfId="34356"/>
    <cellStyle name="Percent 3 4 3 2 4 2 2" xfId="34357"/>
    <cellStyle name="Percent 3 4 3 2 4 3" xfId="34358"/>
    <cellStyle name="Percent 3 4 3 2 5" xfId="34359"/>
    <cellStyle name="Percent 3 4 3 2 5 2" xfId="34360"/>
    <cellStyle name="Percent 3 4 3 2 5 2 2" xfId="34361"/>
    <cellStyle name="Percent 3 4 3 2 5 3" xfId="34362"/>
    <cellStyle name="Percent 3 4 3 2 6" xfId="34363"/>
    <cellStyle name="Percent 3 4 3 2 6 2" xfId="34364"/>
    <cellStyle name="Percent 3 4 3 2 7" xfId="34365"/>
    <cellStyle name="Percent 3 4 3 2 7 2" xfId="37506"/>
    <cellStyle name="Percent 3 4 3 2 8" xfId="34366"/>
    <cellStyle name="Percent 3 4 3 3" xfId="34367"/>
    <cellStyle name="Percent 3 4 3 3 2" xfId="34368"/>
    <cellStyle name="Percent 3 4 3 3 2 2" xfId="34369"/>
    <cellStyle name="Percent 3 4 3 3 2 2 2" xfId="34370"/>
    <cellStyle name="Percent 3 4 3 3 2 2 3" xfId="34371"/>
    <cellStyle name="Percent 3 4 3 3 2 3" xfId="34372"/>
    <cellStyle name="Percent 3 4 3 3 2 3 2" xfId="34373"/>
    <cellStyle name="Percent 3 4 3 3 2 4" xfId="34374"/>
    <cellStyle name="Percent 3 4 3 3 3" xfId="34375"/>
    <cellStyle name="Percent 3 4 3 3 3 2" xfId="34376"/>
    <cellStyle name="Percent 3 4 3 3 3 2 2" xfId="34377"/>
    <cellStyle name="Percent 3 4 3 3 3 3" xfId="34378"/>
    <cellStyle name="Percent 3 4 3 3 4" xfId="34379"/>
    <cellStyle name="Percent 3 4 3 3 4 2" xfId="34380"/>
    <cellStyle name="Percent 3 4 3 3 4 3" xfId="34381"/>
    <cellStyle name="Percent 3 4 3 3 5" xfId="34382"/>
    <cellStyle name="Percent 3 4 3 3 5 2" xfId="34383"/>
    <cellStyle name="Percent 3 4 3 3 6" xfId="34384"/>
    <cellStyle name="Percent 3 4 3 3 6 2" xfId="37507"/>
    <cellStyle name="Percent 3 4 3 3 7" xfId="34385"/>
    <cellStyle name="Percent 3 4 3 4" xfId="34386"/>
    <cellStyle name="Percent 3 4 3 4 2" xfId="34387"/>
    <cellStyle name="Percent 3 4 3 4 2 2" xfId="34388"/>
    <cellStyle name="Percent 3 4 3 4 2 2 2" xfId="34389"/>
    <cellStyle name="Percent 3 4 3 4 2 3" xfId="34390"/>
    <cellStyle name="Percent 3 4 3 4 3" xfId="34391"/>
    <cellStyle name="Percent 3 4 3 4 3 2" xfId="34392"/>
    <cellStyle name="Percent 3 4 3 4 4" xfId="34393"/>
    <cellStyle name="Percent 3 4 3 5" xfId="34394"/>
    <cellStyle name="Percent 3 4 3 5 2" xfId="34395"/>
    <cellStyle name="Percent 3 4 3 5 2 2" xfId="34396"/>
    <cellStyle name="Percent 3 4 3 5 3" xfId="34397"/>
    <cellStyle name="Percent 3 4 3 6" xfId="34398"/>
    <cellStyle name="Percent 3 4 3 6 2" xfId="34399"/>
    <cellStyle name="Percent 3 4 3 6 2 2" xfId="34400"/>
    <cellStyle name="Percent 3 4 3 6 3" xfId="34401"/>
    <cellStyle name="Percent 3 4 3 7" xfId="34402"/>
    <cellStyle name="Percent 3 4 3 7 2" xfId="34403"/>
    <cellStyle name="Percent 3 4 3 8" xfId="34404"/>
    <cellStyle name="Percent 3 4 3 8 2" xfId="37508"/>
    <cellStyle name="Percent 3 4 3 9" xfId="34405"/>
    <cellStyle name="Percent 3 4 4" xfId="34406"/>
    <cellStyle name="Percent 3 4 4 2" xfId="34407"/>
    <cellStyle name="Percent 3 4 4 2 2" xfId="34408"/>
    <cellStyle name="Percent 3 4 4 2 2 2" xfId="34409"/>
    <cellStyle name="Percent 3 4 4 2 2 2 2" xfId="34410"/>
    <cellStyle name="Percent 3 4 4 2 2 2 2 2" xfId="34411"/>
    <cellStyle name="Percent 3 4 4 2 2 2 2 3" xfId="34412"/>
    <cellStyle name="Percent 3 4 4 2 2 2 3" xfId="34413"/>
    <cellStyle name="Percent 3 4 4 2 2 2 3 2" xfId="34414"/>
    <cellStyle name="Percent 3 4 4 2 2 2 4" xfId="34415"/>
    <cellStyle name="Percent 3 4 4 2 2 3" xfId="34416"/>
    <cellStyle name="Percent 3 4 4 2 2 3 2" xfId="34417"/>
    <cellStyle name="Percent 3 4 4 2 2 3 2 2" xfId="34418"/>
    <cellStyle name="Percent 3 4 4 2 2 3 3" xfId="34419"/>
    <cellStyle name="Percent 3 4 4 2 2 4" xfId="34420"/>
    <cellStyle name="Percent 3 4 4 2 2 4 2" xfId="34421"/>
    <cellStyle name="Percent 3 4 4 2 2 4 3" xfId="34422"/>
    <cellStyle name="Percent 3 4 4 2 2 5" xfId="34423"/>
    <cellStyle name="Percent 3 4 4 2 2 5 2" xfId="34424"/>
    <cellStyle name="Percent 3 4 4 2 2 6" xfId="34425"/>
    <cellStyle name="Percent 3 4 4 2 2 6 2" xfId="37509"/>
    <cellStyle name="Percent 3 4 4 2 2 7" xfId="34426"/>
    <cellStyle name="Percent 3 4 4 2 3" xfId="34427"/>
    <cellStyle name="Percent 3 4 4 2 3 2" xfId="34428"/>
    <cellStyle name="Percent 3 4 4 2 3 2 2" xfId="34429"/>
    <cellStyle name="Percent 3 4 4 2 3 2 2 2" xfId="34430"/>
    <cellStyle name="Percent 3 4 4 2 3 2 3" xfId="34431"/>
    <cellStyle name="Percent 3 4 4 2 3 3" xfId="34432"/>
    <cellStyle name="Percent 3 4 4 2 3 3 2" xfId="34433"/>
    <cellStyle name="Percent 3 4 4 2 3 4" xfId="34434"/>
    <cellStyle name="Percent 3 4 4 2 4" xfId="34435"/>
    <cellStyle name="Percent 3 4 4 2 4 2" xfId="34436"/>
    <cellStyle name="Percent 3 4 4 2 4 2 2" xfId="34437"/>
    <cellStyle name="Percent 3 4 4 2 4 3" xfId="34438"/>
    <cellStyle name="Percent 3 4 4 2 5" xfId="34439"/>
    <cellStyle name="Percent 3 4 4 2 5 2" xfId="34440"/>
    <cellStyle name="Percent 3 4 4 2 5 2 2" xfId="34441"/>
    <cellStyle name="Percent 3 4 4 2 5 3" xfId="34442"/>
    <cellStyle name="Percent 3 4 4 2 6" xfId="34443"/>
    <cellStyle name="Percent 3 4 4 2 6 2" xfId="34444"/>
    <cellStyle name="Percent 3 4 4 2 7" xfId="34445"/>
    <cellStyle name="Percent 3 4 4 2 7 2" xfId="37510"/>
    <cellStyle name="Percent 3 4 4 2 8" xfId="34446"/>
    <cellStyle name="Percent 3 4 4 3" xfId="34447"/>
    <cellStyle name="Percent 3 4 4 3 2" xfId="34448"/>
    <cellStyle name="Percent 3 4 4 3 2 2" xfId="34449"/>
    <cellStyle name="Percent 3 4 4 3 2 2 2" xfId="34450"/>
    <cellStyle name="Percent 3 4 4 3 2 2 3" xfId="34451"/>
    <cellStyle name="Percent 3 4 4 3 2 3" xfId="34452"/>
    <cellStyle name="Percent 3 4 4 3 2 3 2" xfId="34453"/>
    <cellStyle name="Percent 3 4 4 3 2 4" xfId="34454"/>
    <cellStyle name="Percent 3 4 4 3 3" xfId="34455"/>
    <cellStyle name="Percent 3 4 4 3 3 2" xfId="34456"/>
    <cellStyle name="Percent 3 4 4 3 3 2 2" xfId="34457"/>
    <cellStyle name="Percent 3 4 4 3 3 3" xfId="34458"/>
    <cellStyle name="Percent 3 4 4 3 4" xfId="34459"/>
    <cellStyle name="Percent 3 4 4 3 4 2" xfId="34460"/>
    <cellStyle name="Percent 3 4 4 3 4 3" xfId="34461"/>
    <cellStyle name="Percent 3 4 4 3 5" xfId="34462"/>
    <cellStyle name="Percent 3 4 4 3 5 2" xfId="34463"/>
    <cellStyle name="Percent 3 4 4 3 6" xfId="34464"/>
    <cellStyle name="Percent 3 4 4 3 6 2" xfId="37511"/>
    <cellStyle name="Percent 3 4 4 3 7" xfId="34465"/>
    <cellStyle name="Percent 3 4 4 4" xfId="34466"/>
    <cellStyle name="Percent 3 4 4 4 2" xfId="34467"/>
    <cellStyle name="Percent 3 4 4 4 2 2" xfId="34468"/>
    <cellStyle name="Percent 3 4 4 4 2 2 2" xfId="34469"/>
    <cellStyle name="Percent 3 4 4 4 2 3" xfId="34470"/>
    <cellStyle name="Percent 3 4 4 4 3" xfId="34471"/>
    <cellStyle name="Percent 3 4 4 4 3 2" xfId="34472"/>
    <cellStyle name="Percent 3 4 4 4 4" xfId="34473"/>
    <cellStyle name="Percent 3 4 4 5" xfId="34474"/>
    <cellStyle name="Percent 3 4 4 5 2" xfId="34475"/>
    <cellStyle name="Percent 3 4 4 5 2 2" xfId="34476"/>
    <cellStyle name="Percent 3 4 4 5 3" xfId="34477"/>
    <cellStyle name="Percent 3 4 4 6" xfId="34478"/>
    <cellStyle name="Percent 3 4 4 6 2" xfId="34479"/>
    <cellStyle name="Percent 3 4 4 6 2 2" xfId="34480"/>
    <cellStyle name="Percent 3 4 4 6 3" xfId="34481"/>
    <cellStyle name="Percent 3 4 4 7" xfId="34482"/>
    <cellStyle name="Percent 3 4 4 7 2" xfId="34483"/>
    <cellStyle name="Percent 3 4 4 8" xfId="34484"/>
    <cellStyle name="Percent 3 4 4 8 2" xfId="37512"/>
    <cellStyle name="Percent 3 4 4 9" xfId="34485"/>
    <cellStyle name="Percent 3 4 5" xfId="34486"/>
    <cellStyle name="Percent 3 4 5 2" xfId="34487"/>
    <cellStyle name="Percent 3 4 5 2 2" xfId="34488"/>
    <cellStyle name="Percent 3 4 5 2 2 2" xfId="34489"/>
    <cellStyle name="Percent 3 4 5 2 2 2 2" xfId="34490"/>
    <cellStyle name="Percent 3 4 5 2 2 2 3" xfId="34491"/>
    <cellStyle name="Percent 3 4 5 2 2 3" xfId="34492"/>
    <cellStyle name="Percent 3 4 5 2 2 3 2" xfId="34493"/>
    <cellStyle name="Percent 3 4 5 2 2 4" xfId="34494"/>
    <cellStyle name="Percent 3 4 5 2 3" xfId="34495"/>
    <cellStyle name="Percent 3 4 5 2 3 2" xfId="34496"/>
    <cellStyle name="Percent 3 4 5 2 3 2 2" xfId="34497"/>
    <cellStyle name="Percent 3 4 5 2 3 3" xfId="34498"/>
    <cellStyle name="Percent 3 4 5 2 4" xfId="34499"/>
    <cellStyle name="Percent 3 4 5 2 4 2" xfId="34500"/>
    <cellStyle name="Percent 3 4 5 2 4 3" xfId="34501"/>
    <cellStyle name="Percent 3 4 5 2 5" xfId="34502"/>
    <cellStyle name="Percent 3 4 5 2 5 2" xfId="34503"/>
    <cellStyle name="Percent 3 4 5 2 6" xfId="34504"/>
    <cellStyle name="Percent 3 4 5 2 6 2" xfId="37513"/>
    <cellStyle name="Percent 3 4 5 2 7" xfId="34505"/>
    <cellStyle name="Percent 3 4 5 3" xfId="34506"/>
    <cellStyle name="Percent 3 4 5 3 2" xfId="34507"/>
    <cellStyle name="Percent 3 4 5 3 2 2" xfId="34508"/>
    <cellStyle name="Percent 3 4 5 3 2 2 2" xfId="34509"/>
    <cellStyle name="Percent 3 4 5 3 2 3" xfId="34510"/>
    <cellStyle name="Percent 3 4 5 3 3" xfId="34511"/>
    <cellStyle name="Percent 3 4 5 3 3 2" xfId="34512"/>
    <cellStyle name="Percent 3 4 5 3 4" xfId="34513"/>
    <cellStyle name="Percent 3 4 5 4" xfId="34514"/>
    <cellStyle name="Percent 3 4 5 4 2" xfId="34515"/>
    <cellStyle name="Percent 3 4 5 4 2 2" xfId="34516"/>
    <cellStyle name="Percent 3 4 5 4 3" xfId="34517"/>
    <cellStyle name="Percent 3 4 5 5" xfId="34518"/>
    <cellStyle name="Percent 3 4 5 5 2" xfId="34519"/>
    <cellStyle name="Percent 3 4 5 5 2 2" xfId="34520"/>
    <cellStyle name="Percent 3 4 5 5 3" xfId="34521"/>
    <cellStyle name="Percent 3 4 5 6" xfId="34522"/>
    <cellStyle name="Percent 3 4 5 6 2" xfId="34523"/>
    <cellStyle name="Percent 3 4 5 7" xfId="34524"/>
    <cellStyle name="Percent 3 4 5 7 2" xfId="37514"/>
    <cellStyle name="Percent 3 4 5 8" xfId="34525"/>
    <cellStyle name="Percent 3 4 6" xfId="34526"/>
    <cellStyle name="Percent 3 4 6 2" xfId="34527"/>
    <cellStyle name="Percent 3 4 6 2 2" xfId="34528"/>
    <cellStyle name="Percent 3 4 6 2 2 2" xfId="34529"/>
    <cellStyle name="Percent 3 4 6 2 2 2 2" xfId="34530"/>
    <cellStyle name="Percent 3 4 6 2 2 2 3" xfId="34531"/>
    <cellStyle name="Percent 3 4 6 2 2 3" xfId="34532"/>
    <cellStyle name="Percent 3 4 6 2 2 3 2" xfId="34533"/>
    <cellStyle name="Percent 3 4 6 2 2 4" xfId="34534"/>
    <cellStyle name="Percent 3 4 6 2 3" xfId="34535"/>
    <cellStyle name="Percent 3 4 6 2 3 2" xfId="34536"/>
    <cellStyle name="Percent 3 4 6 2 3 2 2" xfId="34537"/>
    <cellStyle name="Percent 3 4 6 2 3 3" xfId="34538"/>
    <cellStyle name="Percent 3 4 6 2 4" xfId="34539"/>
    <cellStyle name="Percent 3 4 6 2 4 2" xfId="34540"/>
    <cellStyle name="Percent 3 4 6 2 4 3" xfId="34541"/>
    <cellStyle name="Percent 3 4 6 2 5" xfId="34542"/>
    <cellStyle name="Percent 3 4 6 2 5 2" xfId="34543"/>
    <cellStyle name="Percent 3 4 6 2 6" xfId="34544"/>
    <cellStyle name="Percent 3 4 6 2 6 2" xfId="37515"/>
    <cellStyle name="Percent 3 4 6 2 7" xfId="34545"/>
    <cellStyle name="Percent 3 4 6 3" xfId="34546"/>
    <cellStyle name="Percent 3 4 6 3 2" xfId="34547"/>
    <cellStyle name="Percent 3 4 6 3 2 2" xfId="34548"/>
    <cellStyle name="Percent 3 4 6 3 2 2 2" xfId="34549"/>
    <cellStyle name="Percent 3 4 6 3 2 3" xfId="34550"/>
    <cellStyle name="Percent 3 4 6 3 3" xfId="34551"/>
    <cellStyle name="Percent 3 4 6 3 3 2" xfId="34552"/>
    <cellStyle name="Percent 3 4 6 3 4" xfId="34553"/>
    <cellStyle name="Percent 3 4 6 4" xfId="34554"/>
    <cellStyle name="Percent 3 4 6 4 2" xfId="34555"/>
    <cellStyle name="Percent 3 4 6 4 2 2" xfId="34556"/>
    <cellStyle name="Percent 3 4 6 4 3" xfId="34557"/>
    <cellStyle name="Percent 3 4 6 5" xfId="34558"/>
    <cellStyle name="Percent 3 4 6 5 2" xfId="34559"/>
    <cellStyle name="Percent 3 4 6 5 2 2" xfId="34560"/>
    <cellStyle name="Percent 3 4 6 5 3" xfId="34561"/>
    <cellStyle name="Percent 3 4 6 6" xfId="34562"/>
    <cellStyle name="Percent 3 4 6 6 2" xfId="34563"/>
    <cellStyle name="Percent 3 4 6 7" xfId="34564"/>
    <cellStyle name="Percent 3 4 6 7 2" xfId="37516"/>
    <cellStyle name="Percent 3 4 6 8" xfId="34565"/>
    <cellStyle name="Percent 3 4 7" xfId="34566"/>
    <cellStyle name="Percent 3 4 7 2" xfId="34567"/>
    <cellStyle name="Percent 3 4 7 2 2" xfId="34568"/>
    <cellStyle name="Percent 3 4 7 2 2 2" xfId="34569"/>
    <cellStyle name="Percent 3 4 7 2 2 2 2" xfId="34570"/>
    <cellStyle name="Percent 3 4 7 2 2 2 3" xfId="34571"/>
    <cellStyle name="Percent 3 4 7 2 2 3" xfId="34572"/>
    <cellStyle name="Percent 3 4 7 2 2 3 2" xfId="34573"/>
    <cellStyle name="Percent 3 4 7 2 2 4" xfId="34574"/>
    <cellStyle name="Percent 3 4 7 2 3" xfId="34575"/>
    <cellStyle name="Percent 3 4 7 2 3 2" xfId="34576"/>
    <cellStyle name="Percent 3 4 7 2 3 2 2" xfId="34577"/>
    <cellStyle name="Percent 3 4 7 2 3 3" xfId="34578"/>
    <cellStyle name="Percent 3 4 7 2 4" xfId="34579"/>
    <cellStyle name="Percent 3 4 7 2 4 2" xfId="34580"/>
    <cellStyle name="Percent 3 4 7 2 4 3" xfId="34581"/>
    <cellStyle name="Percent 3 4 7 2 5" xfId="34582"/>
    <cellStyle name="Percent 3 4 7 2 5 2" xfId="34583"/>
    <cellStyle name="Percent 3 4 7 2 6" xfId="34584"/>
    <cellStyle name="Percent 3 4 7 2 6 2" xfId="37517"/>
    <cellStyle name="Percent 3 4 7 2 7" xfId="34585"/>
    <cellStyle name="Percent 3 4 7 3" xfId="34586"/>
    <cellStyle name="Percent 3 4 7 3 2" xfId="34587"/>
    <cellStyle name="Percent 3 4 7 3 2 2" xfId="34588"/>
    <cellStyle name="Percent 3 4 7 3 2 2 2" xfId="34589"/>
    <cellStyle name="Percent 3 4 7 3 2 3" xfId="34590"/>
    <cellStyle name="Percent 3 4 7 3 3" xfId="34591"/>
    <cellStyle name="Percent 3 4 7 3 3 2" xfId="34592"/>
    <cellStyle name="Percent 3 4 7 3 4" xfId="34593"/>
    <cellStyle name="Percent 3 4 7 4" xfId="34594"/>
    <cellStyle name="Percent 3 4 7 4 2" xfId="34595"/>
    <cellStyle name="Percent 3 4 7 4 2 2" xfId="34596"/>
    <cellStyle name="Percent 3 4 7 4 3" xfId="34597"/>
    <cellStyle name="Percent 3 4 7 5" xfId="34598"/>
    <cellStyle name="Percent 3 4 7 5 2" xfId="34599"/>
    <cellStyle name="Percent 3 4 7 5 2 2" xfId="34600"/>
    <cellStyle name="Percent 3 4 7 5 3" xfId="34601"/>
    <cellStyle name="Percent 3 4 7 6" xfId="34602"/>
    <cellStyle name="Percent 3 4 7 6 2" xfId="34603"/>
    <cellStyle name="Percent 3 4 7 7" xfId="34604"/>
    <cellStyle name="Percent 3 4 7 7 2" xfId="37518"/>
    <cellStyle name="Percent 3 4 7 8" xfId="34605"/>
    <cellStyle name="Percent 3 4 8" xfId="34606"/>
    <cellStyle name="Percent 3 4 8 2" xfId="34607"/>
    <cellStyle name="Percent 3 4 8 2 2" xfId="34608"/>
    <cellStyle name="Percent 3 4 8 2 2 2" xfId="34609"/>
    <cellStyle name="Percent 3 4 8 2 2 3" xfId="34610"/>
    <cellStyle name="Percent 3 4 8 2 3" xfId="34611"/>
    <cellStyle name="Percent 3 4 8 2 3 2" xfId="34612"/>
    <cellStyle name="Percent 3 4 8 2 4" xfId="34613"/>
    <cellStyle name="Percent 3 4 8 3" xfId="34614"/>
    <cellStyle name="Percent 3 4 8 3 2" xfId="34615"/>
    <cellStyle name="Percent 3 4 8 3 2 2" xfId="34616"/>
    <cellStyle name="Percent 3 4 8 3 3" xfId="34617"/>
    <cellStyle name="Percent 3 4 8 4" xfId="34618"/>
    <cellStyle name="Percent 3 4 8 4 2" xfId="34619"/>
    <cellStyle name="Percent 3 4 8 4 3" xfId="34620"/>
    <cellStyle name="Percent 3 4 8 5" xfId="34621"/>
    <cellStyle name="Percent 3 4 8 5 2" xfId="34622"/>
    <cellStyle name="Percent 3 4 8 6" xfId="34623"/>
    <cellStyle name="Percent 3 4 8 6 2" xfId="37519"/>
    <cellStyle name="Percent 3 4 8 7" xfId="34624"/>
    <cellStyle name="Percent 3 4 9" xfId="34625"/>
    <cellStyle name="Percent 3 4 9 2" xfId="34626"/>
    <cellStyle name="Percent 3 4 9 2 2" xfId="34627"/>
    <cellStyle name="Percent 3 4 9 2 2 2" xfId="34628"/>
    <cellStyle name="Percent 3 4 9 2 3" xfId="34629"/>
    <cellStyle name="Percent 3 4 9 3" xfId="34630"/>
    <cellStyle name="Percent 3 4 9 3 2" xfId="34631"/>
    <cellStyle name="Percent 3 4 9 4" xfId="34632"/>
    <cellStyle name="Percent 3 5" xfId="34633"/>
    <cellStyle name="Percent 3 5 10" xfId="34634"/>
    <cellStyle name="Percent 3 5 10 2" xfId="34635"/>
    <cellStyle name="Percent 3 5 10 2 2" xfId="34636"/>
    <cellStyle name="Percent 3 5 10 3" xfId="34637"/>
    <cellStyle name="Percent 3 5 11" xfId="34638"/>
    <cellStyle name="Percent 3 5 11 2" xfId="34639"/>
    <cellStyle name="Percent 3 5 11 2 2" xfId="34640"/>
    <cellStyle name="Percent 3 5 11 3" xfId="34641"/>
    <cellStyle name="Percent 3 5 12" xfId="34642"/>
    <cellStyle name="Percent 3 5 12 2" xfId="34643"/>
    <cellStyle name="Percent 3 5 13" xfId="34644"/>
    <cellStyle name="Percent 3 5 13 2" xfId="37520"/>
    <cellStyle name="Percent 3 5 14" xfId="34645"/>
    <cellStyle name="Percent 3 5 2" xfId="34646"/>
    <cellStyle name="Percent 3 5 2 10" xfId="34647"/>
    <cellStyle name="Percent 3 5 2 2" xfId="34648"/>
    <cellStyle name="Percent 3 5 2 2 2" xfId="34649"/>
    <cellStyle name="Percent 3 5 2 2 2 2" xfId="34650"/>
    <cellStyle name="Percent 3 5 2 2 2 2 2" xfId="34651"/>
    <cellStyle name="Percent 3 5 2 2 2 2 2 2" xfId="34652"/>
    <cellStyle name="Percent 3 5 2 2 2 2 2 2 2" xfId="34653"/>
    <cellStyle name="Percent 3 5 2 2 2 2 2 2 3" xfId="34654"/>
    <cellStyle name="Percent 3 5 2 2 2 2 2 3" xfId="34655"/>
    <cellStyle name="Percent 3 5 2 2 2 2 2 3 2" xfId="34656"/>
    <cellStyle name="Percent 3 5 2 2 2 2 2 4" xfId="34657"/>
    <cellStyle name="Percent 3 5 2 2 2 2 3" xfId="34658"/>
    <cellStyle name="Percent 3 5 2 2 2 2 3 2" xfId="34659"/>
    <cellStyle name="Percent 3 5 2 2 2 2 3 2 2" xfId="34660"/>
    <cellStyle name="Percent 3 5 2 2 2 2 3 3" xfId="34661"/>
    <cellStyle name="Percent 3 5 2 2 2 2 4" xfId="34662"/>
    <cellStyle name="Percent 3 5 2 2 2 2 4 2" xfId="34663"/>
    <cellStyle name="Percent 3 5 2 2 2 2 4 3" xfId="34664"/>
    <cellStyle name="Percent 3 5 2 2 2 2 5" xfId="34665"/>
    <cellStyle name="Percent 3 5 2 2 2 2 5 2" xfId="34666"/>
    <cellStyle name="Percent 3 5 2 2 2 2 6" xfId="34667"/>
    <cellStyle name="Percent 3 5 2 2 2 2 6 2" xfId="37521"/>
    <cellStyle name="Percent 3 5 2 2 2 2 7" xfId="34668"/>
    <cellStyle name="Percent 3 5 2 2 2 3" xfId="34669"/>
    <cellStyle name="Percent 3 5 2 2 2 3 2" xfId="34670"/>
    <cellStyle name="Percent 3 5 2 2 2 3 2 2" xfId="34671"/>
    <cellStyle name="Percent 3 5 2 2 2 3 2 2 2" xfId="34672"/>
    <cellStyle name="Percent 3 5 2 2 2 3 2 3" xfId="34673"/>
    <cellStyle name="Percent 3 5 2 2 2 3 3" xfId="34674"/>
    <cellStyle name="Percent 3 5 2 2 2 3 3 2" xfId="34675"/>
    <cellStyle name="Percent 3 5 2 2 2 3 4" xfId="34676"/>
    <cellStyle name="Percent 3 5 2 2 2 4" xfId="34677"/>
    <cellStyle name="Percent 3 5 2 2 2 4 2" xfId="34678"/>
    <cellStyle name="Percent 3 5 2 2 2 4 2 2" xfId="34679"/>
    <cellStyle name="Percent 3 5 2 2 2 4 3" xfId="34680"/>
    <cellStyle name="Percent 3 5 2 2 2 5" xfId="34681"/>
    <cellStyle name="Percent 3 5 2 2 2 5 2" xfId="34682"/>
    <cellStyle name="Percent 3 5 2 2 2 5 2 2" xfId="34683"/>
    <cellStyle name="Percent 3 5 2 2 2 5 3" xfId="34684"/>
    <cellStyle name="Percent 3 5 2 2 2 6" xfId="34685"/>
    <cellStyle name="Percent 3 5 2 2 2 6 2" xfId="34686"/>
    <cellStyle name="Percent 3 5 2 2 2 7" xfId="34687"/>
    <cellStyle name="Percent 3 5 2 2 2 7 2" xfId="37522"/>
    <cellStyle name="Percent 3 5 2 2 2 8" xfId="34688"/>
    <cellStyle name="Percent 3 5 2 2 3" xfId="34689"/>
    <cellStyle name="Percent 3 5 2 2 3 2" xfId="34690"/>
    <cellStyle name="Percent 3 5 2 2 3 2 2" xfId="34691"/>
    <cellStyle name="Percent 3 5 2 2 3 2 2 2" xfId="34692"/>
    <cellStyle name="Percent 3 5 2 2 3 2 2 3" xfId="34693"/>
    <cellStyle name="Percent 3 5 2 2 3 2 3" xfId="34694"/>
    <cellStyle name="Percent 3 5 2 2 3 2 3 2" xfId="34695"/>
    <cellStyle name="Percent 3 5 2 2 3 2 4" xfId="34696"/>
    <cellStyle name="Percent 3 5 2 2 3 3" xfId="34697"/>
    <cellStyle name="Percent 3 5 2 2 3 3 2" xfId="34698"/>
    <cellStyle name="Percent 3 5 2 2 3 3 2 2" xfId="34699"/>
    <cellStyle name="Percent 3 5 2 2 3 3 3" xfId="34700"/>
    <cellStyle name="Percent 3 5 2 2 3 4" xfId="34701"/>
    <cellStyle name="Percent 3 5 2 2 3 4 2" xfId="34702"/>
    <cellStyle name="Percent 3 5 2 2 3 4 3" xfId="34703"/>
    <cellStyle name="Percent 3 5 2 2 3 5" xfId="34704"/>
    <cellStyle name="Percent 3 5 2 2 3 5 2" xfId="34705"/>
    <cellStyle name="Percent 3 5 2 2 3 6" xfId="34706"/>
    <cellStyle name="Percent 3 5 2 2 3 6 2" xfId="37523"/>
    <cellStyle name="Percent 3 5 2 2 3 7" xfId="34707"/>
    <cellStyle name="Percent 3 5 2 2 4" xfId="34708"/>
    <cellStyle name="Percent 3 5 2 2 4 2" xfId="34709"/>
    <cellStyle name="Percent 3 5 2 2 4 2 2" xfId="34710"/>
    <cellStyle name="Percent 3 5 2 2 4 2 2 2" xfId="34711"/>
    <cellStyle name="Percent 3 5 2 2 4 2 3" xfId="34712"/>
    <cellStyle name="Percent 3 5 2 2 4 3" xfId="34713"/>
    <cellStyle name="Percent 3 5 2 2 4 3 2" xfId="34714"/>
    <cellStyle name="Percent 3 5 2 2 4 4" xfId="34715"/>
    <cellStyle name="Percent 3 5 2 2 5" xfId="34716"/>
    <cellStyle name="Percent 3 5 2 2 5 2" xfId="34717"/>
    <cellStyle name="Percent 3 5 2 2 5 2 2" xfId="34718"/>
    <cellStyle name="Percent 3 5 2 2 5 3" xfId="34719"/>
    <cellStyle name="Percent 3 5 2 2 6" xfId="34720"/>
    <cellStyle name="Percent 3 5 2 2 6 2" xfId="34721"/>
    <cellStyle name="Percent 3 5 2 2 6 2 2" xfId="34722"/>
    <cellStyle name="Percent 3 5 2 2 6 3" xfId="34723"/>
    <cellStyle name="Percent 3 5 2 2 7" xfId="34724"/>
    <cellStyle name="Percent 3 5 2 2 7 2" xfId="34725"/>
    <cellStyle name="Percent 3 5 2 2 8" xfId="34726"/>
    <cellStyle name="Percent 3 5 2 2 8 2" xfId="37524"/>
    <cellStyle name="Percent 3 5 2 2 9" xfId="34727"/>
    <cellStyle name="Percent 3 5 2 3" xfId="34728"/>
    <cellStyle name="Percent 3 5 2 3 2" xfId="34729"/>
    <cellStyle name="Percent 3 5 2 3 2 2" xfId="34730"/>
    <cellStyle name="Percent 3 5 2 3 2 2 2" xfId="34731"/>
    <cellStyle name="Percent 3 5 2 3 2 2 2 2" xfId="34732"/>
    <cellStyle name="Percent 3 5 2 3 2 2 2 3" xfId="34733"/>
    <cellStyle name="Percent 3 5 2 3 2 2 3" xfId="34734"/>
    <cellStyle name="Percent 3 5 2 3 2 2 3 2" xfId="34735"/>
    <cellStyle name="Percent 3 5 2 3 2 2 4" xfId="34736"/>
    <cellStyle name="Percent 3 5 2 3 2 3" xfId="34737"/>
    <cellStyle name="Percent 3 5 2 3 2 3 2" xfId="34738"/>
    <cellStyle name="Percent 3 5 2 3 2 3 2 2" xfId="34739"/>
    <cellStyle name="Percent 3 5 2 3 2 3 3" xfId="34740"/>
    <cellStyle name="Percent 3 5 2 3 2 4" xfId="34741"/>
    <cellStyle name="Percent 3 5 2 3 2 4 2" xfId="34742"/>
    <cellStyle name="Percent 3 5 2 3 2 4 3" xfId="34743"/>
    <cellStyle name="Percent 3 5 2 3 2 5" xfId="34744"/>
    <cellStyle name="Percent 3 5 2 3 2 5 2" xfId="34745"/>
    <cellStyle name="Percent 3 5 2 3 2 6" xfId="34746"/>
    <cellStyle name="Percent 3 5 2 3 2 6 2" xfId="37525"/>
    <cellStyle name="Percent 3 5 2 3 2 7" xfId="34747"/>
    <cellStyle name="Percent 3 5 2 3 3" xfId="34748"/>
    <cellStyle name="Percent 3 5 2 3 3 2" xfId="34749"/>
    <cellStyle name="Percent 3 5 2 3 3 2 2" xfId="34750"/>
    <cellStyle name="Percent 3 5 2 3 3 2 2 2" xfId="34751"/>
    <cellStyle name="Percent 3 5 2 3 3 2 3" xfId="34752"/>
    <cellStyle name="Percent 3 5 2 3 3 3" xfId="34753"/>
    <cellStyle name="Percent 3 5 2 3 3 3 2" xfId="34754"/>
    <cellStyle name="Percent 3 5 2 3 3 4" xfId="34755"/>
    <cellStyle name="Percent 3 5 2 3 4" xfId="34756"/>
    <cellStyle name="Percent 3 5 2 3 4 2" xfId="34757"/>
    <cellStyle name="Percent 3 5 2 3 4 2 2" xfId="34758"/>
    <cellStyle name="Percent 3 5 2 3 4 3" xfId="34759"/>
    <cellStyle name="Percent 3 5 2 3 5" xfId="34760"/>
    <cellStyle name="Percent 3 5 2 3 5 2" xfId="34761"/>
    <cellStyle name="Percent 3 5 2 3 5 2 2" xfId="34762"/>
    <cellStyle name="Percent 3 5 2 3 5 3" xfId="34763"/>
    <cellStyle name="Percent 3 5 2 3 6" xfId="34764"/>
    <cellStyle name="Percent 3 5 2 3 6 2" xfId="34765"/>
    <cellStyle name="Percent 3 5 2 3 7" xfId="34766"/>
    <cellStyle name="Percent 3 5 2 3 7 2" xfId="37526"/>
    <cellStyle name="Percent 3 5 2 3 8" xfId="34767"/>
    <cellStyle name="Percent 3 5 2 4" xfId="34768"/>
    <cellStyle name="Percent 3 5 2 4 2" xfId="34769"/>
    <cellStyle name="Percent 3 5 2 4 2 2" xfId="34770"/>
    <cellStyle name="Percent 3 5 2 4 2 2 2" xfId="34771"/>
    <cellStyle name="Percent 3 5 2 4 2 2 3" xfId="34772"/>
    <cellStyle name="Percent 3 5 2 4 2 3" xfId="34773"/>
    <cellStyle name="Percent 3 5 2 4 2 3 2" xfId="34774"/>
    <cellStyle name="Percent 3 5 2 4 2 4" xfId="34775"/>
    <cellStyle name="Percent 3 5 2 4 3" xfId="34776"/>
    <cellStyle name="Percent 3 5 2 4 3 2" xfId="34777"/>
    <cellStyle name="Percent 3 5 2 4 3 2 2" xfId="34778"/>
    <cellStyle name="Percent 3 5 2 4 3 3" xfId="34779"/>
    <cellStyle name="Percent 3 5 2 4 4" xfId="34780"/>
    <cellStyle name="Percent 3 5 2 4 4 2" xfId="34781"/>
    <cellStyle name="Percent 3 5 2 4 4 3" xfId="34782"/>
    <cellStyle name="Percent 3 5 2 4 5" xfId="34783"/>
    <cellStyle name="Percent 3 5 2 4 5 2" xfId="34784"/>
    <cellStyle name="Percent 3 5 2 4 6" xfId="34785"/>
    <cellStyle name="Percent 3 5 2 4 6 2" xfId="37527"/>
    <cellStyle name="Percent 3 5 2 4 7" xfId="34786"/>
    <cellStyle name="Percent 3 5 2 5" xfId="34787"/>
    <cellStyle name="Percent 3 5 2 5 2" xfId="34788"/>
    <cellStyle name="Percent 3 5 2 5 2 2" xfId="34789"/>
    <cellStyle name="Percent 3 5 2 5 2 2 2" xfId="34790"/>
    <cellStyle name="Percent 3 5 2 5 2 3" xfId="34791"/>
    <cellStyle name="Percent 3 5 2 5 3" xfId="34792"/>
    <cellStyle name="Percent 3 5 2 5 3 2" xfId="34793"/>
    <cellStyle name="Percent 3 5 2 5 4" xfId="34794"/>
    <cellStyle name="Percent 3 5 2 6" xfId="34795"/>
    <cellStyle name="Percent 3 5 2 6 2" xfId="34796"/>
    <cellStyle name="Percent 3 5 2 6 2 2" xfId="34797"/>
    <cellStyle name="Percent 3 5 2 6 3" xfId="34798"/>
    <cellStyle name="Percent 3 5 2 7" xfId="34799"/>
    <cellStyle name="Percent 3 5 2 7 2" xfId="34800"/>
    <cellStyle name="Percent 3 5 2 7 2 2" xfId="34801"/>
    <cellStyle name="Percent 3 5 2 7 3" xfId="34802"/>
    <cellStyle name="Percent 3 5 2 8" xfId="34803"/>
    <cellStyle name="Percent 3 5 2 8 2" xfId="34804"/>
    <cellStyle name="Percent 3 5 2 9" xfId="34805"/>
    <cellStyle name="Percent 3 5 2 9 2" xfId="37528"/>
    <cellStyle name="Percent 3 5 3" xfId="34806"/>
    <cellStyle name="Percent 3 5 3 2" xfId="34807"/>
    <cellStyle name="Percent 3 5 3 2 2" xfId="34808"/>
    <cellStyle name="Percent 3 5 3 2 2 2" xfId="34809"/>
    <cellStyle name="Percent 3 5 3 2 2 2 2" xfId="34810"/>
    <cellStyle name="Percent 3 5 3 2 2 2 2 2" xfId="34811"/>
    <cellStyle name="Percent 3 5 3 2 2 2 2 3" xfId="34812"/>
    <cellStyle name="Percent 3 5 3 2 2 2 3" xfId="34813"/>
    <cellStyle name="Percent 3 5 3 2 2 2 3 2" xfId="34814"/>
    <cellStyle name="Percent 3 5 3 2 2 2 4" xfId="34815"/>
    <cellStyle name="Percent 3 5 3 2 2 3" xfId="34816"/>
    <cellStyle name="Percent 3 5 3 2 2 3 2" xfId="34817"/>
    <cellStyle name="Percent 3 5 3 2 2 3 2 2" xfId="34818"/>
    <cellStyle name="Percent 3 5 3 2 2 3 3" xfId="34819"/>
    <cellStyle name="Percent 3 5 3 2 2 4" xfId="34820"/>
    <cellStyle name="Percent 3 5 3 2 2 4 2" xfId="34821"/>
    <cellStyle name="Percent 3 5 3 2 2 4 3" xfId="34822"/>
    <cellStyle name="Percent 3 5 3 2 2 5" xfId="34823"/>
    <cellStyle name="Percent 3 5 3 2 2 5 2" xfId="34824"/>
    <cellStyle name="Percent 3 5 3 2 2 6" xfId="34825"/>
    <cellStyle name="Percent 3 5 3 2 2 6 2" xfId="37529"/>
    <cellStyle name="Percent 3 5 3 2 2 7" xfId="34826"/>
    <cellStyle name="Percent 3 5 3 2 3" xfId="34827"/>
    <cellStyle name="Percent 3 5 3 2 3 2" xfId="34828"/>
    <cellStyle name="Percent 3 5 3 2 3 2 2" xfId="34829"/>
    <cellStyle name="Percent 3 5 3 2 3 2 2 2" xfId="34830"/>
    <cellStyle name="Percent 3 5 3 2 3 2 3" xfId="34831"/>
    <cellStyle name="Percent 3 5 3 2 3 3" xfId="34832"/>
    <cellStyle name="Percent 3 5 3 2 3 3 2" xfId="34833"/>
    <cellStyle name="Percent 3 5 3 2 3 4" xfId="34834"/>
    <cellStyle name="Percent 3 5 3 2 4" xfId="34835"/>
    <cellStyle name="Percent 3 5 3 2 4 2" xfId="34836"/>
    <cellStyle name="Percent 3 5 3 2 4 2 2" xfId="34837"/>
    <cellStyle name="Percent 3 5 3 2 4 3" xfId="34838"/>
    <cellStyle name="Percent 3 5 3 2 5" xfId="34839"/>
    <cellStyle name="Percent 3 5 3 2 5 2" xfId="34840"/>
    <cellStyle name="Percent 3 5 3 2 5 2 2" xfId="34841"/>
    <cellStyle name="Percent 3 5 3 2 5 3" xfId="34842"/>
    <cellStyle name="Percent 3 5 3 2 6" xfId="34843"/>
    <cellStyle name="Percent 3 5 3 2 6 2" xfId="34844"/>
    <cellStyle name="Percent 3 5 3 2 7" xfId="34845"/>
    <cellStyle name="Percent 3 5 3 2 7 2" xfId="37530"/>
    <cellStyle name="Percent 3 5 3 2 8" xfId="34846"/>
    <cellStyle name="Percent 3 5 3 3" xfId="34847"/>
    <cellStyle name="Percent 3 5 3 3 2" xfId="34848"/>
    <cellStyle name="Percent 3 5 3 3 2 2" xfId="34849"/>
    <cellStyle name="Percent 3 5 3 3 2 2 2" xfId="34850"/>
    <cellStyle name="Percent 3 5 3 3 2 2 3" xfId="34851"/>
    <cellStyle name="Percent 3 5 3 3 2 3" xfId="34852"/>
    <cellStyle name="Percent 3 5 3 3 2 3 2" xfId="34853"/>
    <cellStyle name="Percent 3 5 3 3 2 4" xfId="34854"/>
    <cellStyle name="Percent 3 5 3 3 3" xfId="34855"/>
    <cellStyle name="Percent 3 5 3 3 3 2" xfId="34856"/>
    <cellStyle name="Percent 3 5 3 3 3 2 2" xfId="34857"/>
    <cellStyle name="Percent 3 5 3 3 3 3" xfId="34858"/>
    <cellStyle name="Percent 3 5 3 3 4" xfId="34859"/>
    <cellStyle name="Percent 3 5 3 3 4 2" xfId="34860"/>
    <cellStyle name="Percent 3 5 3 3 4 3" xfId="34861"/>
    <cellStyle name="Percent 3 5 3 3 5" xfId="34862"/>
    <cellStyle name="Percent 3 5 3 3 5 2" xfId="34863"/>
    <cellStyle name="Percent 3 5 3 3 6" xfId="34864"/>
    <cellStyle name="Percent 3 5 3 3 6 2" xfId="37531"/>
    <cellStyle name="Percent 3 5 3 3 7" xfId="34865"/>
    <cellStyle name="Percent 3 5 3 4" xfId="34866"/>
    <cellStyle name="Percent 3 5 3 4 2" xfId="34867"/>
    <cellStyle name="Percent 3 5 3 4 2 2" xfId="34868"/>
    <cellStyle name="Percent 3 5 3 4 2 2 2" xfId="34869"/>
    <cellStyle name="Percent 3 5 3 4 2 3" xfId="34870"/>
    <cellStyle name="Percent 3 5 3 4 3" xfId="34871"/>
    <cellStyle name="Percent 3 5 3 4 3 2" xfId="34872"/>
    <cellStyle name="Percent 3 5 3 4 4" xfId="34873"/>
    <cellStyle name="Percent 3 5 3 5" xfId="34874"/>
    <cellStyle name="Percent 3 5 3 5 2" xfId="34875"/>
    <cellStyle name="Percent 3 5 3 5 2 2" xfId="34876"/>
    <cellStyle name="Percent 3 5 3 5 3" xfId="34877"/>
    <cellStyle name="Percent 3 5 3 6" xfId="34878"/>
    <cellStyle name="Percent 3 5 3 6 2" xfId="34879"/>
    <cellStyle name="Percent 3 5 3 6 2 2" xfId="34880"/>
    <cellStyle name="Percent 3 5 3 6 3" xfId="34881"/>
    <cellStyle name="Percent 3 5 3 7" xfId="34882"/>
    <cellStyle name="Percent 3 5 3 7 2" xfId="34883"/>
    <cellStyle name="Percent 3 5 3 8" xfId="34884"/>
    <cellStyle name="Percent 3 5 3 8 2" xfId="37532"/>
    <cellStyle name="Percent 3 5 3 9" xfId="34885"/>
    <cellStyle name="Percent 3 5 4" xfId="34886"/>
    <cellStyle name="Percent 3 5 4 2" xfId="34887"/>
    <cellStyle name="Percent 3 5 4 2 2" xfId="34888"/>
    <cellStyle name="Percent 3 5 4 2 2 2" xfId="34889"/>
    <cellStyle name="Percent 3 5 4 2 2 2 2" xfId="34890"/>
    <cellStyle name="Percent 3 5 4 2 2 2 2 2" xfId="34891"/>
    <cellStyle name="Percent 3 5 4 2 2 2 2 3" xfId="34892"/>
    <cellStyle name="Percent 3 5 4 2 2 2 3" xfId="34893"/>
    <cellStyle name="Percent 3 5 4 2 2 2 3 2" xfId="34894"/>
    <cellStyle name="Percent 3 5 4 2 2 2 4" xfId="34895"/>
    <cellStyle name="Percent 3 5 4 2 2 3" xfId="34896"/>
    <cellStyle name="Percent 3 5 4 2 2 3 2" xfId="34897"/>
    <cellStyle name="Percent 3 5 4 2 2 3 2 2" xfId="34898"/>
    <cellStyle name="Percent 3 5 4 2 2 3 3" xfId="34899"/>
    <cellStyle name="Percent 3 5 4 2 2 4" xfId="34900"/>
    <cellStyle name="Percent 3 5 4 2 2 4 2" xfId="34901"/>
    <cellStyle name="Percent 3 5 4 2 2 4 3" xfId="34902"/>
    <cellStyle name="Percent 3 5 4 2 2 5" xfId="34903"/>
    <cellStyle name="Percent 3 5 4 2 2 5 2" xfId="34904"/>
    <cellStyle name="Percent 3 5 4 2 2 6" xfId="34905"/>
    <cellStyle name="Percent 3 5 4 2 2 6 2" xfId="37533"/>
    <cellStyle name="Percent 3 5 4 2 2 7" xfId="34906"/>
    <cellStyle name="Percent 3 5 4 2 3" xfId="34907"/>
    <cellStyle name="Percent 3 5 4 2 3 2" xfId="34908"/>
    <cellStyle name="Percent 3 5 4 2 3 2 2" xfId="34909"/>
    <cellStyle name="Percent 3 5 4 2 3 2 2 2" xfId="34910"/>
    <cellStyle name="Percent 3 5 4 2 3 2 3" xfId="34911"/>
    <cellStyle name="Percent 3 5 4 2 3 3" xfId="34912"/>
    <cellStyle name="Percent 3 5 4 2 3 3 2" xfId="34913"/>
    <cellStyle name="Percent 3 5 4 2 3 4" xfId="34914"/>
    <cellStyle name="Percent 3 5 4 2 4" xfId="34915"/>
    <cellStyle name="Percent 3 5 4 2 4 2" xfId="34916"/>
    <cellStyle name="Percent 3 5 4 2 4 2 2" xfId="34917"/>
    <cellStyle name="Percent 3 5 4 2 4 3" xfId="34918"/>
    <cellStyle name="Percent 3 5 4 2 5" xfId="34919"/>
    <cellStyle name="Percent 3 5 4 2 5 2" xfId="34920"/>
    <cellStyle name="Percent 3 5 4 2 5 2 2" xfId="34921"/>
    <cellStyle name="Percent 3 5 4 2 5 3" xfId="34922"/>
    <cellStyle name="Percent 3 5 4 2 6" xfId="34923"/>
    <cellStyle name="Percent 3 5 4 2 6 2" xfId="34924"/>
    <cellStyle name="Percent 3 5 4 2 7" xfId="34925"/>
    <cellStyle name="Percent 3 5 4 2 7 2" xfId="37534"/>
    <cellStyle name="Percent 3 5 4 2 8" xfId="34926"/>
    <cellStyle name="Percent 3 5 4 3" xfId="34927"/>
    <cellStyle name="Percent 3 5 4 3 2" xfId="34928"/>
    <cellStyle name="Percent 3 5 4 3 2 2" xfId="34929"/>
    <cellStyle name="Percent 3 5 4 3 2 2 2" xfId="34930"/>
    <cellStyle name="Percent 3 5 4 3 2 2 3" xfId="34931"/>
    <cellStyle name="Percent 3 5 4 3 2 3" xfId="34932"/>
    <cellStyle name="Percent 3 5 4 3 2 3 2" xfId="34933"/>
    <cellStyle name="Percent 3 5 4 3 2 4" xfId="34934"/>
    <cellStyle name="Percent 3 5 4 3 3" xfId="34935"/>
    <cellStyle name="Percent 3 5 4 3 3 2" xfId="34936"/>
    <cellStyle name="Percent 3 5 4 3 3 2 2" xfId="34937"/>
    <cellStyle name="Percent 3 5 4 3 3 3" xfId="34938"/>
    <cellStyle name="Percent 3 5 4 3 4" xfId="34939"/>
    <cellStyle name="Percent 3 5 4 3 4 2" xfId="34940"/>
    <cellStyle name="Percent 3 5 4 3 4 3" xfId="34941"/>
    <cellStyle name="Percent 3 5 4 3 5" xfId="34942"/>
    <cellStyle name="Percent 3 5 4 3 5 2" xfId="34943"/>
    <cellStyle name="Percent 3 5 4 3 6" xfId="34944"/>
    <cellStyle name="Percent 3 5 4 3 6 2" xfId="37535"/>
    <cellStyle name="Percent 3 5 4 3 7" xfId="34945"/>
    <cellStyle name="Percent 3 5 4 4" xfId="34946"/>
    <cellStyle name="Percent 3 5 4 4 2" xfId="34947"/>
    <cellStyle name="Percent 3 5 4 4 2 2" xfId="34948"/>
    <cellStyle name="Percent 3 5 4 4 2 2 2" xfId="34949"/>
    <cellStyle name="Percent 3 5 4 4 2 3" xfId="34950"/>
    <cellStyle name="Percent 3 5 4 4 3" xfId="34951"/>
    <cellStyle name="Percent 3 5 4 4 3 2" xfId="34952"/>
    <cellStyle name="Percent 3 5 4 4 4" xfId="34953"/>
    <cellStyle name="Percent 3 5 4 5" xfId="34954"/>
    <cellStyle name="Percent 3 5 4 5 2" xfId="34955"/>
    <cellStyle name="Percent 3 5 4 5 2 2" xfId="34956"/>
    <cellStyle name="Percent 3 5 4 5 3" xfId="34957"/>
    <cellStyle name="Percent 3 5 4 6" xfId="34958"/>
    <cellStyle name="Percent 3 5 4 6 2" xfId="34959"/>
    <cellStyle name="Percent 3 5 4 6 2 2" xfId="34960"/>
    <cellStyle name="Percent 3 5 4 6 3" xfId="34961"/>
    <cellStyle name="Percent 3 5 4 7" xfId="34962"/>
    <cellStyle name="Percent 3 5 4 7 2" xfId="34963"/>
    <cellStyle name="Percent 3 5 4 8" xfId="34964"/>
    <cellStyle name="Percent 3 5 4 8 2" xfId="37536"/>
    <cellStyle name="Percent 3 5 4 9" xfId="34965"/>
    <cellStyle name="Percent 3 5 5" xfId="34966"/>
    <cellStyle name="Percent 3 5 5 2" xfId="34967"/>
    <cellStyle name="Percent 3 5 5 2 2" xfId="34968"/>
    <cellStyle name="Percent 3 5 5 2 2 2" xfId="34969"/>
    <cellStyle name="Percent 3 5 5 2 2 2 2" xfId="34970"/>
    <cellStyle name="Percent 3 5 5 2 2 2 3" xfId="34971"/>
    <cellStyle name="Percent 3 5 5 2 2 3" xfId="34972"/>
    <cellStyle name="Percent 3 5 5 2 2 3 2" xfId="34973"/>
    <cellStyle name="Percent 3 5 5 2 2 4" xfId="34974"/>
    <cellStyle name="Percent 3 5 5 2 3" xfId="34975"/>
    <cellStyle name="Percent 3 5 5 2 3 2" xfId="34976"/>
    <cellStyle name="Percent 3 5 5 2 3 2 2" xfId="34977"/>
    <cellStyle name="Percent 3 5 5 2 3 3" xfId="34978"/>
    <cellStyle name="Percent 3 5 5 2 4" xfId="34979"/>
    <cellStyle name="Percent 3 5 5 2 4 2" xfId="34980"/>
    <cellStyle name="Percent 3 5 5 2 4 3" xfId="34981"/>
    <cellStyle name="Percent 3 5 5 2 5" xfId="34982"/>
    <cellStyle name="Percent 3 5 5 2 5 2" xfId="34983"/>
    <cellStyle name="Percent 3 5 5 2 6" xfId="34984"/>
    <cellStyle name="Percent 3 5 5 2 6 2" xfId="37537"/>
    <cellStyle name="Percent 3 5 5 2 7" xfId="34985"/>
    <cellStyle name="Percent 3 5 5 3" xfId="34986"/>
    <cellStyle name="Percent 3 5 5 3 2" xfId="34987"/>
    <cellStyle name="Percent 3 5 5 3 2 2" xfId="34988"/>
    <cellStyle name="Percent 3 5 5 3 2 2 2" xfId="34989"/>
    <cellStyle name="Percent 3 5 5 3 2 3" xfId="34990"/>
    <cellStyle name="Percent 3 5 5 3 3" xfId="34991"/>
    <cellStyle name="Percent 3 5 5 3 3 2" xfId="34992"/>
    <cellStyle name="Percent 3 5 5 3 4" xfId="34993"/>
    <cellStyle name="Percent 3 5 5 4" xfId="34994"/>
    <cellStyle name="Percent 3 5 5 4 2" xfId="34995"/>
    <cellStyle name="Percent 3 5 5 4 2 2" xfId="34996"/>
    <cellStyle name="Percent 3 5 5 4 3" xfId="34997"/>
    <cellStyle name="Percent 3 5 5 5" xfId="34998"/>
    <cellStyle name="Percent 3 5 5 5 2" xfId="34999"/>
    <cellStyle name="Percent 3 5 5 5 2 2" xfId="35000"/>
    <cellStyle name="Percent 3 5 5 5 3" xfId="35001"/>
    <cellStyle name="Percent 3 5 5 6" xfId="35002"/>
    <cellStyle name="Percent 3 5 5 6 2" xfId="35003"/>
    <cellStyle name="Percent 3 5 5 7" xfId="35004"/>
    <cellStyle name="Percent 3 5 5 7 2" xfId="37538"/>
    <cellStyle name="Percent 3 5 5 8" xfId="35005"/>
    <cellStyle name="Percent 3 5 6" xfId="35006"/>
    <cellStyle name="Percent 3 5 6 2" xfId="35007"/>
    <cellStyle name="Percent 3 5 6 2 2" xfId="35008"/>
    <cellStyle name="Percent 3 5 6 2 2 2" xfId="35009"/>
    <cellStyle name="Percent 3 5 6 2 2 2 2" xfId="35010"/>
    <cellStyle name="Percent 3 5 6 2 2 2 3" xfId="35011"/>
    <cellStyle name="Percent 3 5 6 2 2 3" xfId="35012"/>
    <cellStyle name="Percent 3 5 6 2 2 3 2" xfId="35013"/>
    <cellStyle name="Percent 3 5 6 2 2 4" xfId="35014"/>
    <cellStyle name="Percent 3 5 6 2 3" xfId="35015"/>
    <cellStyle name="Percent 3 5 6 2 3 2" xfId="35016"/>
    <cellStyle name="Percent 3 5 6 2 3 2 2" xfId="35017"/>
    <cellStyle name="Percent 3 5 6 2 3 3" xfId="35018"/>
    <cellStyle name="Percent 3 5 6 2 4" xfId="35019"/>
    <cellStyle name="Percent 3 5 6 2 4 2" xfId="35020"/>
    <cellStyle name="Percent 3 5 6 2 4 3" xfId="35021"/>
    <cellStyle name="Percent 3 5 6 2 5" xfId="35022"/>
    <cellStyle name="Percent 3 5 6 2 5 2" xfId="35023"/>
    <cellStyle name="Percent 3 5 6 2 6" xfId="35024"/>
    <cellStyle name="Percent 3 5 6 2 6 2" xfId="37539"/>
    <cellStyle name="Percent 3 5 6 2 7" xfId="35025"/>
    <cellStyle name="Percent 3 5 6 3" xfId="35026"/>
    <cellStyle name="Percent 3 5 6 3 2" xfId="35027"/>
    <cellStyle name="Percent 3 5 6 3 2 2" xfId="35028"/>
    <cellStyle name="Percent 3 5 6 3 2 2 2" xfId="35029"/>
    <cellStyle name="Percent 3 5 6 3 2 3" xfId="35030"/>
    <cellStyle name="Percent 3 5 6 3 3" xfId="35031"/>
    <cellStyle name="Percent 3 5 6 3 3 2" xfId="35032"/>
    <cellStyle name="Percent 3 5 6 3 4" xfId="35033"/>
    <cellStyle name="Percent 3 5 6 4" xfId="35034"/>
    <cellStyle name="Percent 3 5 6 4 2" xfId="35035"/>
    <cellStyle name="Percent 3 5 6 4 2 2" xfId="35036"/>
    <cellStyle name="Percent 3 5 6 4 3" xfId="35037"/>
    <cellStyle name="Percent 3 5 6 5" xfId="35038"/>
    <cellStyle name="Percent 3 5 6 5 2" xfId="35039"/>
    <cellStyle name="Percent 3 5 6 5 2 2" xfId="35040"/>
    <cellStyle name="Percent 3 5 6 5 3" xfId="35041"/>
    <cellStyle name="Percent 3 5 6 6" xfId="35042"/>
    <cellStyle name="Percent 3 5 6 6 2" xfId="35043"/>
    <cellStyle name="Percent 3 5 6 7" xfId="35044"/>
    <cellStyle name="Percent 3 5 6 7 2" xfId="37540"/>
    <cellStyle name="Percent 3 5 6 8" xfId="35045"/>
    <cellStyle name="Percent 3 5 7" xfId="35046"/>
    <cellStyle name="Percent 3 5 7 2" xfId="35047"/>
    <cellStyle name="Percent 3 5 7 2 2" xfId="35048"/>
    <cellStyle name="Percent 3 5 7 2 2 2" xfId="35049"/>
    <cellStyle name="Percent 3 5 7 2 2 2 2" xfId="35050"/>
    <cellStyle name="Percent 3 5 7 2 2 2 3" xfId="35051"/>
    <cellStyle name="Percent 3 5 7 2 2 3" xfId="35052"/>
    <cellStyle name="Percent 3 5 7 2 2 3 2" xfId="35053"/>
    <cellStyle name="Percent 3 5 7 2 2 4" xfId="35054"/>
    <cellStyle name="Percent 3 5 7 2 3" xfId="35055"/>
    <cellStyle name="Percent 3 5 7 2 3 2" xfId="35056"/>
    <cellStyle name="Percent 3 5 7 2 3 2 2" xfId="35057"/>
    <cellStyle name="Percent 3 5 7 2 3 3" xfId="35058"/>
    <cellStyle name="Percent 3 5 7 2 4" xfId="35059"/>
    <cellStyle name="Percent 3 5 7 2 4 2" xfId="35060"/>
    <cellStyle name="Percent 3 5 7 2 4 3" xfId="35061"/>
    <cellStyle name="Percent 3 5 7 2 5" xfId="35062"/>
    <cellStyle name="Percent 3 5 7 2 5 2" xfId="35063"/>
    <cellStyle name="Percent 3 5 7 2 6" xfId="35064"/>
    <cellStyle name="Percent 3 5 7 2 6 2" xfId="37541"/>
    <cellStyle name="Percent 3 5 7 2 7" xfId="35065"/>
    <cellStyle name="Percent 3 5 7 3" xfId="35066"/>
    <cellStyle name="Percent 3 5 7 3 2" xfId="35067"/>
    <cellStyle name="Percent 3 5 7 3 2 2" xfId="35068"/>
    <cellStyle name="Percent 3 5 7 3 2 2 2" xfId="35069"/>
    <cellStyle name="Percent 3 5 7 3 2 3" xfId="35070"/>
    <cellStyle name="Percent 3 5 7 3 3" xfId="35071"/>
    <cellStyle name="Percent 3 5 7 3 3 2" xfId="35072"/>
    <cellStyle name="Percent 3 5 7 3 4" xfId="35073"/>
    <cellStyle name="Percent 3 5 7 4" xfId="35074"/>
    <cellStyle name="Percent 3 5 7 4 2" xfId="35075"/>
    <cellStyle name="Percent 3 5 7 4 2 2" xfId="35076"/>
    <cellStyle name="Percent 3 5 7 4 3" xfId="35077"/>
    <cellStyle name="Percent 3 5 7 5" xfId="35078"/>
    <cellStyle name="Percent 3 5 7 5 2" xfId="35079"/>
    <cellStyle name="Percent 3 5 7 5 2 2" xfId="35080"/>
    <cellStyle name="Percent 3 5 7 5 3" xfId="35081"/>
    <cellStyle name="Percent 3 5 7 6" xfId="35082"/>
    <cellStyle name="Percent 3 5 7 6 2" xfId="35083"/>
    <cellStyle name="Percent 3 5 7 7" xfId="35084"/>
    <cellStyle name="Percent 3 5 7 7 2" xfId="37542"/>
    <cellStyle name="Percent 3 5 7 8" xfId="35085"/>
    <cellStyle name="Percent 3 5 8" xfId="35086"/>
    <cellStyle name="Percent 3 5 8 2" xfId="35087"/>
    <cellStyle name="Percent 3 5 8 2 2" xfId="35088"/>
    <cellStyle name="Percent 3 5 8 2 2 2" xfId="35089"/>
    <cellStyle name="Percent 3 5 8 2 2 3" xfId="35090"/>
    <cellStyle name="Percent 3 5 8 2 3" xfId="35091"/>
    <cellStyle name="Percent 3 5 8 2 3 2" xfId="35092"/>
    <cellStyle name="Percent 3 5 8 2 4" xfId="35093"/>
    <cellStyle name="Percent 3 5 8 3" xfId="35094"/>
    <cellStyle name="Percent 3 5 8 3 2" xfId="35095"/>
    <cellStyle name="Percent 3 5 8 3 2 2" xfId="35096"/>
    <cellStyle name="Percent 3 5 8 3 3" xfId="35097"/>
    <cellStyle name="Percent 3 5 8 4" xfId="35098"/>
    <cellStyle name="Percent 3 5 8 4 2" xfId="35099"/>
    <cellStyle name="Percent 3 5 8 4 3" xfId="35100"/>
    <cellStyle name="Percent 3 5 8 5" xfId="35101"/>
    <cellStyle name="Percent 3 5 8 5 2" xfId="35102"/>
    <cellStyle name="Percent 3 5 8 6" xfId="35103"/>
    <cellStyle name="Percent 3 5 8 6 2" xfId="37543"/>
    <cellStyle name="Percent 3 5 8 7" xfId="35104"/>
    <cellStyle name="Percent 3 5 9" xfId="35105"/>
    <cellStyle name="Percent 3 5 9 2" xfId="35106"/>
    <cellStyle name="Percent 3 5 9 2 2" xfId="35107"/>
    <cellStyle name="Percent 3 5 9 2 2 2" xfId="35108"/>
    <cellStyle name="Percent 3 5 9 2 3" xfId="35109"/>
    <cellStyle name="Percent 3 5 9 3" xfId="35110"/>
    <cellStyle name="Percent 3 5 9 3 2" xfId="35111"/>
    <cellStyle name="Percent 3 5 9 4" xfId="35112"/>
    <cellStyle name="Percent 3 6" xfId="35113"/>
    <cellStyle name="Percent 3 6 10" xfId="35114"/>
    <cellStyle name="Percent 3 6 10 2" xfId="35115"/>
    <cellStyle name="Percent 3 6 11" xfId="35116"/>
    <cellStyle name="Percent 3 6 11 2" xfId="37544"/>
    <cellStyle name="Percent 3 6 12" xfId="35117"/>
    <cellStyle name="Percent 3 6 2" xfId="35118"/>
    <cellStyle name="Percent 3 6 2 10" xfId="35119"/>
    <cellStyle name="Percent 3 6 2 2" xfId="35120"/>
    <cellStyle name="Percent 3 6 2 2 2" xfId="35121"/>
    <cellStyle name="Percent 3 6 2 2 2 2" xfId="35122"/>
    <cellStyle name="Percent 3 6 2 2 2 2 2" xfId="35123"/>
    <cellStyle name="Percent 3 6 2 2 2 2 2 2" xfId="35124"/>
    <cellStyle name="Percent 3 6 2 2 2 2 2 2 2" xfId="35125"/>
    <cellStyle name="Percent 3 6 2 2 2 2 2 2 3" xfId="35126"/>
    <cellStyle name="Percent 3 6 2 2 2 2 2 3" xfId="35127"/>
    <cellStyle name="Percent 3 6 2 2 2 2 2 3 2" xfId="35128"/>
    <cellStyle name="Percent 3 6 2 2 2 2 2 4" xfId="35129"/>
    <cellStyle name="Percent 3 6 2 2 2 2 3" xfId="35130"/>
    <cellStyle name="Percent 3 6 2 2 2 2 3 2" xfId="35131"/>
    <cellStyle name="Percent 3 6 2 2 2 2 3 2 2" xfId="35132"/>
    <cellStyle name="Percent 3 6 2 2 2 2 3 3" xfId="35133"/>
    <cellStyle name="Percent 3 6 2 2 2 2 4" xfId="35134"/>
    <cellStyle name="Percent 3 6 2 2 2 2 4 2" xfId="35135"/>
    <cellStyle name="Percent 3 6 2 2 2 2 4 3" xfId="35136"/>
    <cellStyle name="Percent 3 6 2 2 2 2 5" xfId="35137"/>
    <cellStyle name="Percent 3 6 2 2 2 2 5 2" xfId="35138"/>
    <cellStyle name="Percent 3 6 2 2 2 2 6" xfId="35139"/>
    <cellStyle name="Percent 3 6 2 2 2 2 6 2" xfId="37545"/>
    <cellStyle name="Percent 3 6 2 2 2 2 7" xfId="35140"/>
    <cellStyle name="Percent 3 6 2 2 2 3" xfId="35141"/>
    <cellStyle name="Percent 3 6 2 2 2 3 2" xfId="35142"/>
    <cellStyle name="Percent 3 6 2 2 2 3 2 2" xfId="35143"/>
    <cellStyle name="Percent 3 6 2 2 2 3 2 2 2" xfId="35144"/>
    <cellStyle name="Percent 3 6 2 2 2 3 2 3" xfId="35145"/>
    <cellStyle name="Percent 3 6 2 2 2 3 3" xfId="35146"/>
    <cellStyle name="Percent 3 6 2 2 2 3 3 2" xfId="35147"/>
    <cellStyle name="Percent 3 6 2 2 2 3 4" xfId="35148"/>
    <cellStyle name="Percent 3 6 2 2 2 4" xfId="35149"/>
    <cellStyle name="Percent 3 6 2 2 2 4 2" xfId="35150"/>
    <cellStyle name="Percent 3 6 2 2 2 4 2 2" xfId="35151"/>
    <cellStyle name="Percent 3 6 2 2 2 4 3" xfId="35152"/>
    <cellStyle name="Percent 3 6 2 2 2 5" xfId="35153"/>
    <cellStyle name="Percent 3 6 2 2 2 5 2" xfId="35154"/>
    <cellStyle name="Percent 3 6 2 2 2 5 2 2" xfId="35155"/>
    <cellStyle name="Percent 3 6 2 2 2 5 3" xfId="35156"/>
    <cellStyle name="Percent 3 6 2 2 2 6" xfId="35157"/>
    <cellStyle name="Percent 3 6 2 2 2 6 2" xfId="35158"/>
    <cellStyle name="Percent 3 6 2 2 2 7" xfId="35159"/>
    <cellStyle name="Percent 3 6 2 2 2 7 2" xfId="37546"/>
    <cellStyle name="Percent 3 6 2 2 2 8" xfId="35160"/>
    <cellStyle name="Percent 3 6 2 2 3" xfId="35161"/>
    <cellStyle name="Percent 3 6 2 2 3 2" xfId="35162"/>
    <cellStyle name="Percent 3 6 2 2 3 2 2" xfId="35163"/>
    <cellStyle name="Percent 3 6 2 2 3 2 2 2" xfId="35164"/>
    <cellStyle name="Percent 3 6 2 2 3 2 2 3" xfId="35165"/>
    <cellStyle name="Percent 3 6 2 2 3 2 3" xfId="35166"/>
    <cellStyle name="Percent 3 6 2 2 3 2 3 2" xfId="35167"/>
    <cellStyle name="Percent 3 6 2 2 3 2 4" xfId="35168"/>
    <cellStyle name="Percent 3 6 2 2 3 3" xfId="35169"/>
    <cellStyle name="Percent 3 6 2 2 3 3 2" xfId="35170"/>
    <cellStyle name="Percent 3 6 2 2 3 3 2 2" xfId="35171"/>
    <cellStyle name="Percent 3 6 2 2 3 3 3" xfId="35172"/>
    <cellStyle name="Percent 3 6 2 2 3 4" xfId="35173"/>
    <cellStyle name="Percent 3 6 2 2 3 4 2" xfId="35174"/>
    <cellStyle name="Percent 3 6 2 2 3 4 3" xfId="35175"/>
    <cellStyle name="Percent 3 6 2 2 3 5" xfId="35176"/>
    <cellStyle name="Percent 3 6 2 2 3 5 2" xfId="35177"/>
    <cellStyle name="Percent 3 6 2 2 3 6" xfId="35178"/>
    <cellStyle name="Percent 3 6 2 2 3 6 2" xfId="37547"/>
    <cellStyle name="Percent 3 6 2 2 3 7" xfId="35179"/>
    <cellStyle name="Percent 3 6 2 2 4" xfId="35180"/>
    <cellStyle name="Percent 3 6 2 2 4 2" xfId="35181"/>
    <cellStyle name="Percent 3 6 2 2 4 2 2" xfId="35182"/>
    <cellStyle name="Percent 3 6 2 2 4 2 2 2" xfId="35183"/>
    <cellStyle name="Percent 3 6 2 2 4 2 3" xfId="35184"/>
    <cellStyle name="Percent 3 6 2 2 4 3" xfId="35185"/>
    <cellStyle name="Percent 3 6 2 2 4 3 2" xfId="35186"/>
    <cellStyle name="Percent 3 6 2 2 4 4" xfId="35187"/>
    <cellStyle name="Percent 3 6 2 2 5" xfId="35188"/>
    <cellStyle name="Percent 3 6 2 2 5 2" xfId="35189"/>
    <cellStyle name="Percent 3 6 2 2 5 2 2" xfId="35190"/>
    <cellStyle name="Percent 3 6 2 2 5 3" xfId="35191"/>
    <cellStyle name="Percent 3 6 2 2 6" xfId="35192"/>
    <cellStyle name="Percent 3 6 2 2 6 2" xfId="35193"/>
    <cellStyle name="Percent 3 6 2 2 6 2 2" xfId="35194"/>
    <cellStyle name="Percent 3 6 2 2 6 3" xfId="35195"/>
    <cellStyle name="Percent 3 6 2 2 7" xfId="35196"/>
    <cellStyle name="Percent 3 6 2 2 7 2" xfId="35197"/>
    <cellStyle name="Percent 3 6 2 2 8" xfId="35198"/>
    <cellStyle name="Percent 3 6 2 2 8 2" xfId="37548"/>
    <cellStyle name="Percent 3 6 2 2 9" xfId="35199"/>
    <cellStyle name="Percent 3 6 2 3" xfId="35200"/>
    <cellStyle name="Percent 3 6 2 3 2" xfId="35201"/>
    <cellStyle name="Percent 3 6 2 3 2 2" xfId="35202"/>
    <cellStyle name="Percent 3 6 2 3 2 2 2" xfId="35203"/>
    <cellStyle name="Percent 3 6 2 3 2 2 2 2" xfId="35204"/>
    <cellStyle name="Percent 3 6 2 3 2 2 2 3" xfId="35205"/>
    <cellStyle name="Percent 3 6 2 3 2 2 3" xfId="35206"/>
    <cellStyle name="Percent 3 6 2 3 2 2 3 2" xfId="35207"/>
    <cellStyle name="Percent 3 6 2 3 2 2 4" xfId="35208"/>
    <cellStyle name="Percent 3 6 2 3 2 3" xfId="35209"/>
    <cellStyle name="Percent 3 6 2 3 2 3 2" xfId="35210"/>
    <cellStyle name="Percent 3 6 2 3 2 3 2 2" xfId="35211"/>
    <cellStyle name="Percent 3 6 2 3 2 3 3" xfId="35212"/>
    <cellStyle name="Percent 3 6 2 3 2 4" xfId="35213"/>
    <cellStyle name="Percent 3 6 2 3 2 4 2" xfId="35214"/>
    <cellStyle name="Percent 3 6 2 3 2 4 3" xfId="35215"/>
    <cellStyle name="Percent 3 6 2 3 2 5" xfId="35216"/>
    <cellStyle name="Percent 3 6 2 3 2 5 2" xfId="35217"/>
    <cellStyle name="Percent 3 6 2 3 2 6" xfId="35218"/>
    <cellStyle name="Percent 3 6 2 3 2 6 2" xfId="37549"/>
    <cellStyle name="Percent 3 6 2 3 2 7" xfId="35219"/>
    <cellStyle name="Percent 3 6 2 3 3" xfId="35220"/>
    <cellStyle name="Percent 3 6 2 3 3 2" xfId="35221"/>
    <cellStyle name="Percent 3 6 2 3 3 2 2" xfId="35222"/>
    <cellStyle name="Percent 3 6 2 3 3 2 2 2" xfId="35223"/>
    <cellStyle name="Percent 3 6 2 3 3 2 3" xfId="35224"/>
    <cellStyle name="Percent 3 6 2 3 3 3" xfId="35225"/>
    <cellStyle name="Percent 3 6 2 3 3 3 2" xfId="35226"/>
    <cellStyle name="Percent 3 6 2 3 3 4" xfId="35227"/>
    <cellStyle name="Percent 3 6 2 3 4" xfId="35228"/>
    <cellStyle name="Percent 3 6 2 3 4 2" xfId="35229"/>
    <cellStyle name="Percent 3 6 2 3 4 2 2" xfId="35230"/>
    <cellStyle name="Percent 3 6 2 3 4 3" xfId="35231"/>
    <cellStyle name="Percent 3 6 2 3 5" xfId="35232"/>
    <cellStyle name="Percent 3 6 2 3 5 2" xfId="35233"/>
    <cellStyle name="Percent 3 6 2 3 5 2 2" xfId="35234"/>
    <cellStyle name="Percent 3 6 2 3 5 3" xfId="35235"/>
    <cellStyle name="Percent 3 6 2 3 6" xfId="35236"/>
    <cellStyle name="Percent 3 6 2 3 6 2" xfId="35237"/>
    <cellStyle name="Percent 3 6 2 3 7" xfId="35238"/>
    <cellStyle name="Percent 3 6 2 3 7 2" xfId="37550"/>
    <cellStyle name="Percent 3 6 2 3 8" xfId="35239"/>
    <cellStyle name="Percent 3 6 2 4" xfId="35240"/>
    <cellStyle name="Percent 3 6 2 4 2" xfId="35241"/>
    <cellStyle name="Percent 3 6 2 4 2 2" xfId="35242"/>
    <cellStyle name="Percent 3 6 2 4 2 2 2" xfId="35243"/>
    <cellStyle name="Percent 3 6 2 4 2 2 3" xfId="35244"/>
    <cellStyle name="Percent 3 6 2 4 2 3" xfId="35245"/>
    <cellStyle name="Percent 3 6 2 4 2 3 2" xfId="35246"/>
    <cellStyle name="Percent 3 6 2 4 2 4" xfId="35247"/>
    <cellStyle name="Percent 3 6 2 4 3" xfId="35248"/>
    <cellStyle name="Percent 3 6 2 4 3 2" xfId="35249"/>
    <cellStyle name="Percent 3 6 2 4 3 2 2" xfId="35250"/>
    <cellStyle name="Percent 3 6 2 4 3 3" xfId="35251"/>
    <cellStyle name="Percent 3 6 2 4 4" xfId="35252"/>
    <cellStyle name="Percent 3 6 2 4 4 2" xfId="35253"/>
    <cellStyle name="Percent 3 6 2 4 4 3" xfId="35254"/>
    <cellStyle name="Percent 3 6 2 4 5" xfId="35255"/>
    <cellStyle name="Percent 3 6 2 4 5 2" xfId="35256"/>
    <cellStyle name="Percent 3 6 2 4 6" xfId="35257"/>
    <cellStyle name="Percent 3 6 2 4 6 2" xfId="37551"/>
    <cellStyle name="Percent 3 6 2 4 7" xfId="35258"/>
    <cellStyle name="Percent 3 6 2 5" xfId="35259"/>
    <cellStyle name="Percent 3 6 2 5 2" xfId="35260"/>
    <cellStyle name="Percent 3 6 2 5 2 2" xfId="35261"/>
    <cellStyle name="Percent 3 6 2 5 2 2 2" xfId="35262"/>
    <cellStyle name="Percent 3 6 2 5 2 3" xfId="35263"/>
    <cellStyle name="Percent 3 6 2 5 3" xfId="35264"/>
    <cellStyle name="Percent 3 6 2 5 3 2" xfId="35265"/>
    <cellStyle name="Percent 3 6 2 5 4" xfId="35266"/>
    <cellStyle name="Percent 3 6 2 6" xfId="35267"/>
    <cellStyle name="Percent 3 6 2 6 2" xfId="35268"/>
    <cellStyle name="Percent 3 6 2 6 2 2" xfId="35269"/>
    <cellStyle name="Percent 3 6 2 6 3" xfId="35270"/>
    <cellStyle name="Percent 3 6 2 7" xfId="35271"/>
    <cellStyle name="Percent 3 6 2 7 2" xfId="35272"/>
    <cellStyle name="Percent 3 6 2 7 2 2" xfId="35273"/>
    <cellStyle name="Percent 3 6 2 7 3" xfId="35274"/>
    <cellStyle name="Percent 3 6 2 8" xfId="35275"/>
    <cellStyle name="Percent 3 6 2 8 2" xfId="35276"/>
    <cellStyle name="Percent 3 6 2 9" xfId="35277"/>
    <cellStyle name="Percent 3 6 2 9 2" xfId="37552"/>
    <cellStyle name="Percent 3 6 3" xfId="35278"/>
    <cellStyle name="Percent 3 6 3 2" xfId="35279"/>
    <cellStyle name="Percent 3 6 3 2 2" xfId="35280"/>
    <cellStyle name="Percent 3 6 3 2 2 2" xfId="35281"/>
    <cellStyle name="Percent 3 6 3 2 2 2 2" xfId="35282"/>
    <cellStyle name="Percent 3 6 3 2 2 2 2 2" xfId="35283"/>
    <cellStyle name="Percent 3 6 3 2 2 2 2 3" xfId="35284"/>
    <cellStyle name="Percent 3 6 3 2 2 2 3" xfId="35285"/>
    <cellStyle name="Percent 3 6 3 2 2 2 3 2" xfId="35286"/>
    <cellStyle name="Percent 3 6 3 2 2 2 4" xfId="35287"/>
    <cellStyle name="Percent 3 6 3 2 2 3" xfId="35288"/>
    <cellStyle name="Percent 3 6 3 2 2 3 2" xfId="35289"/>
    <cellStyle name="Percent 3 6 3 2 2 3 2 2" xfId="35290"/>
    <cellStyle name="Percent 3 6 3 2 2 3 3" xfId="35291"/>
    <cellStyle name="Percent 3 6 3 2 2 4" xfId="35292"/>
    <cellStyle name="Percent 3 6 3 2 2 4 2" xfId="35293"/>
    <cellStyle name="Percent 3 6 3 2 2 4 3" xfId="35294"/>
    <cellStyle name="Percent 3 6 3 2 2 5" xfId="35295"/>
    <cellStyle name="Percent 3 6 3 2 2 5 2" xfId="35296"/>
    <cellStyle name="Percent 3 6 3 2 2 6" xfId="35297"/>
    <cellStyle name="Percent 3 6 3 2 2 6 2" xfId="37553"/>
    <cellStyle name="Percent 3 6 3 2 2 7" xfId="35298"/>
    <cellStyle name="Percent 3 6 3 2 3" xfId="35299"/>
    <cellStyle name="Percent 3 6 3 2 3 2" xfId="35300"/>
    <cellStyle name="Percent 3 6 3 2 3 2 2" xfId="35301"/>
    <cellStyle name="Percent 3 6 3 2 3 2 2 2" xfId="35302"/>
    <cellStyle name="Percent 3 6 3 2 3 2 3" xfId="35303"/>
    <cellStyle name="Percent 3 6 3 2 3 3" xfId="35304"/>
    <cellStyle name="Percent 3 6 3 2 3 3 2" xfId="35305"/>
    <cellStyle name="Percent 3 6 3 2 3 4" xfId="35306"/>
    <cellStyle name="Percent 3 6 3 2 4" xfId="35307"/>
    <cellStyle name="Percent 3 6 3 2 4 2" xfId="35308"/>
    <cellStyle name="Percent 3 6 3 2 4 2 2" xfId="35309"/>
    <cellStyle name="Percent 3 6 3 2 4 3" xfId="35310"/>
    <cellStyle name="Percent 3 6 3 2 5" xfId="35311"/>
    <cellStyle name="Percent 3 6 3 2 5 2" xfId="35312"/>
    <cellStyle name="Percent 3 6 3 2 5 2 2" xfId="35313"/>
    <cellStyle name="Percent 3 6 3 2 5 3" xfId="35314"/>
    <cellStyle name="Percent 3 6 3 2 6" xfId="35315"/>
    <cellStyle name="Percent 3 6 3 2 6 2" xfId="35316"/>
    <cellStyle name="Percent 3 6 3 2 7" xfId="35317"/>
    <cellStyle name="Percent 3 6 3 2 7 2" xfId="37554"/>
    <cellStyle name="Percent 3 6 3 2 8" xfId="35318"/>
    <cellStyle name="Percent 3 6 3 3" xfId="35319"/>
    <cellStyle name="Percent 3 6 3 3 2" xfId="35320"/>
    <cellStyle name="Percent 3 6 3 3 2 2" xfId="35321"/>
    <cellStyle name="Percent 3 6 3 3 2 2 2" xfId="35322"/>
    <cellStyle name="Percent 3 6 3 3 2 2 3" xfId="35323"/>
    <cellStyle name="Percent 3 6 3 3 2 3" xfId="35324"/>
    <cellStyle name="Percent 3 6 3 3 2 3 2" xfId="35325"/>
    <cellStyle name="Percent 3 6 3 3 2 4" xfId="35326"/>
    <cellStyle name="Percent 3 6 3 3 3" xfId="35327"/>
    <cellStyle name="Percent 3 6 3 3 3 2" xfId="35328"/>
    <cellStyle name="Percent 3 6 3 3 3 2 2" xfId="35329"/>
    <cellStyle name="Percent 3 6 3 3 3 3" xfId="35330"/>
    <cellStyle name="Percent 3 6 3 3 4" xfId="35331"/>
    <cellStyle name="Percent 3 6 3 3 4 2" xfId="35332"/>
    <cellStyle name="Percent 3 6 3 3 4 3" xfId="35333"/>
    <cellStyle name="Percent 3 6 3 3 5" xfId="35334"/>
    <cellStyle name="Percent 3 6 3 3 5 2" xfId="35335"/>
    <cellStyle name="Percent 3 6 3 3 6" xfId="35336"/>
    <cellStyle name="Percent 3 6 3 3 6 2" xfId="37555"/>
    <cellStyle name="Percent 3 6 3 3 7" xfId="35337"/>
    <cellStyle name="Percent 3 6 3 4" xfId="35338"/>
    <cellStyle name="Percent 3 6 3 4 2" xfId="35339"/>
    <cellStyle name="Percent 3 6 3 4 2 2" xfId="35340"/>
    <cellStyle name="Percent 3 6 3 4 2 2 2" xfId="35341"/>
    <cellStyle name="Percent 3 6 3 4 2 3" xfId="35342"/>
    <cellStyle name="Percent 3 6 3 4 3" xfId="35343"/>
    <cellStyle name="Percent 3 6 3 4 3 2" xfId="35344"/>
    <cellStyle name="Percent 3 6 3 4 4" xfId="35345"/>
    <cellStyle name="Percent 3 6 3 5" xfId="35346"/>
    <cellStyle name="Percent 3 6 3 5 2" xfId="35347"/>
    <cellStyle name="Percent 3 6 3 5 2 2" xfId="35348"/>
    <cellStyle name="Percent 3 6 3 5 3" xfId="35349"/>
    <cellStyle name="Percent 3 6 3 6" xfId="35350"/>
    <cellStyle name="Percent 3 6 3 6 2" xfId="35351"/>
    <cellStyle name="Percent 3 6 3 6 2 2" xfId="35352"/>
    <cellStyle name="Percent 3 6 3 6 3" xfId="35353"/>
    <cellStyle name="Percent 3 6 3 7" xfId="35354"/>
    <cellStyle name="Percent 3 6 3 7 2" xfId="35355"/>
    <cellStyle name="Percent 3 6 3 8" xfId="35356"/>
    <cellStyle name="Percent 3 6 3 8 2" xfId="37556"/>
    <cellStyle name="Percent 3 6 3 9" xfId="35357"/>
    <cellStyle name="Percent 3 6 4" xfId="35358"/>
    <cellStyle name="Percent 3 6 4 2" xfId="35359"/>
    <cellStyle name="Percent 3 6 4 2 2" xfId="35360"/>
    <cellStyle name="Percent 3 6 4 2 2 2" xfId="35361"/>
    <cellStyle name="Percent 3 6 4 2 2 2 2" xfId="35362"/>
    <cellStyle name="Percent 3 6 4 2 2 2 3" xfId="35363"/>
    <cellStyle name="Percent 3 6 4 2 2 3" xfId="35364"/>
    <cellStyle name="Percent 3 6 4 2 2 3 2" xfId="35365"/>
    <cellStyle name="Percent 3 6 4 2 2 4" xfId="35366"/>
    <cellStyle name="Percent 3 6 4 2 3" xfId="35367"/>
    <cellStyle name="Percent 3 6 4 2 3 2" xfId="35368"/>
    <cellStyle name="Percent 3 6 4 2 3 2 2" xfId="35369"/>
    <cellStyle name="Percent 3 6 4 2 3 3" xfId="35370"/>
    <cellStyle name="Percent 3 6 4 2 4" xfId="35371"/>
    <cellStyle name="Percent 3 6 4 2 4 2" xfId="35372"/>
    <cellStyle name="Percent 3 6 4 2 4 3" xfId="35373"/>
    <cellStyle name="Percent 3 6 4 2 5" xfId="35374"/>
    <cellStyle name="Percent 3 6 4 2 5 2" xfId="35375"/>
    <cellStyle name="Percent 3 6 4 2 6" xfId="35376"/>
    <cellStyle name="Percent 3 6 4 2 6 2" xfId="37557"/>
    <cellStyle name="Percent 3 6 4 2 7" xfId="35377"/>
    <cellStyle name="Percent 3 6 4 3" xfId="35378"/>
    <cellStyle name="Percent 3 6 4 3 2" xfId="35379"/>
    <cellStyle name="Percent 3 6 4 3 2 2" xfId="35380"/>
    <cellStyle name="Percent 3 6 4 3 2 2 2" xfId="35381"/>
    <cellStyle name="Percent 3 6 4 3 2 3" xfId="35382"/>
    <cellStyle name="Percent 3 6 4 3 3" xfId="35383"/>
    <cellStyle name="Percent 3 6 4 3 3 2" xfId="35384"/>
    <cellStyle name="Percent 3 6 4 3 4" xfId="35385"/>
    <cellStyle name="Percent 3 6 4 4" xfId="35386"/>
    <cellStyle name="Percent 3 6 4 4 2" xfId="35387"/>
    <cellStyle name="Percent 3 6 4 4 2 2" xfId="35388"/>
    <cellStyle name="Percent 3 6 4 4 3" xfId="35389"/>
    <cellStyle name="Percent 3 6 4 5" xfId="35390"/>
    <cellStyle name="Percent 3 6 4 5 2" xfId="35391"/>
    <cellStyle name="Percent 3 6 4 5 2 2" xfId="35392"/>
    <cellStyle name="Percent 3 6 4 5 3" xfId="35393"/>
    <cellStyle name="Percent 3 6 4 6" xfId="35394"/>
    <cellStyle name="Percent 3 6 4 6 2" xfId="35395"/>
    <cellStyle name="Percent 3 6 4 7" xfId="35396"/>
    <cellStyle name="Percent 3 6 4 7 2" xfId="37558"/>
    <cellStyle name="Percent 3 6 4 8" xfId="35397"/>
    <cellStyle name="Percent 3 6 5" xfId="35398"/>
    <cellStyle name="Percent 3 6 5 2" xfId="35399"/>
    <cellStyle name="Percent 3 6 5 2 2" xfId="35400"/>
    <cellStyle name="Percent 3 6 5 2 2 2" xfId="35401"/>
    <cellStyle name="Percent 3 6 5 2 2 2 2" xfId="35402"/>
    <cellStyle name="Percent 3 6 5 2 2 2 3" xfId="35403"/>
    <cellStyle name="Percent 3 6 5 2 2 3" xfId="35404"/>
    <cellStyle name="Percent 3 6 5 2 2 3 2" xfId="35405"/>
    <cellStyle name="Percent 3 6 5 2 2 4" xfId="35406"/>
    <cellStyle name="Percent 3 6 5 2 3" xfId="35407"/>
    <cellStyle name="Percent 3 6 5 2 3 2" xfId="35408"/>
    <cellStyle name="Percent 3 6 5 2 3 2 2" xfId="35409"/>
    <cellStyle name="Percent 3 6 5 2 3 3" xfId="35410"/>
    <cellStyle name="Percent 3 6 5 2 4" xfId="35411"/>
    <cellStyle name="Percent 3 6 5 2 4 2" xfId="35412"/>
    <cellStyle name="Percent 3 6 5 2 4 3" xfId="35413"/>
    <cellStyle name="Percent 3 6 5 2 5" xfId="35414"/>
    <cellStyle name="Percent 3 6 5 2 5 2" xfId="35415"/>
    <cellStyle name="Percent 3 6 5 2 6" xfId="35416"/>
    <cellStyle name="Percent 3 6 5 2 6 2" xfId="37559"/>
    <cellStyle name="Percent 3 6 5 2 7" xfId="35417"/>
    <cellStyle name="Percent 3 6 5 3" xfId="35418"/>
    <cellStyle name="Percent 3 6 5 3 2" xfId="35419"/>
    <cellStyle name="Percent 3 6 5 3 2 2" xfId="35420"/>
    <cellStyle name="Percent 3 6 5 3 2 2 2" xfId="35421"/>
    <cellStyle name="Percent 3 6 5 3 2 3" xfId="35422"/>
    <cellStyle name="Percent 3 6 5 3 3" xfId="35423"/>
    <cellStyle name="Percent 3 6 5 3 3 2" xfId="35424"/>
    <cellStyle name="Percent 3 6 5 3 4" xfId="35425"/>
    <cellStyle name="Percent 3 6 5 4" xfId="35426"/>
    <cellStyle name="Percent 3 6 5 4 2" xfId="35427"/>
    <cellStyle name="Percent 3 6 5 4 2 2" xfId="35428"/>
    <cellStyle name="Percent 3 6 5 4 3" xfId="35429"/>
    <cellStyle name="Percent 3 6 5 5" xfId="35430"/>
    <cellStyle name="Percent 3 6 5 5 2" xfId="35431"/>
    <cellStyle name="Percent 3 6 5 5 2 2" xfId="35432"/>
    <cellStyle name="Percent 3 6 5 5 3" xfId="35433"/>
    <cellStyle name="Percent 3 6 5 6" xfId="35434"/>
    <cellStyle name="Percent 3 6 5 6 2" xfId="35435"/>
    <cellStyle name="Percent 3 6 5 7" xfId="35436"/>
    <cellStyle name="Percent 3 6 5 7 2" xfId="37560"/>
    <cellStyle name="Percent 3 6 5 8" xfId="35437"/>
    <cellStyle name="Percent 3 6 6" xfId="35438"/>
    <cellStyle name="Percent 3 6 6 2" xfId="35439"/>
    <cellStyle name="Percent 3 6 6 2 2" xfId="35440"/>
    <cellStyle name="Percent 3 6 6 2 2 2" xfId="35441"/>
    <cellStyle name="Percent 3 6 6 2 2 3" xfId="35442"/>
    <cellStyle name="Percent 3 6 6 2 3" xfId="35443"/>
    <cellStyle name="Percent 3 6 6 2 3 2" xfId="35444"/>
    <cellStyle name="Percent 3 6 6 2 4" xfId="35445"/>
    <cellStyle name="Percent 3 6 6 3" xfId="35446"/>
    <cellStyle name="Percent 3 6 6 3 2" xfId="35447"/>
    <cellStyle name="Percent 3 6 6 3 2 2" xfId="35448"/>
    <cellStyle name="Percent 3 6 6 3 3" xfId="35449"/>
    <cellStyle name="Percent 3 6 6 4" xfId="35450"/>
    <cellStyle name="Percent 3 6 6 4 2" xfId="35451"/>
    <cellStyle name="Percent 3 6 6 4 3" xfId="35452"/>
    <cellStyle name="Percent 3 6 6 5" xfId="35453"/>
    <cellStyle name="Percent 3 6 6 5 2" xfId="35454"/>
    <cellStyle name="Percent 3 6 6 6" xfId="35455"/>
    <cellStyle name="Percent 3 6 6 6 2" xfId="37561"/>
    <cellStyle name="Percent 3 6 6 7" xfId="35456"/>
    <cellStyle name="Percent 3 6 7" xfId="35457"/>
    <cellStyle name="Percent 3 6 7 2" xfId="35458"/>
    <cellStyle name="Percent 3 6 7 2 2" xfId="35459"/>
    <cellStyle name="Percent 3 6 7 2 2 2" xfId="35460"/>
    <cellStyle name="Percent 3 6 7 2 3" xfId="35461"/>
    <cellStyle name="Percent 3 6 7 3" xfId="35462"/>
    <cellStyle name="Percent 3 6 7 3 2" xfId="35463"/>
    <cellStyle name="Percent 3 6 7 4" xfId="35464"/>
    <cellStyle name="Percent 3 6 8" xfId="35465"/>
    <cellStyle name="Percent 3 6 8 2" xfId="35466"/>
    <cellStyle name="Percent 3 6 8 2 2" xfId="35467"/>
    <cellStyle name="Percent 3 6 8 3" xfId="35468"/>
    <cellStyle name="Percent 3 6 9" xfId="35469"/>
    <cellStyle name="Percent 3 6 9 2" xfId="35470"/>
    <cellStyle name="Percent 3 6 9 2 2" xfId="35471"/>
    <cellStyle name="Percent 3 6 9 3" xfId="35472"/>
    <cellStyle name="Percent 3 7" xfId="35473"/>
    <cellStyle name="Percent 3 7 10" xfId="35474"/>
    <cellStyle name="Percent 3 7 2" xfId="35475"/>
    <cellStyle name="Percent 3 7 2 2" xfId="35476"/>
    <cellStyle name="Percent 3 7 2 2 2" xfId="35477"/>
    <cellStyle name="Percent 3 7 2 2 2 2" xfId="35478"/>
    <cellStyle name="Percent 3 7 2 2 2 2 2" xfId="35479"/>
    <cellStyle name="Percent 3 7 2 2 2 2 2 2" xfId="35480"/>
    <cellStyle name="Percent 3 7 2 2 2 2 2 3" xfId="35481"/>
    <cellStyle name="Percent 3 7 2 2 2 2 3" xfId="35482"/>
    <cellStyle name="Percent 3 7 2 2 2 2 3 2" xfId="35483"/>
    <cellStyle name="Percent 3 7 2 2 2 2 4" xfId="35484"/>
    <cellStyle name="Percent 3 7 2 2 2 3" xfId="35485"/>
    <cellStyle name="Percent 3 7 2 2 2 3 2" xfId="35486"/>
    <cellStyle name="Percent 3 7 2 2 2 3 2 2" xfId="35487"/>
    <cellStyle name="Percent 3 7 2 2 2 3 3" xfId="35488"/>
    <cellStyle name="Percent 3 7 2 2 2 4" xfId="35489"/>
    <cellStyle name="Percent 3 7 2 2 2 4 2" xfId="35490"/>
    <cellStyle name="Percent 3 7 2 2 2 4 3" xfId="35491"/>
    <cellStyle name="Percent 3 7 2 2 2 5" xfId="35492"/>
    <cellStyle name="Percent 3 7 2 2 2 5 2" xfId="35493"/>
    <cellStyle name="Percent 3 7 2 2 2 6" xfId="35494"/>
    <cellStyle name="Percent 3 7 2 2 2 6 2" xfId="37562"/>
    <cellStyle name="Percent 3 7 2 2 2 7" xfId="35495"/>
    <cellStyle name="Percent 3 7 2 2 3" xfId="35496"/>
    <cellStyle name="Percent 3 7 2 2 3 2" xfId="35497"/>
    <cellStyle name="Percent 3 7 2 2 3 2 2" xfId="35498"/>
    <cellStyle name="Percent 3 7 2 2 3 2 2 2" xfId="35499"/>
    <cellStyle name="Percent 3 7 2 2 3 2 3" xfId="35500"/>
    <cellStyle name="Percent 3 7 2 2 3 3" xfId="35501"/>
    <cellStyle name="Percent 3 7 2 2 3 3 2" xfId="35502"/>
    <cellStyle name="Percent 3 7 2 2 3 4" xfId="35503"/>
    <cellStyle name="Percent 3 7 2 2 4" xfId="35504"/>
    <cellStyle name="Percent 3 7 2 2 4 2" xfId="35505"/>
    <cellStyle name="Percent 3 7 2 2 4 2 2" xfId="35506"/>
    <cellStyle name="Percent 3 7 2 2 4 3" xfId="35507"/>
    <cellStyle name="Percent 3 7 2 2 5" xfId="35508"/>
    <cellStyle name="Percent 3 7 2 2 5 2" xfId="35509"/>
    <cellStyle name="Percent 3 7 2 2 5 2 2" xfId="35510"/>
    <cellStyle name="Percent 3 7 2 2 5 3" xfId="35511"/>
    <cellStyle name="Percent 3 7 2 2 6" xfId="35512"/>
    <cellStyle name="Percent 3 7 2 2 6 2" xfId="35513"/>
    <cellStyle name="Percent 3 7 2 2 7" xfId="35514"/>
    <cellStyle name="Percent 3 7 2 2 7 2" xfId="37563"/>
    <cellStyle name="Percent 3 7 2 2 8" xfId="35515"/>
    <cellStyle name="Percent 3 7 2 3" xfId="35516"/>
    <cellStyle name="Percent 3 7 2 3 2" xfId="35517"/>
    <cellStyle name="Percent 3 7 2 3 2 2" xfId="35518"/>
    <cellStyle name="Percent 3 7 2 3 2 2 2" xfId="35519"/>
    <cellStyle name="Percent 3 7 2 3 2 2 3" xfId="35520"/>
    <cellStyle name="Percent 3 7 2 3 2 3" xfId="35521"/>
    <cellStyle name="Percent 3 7 2 3 2 3 2" xfId="35522"/>
    <cellStyle name="Percent 3 7 2 3 2 4" xfId="35523"/>
    <cellStyle name="Percent 3 7 2 3 3" xfId="35524"/>
    <cellStyle name="Percent 3 7 2 3 3 2" xfId="35525"/>
    <cellStyle name="Percent 3 7 2 3 3 2 2" xfId="35526"/>
    <cellStyle name="Percent 3 7 2 3 3 3" xfId="35527"/>
    <cellStyle name="Percent 3 7 2 3 4" xfId="35528"/>
    <cellStyle name="Percent 3 7 2 3 4 2" xfId="35529"/>
    <cellStyle name="Percent 3 7 2 3 4 3" xfId="35530"/>
    <cellStyle name="Percent 3 7 2 3 5" xfId="35531"/>
    <cellStyle name="Percent 3 7 2 3 5 2" xfId="35532"/>
    <cellStyle name="Percent 3 7 2 3 6" xfId="35533"/>
    <cellStyle name="Percent 3 7 2 3 6 2" xfId="37564"/>
    <cellStyle name="Percent 3 7 2 3 7" xfId="35534"/>
    <cellStyle name="Percent 3 7 2 4" xfId="35535"/>
    <cellStyle name="Percent 3 7 2 4 2" xfId="35536"/>
    <cellStyle name="Percent 3 7 2 4 2 2" xfId="35537"/>
    <cellStyle name="Percent 3 7 2 4 2 2 2" xfId="35538"/>
    <cellStyle name="Percent 3 7 2 4 2 3" xfId="35539"/>
    <cellStyle name="Percent 3 7 2 4 3" xfId="35540"/>
    <cellStyle name="Percent 3 7 2 4 3 2" xfId="35541"/>
    <cellStyle name="Percent 3 7 2 4 4" xfId="35542"/>
    <cellStyle name="Percent 3 7 2 5" xfId="35543"/>
    <cellStyle name="Percent 3 7 2 5 2" xfId="35544"/>
    <cellStyle name="Percent 3 7 2 5 2 2" xfId="35545"/>
    <cellStyle name="Percent 3 7 2 5 3" xfId="35546"/>
    <cellStyle name="Percent 3 7 2 6" xfId="35547"/>
    <cellStyle name="Percent 3 7 2 6 2" xfId="35548"/>
    <cellStyle name="Percent 3 7 2 6 2 2" xfId="35549"/>
    <cellStyle name="Percent 3 7 2 6 3" xfId="35550"/>
    <cellStyle name="Percent 3 7 2 7" xfId="35551"/>
    <cellStyle name="Percent 3 7 2 7 2" xfId="35552"/>
    <cellStyle name="Percent 3 7 2 8" xfId="35553"/>
    <cellStyle name="Percent 3 7 2 8 2" xfId="37565"/>
    <cellStyle name="Percent 3 7 2 9" xfId="35554"/>
    <cellStyle name="Percent 3 7 3" xfId="35555"/>
    <cellStyle name="Percent 3 7 3 2" xfId="35556"/>
    <cellStyle name="Percent 3 7 3 2 2" xfId="35557"/>
    <cellStyle name="Percent 3 7 3 2 2 2" xfId="35558"/>
    <cellStyle name="Percent 3 7 3 2 2 2 2" xfId="35559"/>
    <cellStyle name="Percent 3 7 3 2 2 2 3" xfId="35560"/>
    <cellStyle name="Percent 3 7 3 2 2 3" xfId="35561"/>
    <cellStyle name="Percent 3 7 3 2 2 3 2" xfId="35562"/>
    <cellStyle name="Percent 3 7 3 2 2 4" xfId="35563"/>
    <cellStyle name="Percent 3 7 3 2 3" xfId="35564"/>
    <cellStyle name="Percent 3 7 3 2 3 2" xfId="35565"/>
    <cellStyle name="Percent 3 7 3 2 3 2 2" xfId="35566"/>
    <cellStyle name="Percent 3 7 3 2 3 3" xfId="35567"/>
    <cellStyle name="Percent 3 7 3 2 4" xfId="35568"/>
    <cellStyle name="Percent 3 7 3 2 4 2" xfId="35569"/>
    <cellStyle name="Percent 3 7 3 2 4 3" xfId="35570"/>
    <cellStyle name="Percent 3 7 3 2 5" xfId="35571"/>
    <cellStyle name="Percent 3 7 3 2 5 2" xfId="35572"/>
    <cellStyle name="Percent 3 7 3 2 6" xfId="35573"/>
    <cellStyle name="Percent 3 7 3 2 6 2" xfId="37566"/>
    <cellStyle name="Percent 3 7 3 2 7" xfId="35574"/>
    <cellStyle name="Percent 3 7 3 3" xfId="35575"/>
    <cellStyle name="Percent 3 7 3 3 2" xfId="35576"/>
    <cellStyle name="Percent 3 7 3 3 2 2" xfId="35577"/>
    <cellStyle name="Percent 3 7 3 3 2 2 2" xfId="35578"/>
    <cellStyle name="Percent 3 7 3 3 2 3" xfId="35579"/>
    <cellStyle name="Percent 3 7 3 3 3" xfId="35580"/>
    <cellStyle name="Percent 3 7 3 3 3 2" xfId="35581"/>
    <cellStyle name="Percent 3 7 3 3 4" xfId="35582"/>
    <cellStyle name="Percent 3 7 3 4" xfId="35583"/>
    <cellStyle name="Percent 3 7 3 4 2" xfId="35584"/>
    <cellStyle name="Percent 3 7 3 4 2 2" xfId="35585"/>
    <cellStyle name="Percent 3 7 3 4 3" xfId="35586"/>
    <cellStyle name="Percent 3 7 3 5" xfId="35587"/>
    <cellStyle name="Percent 3 7 3 5 2" xfId="35588"/>
    <cellStyle name="Percent 3 7 3 5 2 2" xfId="35589"/>
    <cellStyle name="Percent 3 7 3 5 3" xfId="35590"/>
    <cellStyle name="Percent 3 7 3 6" xfId="35591"/>
    <cellStyle name="Percent 3 7 3 6 2" xfId="35592"/>
    <cellStyle name="Percent 3 7 3 7" xfId="35593"/>
    <cellStyle name="Percent 3 7 3 7 2" xfId="37567"/>
    <cellStyle name="Percent 3 7 3 8" xfId="35594"/>
    <cellStyle name="Percent 3 7 4" xfId="35595"/>
    <cellStyle name="Percent 3 7 4 2" xfId="35596"/>
    <cellStyle name="Percent 3 7 4 2 2" xfId="35597"/>
    <cellStyle name="Percent 3 7 4 2 2 2" xfId="35598"/>
    <cellStyle name="Percent 3 7 4 2 2 3" xfId="35599"/>
    <cellStyle name="Percent 3 7 4 2 3" xfId="35600"/>
    <cellStyle name="Percent 3 7 4 2 3 2" xfId="35601"/>
    <cellStyle name="Percent 3 7 4 2 4" xfId="35602"/>
    <cellStyle name="Percent 3 7 4 3" xfId="35603"/>
    <cellStyle name="Percent 3 7 4 3 2" xfId="35604"/>
    <cellStyle name="Percent 3 7 4 3 2 2" xfId="35605"/>
    <cellStyle name="Percent 3 7 4 3 3" xfId="35606"/>
    <cellStyle name="Percent 3 7 4 4" xfId="35607"/>
    <cellStyle name="Percent 3 7 4 4 2" xfId="35608"/>
    <cellStyle name="Percent 3 7 4 4 3" xfId="35609"/>
    <cellStyle name="Percent 3 7 4 5" xfId="35610"/>
    <cellStyle name="Percent 3 7 4 5 2" xfId="35611"/>
    <cellStyle name="Percent 3 7 4 6" xfId="35612"/>
    <cellStyle name="Percent 3 7 4 6 2" xfId="37568"/>
    <cellStyle name="Percent 3 7 4 7" xfId="35613"/>
    <cellStyle name="Percent 3 7 5" xfId="35614"/>
    <cellStyle name="Percent 3 7 5 2" xfId="35615"/>
    <cellStyle name="Percent 3 7 5 2 2" xfId="35616"/>
    <cellStyle name="Percent 3 7 5 2 2 2" xfId="35617"/>
    <cellStyle name="Percent 3 7 5 2 3" xfId="35618"/>
    <cellStyle name="Percent 3 7 5 3" xfId="35619"/>
    <cellStyle name="Percent 3 7 5 3 2" xfId="35620"/>
    <cellStyle name="Percent 3 7 5 4" xfId="35621"/>
    <cellStyle name="Percent 3 7 6" xfId="35622"/>
    <cellStyle name="Percent 3 7 6 2" xfId="35623"/>
    <cellStyle name="Percent 3 7 6 2 2" xfId="35624"/>
    <cellStyle name="Percent 3 7 6 3" xfId="35625"/>
    <cellStyle name="Percent 3 7 7" xfId="35626"/>
    <cellStyle name="Percent 3 7 7 2" xfId="35627"/>
    <cellStyle name="Percent 3 7 7 2 2" xfId="35628"/>
    <cellStyle name="Percent 3 7 7 3" xfId="35629"/>
    <cellStyle name="Percent 3 7 8" xfId="35630"/>
    <cellStyle name="Percent 3 7 8 2" xfId="35631"/>
    <cellStyle name="Percent 3 7 9" xfId="35632"/>
    <cellStyle name="Percent 3 7 9 2" xfId="37569"/>
    <cellStyle name="Percent 3 8" xfId="35633"/>
    <cellStyle name="Percent 3 8 2" xfId="35634"/>
    <cellStyle name="Percent 3 8 2 2" xfId="35635"/>
    <cellStyle name="Percent 3 8 2 2 2" xfId="35636"/>
    <cellStyle name="Percent 3 8 2 2 2 2" xfId="35637"/>
    <cellStyle name="Percent 3 8 2 2 2 2 2" xfId="35638"/>
    <cellStyle name="Percent 3 8 2 2 2 2 3" xfId="35639"/>
    <cellStyle name="Percent 3 8 2 2 2 3" xfId="35640"/>
    <cellStyle name="Percent 3 8 2 2 2 3 2" xfId="35641"/>
    <cellStyle name="Percent 3 8 2 2 2 4" xfId="35642"/>
    <cellStyle name="Percent 3 8 2 2 3" xfId="35643"/>
    <cellStyle name="Percent 3 8 2 2 3 2" xfId="35644"/>
    <cellStyle name="Percent 3 8 2 2 3 2 2" xfId="35645"/>
    <cellStyle name="Percent 3 8 2 2 3 3" xfId="35646"/>
    <cellStyle name="Percent 3 8 2 2 4" xfId="35647"/>
    <cellStyle name="Percent 3 8 2 2 4 2" xfId="35648"/>
    <cellStyle name="Percent 3 8 2 2 4 3" xfId="35649"/>
    <cellStyle name="Percent 3 8 2 2 5" xfId="35650"/>
    <cellStyle name="Percent 3 8 2 2 5 2" xfId="35651"/>
    <cellStyle name="Percent 3 8 2 2 6" xfId="35652"/>
    <cellStyle name="Percent 3 8 2 2 6 2" xfId="37570"/>
    <cellStyle name="Percent 3 8 2 2 7" xfId="35653"/>
    <cellStyle name="Percent 3 8 2 3" xfId="35654"/>
    <cellStyle name="Percent 3 8 2 3 2" xfId="35655"/>
    <cellStyle name="Percent 3 8 2 3 2 2" xfId="35656"/>
    <cellStyle name="Percent 3 8 2 3 2 2 2" xfId="35657"/>
    <cellStyle name="Percent 3 8 2 3 2 3" xfId="35658"/>
    <cellStyle name="Percent 3 8 2 3 3" xfId="35659"/>
    <cellStyle name="Percent 3 8 2 3 3 2" xfId="35660"/>
    <cellStyle name="Percent 3 8 2 3 4" xfId="35661"/>
    <cellStyle name="Percent 3 8 2 4" xfId="35662"/>
    <cellStyle name="Percent 3 8 2 4 2" xfId="35663"/>
    <cellStyle name="Percent 3 8 2 4 2 2" xfId="35664"/>
    <cellStyle name="Percent 3 8 2 4 3" xfId="35665"/>
    <cellStyle name="Percent 3 8 2 5" xfId="35666"/>
    <cellStyle name="Percent 3 8 2 5 2" xfId="35667"/>
    <cellStyle name="Percent 3 8 2 5 2 2" xfId="35668"/>
    <cellStyle name="Percent 3 8 2 5 3" xfId="35669"/>
    <cellStyle name="Percent 3 8 2 6" xfId="35670"/>
    <cellStyle name="Percent 3 8 2 6 2" xfId="35671"/>
    <cellStyle name="Percent 3 8 2 7" xfId="35672"/>
    <cellStyle name="Percent 3 8 2 7 2" xfId="37571"/>
    <cellStyle name="Percent 3 8 2 8" xfId="35673"/>
    <cellStyle name="Percent 3 8 3" xfId="35674"/>
    <cellStyle name="Percent 3 8 3 2" xfId="35675"/>
    <cellStyle name="Percent 3 8 3 2 2" xfId="35676"/>
    <cellStyle name="Percent 3 8 3 2 2 2" xfId="35677"/>
    <cellStyle name="Percent 3 8 3 2 2 3" xfId="35678"/>
    <cellStyle name="Percent 3 8 3 2 3" xfId="35679"/>
    <cellStyle name="Percent 3 8 3 2 3 2" xfId="35680"/>
    <cellStyle name="Percent 3 8 3 2 4" xfId="35681"/>
    <cellStyle name="Percent 3 8 3 3" xfId="35682"/>
    <cellStyle name="Percent 3 8 3 3 2" xfId="35683"/>
    <cellStyle name="Percent 3 8 3 3 2 2" xfId="35684"/>
    <cellStyle name="Percent 3 8 3 3 3" xfId="35685"/>
    <cellStyle name="Percent 3 8 3 4" xfId="35686"/>
    <cellStyle name="Percent 3 8 3 4 2" xfId="35687"/>
    <cellStyle name="Percent 3 8 3 4 3" xfId="35688"/>
    <cellStyle name="Percent 3 8 3 5" xfId="35689"/>
    <cellStyle name="Percent 3 8 3 5 2" xfId="35690"/>
    <cellStyle name="Percent 3 8 3 6" xfId="35691"/>
    <cellStyle name="Percent 3 8 3 6 2" xfId="37572"/>
    <cellStyle name="Percent 3 8 3 7" xfId="35692"/>
    <cellStyle name="Percent 3 8 4" xfId="35693"/>
    <cellStyle name="Percent 3 8 4 2" xfId="35694"/>
    <cellStyle name="Percent 3 8 4 2 2" xfId="35695"/>
    <cellStyle name="Percent 3 8 4 2 2 2" xfId="35696"/>
    <cellStyle name="Percent 3 8 4 2 3" xfId="35697"/>
    <cellStyle name="Percent 3 8 4 3" xfId="35698"/>
    <cellStyle name="Percent 3 8 4 3 2" xfId="35699"/>
    <cellStyle name="Percent 3 8 4 4" xfId="35700"/>
    <cellStyle name="Percent 3 8 5" xfId="35701"/>
    <cellStyle name="Percent 3 8 5 2" xfId="35702"/>
    <cellStyle name="Percent 3 8 5 2 2" xfId="35703"/>
    <cellStyle name="Percent 3 8 5 3" xfId="35704"/>
    <cellStyle name="Percent 3 8 6" xfId="35705"/>
    <cellStyle name="Percent 3 8 6 2" xfId="35706"/>
    <cellStyle name="Percent 3 8 6 2 2" xfId="35707"/>
    <cellStyle name="Percent 3 8 6 3" xfId="35708"/>
    <cellStyle name="Percent 3 8 7" xfId="35709"/>
    <cellStyle name="Percent 3 8 7 2" xfId="35710"/>
    <cellStyle name="Percent 3 8 8" xfId="35711"/>
    <cellStyle name="Percent 3 8 8 2" xfId="37573"/>
    <cellStyle name="Percent 3 8 9" xfId="35712"/>
    <cellStyle name="Percent 3 9" xfId="35713"/>
    <cellStyle name="Percent 3 9 2" xfId="35714"/>
    <cellStyle name="Percent 3 9 2 2" xfId="35715"/>
    <cellStyle name="Percent 3 9 2 2 2" xfId="35716"/>
    <cellStyle name="Percent 3 9 2 2 2 2" xfId="35717"/>
    <cellStyle name="Percent 3 9 2 2 2 2 2" xfId="35718"/>
    <cellStyle name="Percent 3 9 2 2 2 2 3" xfId="35719"/>
    <cellStyle name="Percent 3 9 2 2 2 3" xfId="35720"/>
    <cellStyle name="Percent 3 9 2 2 2 3 2" xfId="35721"/>
    <cellStyle name="Percent 3 9 2 2 2 4" xfId="35722"/>
    <cellStyle name="Percent 3 9 2 2 3" xfId="35723"/>
    <cellStyle name="Percent 3 9 2 2 3 2" xfId="35724"/>
    <cellStyle name="Percent 3 9 2 2 3 2 2" xfId="35725"/>
    <cellStyle name="Percent 3 9 2 2 3 3" xfId="35726"/>
    <cellStyle name="Percent 3 9 2 2 4" xfId="35727"/>
    <cellStyle name="Percent 3 9 2 2 4 2" xfId="35728"/>
    <cellStyle name="Percent 3 9 2 2 4 3" xfId="35729"/>
    <cellStyle name="Percent 3 9 2 2 5" xfId="35730"/>
    <cellStyle name="Percent 3 9 2 2 5 2" xfId="35731"/>
    <cellStyle name="Percent 3 9 2 2 6" xfId="35732"/>
    <cellStyle name="Percent 3 9 2 2 6 2" xfId="37574"/>
    <cellStyle name="Percent 3 9 2 2 7" xfId="35733"/>
    <cellStyle name="Percent 3 9 2 3" xfId="35734"/>
    <cellStyle name="Percent 3 9 2 3 2" xfId="35735"/>
    <cellStyle name="Percent 3 9 2 3 2 2" xfId="35736"/>
    <cellStyle name="Percent 3 9 2 3 2 2 2" xfId="35737"/>
    <cellStyle name="Percent 3 9 2 3 2 3" xfId="35738"/>
    <cellStyle name="Percent 3 9 2 3 3" xfId="35739"/>
    <cellStyle name="Percent 3 9 2 3 3 2" xfId="35740"/>
    <cellStyle name="Percent 3 9 2 3 4" xfId="35741"/>
    <cellStyle name="Percent 3 9 2 4" xfId="35742"/>
    <cellStyle name="Percent 3 9 2 4 2" xfId="35743"/>
    <cellStyle name="Percent 3 9 2 4 2 2" xfId="35744"/>
    <cellStyle name="Percent 3 9 2 4 3" xfId="35745"/>
    <cellStyle name="Percent 3 9 2 5" xfId="35746"/>
    <cellStyle name="Percent 3 9 2 5 2" xfId="35747"/>
    <cellStyle name="Percent 3 9 2 5 2 2" xfId="35748"/>
    <cellStyle name="Percent 3 9 2 5 3" xfId="35749"/>
    <cellStyle name="Percent 3 9 2 6" xfId="35750"/>
    <cellStyle name="Percent 3 9 2 6 2" xfId="35751"/>
    <cellStyle name="Percent 3 9 2 7" xfId="35752"/>
    <cellStyle name="Percent 3 9 2 7 2" xfId="37575"/>
    <cellStyle name="Percent 3 9 2 8" xfId="35753"/>
    <cellStyle name="Percent 3 9 3" xfId="35754"/>
    <cellStyle name="Percent 3 9 3 2" xfId="35755"/>
    <cellStyle name="Percent 3 9 3 2 2" xfId="35756"/>
    <cellStyle name="Percent 3 9 3 2 2 2" xfId="35757"/>
    <cellStyle name="Percent 3 9 3 2 2 3" xfId="35758"/>
    <cellStyle name="Percent 3 9 3 2 3" xfId="35759"/>
    <cellStyle name="Percent 3 9 3 2 3 2" xfId="35760"/>
    <cellStyle name="Percent 3 9 3 2 4" xfId="35761"/>
    <cellStyle name="Percent 3 9 3 3" xfId="35762"/>
    <cellStyle name="Percent 3 9 3 3 2" xfId="35763"/>
    <cellStyle name="Percent 3 9 3 3 2 2" xfId="35764"/>
    <cellStyle name="Percent 3 9 3 3 3" xfId="35765"/>
    <cellStyle name="Percent 3 9 3 4" xfId="35766"/>
    <cellStyle name="Percent 3 9 3 4 2" xfId="35767"/>
    <cellStyle name="Percent 3 9 3 4 3" xfId="35768"/>
    <cellStyle name="Percent 3 9 3 5" xfId="35769"/>
    <cellStyle name="Percent 3 9 3 5 2" xfId="35770"/>
    <cellStyle name="Percent 3 9 3 6" xfId="35771"/>
    <cellStyle name="Percent 3 9 3 6 2" xfId="37576"/>
    <cellStyle name="Percent 3 9 3 7" xfId="35772"/>
    <cellStyle name="Percent 3 9 4" xfId="35773"/>
    <cellStyle name="Percent 3 9 4 2" xfId="35774"/>
    <cellStyle name="Percent 3 9 4 2 2" xfId="35775"/>
    <cellStyle name="Percent 3 9 4 2 2 2" xfId="35776"/>
    <cellStyle name="Percent 3 9 4 2 3" xfId="35777"/>
    <cellStyle name="Percent 3 9 4 3" xfId="35778"/>
    <cellStyle name="Percent 3 9 4 3 2" xfId="35779"/>
    <cellStyle name="Percent 3 9 4 4" xfId="35780"/>
    <cellStyle name="Percent 3 9 5" xfId="35781"/>
    <cellStyle name="Percent 3 9 5 2" xfId="35782"/>
    <cellStyle name="Percent 3 9 5 2 2" xfId="35783"/>
    <cellStyle name="Percent 3 9 5 3" xfId="35784"/>
    <cellStyle name="Percent 3 9 6" xfId="35785"/>
    <cellStyle name="Percent 3 9 6 2" xfId="35786"/>
    <cellStyle name="Percent 3 9 6 2 2" xfId="35787"/>
    <cellStyle name="Percent 3 9 6 3" xfId="35788"/>
    <cellStyle name="Percent 3 9 7" xfId="35789"/>
    <cellStyle name="Percent 3 9 7 2" xfId="35790"/>
    <cellStyle name="Percent 3 9 8" xfId="35791"/>
    <cellStyle name="Percent 3 9 8 2" xfId="37577"/>
    <cellStyle name="Percent 3 9 9" xfId="35792"/>
    <cellStyle name="Percent 4" xfId="152"/>
    <cellStyle name="Percent 5" xfId="153"/>
    <cellStyle name="Percent 6" xfId="154"/>
    <cellStyle name="Percent 7" xfId="155"/>
    <cellStyle name="Percent 8" xfId="156"/>
    <cellStyle name="Percent 9" xfId="157"/>
    <cellStyle name="Pipeline" xfId="37957"/>
    <cellStyle name="PointName" xfId="37958"/>
    <cellStyle name="Region" xfId="37959"/>
    <cellStyle name="SAPBEXaggData" xfId="37815"/>
    <cellStyle name="SAPBEXaggDataEmph" xfId="37816"/>
    <cellStyle name="SAPBEXaggItem" xfId="37817"/>
    <cellStyle name="SAPBEXaggItemX" xfId="37818"/>
    <cellStyle name="SAPBEXchaText" xfId="37819"/>
    <cellStyle name="SAPBEXexcBad7" xfId="37820"/>
    <cellStyle name="SAPBEXexcBad8" xfId="37821"/>
    <cellStyle name="SAPBEXexcBad9" xfId="37822"/>
    <cellStyle name="SAPBEXexcCritical4" xfId="37823"/>
    <cellStyle name="SAPBEXexcCritical5" xfId="37824"/>
    <cellStyle name="SAPBEXexcCritical6" xfId="37825"/>
    <cellStyle name="SAPBEXexcGood1" xfId="37826"/>
    <cellStyle name="SAPBEXexcGood2" xfId="37827"/>
    <cellStyle name="SAPBEXexcGood3" xfId="37828"/>
    <cellStyle name="SAPBEXfilterDrill" xfId="37829"/>
    <cellStyle name="SAPBEXfilterItem" xfId="37830"/>
    <cellStyle name="SAPBEXfilterText" xfId="37831"/>
    <cellStyle name="SAPBEXformats" xfId="37832"/>
    <cellStyle name="SAPBEXheaderItem" xfId="37833"/>
    <cellStyle name="SAPBEXheaderText" xfId="37834"/>
    <cellStyle name="SAPBEXHLevel0" xfId="37835"/>
    <cellStyle name="SAPBEXHLevel0X" xfId="37836"/>
    <cellStyle name="SAPBEXHLevel1" xfId="37837"/>
    <cellStyle name="SAPBEXHLevel1X" xfId="37838"/>
    <cellStyle name="SAPBEXHLevel2" xfId="37839"/>
    <cellStyle name="SAPBEXHLevel2X" xfId="37840"/>
    <cellStyle name="SAPBEXHLevel3" xfId="37841"/>
    <cellStyle name="SAPBEXHLevel3X" xfId="37842"/>
    <cellStyle name="SAPBEXinputData" xfId="37843"/>
    <cellStyle name="SAPBEXresData" xfId="37844"/>
    <cellStyle name="SAPBEXresDataEmph" xfId="37845"/>
    <cellStyle name="SAPBEXresItem" xfId="37846"/>
    <cellStyle name="SAPBEXresItemX" xfId="37847"/>
    <cellStyle name="SAPBEXstdData" xfId="37848"/>
    <cellStyle name="SAPBEXstdDataEmph" xfId="37849"/>
    <cellStyle name="SAPBEXstdItem" xfId="37850"/>
    <cellStyle name="SAPBEXstdItemX" xfId="37851"/>
    <cellStyle name="SAPBEXtitle" xfId="37852"/>
    <cellStyle name="SAPBEXundefined" xfId="37853"/>
    <cellStyle name="Sheet Title" xfId="37854"/>
    <cellStyle name="State" xfId="37960"/>
    <cellStyle name="Style 1" xfId="158"/>
    <cellStyle name="Style 21" xfId="37855"/>
    <cellStyle name="Style 22" xfId="37856"/>
    <cellStyle name="Style 22 2" xfId="37857"/>
    <cellStyle name="Style 23" xfId="37858"/>
    <cellStyle name="Style 24" xfId="37859"/>
    <cellStyle name="Style 24 2" xfId="37860"/>
    <cellStyle name="Style 25" xfId="37861"/>
    <cellStyle name="Style 26" xfId="37862"/>
    <cellStyle name="Style 27" xfId="37863"/>
    <cellStyle name="Style 28" xfId="37864"/>
    <cellStyle name="Style 29" xfId="37865"/>
    <cellStyle name="Style 30" xfId="37866"/>
    <cellStyle name="Style 31" xfId="37867"/>
    <cellStyle name="Style 32" xfId="37868"/>
    <cellStyle name="Style 33" xfId="37869"/>
    <cellStyle name="Style 34" xfId="37870"/>
    <cellStyle name="Style 35" xfId="37871"/>
    <cellStyle name="Style 36" xfId="37872"/>
    <cellStyle name="Style 37" xfId="37873"/>
    <cellStyle name="Style 38" xfId="37874"/>
    <cellStyle name="Subtitle" xfId="159"/>
    <cellStyle name="Table" xfId="160"/>
    <cellStyle name="Table title" xfId="37945"/>
    <cellStyle name="Title" xfId="161" builtinId="15" customBuiltin="1"/>
    <cellStyle name="Title 2" xfId="37875"/>
    <cellStyle name="Title 2 2" xfId="37938"/>
    <cellStyle name="Title 3" xfId="37876"/>
    <cellStyle name="Title 4" xfId="37877"/>
    <cellStyle name="Title 5" xfId="37878"/>
    <cellStyle name="Title 6" xfId="37879"/>
    <cellStyle name="Total" xfId="162" builtinId="25" customBuiltin="1"/>
    <cellStyle name="Total 10" xfId="163"/>
    <cellStyle name="Total 11" xfId="164"/>
    <cellStyle name="Total 12" xfId="165"/>
    <cellStyle name="Total 13" xfId="166"/>
    <cellStyle name="Total 14" xfId="167"/>
    <cellStyle name="Total 15" xfId="37880"/>
    <cellStyle name="Total 16" xfId="37912"/>
    <cellStyle name="Total 2" xfId="168"/>
    <cellStyle name="Total 3" xfId="169"/>
    <cellStyle name="Total 4" xfId="170"/>
    <cellStyle name="Total 5" xfId="171"/>
    <cellStyle name="Total 6" xfId="172"/>
    <cellStyle name="Total 7" xfId="173"/>
    <cellStyle name="Total 8" xfId="174"/>
    <cellStyle name="Total 9" xfId="175"/>
    <cellStyle name="Utilization" xfId="37961"/>
    <cellStyle name="Volume" xfId="37962"/>
    <cellStyle name="Warning Text" xfId="176" builtinId="11" customBuiltin="1"/>
    <cellStyle name="Warning Text 2" xfId="35793"/>
    <cellStyle name="Warning Text 3" xfId="37881"/>
    <cellStyle name="Warning Text 4" xfId="37882"/>
    <cellStyle name="Warning Text 5" xfId="37883"/>
    <cellStyle name="Warning Text 6" xfId="37884"/>
    <cellStyle name="Warning Text 7" xfId="37909"/>
    <cellStyle name="Yellow" xfId="35794"/>
  </cellStyles>
  <dxfs count="130">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color indexed="22"/>
      </font>
    </dxf>
    <dxf>
      <font>
        <condense val="0"/>
        <extend val="0"/>
        <color indexed="22"/>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s>
  <tableStyles count="0" defaultTableStyle="TableStyleMedium2" defaultPivotStyle="PivotStyleLight16"/>
  <colors>
    <mruColors>
      <color rgb="FFF26A25"/>
      <color rgb="FFF3BD48"/>
      <color rgb="FF0000FF"/>
      <color rgb="FF00467F"/>
      <color rgb="FFEF4623"/>
      <color rgb="FFCCFFCC"/>
      <color rgb="FF660066"/>
      <color rgb="FF006600"/>
      <color rgb="FF000066"/>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val>
            <c:numRef>
              <c:f>#REF!</c:f>
              <c:numCache>
                <c:formatCode>0.0%</c:formatCode>
                <c:ptCount val="20"/>
                <c:pt idx="0">
                  <c:v>-6.3559322033898136E-2</c:v>
                </c:pt>
                <c:pt idx="1">
                  <c:v>-6.7873303167420795E-2</c:v>
                </c:pt>
                <c:pt idx="2">
                  <c:v>-7.281553398058227E-2</c:v>
                </c:pt>
                <c:pt idx="3">
                  <c:v>-7.8534031413612815E-2</c:v>
                </c:pt>
                <c:pt idx="4">
                  <c:v>-3.5951346965422348E-2</c:v>
                </c:pt>
                <c:pt idx="5">
                  <c:v>-3.7292046259549849E-2</c:v>
                </c:pt>
                <c:pt idx="6">
                  <c:v>-3.8736613855383184E-2</c:v>
                </c:pt>
                <c:pt idx="7">
                  <c:v>-4.0297606684829623E-2</c:v>
                </c:pt>
                <c:pt idx="8">
                  <c:v>-4.1989690726545015E-2</c:v>
                </c:pt>
                <c:pt idx="9">
                  <c:v>-1.2500000000000289E-2</c:v>
                </c:pt>
                <c:pt idx="10">
                  <c:v>-1.2658227848101333E-2</c:v>
                </c:pt>
                <c:pt idx="11">
                  <c:v>-1.2820512820512664E-2</c:v>
                </c:pt>
                <c:pt idx="12">
                  <c:v>-1.2987012987013213E-2</c:v>
                </c:pt>
                <c:pt idx="13">
                  <c:v>-1.3157894736842257E-2</c:v>
                </c:pt>
                <c:pt idx="14">
                  <c:v>-1.3333333333333308E-2</c:v>
                </c:pt>
                <c:pt idx="15">
                  <c:v>-1.351351351351382E-2</c:v>
                </c:pt>
                <c:pt idx="16">
                  <c:v>-1.3698630136986245E-2</c:v>
                </c:pt>
                <c:pt idx="17">
                  <c:v>-1.3888888888889062E-2</c:v>
                </c:pt>
                <c:pt idx="18">
                  <c:v>-1.4084507042253613E-2</c:v>
                </c:pt>
                <c:pt idx="19">
                  <c:v>-1.4285714285714124E-2</c:v>
                </c:pt>
              </c:numCache>
            </c:numRef>
          </c:val>
          <c:smooth val="0"/>
          <c:extLst>
            <c:ext xmlns:c16="http://schemas.microsoft.com/office/drawing/2014/chart" uri="{C3380CC4-5D6E-409C-BE32-E72D297353CC}">
              <c16:uniqueId val="{00000000-5A35-4778-AA9A-ACE963A2485C}"/>
            </c:ext>
          </c:extLst>
        </c:ser>
        <c:ser>
          <c:idx val="1"/>
          <c:order val="1"/>
          <c:spPr>
            <a:ln w="28575" cap="rnd">
              <a:solidFill>
                <a:schemeClr val="accent2"/>
              </a:solidFill>
              <a:round/>
            </a:ln>
            <a:effectLst/>
          </c:spPr>
          <c:marker>
            <c:symbol val="none"/>
          </c:marker>
          <c:val>
            <c:numRef>
              <c:f>#REF!</c:f>
              <c:numCache>
                <c:formatCode>0.0%</c:formatCode>
                <c:ptCount val="20"/>
                <c:pt idx="0">
                  <c:v>-1.4999999999999999E-2</c:v>
                </c:pt>
                <c:pt idx="1">
                  <c:v>-1.4999999999999999E-2</c:v>
                </c:pt>
                <c:pt idx="2">
                  <c:v>-1.4999999999999999E-2</c:v>
                </c:pt>
                <c:pt idx="3">
                  <c:v>-7.8534031413612815E-2</c:v>
                </c:pt>
                <c:pt idx="4">
                  <c:v>-3.5951346965422348E-2</c:v>
                </c:pt>
                <c:pt idx="5">
                  <c:v>-3.7292046259549849E-2</c:v>
                </c:pt>
                <c:pt idx="6">
                  <c:v>-3.8736613855383184E-2</c:v>
                </c:pt>
                <c:pt idx="7">
                  <c:v>-4.0297606684829623E-2</c:v>
                </c:pt>
                <c:pt idx="8">
                  <c:v>-4.1989690726545015E-2</c:v>
                </c:pt>
                <c:pt idx="9">
                  <c:v>-1.2500000000000289E-2</c:v>
                </c:pt>
                <c:pt idx="10">
                  <c:v>-1.2658227848101333E-2</c:v>
                </c:pt>
                <c:pt idx="11">
                  <c:v>-1.2820512820512664E-2</c:v>
                </c:pt>
                <c:pt idx="12">
                  <c:v>-1.2987012987013213E-2</c:v>
                </c:pt>
                <c:pt idx="13">
                  <c:v>-1.3157894736842257E-2</c:v>
                </c:pt>
                <c:pt idx="14">
                  <c:v>-1.3333333333333308E-2</c:v>
                </c:pt>
                <c:pt idx="15">
                  <c:v>-1.351351351351382E-2</c:v>
                </c:pt>
                <c:pt idx="16">
                  <c:v>-1.3698630136986245E-2</c:v>
                </c:pt>
                <c:pt idx="17">
                  <c:v>-1.3888888888889062E-2</c:v>
                </c:pt>
                <c:pt idx="18">
                  <c:v>-1.4084507042253613E-2</c:v>
                </c:pt>
                <c:pt idx="19">
                  <c:v>-1.4285714285714124E-2</c:v>
                </c:pt>
              </c:numCache>
            </c:numRef>
          </c:val>
          <c:smooth val="0"/>
          <c:extLst>
            <c:ext xmlns:c16="http://schemas.microsoft.com/office/drawing/2014/chart" uri="{C3380CC4-5D6E-409C-BE32-E72D297353CC}">
              <c16:uniqueId val="{00000001-5A35-4778-AA9A-ACE963A2485C}"/>
            </c:ext>
          </c:extLst>
        </c:ser>
        <c:dLbls>
          <c:showLegendKey val="0"/>
          <c:showVal val="0"/>
          <c:showCatName val="0"/>
          <c:showSerName val="0"/>
          <c:showPercent val="0"/>
          <c:showBubbleSize val="0"/>
        </c:dLbls>
        <c:smooth val="0"/>
        <c:axId val="629926192"/>
        <c:axId val="629925864"/>
      </c:lineChart>
      <c:catAx>
        <c:axId val="62992619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9925864"/>
        <c:crosses val="autoZero"/>
        <c:auto val="1"/>
        <c:lblAlgn val="ctr"/>
        <c:lblOffset val="100"/>
        <c:noMultiLvlLbl val="0"/>
      </c:catAx>
      <c:valAx>
        <c:axId val="62992586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9926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35942276649574"/>
          <c:y val="5.1849950229639286E-2"/>
          <c:w val="0.83351285352028448"/>
          <c:h val="0.78645153062492035"/>
        </c:manualLayout>
      </c:layout>
      <c:lineChart>
        <c:grouping val="standard"/>
        <c:varyColors val="0"/>
        <c:ser>
          <c:idx val="0"/>
          <c:order val="0"/>
          <c:spPr>
            <a:ln w="28575" cap="rnd">
              <a:solidFill>
                <a:schemeClr val="accent1"/>
              </a:solidFill>
              <a:round/>
            </a:ln>
            <a:effectLst/>
          </c:spPr>
          <c:marker>
            <c:symbol val="none"/>
          </c:marker>
          <c:val>
            <c:numRef>
              <c:f>#REF!</c:f>
              <c:numCache>
                <c:formatCode>0</c:formatCode>
                <c:ptCount val="16"/>
                <c:pt idx="0">
                  <c:v>100</c:v>
                </c:pt>
                <c:pt idx="1">
                  <c:v>98.5</c:v>
                </c:pt>
                <c:pt idx="2">
                  <c:v>97.022499999999994</c:v>
                </c:pt>
                <c:pt idx="3">
                  <c:v>95.567162499999995</c:v>
                </c:pt>
                <c:pt idx="4">
                  <c:v>88.06188795811515</c:v>
                </c:pt>
                <c:pt idx="5">
                  <c:v>84.895944469702798</c:v>
                </c:pt>
                <c:pt idx="6">
                  <c:v>81.730000981290459</c:v>
                </c:pt>
                <c:pt idx="7">
                  <c:v>78.564057492878121</c:v>
                </c:pt>
                <c:pt idx="8">
                  <c:v>75.398114004465782</c:v>
                </c:pt>
                <c:pt idx="9">
                  <c:v>72.232170516053486</c:v>
                </c:pt>
                <c:pt idx="10">
                  <c:v>71.329268384602798</c:v>
                </c:pt>
                <c:pt idx="11">
                  <c:v>70.426366253152125</c:v>
                </c:pt>
                <c:pt idx="12">
                  <c:v>69.523464121701466</c:v>
                </c:pt>
                <c:pt idx="13">
                  <c:v>68.620561990250778</c:v>
                </c:pt>
                <c:pt idx="14">
                  <c:v>67.717659858800104</c:v>
                </c:pt>
                <c:pt idx="15">
                  <c:v>66.814757727349445</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6"/>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numCache>
                  </c:numRef>
                </c15:cat>
              </c15:filteredCategoryTitle>
            </c:ext>
            <c:ext xmlns:c16="http://schemas.microsoft.com/office/drawing/2014/chart" uri="{C3380CC4-5D6E-409C-BE32-E72D297353CC}">
              <c16:uniqueId val="{00000000-6C3C-4BAB-8863-AEBD57224D54}"/>
            </c:ext>
          </c:extLst>
        </c:ser>
        <c:ser>
          <c:idx val="1"/>
          <c:order val="1"/>
          <c:spPr>
            <a:ln w="28575" cap="rnd">
              <a:solidFill>
                <a:schemeClr val="accent2"/>
              </a:solidFill>
              <a:round/>
            </a:ln>
            <a:effectLst/>
          </c:spPr>
          <c:marker>
            <c:symbol val="none"/>
          </c:marker>
          <c:val>
            <c:numRef>
              <c:f>#REF!</c:f>
              <c:numCache>
                <c:formatCode>0</c:formatCode>
                <c:ptCount val="16"/>
                <c:pt idx="0">
                  <c:v>100</c:v>
                </c:pt>
                <c:pt idx="1">
                  <c:v>93.644067796610187</c:v>
                </c:pt>
                <c:pt idx="2">
                  <c:v>87.288135593220346</c:v>
                </c:pt>
                <c:pt idx="3">
                  <c:v>80.932203389830548</c:v>
                </c:pt>
                <c:pt idx="4">
                  <c:v>74.576271186440692</c:v>
                </c:pt>
                <c:pt idx="5">
                  <c:v>71.895153785629532</c:v>
                </c:pt>
                <c:pt idx="6">
                  <c:v>69.214036384818385</c:v>
                </c:pt>
                <c:pt idx="7">
                  <c:v>66.532918984007225</c:v>
                </c:pt>
                <c:pt idx="8">
                  <c:v>63.851801583196078</c:v>
                </c:pt>
                <c:pt idx="9">
                  <c:v>61.170684182384946</c:v>
                </c:pt>
                <c:pt idx="10">
                  <c:v>60.406050630105121</c:v>
                </c:pt>
                <c:pt idx="11">
                  <c:v>59.641417077825309</c:v>
                </c:pt>
                <c:pt idx="12">
                  <c:v>58.876783525545505</c:v>
                </c:pt>
                <c:pt idx="13">
                  <c:v>58.11214997326568</c:v>
                </c:pt>
                <c:pt idx="14">
                  <c:v>57.347516420985855</c:v>
                </c:pt>
                <c:pt idx="15">
                  <c:v>56.582882868706051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6"/>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numCache>
                  </c:numRef>
                </c15:cat>
              </c15:filteredCategoryTitle>
            </c:ext>
            <c:ext xmlns:c16="http://schemas.microsoft.com/office/drawing/2014/chart" uri="{C3380CC4-5D6E-409C-BE32-E72D297353CC}">
              <c16:uniqueId val="{00000001-6C3C-4BAB-8863-AEBD57224D54}"/>
            </c:ext>
          </c:extLst>
        </c:ser>
        <c:dLbls>
          <c:showLegendKey val="0"/>
          <c:showVal val="0"/>
          <c:showCatName val="0"/>
          <c:showSerName val="0"/>
          <c:showPercent val="0"/>
          <c:showBubbleSize val="0"/>
        </c:dLbls>
        <c:smooth val="0"/>
        <c:axId val="658248920"/>
        <c:axId val="658246952"/>
      </c:lineChart>
      <c:catAx>
        <c:axId val="658248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58246952"/>
        <c:crosses val="autoZero"/>
        <c:auto val="1"/>
        <c:lblAlgn val="ctr"/>
        <c:lblOffset val="100"/>
        <c:noMultiLvlLbl val="0"/>
      </c:catAx>
      <c:valAx>
        <c:axId val="658246952"/>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Capital</a:t>
                </a:r>
                <a:r>
                  <a:rPr lang="en-US" sz="1200" baseline="0"/>
                  <a:t> Costs in 2021$ (</a:t>
                </a:r>
                <a:r>
                  <a:rPr lang="en-US" sz="1200"/>
                  <a:t>2021 = 100)</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5824892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48714647971546"/>
          <c:y val="5.1849950229639286E-2"/>
          <c:w val="0.80438512980706478"/>
          <c:h val="0.78645153062492035"/>
        </c:manualLayout>
      </c:layout>
      <c:lineChart>
        <c:grouping val="standard"/>
        <c:varyColors val="0"/>
        <c:ser>
          <c:idx val="0"/>
          <c:order val="0"/>
          <c:spPr>
            <a:ln w="28575" cap="rnd">
              <a:solidFill>
                <a:schemeClr val="accent1"/>
              </a:solidFill>
              <a:round/>
            </a:ln>
            <a:effectLst/>
          </c:spPr>
          <c:marker>
            <c:symbol val="none"/>
          </c:marker>
          <c:val>
            <c:numRef>
              <c:f>#REF!</c:f>
              <c:numCache>
                <c:formatCode>0</c:formatCode>
                <c:ptCount val="16"/>
                <c:pt idx="0">
                  <c:v>100</c:v>
                </c:pt>
                <c:pt idx="1">
                  <c:v>100.47</c:v>
                </c:pt>
                <c:pt idx="2">
                  <c:v>100.94220899999999</c:v>
                </c:pt>
                <c:pt idx="3">
                  <c:v>101.41663738229998</c:v>
                </c:pt>
                <c:pt idx="4">
                  <c:v>95.321019596180577</c:v>
                </c:pt>
                <c:pt idx="5">
                  <c:v>93.731982558532067</c:v>
                </c:pt>
                <c:pt idx="6">
                  <c:v>92.041255631539158</c:v>
                </c:pt>
                <c:pt idx="7">
                  <c:v>90.245406834443102</c:v>
                </c:pt>
                <c:pt idx="8">
                  <c:v>88.340907583210623</c:v>
                </c:pt>
                <c:pt idx="9">
                  <c:v>86.32413019919511</c:v>
                </c:pt>
                <c:pt idx="10">
                  <c:v>86.949980143139257</c:v>
                </c:pt>
                <c:pt idx="11">
                  <c:v>87.566334432761479</c:v>
                </c:pt>
                <c:pt idx="12">
                  <c:v>88.172562901911391</c:v>
                </c:pt>
                <c:pt idx="13">
                  <c:v>88.768013976054149</c:v>
                </c:pt>
                <c:pt idx="14">
                  <c:v>89.352014068001864</c:v>
                </c:pt>
                <c:pt idx="15">
                  <c:v>89.923866958037067</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6"/>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numCache>
                  </c:numRef>
                </c15:cat>
              </c15:filteredCategoryTitle>
            </c:ext>
            <c:ext xmlns:c16="http://schemas.microsoft.com/office/drawing/2014/chart" uri="{C3380CC4-5D6E-409C-BE32-E72D297353CC}">
              <c16:uniqueId val="{00000000-3077-42A8-AF84-DB60F681E952}"/>
            </c:ext>
          </c:extLst>
        </c:ser>
        <c:ser>
          <c:idx val="1"/>
          <c:order val="1"/>
          <c:spPr>
            <a:ln w="28575" cap="rnd">
              <a:solidFill>
                <a:schemeClr val="accent2"/>
              </a:solidFill>
              <a:round/>
            </a:ln>
            <a:effectLst/>
          </c:spPr>
          <c:marker>
            <c:symbol val="none"/>
          </c:marker>
          <c:val>
            <c:numRef>
              <c:f>#REF!</c:f>
              <c:numCache>
                <c:formatCode>0</c:formatCode>
                <c:ptCount val="16"/>
                <c:pt idx="0">
                  <c:v>100</c:v>
                </c:pt>
                <c:pt idx="1">
                  <c:v>95.516949152542395</c:v>
                </c:pt>
                <c:pt idx="2">
                  <c:v>90.814576271186453</c:v>
                </c:pt>
                <c:pt idx="3">
                  <c:v>85.88590169491529</c:v>
                </c:pt>
                <c:pt idx="4">
                  <c:v>80.723754305084753</c:v>
                </c:pt>
                <c:pt idx="5">
                  <c:v>79.378059137825375</c:v>
                </c:pt>
                <c:pt idx="6">
                  <c:v>77.946246662153598</c:v>
                </c:pt>
                <c:pt idx="7">
                  <c:v>76.425410463799778</c:v>
                </c:pt>
                <c:pt idx="8">
                  <c:v>74.812562318847</c:v>
                </c:pt>
                <c:pt idx="9">
                  <c:v>73.104630083910578</c:v>
                </c:pt>
                <c:pt idx="10">
                  <c:v>73.634638652018921</c:v>
                </c:pt>
                <c:pt idx="11">
                  <c:v>74.156605710818027</c:v>
                </c:pt>
                <c:pt idx="12">
                  <c:v>74.669997596508338</c:v>
                </c:pt>
                <c:pt idx="13">
                  <c:v>75.17426251534188</c:v>
                </c:pt>
                <c:pt idx="14">
                  <c:v>75.668830031890167</c:v>
                </c:pt>
                <c:pt idx="15">
                  <c:v>76.153110544094247</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6"/>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numCache>
                  </c:numRef>
                </c15:cat>
              </c15:filteredCategoryTitle>
            </c:ext>
            <c:ext xmlns:c16="http://schemas.microsoft.com/office/drawing/2014/chart" uri="{C3380CC4-5D6E-409C-BE32-E72D297353CC}">
              <c16:uniqueId val="{00000001-3077-42A8-AF84-DB60F681E952}"/>
            </c:ext>
          </c:extLst>
        </c:ser>
        <c:dLbls>
          <c:showLegendKey val="0"/>
          <c:showVal val="0"/>
          <c:showCatName val="0"/>
          <c:showSerName val="0"/>
          <c:showPercent val="0"/>
          <c:showBubbleSize val="0"/>
        </c:dLbls>
        <c:smooth val="0"/>
        <c:axId val="658248920"/>
        <c:axId val="658246952"/>
      </c:lineChart>
      <c:catAx>
        <c:axId val="658248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58246952"/>
        <c:crosses val="autoZero"/>
        <c:auto val="1"/>
        <c:lblAlgn val="ctr"/>
        <c:lblOffset val="100"/>
        <c:noMultiLvlLbl val="0"/>
      </c:catAx>
      <c:valAx>
        <c:axId val="658246952"/>
        <c:scaling>
          <c:orientation val="minMax"/>
          <c:max val="1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Capital</a:t>
                </a:r>
                <a:r>
                  <a:rPr lang="en-US" sz="1200" baseline="0"/>
                  <a:t> Costs in Nominal Dollars (</a:t>
                </a:r>
                <a:r>
                  <a:rPr lang="en-US" sz="1200"/>
                  <a:t>2021 = 100)</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5824892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19050</xdr:colOff>
      <xdr:row>75</xdr:row>
      <xdr:rowOff>19050</xdr:rowOff>
    </xdr:from>
    <xdr:to>
      <xdr:col>3</xdr:col>
      <xdr:colOff>156210</xdr:colOff>
      <xdr:row>75</xdr:row>
      <xdr:rowOff>156210</xdr:rowOff>
    </xdr:to>
    <xdr:sp macro="" textlink="">
      <xdr:nvSpPr>
        <xdr:cNvPr id="2" name="Oval 1">
          <a:extLst>
            <a:ext uri="{FF2B5EF4-FFF2-40B4-BE49-F238E27FC236}">
              <a16:creationId xmlns:a16="http://schemas.microsoft.com/office/drawing/2014/main" id="{00000000-0008-0000-0F00-000003000000}"/>
            </a:ext>
          </a:extLst>
        </xdr:cNvPr>
        <xdr:cNvSpPr/>
      </xdr:nvSpPr>
      <xdr:spPr>
        <a:xfrm>
          <a:off x="1492250" y="14198600"/>
          <a:ext cx="137160" cy="137160"/>
        </a:xfrm>
        <a:prstGeom prst="ellipse">
          <a:avLst/>
        </a:prstGeom>
        <a:no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solidFill>
                <a:srgbClr val="FFC000"/>
              </a:solidFill>
            </a:rPr>
            <a:t>?</a:t>
          </a:r>
        </a:p>
      </xdr:txBody>
    </xdr:sp>
    <xdr:clientData/>
  </xdr:twoCellAnchor>
  <xdr:twoCellAnchor>
    <xdr:from>
      <xdr:col>3</xdr:col>
      <xdr:colOff>19050</xdr:colOff>
      <xdr:row>35</xdr:row>
      <xdr:rowOff>19050</xdr:rowOff>
    </xdr:from>
    <xdr:to>
      <xdr:col>3</xdr:col>
      <xdr:colOff>156210</xdr:colOff>
      <xdr:row>35</xdr:row>
      <xdr:rowOff>156210</xdr:rowOff>
    </xdr:to>
    <xdr:sp macro="" textlink="">
      <xdr:nvSpPr>
        <xdr:cNvPr id="3" name="Oval 2">
          <a:extLst>
            <a:ext uri="{FF2B5EF4-FFF2-40B4-BE49-F238E27FC236}">
              <a16:creationId xmlns:a16="http://schemas.microsoft.com/office/drawing/2014/main" id="{00000000-0008-0000-0F00-000004000000}"/>
            </a:ext>
          </a:extLst>
        </xdr:cNvPr>
        <xdr:cNvSpPr/>
      </xdr:nvSpPr>
      <xdr:spPr>
        <a:xfrm>
          <a:off x="1492250" y="6826250"/>
          <a:ext cx="137160" cy="137160"/>
        </a:xfrm>
        <a:prstGeom prst="ellipse">
          <a:avLst/>
        </a:prstGeom>
        <a:no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solidFill>
                <a:srgbClr val="FFC000"/>
              </a:solidFill>
            </a:rPr>
            <a:t>?</a:t>
          </a:r>
        </a:p>
      </xdr:txBody>
    </xdr:sp>
    <xdr:clientData/>
  </xdr:twoCellAnchor>
  <xdr:twoCellAnchor>
    <xdr:from>
      <xdr:col>3</xdr:col>
      <xdr:colOff>19050</xdr:colOff>
      <xdr:row>35</xdr:row>
      <xdr:rowOff>19050</xdr:rowOff>
    </xdr:from>
    <xdr:to>
      <xdr:col>3</xdr:col>
      <xdr:colOff>156210</xdr:colOff>
      <xdr:row>35</xdr:row>
      <xdr:rowOff>156210</xdr:rowOff>
    </xdr:to>
    <xdr:sp macro="" textlink="">
      <xdr:nvSpPr>
        <xdr:cNvPr id="4" name="Oval 3">
          <a:extLst>
            <a:ext uri="{FF2B5EF4-FFF2-40B4-BE49-F238E27FC236}">
              <a16:creationId xmlns:a16="http://schemas.microsoft.com/office/drawing/2014/main" id="{00000000-0008-0000-0F00-000005000000}"/>
            </a:ext>
          </a:extLst>
        </xdr:cNvPr>
        <xdr:cNvSpPr/>
      </xdr:nvSpPr>
      <xdr:spPr>
        <a:xfrm>
          <a:off x="1492250" y="6826250"/>
          <a:ext cx="137160" cy="137160"/>
        </a:xfrm>
        <a:prstGeom prst="ellipse">
          <a:avLst/>
        </a:prstGeom>
        <a:no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solidFill>
                <a:srgbClr val="FFC000"/>
              </a:solidFill>
            </a:rPr>
            <a:t>?</a:t>
          </a:r>
        </a:p>
      </xdr:txBody>
    </xdr:sp>
    <xdr:clientData/>
  </xdr:twoCellAnchor>
  <xdr:twoCellAnchor>
    <xdr:from>
      <xdr:col>3</xdr:col>
      <xdr:colOff>19050</xdr:colOff>
      <xdr:row>35</xdr:row>
      <xdr:rowOff>19050</xdr:rowOff>
    </xdr:from>
    <xdr:to>
      <xdr:col>3</xdr:col>
      <xdr:colOff>156210</xdr:colOff>
      <xdr:row>35</xdr:row>
      <xdr:rowOff>156210</xdr:rowOff>
    </xdr:to>
    <xdr:sp macro="" textlink="">
      <xdr:nvSpPr>
        <xdr:cNvPr id="5" name="Oval 4">
          <a:extLst>
            <a:ext uri="{FF2B5EF4-FFF2-40B4-BE49-F238E27FC236}">
              <a16:creationId xmlns:a16="http://schemas.microsoft.com/office/drawing/2014/main" id="{00000000-0008-0000-0F00-000008000000}"/>
            </a:ext>
          </a:extLst>
        </xdr:cNvPr>
        <xdr:cNvSpPr/>
      </xdr:nvSpPr>
      <xdr:spPr>
        <a:xfrm>
          <a:off x="1492250" y="6826250"/>
          <a:ext cx="137160" cy="137160"/>
        </a:xfrm>
        <a:prstGeom prst="ellipse">
          <a:avLst/>
        </a:prstGeom>
        <a:no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solidFill>
                <a:srgbClr val="FFC000"/>
              </a:solidFill>
            </a:rPr>
            <a:t>?</a:t>
          </a:r>
        </a:p>
      </xdr:txBody>
    </xdr:sp>
    <xdr:clientData/>
  </xdr:twoCellAnchor>
  <xdr:twoCellAnchor>
    <xdr:from>
      <xdr:col>3</xdr:col>
      <xdr:colOff>19050</xdr:colOff>
      <xdr:row>35</xdr:row>
      <xdr:rowOff>19050</xdr:rowOff>
    </xdr:from>
    <xdr:to>
      <xdr:col>3</xdr:col>
      <xdr:colOff>156210</xdr:colOff>
      <xdr:row>35</xdr:row>
      <xdr:rowOff>156210</xdr:rowOff>
    </xdr:to>
    <xdr:sp macro="" textlink="">
      <xdr:nvSpPr>
        <xdr:cNvPr id="6" name="Oval 5">
          <a:extLst>
            <a:ext uri="{FF2B5EF4-FFF2-40B4-BE49-F238E27FC236}">
              <a16:creationId xmlns:a16="http://schemas.microsoft.com/office/drawing/2014/main" id="{00000000-0008-0000-0F00-00000C000000}"/>
            </a:ext>
          </a:extLst>
        </xdr:cNvPr>
        <xdr:cNvSpPr/>
      </xdr:nvSpPr>
      <xdr:spPr>
        <a:xfrm>
          <a:off x="1492250" y="6826250"/>
          <a:ext cx="137160" cy="137160"/>
        </a:xfrm>
        <a:prstGeom prst="ellipse">
          <a:avLst/>
        </a:prstGeom>
        <a:no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solidFill>
                <a:srgbClr val="FFC000"/>
              </a:solidFill>
            </a:rPr>
            <a:t>?</a:t>
          </a:r>
        </a:p>
      </xdr:txBody>
    </xdr:sp>
    <xdr:clientData/>
  </xdr:twoCellAnchor>
  <xdr:twoCellAnchor>
    <xdr:from>
      <xdr:col>3</xdr:col>
      <xdr:colOff>19050</xdr:colOff>
      <xdr:row>35</xdr:row>
      <xdr:rowOff>19050</xdr:rowOff>
    </xdr:from>
    <xdr:to>
      <xdr:col>3</xdr:col>
      <xdr:colOff>156210</xdr:colOff>
      <xdr:row>35</xdr:row>
      <xdr:rowOff>156210</xdr:rowOff>
    </xdr:to>
    <xdr:sp macro="" textlink="">
      <xdr:nvSpPr>
        <xdr:cNvPr id="7" name="Oval 6">
          <a:extLst>
            <a:ext uri="{FF2B5EF4-FFF2-40B4-BE49-F238E27FC236}">
              <a16:creationId xmlns:a16="http://schemas.microsoft.com/office/drawing/2014/main" id="{00000000-0008-0000-0F00-00000D000000}"/>
            </a:ext>
          </a:extLst>
        </xdr:cNvPr>
        <xdr:cNvSpPr/>
      </xdr:nvSpPr>
      <xdr:spPr>
        <a:xfrm>
          <a:off x="1492250" y="6826250"/>
          <a:ext cx="137160" cy="137160"/>
        </a:xfrm>
        <a:prstGeom prst="ellipse">
          <a:avLst/>
        </a:prstGeom>
        <a:no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solidFill>
                <a:srgbClr val="FFC000"/>
              </a:solidFill>
            </a:rPr>
            <a:t>?</a:t>
          </a:r>
        </a:p>
      </xdr:txBody>
    </xdr:sp>
    <xdr:clientData/>
  </xdr:twoCellAnchor>
  <xdr:twoCellAnchor>
    <xdr:from>
      <xdr:col>3</xdr:col>
      <xdr:colOff>19050</xdr:colOff>
      <xdr:row>58</xdr:row>
      <xdr:rowOff>19050</xdr:rowOff>
    </xdr:from>
    <xdr:to>
      <xdr:col>3</xdr:col>
      <xdr:colOff>156210</xdr:colOff>
      <xdr:row>58</xdr:row>
      <xdr:rowOff>156210</xdr:rowOff>
    </xdr:to>
    <xdr:sp macro="" textlink="">
      <xdr:nvSpPr>
        <xdr:cNvPr id="8" name="Oval 7">
          <a:extLst>
            <a:ext uri="{FF2B5EF4-FFF2-40B4-BE49-F238E27FC236}">
              <a16:creationId xmlns:a16="http://schemas.microsoft.com/office/drawing/2014/main" id="{00000000-0008-0000-0F00-00000E000000}"/>
            </a:ext>
          </a:extLst>
        </xdr:cNvPr>
        <xdr:cNvSpPr/>
      </xdr:nvSpPr>
      <xdr:spPr>
        <a:xfrm>
          <a:off x="1492250" y="11068050"/>
          <a:ext cx="137160" cy="137160"/>
        </a:xfrm>
        <a:prstGeom prst="ellipse">
          <a:avLst/>
        </a:prstGeom>
        <a:no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solidFill>
                <a:srgbClr val="FFC000"/>
              </a:solidFill>
            </a:rPr>
            <a:t>?</a:t>
          </a:r>
        </a:p>
      </xdr:txBody>
    </xdr:sp>
    <xdr:clientData/>
  </xdr:twoCellAnchor>
  <xdr:twoCellAnchor>
    <xdr:from>
      <xdr:col>3</xdr:col>
      <xdr:colOff>19050</xdr:colOff>
      <xdr:row>16</xdr:row>
      <xdr:rowOff>19050</xdr:rowOff>
    </xdr:from>
    <xdr:to>
      <xdr:col>3</xdr:col>
      <xdr:colOff>156210</xdr:colOff>
      <xdr:row>16</xdr:row>
      <xdr:rowOff>156210</xdr:rowOff>
    </xdr:to>
    <xdr:sp macro="" textlink="">
      <xdr:nvSpPr>
        <xdr:cNvPr id="9" name="Oval 8">
          <a:extLst>
            <a:ext uri="{FF2B5EF4-FFF2-40B4-BE49-F238E27FC236}">
              <a16:creationId xmlns:a16="http://schemas.microsoft.com/office/drawing/2014/main" id="{00000000-0008-0000-0F00-00001A000000}"/>
            </a:ext>
          </a:extLst>
        </xdr:cNvPr>
        <xdr:cNvSpPr/>
      </xdr:nvSpPr>
      <xdr:spPr>
        <a:xfrm>
          <a:off x="1492250" y="3244850"/>
          <a:ext cx="137160" cy="137160"/>
        </a:xfrm>
        <a:prstGeom prst="ellipse">
          <a:avLst/>
        </a:prstGeom>
        <a:no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solidFill>
                <a:srgbClr val="FFC000"/>
              </a:solidFill>
            </a:rPr>
            <a:t>?</a:t>
          </a:r>
        </a:p>
      </xdr:txBody>
    </xdr:sp>
    <xdr:clientData/>
  </xdr:twoCellAnchor>
  <xdr:twoCellAnchor>
    <xdr:from>
      <xdr:col>3</xdr:col>
      <xdr:colOff>19050</xdr:colOff>
      <xdr:row>16</xdr:row>
      <xdr:rowOff>19050</xdr:rowOff>
    </xdr:from>
    <xdr:to>
      <xdr:col>3</xdr:col>
      <xdr:colOff>156210</xdr:colOff>
      <xdr:row>16</xdr:row>
      <xdr:rowOff>156210</xdr:rowOff>
    </xdr:to>
    <xdr:sp macro="" textlink="">
      <xdr:nvSpPr>
        <xdr:cNvPr id="10" name="Oval 9">
          <a:extLst>
            <a:ext uri="{FF2B5EF4-FFF2-40B4-BE49-F238E27FC236}">
              <a16:creationId xmlns:a16="http://schemas.microsoft.com/office/drawing/2014/main" id="{00000000-0008-0000-0F00-00001B000000}"/>
            </a:ext>
          </a:extLst>
        </xdr:cNvPr>
        <xdr:cNvSpPr/>
      </xdr:nvSpPr>
      <xdr:spPr>
        <a:xfrm>
          <a:off x="1492250" y="3244850"/>
          <a:ext cx="137160" cy="137160"/>
        </a:xfrm>
        <a:prstGeom prst="ellipse">
          <a:avLst/>
        </a:prstGeom>
        <a:no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solidFill>
                <a:srgbClr val="FFC000"/>
              </a:solidFill>
            </a:rPr>
            <a:t>?</a:t>
          </a:r>
        </a:p>
      </xdr:txBody>
    </xdr:sp>
    <xdr:clientData/>
  </xdr:twoCellAnchor>
  <xdr:twoCellAnchor>
    <xdr:from>
      <xdr:col>3</xdr:col>
      <xdr:colOff>19050</xdr:colOff>
      <xdr:row>16</xdr:row>
      <xdr:rowOff>19050</xdr:rowOff>
    </xdr:from>
    <xdr:to>
      <xdr:col>3</xdr:col>
      <xdr:colOff>156210</xdr:colOff>
      <xdr:row>16</xdr:row>
      <xdr:rowOff>156210</xdr:rowOff>
    </xdr:to>
    <xdr:sp macro="" textlink="">
      <xdr:nvSpPr>
        <xdr:cNvPr id="11" name="Oval 10">
          <a:extLst>
            <a:ext uri="{FF2B5EF4-FFF2-40B4-BE49-F238E27FC236}">
              <a16:creationId xmlns:a16="http://schemas.microsoft.com/office/drawing/2014/main" id="{00000000-0008-0000-0F00-00001C000000}"/>
            </a:ext>
          </a:extLst>
        </xdr:cNvPr>
        <xdr:cNvSpPr/>
      </xdr:nvSpPr>
      <xdr:spPr>
        <a:xfrm>
          <a:off x="1492250" y="3244850"/>
          <a:ext cx="137160" cy="137160"/>
        </a:xfrm>
        <a:prstGeom prst="ellipse">
          <a:avLst/>
        </a:prstGeom>
        <a:no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solidFill>
                <a:srgbClr val="FFC000"/>
              </a:solidFill>
            </a:rPr>
            <a:t>?</a:t>
          </a:r>
        </a:p>
      </xdr:txBody>
    </xdr:sp>
    <xdr:clientData/>
  </xdr:twoCellAnchor>
  <xdr:twoCellAnchor>
    <xdr:from>
      <xdr:col>3</xdr:col>
      <xdr:colOff>19050</xdr:colOff>
      <xdr:row>16</xdr:row>
      <xdr:rowOff>19050</xdr:rowOff>
    </xdr:from>
    <xdr:to>
      <xdr:col>3</xdr:col>
      <xdr:colOff>156210</xdr:colOff>
      <xdr:row>16</xdr:row>
      <xdr:rowOff>156210</xdr:rowOff>
    </xdr:to>
    <xdr:sp macro="" textlink="">
      <xdr:nvSpPr>
        <xdr:cNvPr id="12" name="Oval 11">
          <a:extLst>
            <a:ext uri="{FF2B5EF4-FFF2-40B4-BE49-F238E27FC236}">
              <a16:creationId xmlns:a16="http://schemas.microsoft.com/office/drawing/2014/main" id="{00000000-0008-0000-0F00-00001D000000}"/>
            </a:ext>
          </a:extLst>
        </xdr:cNvPr>
        <xdr:cNvSpPr/>
      </xdr:nvSpPr>
      <xdr:spPr>
        <a:xfrm>
          <a:off x="1492250" y="3244850"/>
          <a:ext cx="137160" cy="137160"/>
        </a:xfrm>
        <a:prstGeom prst="ellipse">
          <a:avLst/>
        </a:prstGeom>
        <a:no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solidFill>
                <a:srgbClr val="FFC000"/>
              </a:solidFill>
            </a:rPr>
            <a:t>?</a:t>
          </a:r>
        </a:p>
      </xdr:txBody>
    </xdr:sp>
    <xdr:clientData/>
  </xdr:twoCellAnchor>
  <xdr:twoCellAnchor>
    <xdr:from>
      <xdr:col>3</xdr:col>
      <xdr:colOff>19050</xdr:colOff>
      <xdr:row>16</xdr:row>
      <xdr:rowOff>19050</xdr:rowOff>
    </xdr:from>
    <xdr:to>
      <xdr:col>3</xdr:col>
      <xdr:colOff>156210</xdr:colOff>
      <xdr:row>16</xdr:row>
      <xdr:rowOff>156210</xdr:rowOff>
    </xdr:to>
    <xdr:sp macro="" textlink="">
      <xdr:nvSpPr>
        <xdr:cNvPr id="13" name="Oval 12">
          <a:extLst>
            <a:ext uri="{FF2B5EF4-FFF2-40B4-BE49-F238E27FC236}">
              <a16:creationId xmlns:a16="http://schemas.microsoft.com/office/drawing/2014/main" id="{00000000-0008-0000-0F00-00001E000000}"/>
            </a:ext>
          </a:extLst>
        </xdr:cNvPr>
        <xdr:cNvSpPr/>
      </xdr:nvSpPr>
      <xdr:spPr>
        <a:xfrm>
          <a:off x="1492250" y="3244850"/>
          <a:ext cx="137160" cy="137160"/>
        </a:xfrm>
        <a:prstGeom prst="ellipse">
          <a:avLst/>
        </a:prstGeom>
        <a:no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solidFill>
                <a:srgbClr val="FFC000"/>
              </a:solidFill>
            </a:rPr>
            <a:t>?</a:t>
          </a:r>
        </a:p>
      </xdr:txBody>
    </xdr:sp>
    <xdr:clientData/>
  </xdr:twoCellAnchor>
  <mc:AlternateContent xmlns:mc="http://schemas.openxmlformats.org/markup-compatibility/2006">
    <mc:Choice xmlns:a14="http://schemas.microsoft.com/office/drawing/2010/main" Requires="a14">
      <xdr:twoCellAnchor>
        <xdr:from>
          <xdr:col>4</xdr:col>
          <xdr:colOff>1400175</xdr:colOff>
          <xdr:row>2</xdr:row>
          <xdr:rowOff>28575</xdr:rowOff>
        </xdr:from>
        <xdr:to>
          <xdr:col>5</xdr:col>
          <xdr:colOff>219075</xdr:colOff>
          <xdr:row>4</xdr:row>
          <xdr:rowOff>28575</xdr:rowOff>
        </xdr:to>
        <xdr:sp macro="" textlink="">
          <xdr:nvSpPr>
            <xdr:cNvPr id="136193" name="Button 1" hidden="1">
              <a:extLst>
                <a:ext uri="{63B3BB69-23CF-44E3-9099-C40C66FF867C}">
                  <a14:compatExt spid="_x0000_s136193"/>
                </a:ext>
                <a:ext uri="{FF2B5EF4-FFF2-40B4-BE49-F238E27FC236}">
                  <a16:creationId xmlns:a16="http://schemas.microsoft.com/office/drawing/2014/main" id="{00000000-0008-0000-0F00-000012E0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cs typeface="Calibri"/>
                </a:rPr>
                <a:t>Future Projections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1409700</xdr:colOff>
          <xdr:row>2</xdr:row>
          <xdr:rowOff>28575</xdr:rowOff>
        </xdr:from>
        <xdr:to>
          <xdr:col>5</xdr:col>
          <xdr:colOff>228600</xdr:colOff>
          <xdr:row>4</xdr:row>
          <xdr:rowOff>28575</xdr:rowOff>
        </xdr:to>
        <xdr:sp macro="" textlink="">
          <xdr:nvSpPr>
            <xdr:cNvPr id="136194" name="Button 2" hidden="1">
              <a:extLst>
                <a:ext uri="{63B3BB69-23CF-44E3-9099-C40C66FF867C}">
                  <a14:compatExt spid="_x0000_s136194"/>
                </a:ext>
                <a:ext uri="{FF2B5EF4-FFF2-40B4-BE49-F238E27FC236}">
                  <a16:creationId xmlns:a16="http://schemas.microsoft.com/office/drawing/2014/main" id="{00000000-0008-0000-0F00-000015E0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cs typeface="Calibri"/>
                </a:rPr>
                <a:t>Future Projections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66675</xdr:colOff>
          <xdr:row>2</xdr:row>
          <xdr:rowOff>28575</xdr:rowOff>
        </xdr:from>
        <xdr:to>
          <xdr:col>4</xdr:col>
          <xdr:colOff>1057275</xdr:colOff>
          <xdr:row>4</xdr:row>
          <xdr:rowOff>28575</xdr:rowOff>
        </xdr:to>
        <xdr:sp macro="" textlink="">
          <xdr:nvSpPr>
            <xdr:cNvPr id="136195" name="Button 3" hidden="1">
              <a:extLst>
                <a:ext uri="{63B3BB69-23CF-44E3-9099-C40C66FF867C}">
                  <a14:compatExt spid="_x0000_s136195"/>
                </a:ext>
                <a:ext uri="{FF2B5EF4-FFF2-40B4-BE49-F238E27FC236}">
                  <a16:creationId xmlns:a16="http://schemas.microsoft.com/office/drawing/2014/main" id="{00000000-0008-0000-0F00-000016E0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cs typeface="Calibri"/>
                </a:rPr>
                <a:t>Assumptions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xdr:row>
          <xdr:rowOff>66675</xdr:rowOff>
        </xdr:from>
        <xdr:to>
          <xdr:col>8</xdr:col>
          <xdr:colOff>0</xdr:colOff>
          <xdr:row>4</xdr:row>
          <xdr:rowOff>66675</xdr:rowOff>
        </xdr:to>
        <xdr:sp macro="" textlink="">
          <xdr:nvSpPr>
            <xdr:cNvPr id="136196" name="Button 4" hidden="1">
              <a:extLst>
                <a:ext uri="{63B3BB69-23CF-44E3-9099-C40C66FF867C}">
                  <a14:compatExt spid="_x0000_s136196"/>
                </a:ext>
                <a:ext uri="{FF2B5EF4-FFF2-40B4-BE49-F238E27FC236}">
                  <a16:creationId xmlns:a16="http://schemas.microsoft.com/office/drawing/2014/main" id="{00000000-0008-0000-0F00-000017E0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cs typeface="Calibri"/>
                </a:rPr>
                <a:t>Data Sources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1409700</xdr:colOff>
          <xdr:row>2</xdr:row>
          <xdr:rowOff>28575</xdr:rowOff>
        </xdr:from>
        <xdr:to>
          <xdr:col>5</xdr:col>
          <xdr:colOff>228600</xdr:colOff>
          <xdr:row>4</xdr:row>
          <xdr:rowOff>28575</xdr:rowOff>
        </xdr:to>
        <xdr:sp macro="" textlink="">
          <xdr:nvSpPr>
            <xdr:cNvPr id="136197" name="Button 5" hidden="1">
              <a:extLst>
                <a:ext uri="{63B3BB69-23CF-44E3-9099-C40C66FF867C}">
                  <a14:compatExt spid="_x0000_s136197"/>
                </a:ext>
                <a:ext uri="{FF2B5EF4-FFF2-40B4-BE49-F238E27FC236}">
                  <a16:creationId xmlns:a16="http://schemas.microsoft.com/office/drawing/2014/main" id="{00000000-0008-0000-0F00-000018E0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cs typeface="Calibri"/>
                </a:rPr>
                <a:t>Future Projections</a:t>
              </a:r>
            </a:p>
          </xdr:txBody>
        </xdr:sp>
        <xdr:clientData fPrintsWithSheet="0"/>
      </xdr:twoCellAnchor>
    </mc:Choice>
    <mc:Fallback/>
  </mc:AlternateContent>
  <xdr:twoCellAnchor>
    <xdr:from>
      <xdr:col>19</xdr:col>
      <xdr:colOff>336177</xdr:colOff>
      <xdr:row>60</xdr:row>
      <xdr:rowOff>29136</xdr:rowOff>
    </xdr:from>
    <xdr:to>
      <xdr:col>27</xdr:col>
      <xdr:colOff>425824</xdr:colOff>
      <xdr:row>74</xdr:row>
      <xdr:rowOff>105336</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941295</xdr:colOff>
      <xdr:row>77</xdr:row>
      <xdr:rowOff>51547</xdr:rowOff>
    </xdr:from>
    <xdr:to>
      <xdr:col>11</xdr:col>
      <xdr:colOff>78443</xdr:colOff>
      <xdr:row>93</xdr:row>
      <xdr:rowOff>22412</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76</xdr:row>
      <xdr:rowOff>179294</xdr:rowOff>
    </xdr:from>
    <xdr:to>
      <xdr:col>21</xdr:col>
      <xdr:colOff>313766</xdr:colOff>
      <xdr:row>92</xdr:row>
      <xdr:rowOff>150159</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0.13551</cdr:x>
      <cdr:y>0.28359</cdr:y>
    </cdr:from>
    <cdr:to>
      <cdr:x>0.32617</cdr:x>
      <cdr:y>0.58649</cdr:y>
    </cdr:to>
    <cdr:sp macro="" textlink="">
      <cdr:nvSpPr>
        <cdr:cNvPr id="2" name="TextBox 1"/>
        <cdr:cNvSpPr txBox="1"/>
      </cdr:nvSpPr>
      <cdr:spPr>
        <a:xfrm xmlns:a="http://schemas.openxmlformats.org/drawingml/2006/main">
          <a:off x="649940" y="856131"/>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200" b="1">
              <a:solidFill>
                <a:schemeClr val="accent2"/>
              </a:solidFill>
            </a:rPr>
            <a:t>NREL ATB Moderate BESS </a:t>
          </a:r>
        </a:p>
        <a:p xmlns:a="http://schemas.openxmlformats.org/drawingml/2006/main">
          <a:r>
            <a:rPr lang="en-US" sz="1200" b="1">
              <a:solidFill>
                <a:schemeClr val="accent2"/>
              </a:solidFill>
            </a:rPr>
            <a:t>Capital Cost</a:t>
          </a:r>
          <a:r>
            <a:rPr lang="en-US" sz="1200" b="1" baseline="0">
              <a:solidFill>
                <a:schemeClr val="accent2"/>
              </a:solidFill>
            </a:rPr>
            <a:t> Trend</a:t>
          </a:r>
          <a:endParaRPr lang="en-US" sz="1200" b="1">
            <a:solidFill>
              <a:schemeClr val="accent2"/>
            </a:solidFill>
          </a:endParaRPr>
        </a:p>
      </cdr:txBody>
    </cdr:sp>
  </cdr:relSizeAnchor>
  <cdr:relSizeAnchor xmlns:cdr="http://schemas.openxmlformats.org/drawingml/2006/chartDrawing">
    <cdr:from>
      <cdr:x>0.49424</cdr:x>
      <cdr:y>0.05395</cdr:y>
    </cdr:from>
    <cdr:to>
      <cdr:x>0.68489</cdr:x>
      <cdr:y>0.35684</cdr:y>
    </cdr:to>
    <cdr:sp macro="" textlink="">
      <cdr:nvSpPr>
        <cdr:cNvPr id="3" name="TextBox 1"/>
        <cdr:cNvSpPr txBox="1"/>
      </cdr:nvSpPr>
      <cdr:spPr>
        <a:xfrm xmlns:a="http://schemas.openxmlformats.org/drawingml/2006/main">
          <a:off x="2370418" y="162859"/>
          <a:ext cx="914400" cy="9144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b="1">
              <a:solidFill>
                <a:schemeClr val="accent1"/>
              </a:solidFill>
            </a:rPr>
            <a:t>Proposed </a:t>
          </a:r>
          <a:r>
            <a:rPr lang="en-US" sz="1200" b="1" baseline="0">
              <a:solidFill>
                <a:schemeClr val="accent1"/>
              </a:solidFill>
            </a:rPr>
            <a:t>BESS CONE</a:t>
          </a:r>
          <a:endParaRPr lang="en-US" sz="1200" b="1">
            <a:solidFill>
              <a:schemeClr val="accent1"/>
            </a:solidFill>
          </a:endParaRPr>
        </a:p>
        <a:p xmlns:a="http://schemas.openxmlformats.org/drawingml/2006/main">
          <a:r>
            <a:rPr lang="en-US" sz="1200" b="1">
              <a:solidFill>
                <a:schemeClr val="accent1"/>
              </a:solidFill>
            </a:rPr>
            <a:t>Capital Cost</a:t>
          </a:r>
          <a:r>
            <a:rPr lang="en-US" sz="1200" b="1" baseline="0">
              <a:solidFill>
                <a:schemeClr val="accent1"/>
              </a:solidFill>
            </a:rPr>
            <a:t> Trend</a:t>
          </a:r>
          <a:endParaRPr lang="en-US" sz="1200" b="1">
            <a:solidFill>
              <a:schemeClr val="accent1"/>
            </a:solidFill>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0.16121</cdr:x>
      <cdr:y>0.33927</cdr:y>
    </cdr:from>
    <cdr:to>
      <cdr:x>0.35187</cdr:x>
      <cdr:y>0.64217</cdr:y>
    </cdr:to>
    <cdr:sp macro="" textlink="">
      <cdr:nvSpPr>
        <cdr:cNvPr id="2" name="TextBox 1"/>
        <cdr:cNvSpPr txBox="1"/>
      </cdr:nvSpPr>
      <cdr:spPr>
        <a:xfrm xmlns:a="http://schemas.openxmlformats.org/drawingml/2006/main">
          <a:off x="773186" y="1024209"/>
          <a:ext cx="914428" cy="91441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200" b="1">
              <a:solidFill>
                <a:schemeClr val="accent2"/>
              </a:solidFill>
            </a:rPr>
            <a:t>NREL ATB Moderate BESS </a:t>
          </a:r>
        </a:p>
        <a:p xmlns:a="http://schemas.openxmlformats.org/drawingml/2006/main">
          <a:r>
            <a:rPr lang="en-US" sz="1200" b="1">
              <a:solidFill>
                <a:schemeClr val="accent2"/>
              </a:solidFill>
            </a:rPr>
            <a:t>Capital Cost</a:t>
          </a:r>
          <a:r>
            <a:rPr lang="en-US" sz="1200" b="1" baseline="0">
              <a:solidFill>
                <a:schemeClr val="accent2"/>
              </a:solidFill>
            </a:rPr>
            <a:t> Trend</a:t>
          </a:r>
          <a:endParaRPr lang="en-US" sz="1200" b="1">
            <a:solidFill>
              <a:schemeClr val="accent2"/>
            </a:solidFill>
          </a:endParaRPr>
        </a:p>
      </cdr:txBody>
    </cdr:sp>
  </cdr:relSizeAnchor>
  <cdr:relSizeAnchor xmlns:cdr="http://schemas.openxmlformats.org/drawingml/2006/chartDrawing">
    <cdr:from>
      <cdr:x>0.48489</cdr:x>
      <cdr:y>0.07251</cdr:y>
    </cdr:from>
    <cdr:to>
      <cdr:x>0.67554</cdr:x>
      <cdr:y>0.3754</cdr:y>
    </cdr:to>
    <cdr:sp macro="" textlink="">
      <cdr:nvSpPr>
        <cdr:cNvPr id="3" name="TextBox 1"/>
        <cdr:cNvSpPr txBox="1"/>
      </cdr:nvSpPr>
      <cdr:spPr>
        <a:xfrm xmlns:a="http://schemas.openxmlformats.org/drawingml/2006/main">
          <a:off x="2325610" y="218897"/>
          <a:ext cx="914380" cy="91438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b="1">
              <a:solidFill>
                <a:schemeClr val="accent1"/>
              </a:solidFill>
            </a:rPr>
            <a:t>Proposed </a:t>
          </a:r>
          <a:r>
            <a:rPr lang="en-US" sz="1200" b="1" baseline="0">
              <a:solidFill>
                <a:schemeClr val="accent1"/>
              </a:solidFill>
            </a:rPr>
            <a:t>BESS CONE</a:t>
          </a:r>
          <a:endParaRPr lang="en-US" sz="1200" b="1">
            <a:solidFill>
              <a:schemeClr val="accent1"/>
            </a:solidFill>
          </a:endParaRPr>
        </a:p>
        <a:p xmlns:a="http://schemas.openxmlformats.org/drawingml/2006/main">
          <a:r>
            <a:rPr lang="en-US" sz="1200" b="1">
              <a:solidFill>
                <a:schemeClr val="accent1"/>
              </a:solidFill>
            </a:rPr>
            <a:t>Capital Cost</a:t>
          </a:r>
          <a:r>
            <a:rPr lang="en-US" sz="1200" b="1" baseline="0">
              <a:solidFill>
                <a:schemeClr val="accent1"/>
              </a:solidFill>
            </a:rPr>
            <a:t> Trend</a:t>
          </a:r>
          <a:endParaRPr lang="en-US" sz="1200" b="1">
            <a:solidFill>
              <a:schemeClr val="accent1"/>
            </a:solidFil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ichael%20Hagerty\AppData\Local\Microsoft\Windows\INetCache\Content.Outlook\0MYBCOCT\2022.2.22%20PJM%202022%20CONE%20Workbook%20Updated%20Battery%20Storag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ichael%20Hagerty\AppData\Local\Microsoft\Windows\Temporary%20Internet%20Files\Content.Outlook\FPP32WEZ\2017.08.10%20PJM%20CONE%20Calculations%20Mode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so-ne.com/Documents%20and%20Settings/akuznecow/Local%20Settings/Temporary%20Internet%20Files/Content.Outlook/04UXZ3IV/Benchmark%20Model%206-27-11%20(mdm).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1\0h0508\LOCALS~1\Temp\notesFFF692\ISO-NE%20ORTP%20Analysis%20-%20Capital%20Budgeting%20Model%20-%20July%2031%20201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Users\Robert%20Carlton\AppData\Local\Microsoft\Windows\Temporary%20Internet%20Files\Content.Outlook\VBE0TVOU\SC\Brattle%202x0%207FA.05%20Location%201%20Dual%20Fuel%20w%20SCR%207-28-2011%20Rev%20H.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 Tables &amp; Figures &gt;&gt;"/>
      <sheetName val="ES Table 1 For slide"/>
      <sheetName val="ES Table 1"/>
      <sheetName val="ES Tables 2 &amp; 3"/>
      <sheetName val="2022-2018 Compare RTO - FOM"/>
      <sheetName val="2022-2018 Compare RTO - VOM"/>
      <sheetName val="2022-2018 Compare - O+M"/>
      <sheetName val="2022-2018 Compare RTO - Capital"/>
      <sheetName val="2022-2018 Compare ($kW)"/>
      <sheetName val="2022-2018 Compare - Capital"/>
      <sheetName val="Capital Costs Tables BESS"/>
      <sheetName val="Capital Costs Tables 12 &amp; 13"/>
      <sheetName val="O&amp;M Summary Tables 16 &amp; 17"/>
      <sheetName val="O&amp;M Summary Tables BESS"/>
      <sheetName val="Summary Tables 22 &amp; 23 (MW-yr)"/>
      <sheetName val="Escalation Rate"/>
      <sheetName val="Stakeholder Deck&gt;&gt;"/>
      <sheetName val="Gross CONE Figure"/>
      <sheetName val="For VRR Curve"/>
      <sheetName val="Input - Tables &amp; Figures &gt;&gt;"/>
      <sheetName val="Summary Table (kW-yr)"/>
      <sheetName val="CT CONE Results"/>
      <sheetName val="CC CONE Results"/>
      <sheetName val="BESS CONE Results"/>
      <sheetName val="Assumptions"/>
      <sheetName val="CONE_Calculations"/>
      <sheetName val="Construction Costs"/>
      <sheetName val="Escalation Calculations&gt;&gt;"/>
      <sheetName val="Capital Costs_Nominal$"/>
      <sheetName val="Capital Costs"/>
      <sheetName val="O&amp;M Costs_2026$"/>
      <sheetName val="BESS_Capital Costs_Nominal$"/>
      <sheetName val="BESS_Capital Costs"/>
      <sheetName val="BESS_O&amp;M Costs_2026$"/>
      <sheetName val="Capital Cost Escalation"/>
      <sheetName val="Annual FOM"/>
      <sheetName val="Raw Data&gt;&gt;&gt;"/>
      <sheetName val="Property Tax for appendix"/>
      <sheetName val="Additional Estimates"/>
      <sheetName val="Tax_depreciation"/>
      <sheetName val="From S&amp;L&gt;&gt;"/>
      <sheetName val="Capital Costs Data BESS"/>
      <sheetName val="O&amp;M Costs BESS"/>
      <sheetName val="Cost Assumptions BESS"/>
      <sheetName val="Capital Costs Data"/>
      <sheetName val="Cost Assumptions"/>
      <sheetName val="O&amp;M Costs"/>
      <sheetName val="Capital Drawdown Schedule"/>
      <sheetName val="Tax Exemption"/>
      <sheetName val="CC Cost and Performace"/>
      <sheetName val="T11&amp;12 Tech. Specification"/>
      <sheetName val="T5 Ambient Conditions"/>
      <sheetName val="Utility-Scale Battery Stor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6">
          <cell r="D6" t="str">
            <v>BESS</v>
          </cell>
        </row>
        <row r="7">
          <cell r="D7">
            <v>3</v>
          </cell>
          <cell r="E7">
            <v>1</v>
          </cell>
          <cell r="F7">
            <v>2</v>
          </cell>
          <cell r="G7">
            <v>3</v>
          </cell>
          <cell r="H7">
            <v>4</v>
          </cell>
          <cell r="I7"/>
        </row>
        <row r="8">
          <cell r="E8">
            <v>0</v>
          </cell>
        </row>
        <row r="10">
          <cell r="D10">
            <v>235.74879883397045</v>
          </cell>
        </row>
        <row r="11">
          <cell r="D11">
            <v>645.88712009306971</v>
          </cell>
        </row>
        <row r="16">
          <cell r="D16">
            <v>1599.3985190932478</v>
          </cell>
        </row>
        <row r="17">
          <cell r="D17">
            <v>1544.2206814654089</v>
          </cell>
        </row>
      </sheetData>
      <sheetData sheetId="26">
        <row r="31">
          <cell r="F31">
            <v>303.58900000000006</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gt;&gt;"/>
      <sheetName val="Summary Table (kW-yr)"/>
      <sheetName val="Summary Table (MW-yr)"/>
      <sheetName val="RTO Dual Fuel Table (MW-yr)"/>
      <sheetName val="Capital Costs_Nominal$_Report"/>
      <sheetName val="O&amp;M Costs_2018$_Report"/>
      <sheetName val="CT CONE Results"/>
      <sheetName val="CC CONE Results"/>
      <sheetName val="CONE_Calculations"/>
      <sheetName val="Construction Costs"/>
      <sheetName val="Capital Costs_Nominal$"/>
      <sheetName val="Capital Cost Escalation"/>
      <sheetName val="Capital Costs"/>
      <sheetName val="O&amp;M Costs_2018$"/>
      <sheetName val="Annual FOM"/>
      <sheetName val="Raw Data&gt;&gt;&gt;"/>
      <sheetName val="IMM Labor Rates"/>
      <sheetName val="Capital Costs_Dual Fuel"/>
      <sheetName val="Capital Costs_Single Fuel"/>
      <sheetName val="O&amp;M Costs"/>
      <sheetName val="Property Tax"/>
      <sheetName val="Cost Assumptions"/>
      <sheetName val="Additional Estimates"/>
      <sheetName val="Unit Specifications"/>
      <sheetName val="Capital Drawdown Schedule"/>
      <sheetName val="Tax_depreciation"/>
    </sheetNames>
    <sheetDataSet>
      <sheetData sheetId="0"/>
      <sheetData sheetId="1"/>
      <sheetData sheetId="2"/>
      <sheetData sheetId="3"/>
      <sheetData sheetId="4"/>
      <sheetData sheetId="5"/>
      <sheetData sheetId="6"/>
      <sheetData sheetId="7"/>
      <sheetData sheetId="8">
        <row r="5">
          <cell r="D5" t="str">
            <v>Combined Cycle</v>
          </cell>
          <cell r="E5" t="str">
            <v>Single Cycle</v>
          </cell>
          <cell r="F5" t="str">
            <v>Combined Cycle</v>
          </cell>
        </row>
        <row r="6">
          <cell r="D6">
            <v>1</v>
          </cell>
          <cell r="E6">
            <v>1</v>
          </cell>
          <cell r="F6">
            <v>2</v>
          </cell>
          <cell r="G6">
            <v>3</v>
          </cell>
          <cell r="H6">
            <v>4</v>
          </cell>
          <cell r="I6">
            <v>5</v>
          </cell>
        </row>
        <row r="7">
          <cell r="E7">
            <v>0</v>
          </cell>
        </row>
        <row r="9">
          <cell r="D9">
            <v>185.69451502377805</v>
          </cell>
        </row>
        <row r="15">
          <cell r="D15">
            <v>1193.4051356944738</v>
          </cell>
        </row>
        <row r="16">
          <cell r="D16">
            <v>1142.7247189384386</v>
          </cell>
        </row>
      </sheetData>
      <sheetData sheetId="9">
        <row r="32">
          <cell r="F32">
            <v>727.08400000000017</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8">
          <cell r="C8" t="str">
            <v>Frame-Type 
Combustion Turbine</v>
          </cell>
        </row>
      </sheetData>
      <sheetData sheetId="24"/>
      <sheetData sheetId="2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Generation User Guide"/>
      <sheetName val="DR &amp; EE User Guide"/>
      <sheetName val="Summary"/>
      <sheetName val="Generation Sensitivities"/>
      <sheetName val="DR &amp; EE Sensitivities"/>
      <sheetName val="Generation Inputs"/>
      <sheetName val="LMS100 SC"/>
      <sheetName val="LM6000 SC"/>
      <sheetName val="FT8 SC"/>
      <sheetName val="F CC"/>
      <sheetName val="501G CC"/>
      <sheetName val="Biomass"/>
      <sheetName val="Offshore Wind"/>
      <sheetName val="Onshore Wind"/>
      <sheetName val="Photovoltaic"/>
      <sheetName val="Landfill Gas Engine"/>
      <sheetName val="DR &amp; EE Inputs"/>
      <sheetName val="DRIA DRIB Summary Sheet"/>
      <sheetName val="GENERIC RES LTG"/>
      <sheetName val="GENERIC RES NEW CONST"/>
      <sheetName val="GENERIC RES LOW INC"/>
      <sheetName val="GENERIC RES APPL"/>
      <sheetName val="GENERIC C&amp;I NEW CONST"/>
      <sheetName val="GENERIC C&amp;I BUSINESS"/>
      <sheetName val="EE CLP Residl Products"/>
      <sheetName val="EE UI Residl Products"/>
      <sheetName val="EE CLP Residl New Const"/>
      <sheetName val="EE UI Residl New Const"/>
      <sheetName val="EE CLP HES"/>
      <sheetName val="EE UI HES"/>
      <sheetName val="EE CLP HES Income Elig"/>
      <sheetName val="EE UI HES Income Elig"/>
      <sheetName val="C&amp;I CLP EE1"/>
      <sheetName val="C&amp;I UI EE1"/>
      <sheetName val="C&amp;I CLP EE2"/>
      <sheetName val="C&amp;I UI EE2"/>
      <sheetName val="C&amp;I CLP Sm Business"/>
      <sheetName val="C&amp;I UI Sm Business"/>
      <sheetName val="ME Residl Ltg"/>
      <sheetName val="ME Low Income"/>
      <sheetName val="ME Business Prog"/>
      <sheetName val="NH RES ES Homes"/>
      <sheetName val="NH RES HES"/>
      <sheetName val="NH RES ES APPL"/>
      <sheetName val="NH RES HEA"/>
      <sheetName val="NH RES ES LTG"/>
      <sheetName val="NH C&amp;I NEW EQUIP &amp; CONST"/>
      <sheetName val="NH C&amp;I LRG RETROFIT"/>
      <sheetName val="NH C&amp;I SM BUS"/>
      <sheetName val="VT RES NEW CONST"/>
      <sheetName val="VT RES EFF PROD"/>
      <sheetName val="VT RES EXIST HOMES"/>
      <sheetName val="VT BUS NEW CONST"/>
      <sheetName val="VT BUS EXIST FACIL"/>
      <sheetName val="VT BUS CUST CR"/>
      <sheetName val="VT GEOTAR"/>
      <sheetName val="MA RES NEW CONST"/>
      <sheetName val="MA RES COOLING &amp; HTG"/>
      <sheetName val="MA RES MULTI-FAM RETROFIT"/>
      <sheetName val="MA RES MASAVE"/>
      <sheetName val="MA RES O POWER"/>
      <sheetName val="MA RES ES LTG"/>
      <sheetName val="MA RES ES APPL"/>
      <sheetName val="MA LOW INC NEW CONST"/>
      <sheetName val="MA LOW INC RETROFIT"/>
      <sheetName val="MA C&amp;I NEW CONST"/>
      <sheetName val="MA C&amp;I RETROFIT"/>
      <sheetName val="DR IA C&amp;I"/>
      <sheetName val="DR IB"/>
      <sheetName val="DR UA BIP"/>
      <sheetName val="DR UB BIP"/>
      <sheetName val="DR UB API"/>
      <sheetName val="DR UA CBP"/>
      <sheetName val="DR UB CBP"/>
      <sheetName val="DR UA AMP"/>
      <sheetName val="DR UB DR CONTRACTS"/>
      <sheetName val="DR UB SDP"/>
      <sheetName val="EE State Data by Program"/>
      <sheetName val="CA DR Summary Sheet"/>
      <sheetName val="Generation References"/>
      <sheetName val="DR &amp; EE References"/>
      <sheetName val="Top 200 Hours"/>
    </sheetNames>
    <sheetDataSet>
      <sheetData sheetId="0"/>
      <sheetData sheetId="1"/>
      <sheetData sheetId="2"/>
      <sheetData sheetId="3">
        <row r="4">
          <cell r="A4" t="str">
            <v xml:space="preserve">GE LMS100 Simple Cycle </v>
          </cell>
        </row>
        <row r="36">
          <cell r="D36">
            <v>-59.297849810119168</v>
          </cell>
        </row>
        <row r="37">
          <cell r="D37">
            <v>-50.640988452536533</v>
          </cell>
        </row>
        <row r="38">
          <cell r="D38">
            <v>48.525137999062501</v>
          </cell>
        </row>
        <row r="39">
          <cell r="D39">
            <v>100.3751897089283</v>
          </cell>
        </row>
        <row r="40">
          <cell r="D40">
            <v>107.15941164375772</v>
          </cell>
        </row>
        <row r="41">
          <cell r="D41">
            <v>35.341036126009222</v>
          </cell>
        </row>
        <row r="42">
          <cell r="D42">
            <v>53.820954376989306</v>
          </cell>
        </row>
        <row r="43">
          <cell r="D43">
            <v>116.50379272906996</v>
          </cell>
        </row>
        <row r="44">
          <cell r="D44">
            <v>1.1747191740630776</v>
          </cell>
        </row>
        <row r="45">
          <cell r="D45">
            <v>-9.5530822147714536E-2</v>
          </cell>
        </row>
        <row r="46">
          <cell r="D46">
            <v>47.838367427222131</v>
          </cell>
        </row>
        <row r="47">
          <cell r="D47">
            <v>50.683877159777403</v>
          </cell>
        </row>
        <row r="48">
          <cell r="D48">
            <v>33.418931446684297</v>
          </cell>
        </row>
        <row r="49">
          <cell r="D49">
            <v>71.522189509867914</v>
          </cell>
        </row>
        <row r="52">
          <cell r="D52">
            <v>141.41226660768007</v>
          </cell>
        </row>
        <row r="53">
          <cell r="D53">
            <v>34.764944518909225</v>
          </cell>
        </row>
        <row r="54">
          <cell r="D54">
            <v>96.240970729883657</v>
          </cell>
        </row>
        <row r="55">
          <cell r="D55">
            <v>58.506388426823769</v>
          </cell>
        </row>
        <row r="56">
          <cell r="D56">
            <v>-80.738404888188867</v>
          </cell>
        </row>
        <row r="57">
          <cell r="D57">
            <v>-22.883907820416898</v>
          </cell>
        </row>
        <row r="58">
          <cell r="D58">
            <v>21.560747727619752</v>
          </cell>
        </row>
        <row r="59">
          <cell r="D59">
            <v>89.892643922912683</v>
          </cell>
        </row>
        <row r="60">
          <cell r="D60">
            <v>201.32392180930094</v>
          </cell>
        </row>
        <row r="61">
          <cell r="D61">
            <v>-123.41749347290134</v>
          </cell>
        </row>
        <row r="62">
          <cell r="D62">
            <v>16.161870164526711</v>
          </cell>
        </row>
        <row r="65">
          <cell r="D65">
            <v>-33.563695470016739</v>
          </cell>
        </row>
        <row r="66">
          <cell r="D66">
            <v>12.134363075322602</v>
          </cell>
        </row>
        <row r="67">
          <cell r="D67">
            <v>11.632003636478897</v>
          </cell>
        </row>
        <row r="70">
          <cell r="D70">
            <v>49.525435968845279</v>
          </cell>
        </row>
        <row r="71">
          <cell r="D71">
            <v>227.8728406685905</v>
          </cell>
        </row>
        <row r="72">
          <cell r="D72">
            <v>47.243066812612888</v>
          </cell>
        </row>
        <row r="73">
          <cell r="D73">
            <v>437.49021523012158</v>
          </cell>
        </row>
        <row r="74">
          <cell r="D74">
            <v>-93.207656224160814</v>
          </cell>
        </row>
        <row r="75">
          <cell r="D75">
            <v>-11.618389573232085</v>
          </cell>
        </row>
        <row r="76">
          <cell r="D76">
            <v>-6.3389076487585969</v>
          </cell>
        </row>
        <row r="77">
          <cell r="D77">
            <v>7.4650937127135215</v>
          </cell>
        </row>
        <row r="80">
          <cell r="D80">
            <v>104.80909665094822</v>
          </cell>
        </row>
        <row r="81">
          <cell r="D81">
            <v>-9.5925277708226524</v>
          </cell>
        </row>
        <row r="82">
          <cell r="D82">
            <v>256.18617446752523</v>
          </cell>
        </row>
        <row r="83">
          <cell r="D83">
            <v>15.943038692658256</v>
          </cell>
        </row>
        <row r="84">
          <cell r="D84">
            <v>17.843583814118453</v>
          </cell>
        </row>
        <row r="85">
          <cell r="D85">
            <v>-14.805266985803383</v>
          </cell>
        </row>
        <row r="86">
          <cell r="D86">
            <v>8.3540836448597648</v>
          </cell>
        </row>
        <row r="89">
          <cell r="D89">
            <v>3.324967336654252</v>
          </cell>
        </row>
        <row r="90">
          <cell r="D90">
            <v>6.0070289079532317</v>
          </cell>
        </row>
        <row r="91">
          <cell r="D91">
            <v>10.98290928173779</v>
          </cell>
        </row>
        <row r="92">
          <cell r="D92">
            <v>46.018217585252323</v>
          </cell>
        </row>
        <row r="93">
          <cell r="D93">
            <v>50.017586323798213</v>
          </cell>
        </row>
        <row r="94">
          <cell r="D94">
            <v>19.746323135259022</v>
          </cell>
        </row>
        <row r="95">
          <cell r="D95">
            <v>17.417364641696199</v>
          </cell>
        </row>
        <row r="96">
          <cell r="D96">
            <v>1.3984650473965017</v>
          </cell>
        </row>
        <row r="97">
          <cell r="D97">
            <v>71.912960872014665</v>
          </cell>
        </row>
        <row r="98">
          <cell r="D98">
            <v>37.146499002460935</v>
          </cell>
        </row>
      </sheetData>
      <sheetData sheetId="4"/>
      <sheetData sheetId="5"/>
      <sheetData sheetId="6">
        <row r="128">
          <cell r="A128">
            <v>10</v>
          </cell>
        </row>
      </sheetData>
      <sheetData sheetId="7"/>
      <sheetData sheetId="8"/>
      <sheetData sheetId="9"/>
      <sheetData sheetId="10"/>
      <sheetData sheetId="11"/>
      <sheetData sheetId="12"/>
      <sheetData sheetId="13"/>
      <sheetData sheetId="14"/>
      <sheetData sheetId="15"/>
      <sheetData sheetId="16"/>
      <sheetData sheetId="17">
        <row r="11">
          <cell r="B11">
            <v>57211.122667333329</v>
          </cell>
        </row>
        <row r="109">
          <cell r="L109">
            <v>1</v>
          </cell>
        </row>
        <row r="113">
          <cell r="L113">
            <v>3.5000000000000003E-2</v>
          </cell>
        </row>
        <row r="131">
          <cell r="L131">
            <v>0.9</v>
          </cell>
        </row>
        <row r="132">
          <cell r="L132">
            <v>0.8</v>
          </cell>
        </row>
        <row r="133">
          <cell r="L133">
            <v>1</v>
          </cell>
        </row>
        <row r="139">
          <cell r="L139">
            <v>0.16666666666666666</v>
          </cell>
        </row>
        <row r="140">
          <cell r="L140">
            <v>1</v>
          </cell>
        </row>
        <row r="141">
          <cell r="L141">
            <v>1</v>
          </cell>
        </row>
        <row r="145">
          <cell r="A145" t="str">
            <v>Risk Free Rate1-n  (%)-&gt;</v>
          </cell>
        </row>
        <row r="146">
          <cell r="A146" t="str">
            <v>Market Risk Premium1-n  (%)-&gt;</v>
          </cell>
        </row>
        <row r="147">
          <cell r="A147" t="str">
            <v>Debt Ratio1-n  (%)-&gt;</v>
          </cell>
        </row>
        <row r="148">
          <cell r="A148" t="str">
            <v>Cost of Borrowing1-n  (%)-&gt;</v>
          </cell>
        </row>
        <row r="149">
          <cell r="A149" t="str">
            <v>Effective Income Tax Rate1-n  (%)-&gt;</v>
          </cell>
        </row>
        <row r="151">
          <cell r="A151" t="str">
            <v>Allocate Reported O&amp;M between Initial Investment &amp; O&amp;M</v>
          </cell>
        </row>
        <row r="152">
          <cell r="A152" t="str">
            <v xml:space="preserve"> Labor &amp; Services</v>
          </cell>
          <cell r="L152">
            <v>0.75</v>
          </cell>
        </row>
        <row r="153">
          <cell r="A153" t="str">
            <v xml:space="preserve"> Materials &amp; Supplies</v>
          </cell>
          <cell r="L153">
            <v>1</v>
          </cell>
        </row>
        <row r="154">
          <cell r="L154">
            <v>0.95</v>
          </cell>
        </row>
        <row r="155">
          <cell r="L155">
            <v>0.75</v>
          </cell>
        </row>
        <row r="156">
          <cell r="L156">
            <v>0.95</v>
          </cell>
        </row>
        <row r="157">
          <cell r="L157">
            <v>0</v>
          </cell>
        </row>
        <row r="166">
          <cell r="L166">
            <v>10</v>
          </cell>
          <cell r="M166">
            <v>281.34800000000001</v>
          </cell>
        </row>
      </sheetData>
      <sheetData sheetId="18">
        <row r="7">
          <cell r="D7">
            <v>902</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ow r="9">
          <cell r="C9">
            <v>5394</v>
          </cell>
        </row>
      </sheetData>
      <sheetData sheetId="79">
        <row r="5">
          <cell r="B5">
            <v>155578.44467834898</v>
          </cell>
        </row>
      </sheetData>
      <sheetData sheetId="80"/>
      <sheetData sheetId="81"/>
      <sheetData sheetId="82">
        <row r="4">
          <cell r="A4">
            <v>1</v>
          </cell>
          <cell r="B4">
            <v>499.71</v>
          </cell>
        </row>
        <row r="5">
          <cell r="A5">
            <v>2</v>
          </cell>
          <cell r="B5">
            <v>402.98</v>
          </cell>
        </row>
        <row r="6">
          <cell r="A6">
            <v>3</v>
          </cell>
          <cell r="B6">
            <v>361.56666666666666</v>
          </cell>
        </row>
        <row r="7">
          <cell r="A7">
            <v>4</v>
          </cell>
          <cell r="B7">
            <v>338.86</v>
          </cell>
        </row>
        <row r="8">
          <cell r="A8">
            <v>5</v>
          </cell>
          <cell r="B8">
            <v>321.12600000000003</v>
          </cell>
        </row>
        <row r="9">
          <cell r="A9">
            <v>6</v>
          </cell>
          <cell r="B9">
            <v>308.88666666666671</v>
          </cell>
        </row>
        <row r="10">
          <cell r="A10">
            <v>7</v>
          </cell>
          <cell r="B10">
            <v>299.90571428571428</v>
          </cell>
        </row>
        <row r="11">
          <cell r="A11">
            <v>8</v>
          </cell>
          <cell r="B11">
            <v>293.0025</v>
          </cell>
        </row>
        <row r="12">
          <cell r="A12">
            <v>9</v>
          </cell>
          <cell r="B12">
            <v>286.63111111111107</v>
          </cell>
        </row>
        <row r="13">
          <cell r="A13">
            <v>10</v>
          </cell>
          <cell r="B13">
            <v>281.34800000000001</v>
          </cell>
        </row>
        <row r="14">
          <cell r="A14">
            <v>11</v>
          </cell>
          <cell r="B14">
            <v>276.90000000000003</v>
          </cell>
        </row>
        <row r="15">
          <cell r="A15">
            <v>12</v>
          </cell>
          <cell r="B15">
            <v>272.77916666666664</v>
          </cell>
        </row>
        <row r="16">
          <cell r="A16">
            <v>13</v>
          </cell>
          <cell r="B16">
            <v>269.21692307692308</v>
          </cell>
        </row>
        <row r="17">
          <cell r="A17">
            <v>14</v>
          </cell>
          <cell r="B17">
            <v>265.82</v>
          </cell>
        </row>
        <row r="18">
          <cell r="A18">
            <v>15</v>
          </cell>
          <cell r="B18">
            <v>262.74599999999998</v>
          </cell>
        </row>
        <row r="19">
          <cell r="A19">
            <v>16</v>
          </cell>
          <cell r="B19">
            <v>260.00874999999996</v>
          </cell>
        </row>
        <row r="20">
          <cell r="A20">
            <v>17</v>
          </cell>
          <cell r="B20">
            <v>257.36117647058819</v>
          </cell>
        </row>
        <row r="21">
          <cell r="A21">
            <v>18</v>
          </cell>
          <cell r="B21">
            <v>254.9744444444444</v>
          </cell>
        </row>
        <row r="22">
          <cell r="A22">
            <v>19</v>
          </cell>
          <cell r="B22">
            <v>252.69894736842099</v>
          </cell>
        </row>
        <row r="23">
          <cell r="A23">
            <v>20</v>
          </cell>
          <cell r="B23">
            <v>250.31599999999995</v>
          </cell>
        </row>
        <row r="24">
          <cell r="A24">
            <v>21</v>
          </cell>
          <cell r="B24">
            <v>248.14047619047614</v>
          </cell>
        </row>
        <row r="25">
          <cell r="A25">
            <v>22</v>
          </cell>
          <cell r="B25">
            <v>246.10227272727269</v>
          </cell>
        </row>
        <row r="26">
          <cell r="A26">
            <v>23</v>
          </cell>
          <cell r="B26">
            <v>244.1978260869565</v>
          </cell>
        </row>
        <row r="27">
          <cell r="A27">
            <v>24</v>
          </cell>
          <cell r="B27">
            <v>242.41291666666663</v>
          </cell>
        </row>
        <row r="28">
          <cell r="A28">
            <v>25</v>
          </cell>
          <cell r="B28">
            <v>240.60679999999996</v>
          </cell>
        </row>
        <row r="29">
          <cell r="A29">
            <v>26</v>
          </cell>
          <cell r="B29">
            <v>238.91961538461535</v>
          </cell>
        </row>
        <row r="30">
          <cell r="A30">
            <v>27</v>
          </cell>
          <cell r="B30">
            <v>237.33703703703699</v>
          </cell>
        </row>
        <row r="31">
          <cell r="A31">
            <v>28</v>
          </cell>
          <cell r="B31">
            <v>235.85821428571424</v>
          </cell>
        </row>
        <row r="32">
          <cell r="A32">
            <v>29</v>
          </cell>
          <cell r="B32">
            <v>234.40241379310342</v>
          </cell>
        </row>
        <row r="33">
          <cell r="A33">
            <v>30</v>
          </cell>
          <cell r="B33">
            <v>233.00066666666666</v>
          </cell>
        </row>
        <row r="34">
          <cell r="A34">
            <v>31</v>
          </cell>
          <cell r="B34">
            <v>231.68032258064514</v>
          </cell>
        </row>
        <row r="35">
          <cell r="A35">
            <v>32</v>
          </cell>
          <cell r="B35">
            <v>230.38687499999997</v>
          </cell>
        </row>
        <row r="36">
          <cell r="A36">
            <v>33</v>
          </cell>
          <cell r="B36">
            <v>229.16060606060603</v>
          </cell>
        </row>
        <row r="37">
          <cell r="A37">
            <v>34</v>
          </cell>
          <cell r="B37">
            <v>227.99352941176468</v>
          </cell>
        </row>
        <row r="38">
          <cell r="A38">
            <v>35</v>
          </cell>
          <cell r="B38">
            <v>226.83742857142852</v>
          </cell>
        </row>
        <row r="39">
          <cell r="A39">
            <v>36</v>
          </cell>
          <cell r="B39">
            <v>225.74222222222218</v>
          </cell>
        </row>
        <row r="40">
          <cell r="A40">
            <v>37</v>
          </cell>
          <cell r="B40">
            <v>224.69621621621619</v>
          </cell>
        </row>
        <row r="41">
          <cell r="A41">
            <v>38</v>
          </cell>
          <cell r="B41">
            <v>223.69421052631577</v>
          </cell>
        </row>
        <row r="42">
          <cell r="A42">
            <v>39</v>
          </cell>
          <cell r="B42">
            <v>222.74128205128204</v>
          </cell>
        </row>
        <row r="43">
          <cell r="A43">
            <v>40</v>
          </cell>
          <cell r="B43">
            <v>221.81525000000002</v>
          </cell>
        </row>
        <row r="44">
          <cell r="A44">
            <v>41</v>
          </cell>
          <cell r="B44">
            <v>220.90682926829268</v>
          </cell>
        </row>
        <row r="45">
          <cell r="A45">
            <v>42</v>
          </cell>
          <cell r="B45">
            <v>220.0264285714286</v>
          </cell>
        </row>
        <row r="46">
          <cell r="A46">
            <v>43</v>
          </cell>
          <cell r="B46">
            <v>219.14581395348839</v>
          </cell>
        </row>
        <row r="47">
          <cell r="A47">
            <v>44</v>
          </cell>
          <cell r="B47">
            <v>218.30295454545455</v>
          </cell>
        </row>
        <row r="48">
          <cell r="A48">
            <v>45</v>
          </cell>
          <cell r="B48">
            <v>217.48044444444446</v>
          </cell>
        </row>
        <row r="49">
          <cell r="A49">
            <v>46</v>
          </cell>
          <cell r="B49">
            <v>216.68695652173915</v>
          </cell>
        </row>
        <row r="50">
          <cell r="A50">
            <v>47</v>
          </cell>
          <cell r="B50">
            <v>215.9268085106383</v>
          </cell>
        </row>
        <row r="51">
          <cell r="A51">
            <v>48</v>
          </cell>
          <cell r="B51">
            <v>215.14770833333333</v>
          </cell>
        </row>
        <row r="52">
          <cell r="A52">
            <v>49</v>
          </cell>
          <cell r="B52">
            <v>214.38448979591837</v>
          </cell>
        </row>
        <row r="53">
          <cell r="A53">
            <v>50</v>
          </cell>
          <cell r="B53">
            <v>213.64359999999999</v>
          </cell>
        </row>
        <row r="54">
          <cell r="A54">
            <v>51</v>
          </cell>
          <cell r="B54">
            <v>212.92196078431374</v>
          </cell>
        </row>
        <row r="55">
          <cell r="A55">
            <v>52</v>
          </cell>
          <cell r="B55">
            <v>212.22634615384615</v>
          </cell>
        </row>
        <row r="56">
          <cell r="A56">
            <v>53</v>
          </cell>
          <cell r="B56">
            <v>211.54018867924529</v>
          </cell>
        </row>
        <row r="57">
          <cell r="A57">
            <v>54</v>
          </cell>
          <cell r="B57">
            <v>210.85092592592594</v>
          </cell>
        </row>
        <row r="58">
          <cell r="A58">
            <v>55</v>
          </cell>
          <cell r="B58">
            <v>210.10072727272728</v>
          </cell>
        </row>
        <row r="59">
          <cell r="A59">
            <v>56</v>
          </cell>
          <cell r="B59">
            <v>209.37392857142859</v>
          </cell>
        </row>
        <row r="60">
          <cell r="A60">
            <v>57</v>
          </cell>
          <cell r="B60">
            <v>208.67122807017543</v>
          </cell>
        </row>
        <row r="61">
          <cell r="A61">
            <v>58</v>
          </cell>
          <cell r="B61">
            <v>207.98413793103447</v>
          </cell>
        </row>
        <row r="62">
          <cell r="A62">
            <v>59</v>
          </cell>
          <cell r="B62">
            <v>207.31576271186438</v>
          </cell>
        </row>
        <row r="63">
          <cell r="A63">
            <v>60</v>
          </cell>
          <cell r="B63">
            <v>206.66166666666666</v>
          </cell>
        </row>
        <row r="64">
          <cell r="A64">
            <v>61</v>
          </cell>
          <cell r="B64">
            <v>206.01491803278685</v>
          </cell>
        </row>
        <row r="65">
          <cell r="A65">
            <v>62</v>
          </cell>
          <cell r="B65">
            <v>205.38435483870964</v>
          </cell>
        </row>
        <row r="66">
          <cell r="A66">
            <v>63</v>
          </cell>
          <cell r="B66">
            <v>204.76587301587298</v>
          </cell>
        </row>
        <row r="67">
          <cell r="A67">
            <v>64</v>
          </cell>
          <cell r="B67">
            <v>204.14187499999997</v>
          </cell>
        </row>
        <row r="68">
          <cell r="A68">
            <v>65</v>
          </cell>
          <cell r="B68">
            <v>203.53569230769227</v>
          </cell>
        </row>
        <row r="69">
          <cell r="A69">
            <v>66</v>
          </cell>
          <cell r="B69">
            <v>202.92333333333332</v>
          </cell>
        </row>
        <row r="70">
          <cell r="A70">
            <v>67</v>
          </cell>
          <cell r="B70">
            <v>202.3225373134328</v>
          </cell>
        </row>
        <row r="71">
          <cell r="A71">
            <v>68</v>
          </cell>
          <cell r="B71">
            <v>201.73294117647058</v>
          </cell>
        </row>
        <row r="72">
          <cell r="A72">
            <v>69</v>
          </cell>
          <cell r="B72">
            <v>201.1424637681159</v>
          </cell>
        </row>
        <row r="73">
          <cell r="A73">
            <v>70</v>
          </cell>
          <cell r="B73">
            <v>200.5638571428571</v>
          </cell>
        </row>
        <row r="74">
          <cell r="A74">
            <v>71</v>
          </cell>
          <cell r="B74">
            <v>200.00042253521121</v>
          </cell>
        </row>
        <row r="75">
          <cell r="A75">
            <v>72</v>
          </cell>
          <cell r="B75">
            <v>199.43319444444441</v>
          </cell>
        </row>
        <row r="76">
          <cell r="A76">
            <v>73</v>
          </cell>
          <cell r="B76">
            <v>198.86273972602737</v>
          </cell>
        </row>
        <row r="77">
          <cell r="A77">
            <v>74</v>
          </cell>
          <cell r="B77">
            <v>198.30445945945942</v>
          </cell>
        </row>
        <row r="78">
          <cell r="A78">
            <v>75</v>
          </cell>
          <cell r="B78">
            <v>197.76026666666664</v>
          </cell>
        </row>
        <row r="79">
          <cell r="A79">
            <v>76</v>
          </cell>
          <cell r="B79">
            <v>197.22421052631574</v>
          </cell>
        </row>
        <row r="80">
          <cell r="A80">
            <v>77</v>
          </cell>
          <cell r="B80">
            <v>196.69519480519477</v>
          </cell>
        </row>
        <row r="81">
          <cell r="A81">
            <v>78</v>
          </cell>
          <cell r="B81">
            <v>196.17705128205125</v>
          </cell>
        </row>
        <row r="82">
          <cell r="A82">
            <v>79</v>
          </cell>
          <cell r="B82">
            <v>195.67088607594934</v>
          </cell>
        </row>
        <row r="83">
          <cell r="A83">
            <v>80</v>
          </cell>
          <cell r="B83">
            <v>195.17337499999999</v>
          </cell>
        </row>
        <row r="84">
          <cell r="A84">
            <v>81</v>
          </cell>
          <cell r="B84">
            <v>194.68802469135801</v>
          </cell>
        </row>
        <row r="85">
          <cell r="A85">
            <v>82</v>
          </cell>
          <cell r="B85">
            <v>194.20207317073169</v>
          </cell>
        </row>
        <row r="86">
          <cell r="A86">
            <v>83</v>
          </cell>
          <cell r="B86">
            <v>193.7278313253012</v>
          </cell>
        </row>
        <row r="87">
          <cell r="A87">
            <v>84</v>
          </cell>
          <cell r="B87">
            <v>193.26309523809525</v>
          </cell>
        </row>
        <row r="88">
          <cell r="A88">
            <v>85</v>
          </cell>
          <cell r="B88">
            <v>192.80505882352941</v>
          </cell>
        </row>
        <row r="89">
          <cell r="A89">
            <v>86</v>
          </cell>
          <cell r="B89">
            <v>192.35034883720931</v>
          </cell>
        </row>
        <row r="90">
          <cell r="A90">
            <v>87</v>
          </cell>
          <cell r="B90">
            <v>191.89781609195404</v>
          </cell>
        </row>
        <row r="91">
          <cell r="A91">
            <v>88</v>
          </cell>
          <cell r="B91">
            <v>191.45034090909093</v>
          </cell>
        </row>
        <row r="92">
          <cell r="A92">
            <v>89</v>
          </cell>
          <cell r="B92">
            <v>191.00606741573034</v>
          </cell>
        </row>
        <row r="93">
          <cell r="A93">
            <v>90</v>
          </cell>
          <cell r="B93">
            <v>190.56966666666668</v>
          </cell>
        </row>
        <row r="94">
          <cell r="A94">
            <v>91</v>
          </cell>
          <cell r="B94">
            <v>190.14164835164834</v>
          </cell>
        </row>
        <row r="95">
          <cell r="A95">
            <v>92</v>
          </cell>
          <cell r="B95">
            <v>189.71554347826086</v>
          </cell>
        </row>
        <row r="96">
          <cell r="A96">
            <v>93</v>
          </cell>
          <cell r="B96">
            <v>189.29677419354837</v>
          </cell>
        </row>
        <row r="97">
          <cell r="A97">
            <v>94</v>
          </cell>
          <cell r="B97">
            <v>188.88180851063828</v>
          </cell>
        </row>
        <row r="98">
          <cell r="A98">
            <v>95</v>
          </cell>
          <cell r="B98">
            <v>188.4754736842105</v>
          </cell>
        </row>
        <row r="99">
          <cell r="A99">
            <v>96</v>
          </cell>
          <cell r="B99">
            <v>188.07572916666663</v>
          </cell>
        </row>
        <row r="100">
          <cell r="A100">
            <v>97</v>
          </cell>
          <cell r="B100">
            <v>187.67536082474226</v>
          </cell>
        </row>
        <row r="101">
          <cell r="A101">
            <v>98</v>
          </cell>
          <cell r="B101">
            <v>187.28214285714284</v>
          </cell>
        </row>
        <row r="102">
          <cell r="A102">
            <v>99</v>
          </cell>
          <cell r="B102">
            <v>186.89636363636362</v>
          </cell>
        </row>
        <row r="103">
          <cell r="A103">
            <v>100</v>
          </cell>
          <cell r="B103">
            <v>186.49969999999996</v>
          </cell>
        </row>
        <row r="104">
          <cell r="A104">
            <v>101</v>
          </cell>
          <cell r="B104">
            <v>186.10821782178215</v>
          </cell>
        </row>
        <row r="105">
          <cell r="A105">
            <v>102</v>
          </cell>
          <cell r="B105">
            <v>185.72254901960781</v>
          </cell>
        </row>
        <row r="106">
          <cell r="A106">
            <v>103</v>
          </cell>
          <cell r="B106">
            <v>185.33941747572811</v>
          </cell>
        </row>
        <row r="107">
          <cell r="A107">
            <v>104</v>
          </cell>
          <cell r="B107">
            <v>184.9622115384615</v>
          </cell>
        </row>
        <row r="108">
          <cell r="A108">
            <v>105</v>
          </cell>
          <cell r="B108">
            <v>184.5913333333333</v>
          </cell>
        </row>
        <row r="109">
          <cell r="A109">
            <v>106</v>
          </cell>
          <cell r="B109">
            <v>184.22698113207545</v>
          </cell>
        </row>
        <row r="110">
          <cell r="A110">
            <v>107</v>
          </cell>
          <cell r="B110">
            <v>183.86831775700932</v>
          </cell>
        </row>
        <row r="111">
          <cell r="A111">
            <v>108</v>
          </cell>
          <cell r="B111">
            <v>183.50999999999996</v>
          </cell>
        </row>
        <row r="112">
          <cell r="A112">
            <v>109</v>
          </cell>
          <cell r="B112">
            <v>183.15137614678892</v>
          </cell>
        </row>
        <row r="113">
          <cell r="A113">
            <v>110</v>
          </cell>
          <cell r="B113">
            <v>182.79836363636358</v>
          </cell>
        </row>
        <row r="114">
          <cell r="A114">
            <v>111</v>
          </cell>
          <cell r="B114">
            <v>182.45126126126121</v>
          </cell>
        </row>
        <row r="115">
          <cell r="A115">
            <v>112</v>
          </cell>
          <cell r="B115">
            <v>182.10901785714279</v>
          </cell>
        </row>
        <row r="116">
          <cell r="A116">
            <v>113</v>
          </cell>
          <cell r="B116">
            <v>181.76991150442473</v>
          </cell>
        </row>
        <row r="117">
          <cell r="A117">
            <v>114</v>
          </cell>
          <cell r="B117">
            <v>181.42631578947362</v>
          </cell>
        </row>
        <row r="118">
          <cell r="A118">
            <v>115</v>
          </cell>
          <cell r="B118">
            <v>181.0866086956521</v>
          </cell>
        </row>
        <row r="119">
          <cell r="A119">
            <v>116</v>
          </cell>
          <cell r="B119">
            <v>180.74999999999994</v>
          </cell>
        </row>
        <row r="120">
          <cell r="A120">
            <v>117</v>
          </cell>
          <cell r="B120">
            <v>180.41786324786318</v>
          </cell>
        </row>
        <row r="121">
          <cell r="A121">
            <v>118</v>
          </cell>
          <cell r="B121">
            <v>180.09127118644062</v>
          </cell>
        </row>
        <row r="122">
          <cell r="A122">
            <v>119</v>
          </cell>
          <cell r="B122">
            <v>179.76831932773104</v>
          </cell>
        </row>
        <row r="123">
          <cell r="A123">
            <v>120</v>
          </cell>
          <cell r="B123">
            <v>179.45049999999995</v>
          </cell>
        </row>
        <row r="124">
          <cell r="A124">
            <v>121</v>
          </cell>
          <cell r="B124">
            <v>179.13661157024791</v>
          </cell>
        </row>
        <row r="125">
          <cell r="A125">
            <v>122</v>
          </cell>
          <cell r="B125">
            <v>178.82754098360653</v>
          </cell>
        </row>
        <row r="126">
          <cell r="A126">
            <v>123</v>
          </cell>
          <cell r="B126">
            <v>178.52341463414629</v>
          </cell>
        </row>
        <row r="127">
          <cell r="A127">
            <v>124</v>
          </cell>
          <cell r="B127">
            <v>178.22411290322574</v>
          </cell>
        </row>
        <row r="128">
          <cell r="A128">
            <v>125</v>
          </cell>
          <cell r="B128">
            <v>177.92599999999993</v>
          </cell>
        </row>
        <row r="129">
          <cell r="A129">
            <v>126</v>
          </cell>
          <cell r="B129">
            <v>177.63246031746024</v>
          </cell>
        </row>
        <row r="130">
          <cell r="A130">
            <v>127</v>
          </cell>
          <cell r="B130">
            <v>177.34007874015742</v>
          </cell>
        </row>
        <row r="131">
          <cell r="A131">
            <v>128</v>
          </cell>
          <cell r="B131">
            <v>177.05054687499992</v>
          </cell>
        </row>
        <row r="132">
          <cell r="A132">
            <v>129</v>
          </cell>
          <cell r="B132">
            <v>176.76062015503871</v>
          </cell>
        </row>
        <row r="133">
          <cell r="A133">
            <v>130</v>
          </cell>
          <cell r="B133">
            <v>176.47507692307684</v>
          </cell>
        </row>
        <row r="134">
          <cell r="A134">
            <v>131</v>
          </cell>
          <cell r="B134">
            <v>176.19160305343505</v>
          </cell>
        </row>
        <row r="135">
          <cell r="A135">
            <v>132</v>
          </cell>
          <cell r="B135">
            <v>175.90962121212115</v>
          </cell>
        </row>
        <row r="136">
          <cell r="A136">
            <v>133</v>
          </cell>
          <cell r="B136">
            <v>175.62932330827061</v>
          </cell>
        </row>
        <row r="137">
          <cell r="A137">
            <v>134</v>
          </cell>
          <cell r="B137">
            <v>175.350671641791</v>
          </cell>
        </row>
        <row r="138">
          <cell r="A138">
            <v>135</v>
          </cell>
          <cell r="B138">
            <v>175.07481481481477</v>
          </cell>
        </row>
        <row r="139">
          <cell r="A139">
            <v>136</v>
          </cell>
          <cell r="B139">
            <v>174.8018382352941</v>
          </cell>
        </row>
        <row r="140">
          <cell r="A140">
            <v>137</v>
          </cell>
          <cell r="B140">
            <v>174.53204379562041</v>
          </cell>
        </row>
        <row r="141">
          <cell r="A141">
            <v>138</v>
          </cell>
          <cell r="B141">
            <v>174.2646376811594</v>
          </cell>
        </row>
        <row r="142">
          <cell r="A142">
            <v>139</v>
          </cell>
          <cell r="B142">
            <v>173.99913669064748</v>
          </cell>
        </row>
        <row r="143">
          <cell r="A143">
            <v>140</v>
          </cell>
          <cell r="B143">
            <v>173.73349999999999</v>
          </cell>
        </row>
        <row r="144">
          <cell r="A144">
            <v>141</v>
          </cell>
          <cell r="B144">
            <v>173.46808510638297</v>
          </cell>
        </row>
        <row r="145">
          <cell r="A145">
            <v>142</v>
          </cell>
          <cell r="B145">
            <v>173.20352112676056</v>
          </cell>
        </row>
        <row r="146">
          <cell r="A146">
            <v>143</v>
          </cell>
          <cell r="B146">
            <v>172.94090909090912</v>
          </cell>
        </row>
        <row r="147">
          <cell r="A147">
            <v>144</v>
          </cell>
          <cell r="B147">
            <v>172.6813888888889</v>
          </cell>
        </row>
        <row r="148">
          <cell r="A148">
            <v>145</v>
          </cell>
          <cell r="B148">
            <v>172.42310344827587</v>
          </cell>
        </row>
        <row r="149">
          <cell r="A149">
            <v>146</v>
          </cell>
          <cell r="B149">
            <v>172.16479452054796</v>
          </cell>
        </row>
        <row r="150">
          <cell r="A150">
            <v>147</v>
          </cell>
          <cell r="B150">
            <v>171.90394557823129</v>
          </cell>
        </row>
        <row r="151">
          <cell r="A151">
            <v>148</v>
          </cell>
          <cell r="B151">
            <v>171.6462162162162</v>
          </cell>
        </row>
        <row r="152">
          <cell r="A152">
            <v>149</v>
          </cell>
          <cell r="B152">
            <v>171.39147651006709</v>
          </cell>
        </row>
        <row r="153">
          <cell r="A153">
            <v>150</v>
          </cell>
          <cell r="B153">
            <v>171.13419999999999</v>
          </cell>
        </row>
        <row r="154">
          <cell r="A154">
            <v>151</v>
          </cell>
          <cell r="B154">
            <v>170.88026490066224</v>
          </cell>
        </row>
        <row r="155">
          <cell r="A155">
            <v>152</v>
          </cell>
          <cell r="B155">
            <v>170.6274342105263</v>
          </cell>
        </row>
        <row r="156">
          <cell r="A156">
            <v>153</v>
          </cell>
          <cell r="B156">
            <v>170.37647058823529</v>
          </cell>
        </row>
        <row r="157">
          <cell r="A157">
            <v>154</v>
          </cell>
          <cell r="B157">
            <v>170.12597402597402</v>
          </cell>
        </row>
        <row r="158">
          <cell r="A158">
            <v>155</v>
          </cell>
          <cell r="B158">
            <v>169.87709677419352</v>
          </cell>
        </row>
        <row r="159">
          <cell r="A159">
            <v>156</v>
          </cell>
          <cell r="B159">
            <v>169.63070512820511</v>
          </cell>
        </row>
        <row r="160">
          <cell r="A160">
            <v>157</v>
          </cell>
          <cell r="B160">
            <v>169.38528662420379</v>
          </cell>
        </row>
        <row r="161">
          <cell r="A161">
            <v>158</v>
          </cell>
          <cell r="B161">
            <v>169.14025316455692</v>
          </cell>
        </row>
        <row r="162">
          <cell r="A162">
            <v>159</v>
          </cell>
          <cell r="B162">
            <v>168.89773584905657</v>
          </cell>
        </row>
        <row r="163">
          <cell r="A163">
            <v>160</v>
          </cell>
          <cell r="B163">
            <v>168.65799999999996</v>
          </cell>
        </row>
        <row r="164">
          <cell r="A164">
            <v>161</v>
          </cell>
          <cell r="B164">
            <v>168.41677018633538</v>
          </cell>
        </row>
        <row r="165">
          <cell r="A165">
            <v>162</v>
          </cell>
          <cell r="B165">
            <v>168.17839506172837</v>
          </cell>
        </row>
        <row r="166">
          <cell r="A166">
            <v>163</v>
          </cell>
          <cell r="B166">
            <v>167.94263803680977</v>
          </cell>
        </row>
        <row r="167">
          <cell r="A167">
            <v>164</v>
          </cell>
          <cell r="B167">
            <v>167.70810975609751</v>
          </cell>
        </row>
        <row r="168">
          <cell r="A168">
            <v>165</v>
          </cell>
          <cell r="B168">
            <v>167.47509090909085</v>
          </cell>
        </row>
        <row r="169">
          <cell r="A169">
            <v>166</v>
          </cell>
          <cell r="B169">
            <v>167.24337349397584</v>
          </cell>
        </row>
        <row r="170">
          <cell r="A170">
            <v>167</v>
          </cell>
          <cell r="B170">
            <v>167.01299401197599</v>
          </cell>
        </row>
        <row r="171">
          <cell r="A171">
            <v>168</v>
          </cell>
          <cell r="B171">
            <v>166.78380952380945</v>
          </cell>
        </row>
        <row r="172">
          <cell r="A172">
            <v>169</v>
          </cell>
          <cell r="B172">
            <v>166.55449704142003</v>
          </cell>
        </row>
        <row r="173">
          <cell r="A173">
            <v>170</v>
          </cell>
          <cell r="B173">
            <v>166.32517647058816</v>
          </cell>
        </row>
        <row r="174">
          <cell r="A174">
            <v>171</v>
          </cell>
          <cell r="B174">
            <v>166.09812865497068</v>
          </cell>
        </row>
        <row r="175">
          <cell r="A175">
            <v>172</v>
          </cell>
          <cell r="B175">
            <v>165.86749999999992</v>
          </cell>
        </row>
        <row r="176">
          <cell r="A176">
            <v>173</v>
          </cell>
          <cell r="B176">
            <v>165.6383236994219</v>
          </cell>
        </row>
        <row r="177">
          <cell r="A177">
            <v>174</v>
          </cell>
          <cell r="B177">
            <v>165.41132183908039</v>
          </cell>
        </row>
        <row r="178">
          <cell r="A178">
            <v>175</v>
          </cell>
          <cell r="B178">
            <v>165.18519999999992</v>
          </cell>
        </row>
        <row r="179">
          <cell r="A179">
            <v>176</v>
          </cell>
          <cell r="B179">
            <v>164.96147727272722</v>
          </cell>
        </row>
        <row r="180">
          <cell r="A180">
            <v>177</v>
          </cell>
          <cell r="B180">
            <v>164.74005649717509</v>
          </cell>
        </row>
        <row r="181">
          <cell r="A181">
            <v>178</v>
          </cell>
          <cell r="B181">
            <v>164.52078651685389</v>
          </cell>
        </row>
        <row r="182">
          <cell r="A182">
            <v>179</v>
          </cell>
          <cell r="B182">
            <v>164.30273743016755</v>
          </cell>
        </row>
        <row r="183">
          <cell r="A183">
            <v>180</v>
          </cell>
          <cell r="B183">
            <v>164.0850555555555</v>
          </cell>
        </row>
        <row r="184">
          <cell r="A184">
            <v>181</v>
          </cell>
          <cell r="B184">
            <v>163.86961325966845</v>
          </cell>
        </row>
        <row r="185">
          <cell r="A185">
            <v>182</v>
          </cell>
          <cell r="B185">
            <v>163.65642857142851</v>
          </cell>
        </row>
        <row r="186">
          <cell r="A186">
            <v>183</v>
          </cell>
          <cell r="B186">
            <v>163.44060109289612</v>
          </cell>
        </row>
        <row r="187">
          <cell r="A187">
            <v>184</v>
          </cell>
          <cell r="B187">
            <v>163.2268478260869</v>
          </cell>
        </row>
        <row r="188">
          <cell r="A188">
            <v>185</v>
          </cell>
          <cell r="B188">
            <v>163.01524324324319</v>
          </cell>
        </row>
        <row r="189">
          <cell r="A189">
            <v>186</v>
          </cell>
          <cell r="B189">
            <v>162.80526881720425</v>
          </cell>
        </row>
        <row r="190">
          <cell r="A190">
            <v>187</v>
          </cell>
          <cell r="B190">
            <v>162.59748663101601</v>
          </cell>
        </row>
        <row r="191">
          <cell r="A191">
            <v>188</v>
          </cell>
          <cell r="B191">
            <v>162.39132978723401</v>
          </cell>
        </row>
        <row r="192">
          <cell r="A192">
            <v>189</v>
          </cell>
          <cell r="B192">
            <v>162.18671957671955</v>
          </cell>
        </row>
        <row r="193">
          <cell r="A193">
            <v>190</v>
          </cell>
          <cell r="B193">
            <v>161.98136842105259</v>
          </cell>
        </row>
        <row r="194">
          <cell r="A194">
            <v>191</v>
          </cell>
          <cell r="B194">
            <v>161.77748691099472</v>
          </cell>
        </row>
        <row r="195">
          <cell r="A195">
            <v>192</v>
          </cell>
          <cell r="B195">
            <v>161.57552083333329</v>
          </cell>
        </row>
        <row r="196">
          <cell r="A196">
            <v>193</v>
          </cell>
          <cell r="B196">
            <v>161.37461139896368</v>
          </cell>
        </row>
        <row r="197">
          <cell r="A197">
            <v>194</v>
          </cell>
          <cell r="B197">
            <v>161.17546391752575</v>
          </cell>
        </row>
        <row r="198">
          <cell r="A198">
            <v>195</v>
          </cell>
          <cell r="B198">
            <v>160.9782051282051</v>
          </cell>
        </row>
        <row r="199">
          <cell r="A199">
            <v>196</v>
          </cell>
          <cell r="B199">
            <v>160.78096938775505</v>
          </cell>
        </row>
        <row r="200">
          <cell r="A200">
            <v>197</v>
          </cell>
          <cell r="B200">
            <v>160.58568527918777</v>
          </cell>
        </row>
        <row r="201">
          <cell r="A201">
            <v>198</v>
          </cell>
          <cell r="B201">
            <v>160.3913131313131</v>
          </cell>
        </row>
        <row r="202">
          <cell r="A202">
            <v>199</v>
          </cell>
          <cell r="B202">
            <v>160.19829145728639</v>
          </cell>
        </row>
        <row r="203">
          <cell r="A203">
            <v>200</v>
          </cell>
          <cell r="B203">
            <v>160.00659999999996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TP Instructions"/>
      <sheetName val="ORTP Summary"/>
      <sheetName val="Screening Analysis"/>
      <sheetName val="Generation Calcs&gt;&gt;&gt;"/>
      <sheetName val="CONE Calcs"/>
      <sheetName val="Construction Cashflows"/>
      <sheetName val="Annual Updates Calcs"/>
      <sheetName val="Generation Data&gt;&gt;&gt;"/>
      <sheetName val="Unit Specifications"/>
      <sheetName val="Capital Costs"/>
      <sheetName val="O&amp;M Costs"/>
      <sheetName val="Cost Assumptions"/>
      <sheetName val="Interconnection Costs"/>
      <sheetName val="Capital Drawdown Schedule"/>
      <sheetName val="Tax Depreciation"/>
      <sheetName val="Revenue Offsets"/>
      <sheetName val="Screening Costs"/>
      <sheetName val="Cost Index Data"/>
      <sheetName val="Revenue Calcs&gt;&gt;"/>
      <sheetName val="2018-2019 Results"/>
      <sheetName val="Annual Results"/>
      <sheetName val="Margin Forecast"/>
      <sheetName val="Futures Prices"/>
      <sheetName val="Historical Prices"/>
      <sheetName val="DR Calcs&gt;&gt;"/>
      <sheetName val="Mass Market DR"/>
      <sheetName val="Large DR"/>
      <sheetName val="Report&gt;&gt;"/>
      <sheetName val="Capital Costs Summary"/>
      <sheetName val="ORTP Calc Summary"/>
      <sheetName val="Comparison to Shaw Values"/>
      <sheetName val="Index Summary"/>
      <sheetName val="Wind Sensitivities"/>
      <sheetName val="ATWACC Sensitivities"/>
      <sheetName val="Reference Plants"/>
      <sheetName val="Summary"/>
    </sheetNames>
    <sheetDataSet>
      <sheetData sheetId="0"/>
      <sheetData sheetId="1"/>
      <sheetData sheetId="2"/>
      <sheetData sheetId="3"/>
      <sheetData sheetId="4">
        <row r="6">
          <cell r="D6" t="str">
            <v>CC</v>
          </cell>
        </row>
        <row r="30">
          <cell r="D30">
            <v>3.8362444225849917</v>
          </cell>
        </row>
        <row r="32">
          <cell r="D32">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Input"/>
      <sheetName val="General Information"/>
      <sheetName val="EQ_Input"/>
      <sheetName val="BASE WAGE"/>
      <sheetName val="PipeAssem"/>
      <sheetName val="Est Sum (2)"/>
      <sheetName val="Proj Ind Input"/>
      <sheetName val="Sum"/>
      <sheetName val="Parametrics"/>
      <sheetName val="Client"/>
      <sheetName val="Owner cost"/>
      <sheetName val="Escal2"/>
      <sheetName val="Staffing"/>
      <sheetName val="Indirects"/>
      <sheetName val="Conus"/>
      <sheetName val="Master_EQ_List"/>
      <sheetName val="Sub Crew - All Inclusive"/>
      <sheetName val="EquipTable"/>
      <sheetName val="MV MCC Layout"/>
      <sheetName val="Elect Bulks"/>
      <sheetName val="Motor List"/>
      <sheetName val="MIS"/>
      <sheetName val="calc GTG1&amp;2"/>
      <sheetName val="calc STG1"/>
      <sheetName val="Elec_EQ_Design"/>
      <sheetName val="Elec_EQ_List"/>
      <sheetName val="GTG"/>
      <sheetName val="HRSG"/>
      <sheetName val="STG"/>
      <sheetName val="BOP"/>
      <sheetName val="Water"/>
      <sheetName val="Tables"/>
      <sheetName val="Mech_EQ_Design"/>
      <sheetName val="Mech_EQ_List"/>
      <sheetName val="PipingModule"/>
      <sheetName val="PipeQty"/>
      <sheetName val="Pipe"/>
      <sheetName val="PipeTable"/>
      <sheetName val="Paint"/>
      <sheetName val="Conc"/>
      <sheetName val="Steel"/>
      <sheetName val="SteelTable"/>
      <sheetName val="Insul"/>
      <sheetName val="InsulTable"/>
      <sheetName val="Engineering"/>
      <sheetName val="RATE Summary"/>
      <sheetName val="Power Crews-40"/>
      <sheetName val="Power Crews-50"/>
      <sheetName val="Power Crews-60"/>
      <sheetName val="Bldg"/>
      <sheetName val="Pipe Lookup"/>
      <sheetName val="BulkConfig"/>
      <sheetName val="Est Sum"/>
      <sheetName val="Fixed Variable"/>
      <sheetName val="EstBasis"/>
      <sheetName val="SC Indirects Build Up"/>
      <sheetName val="Cash flow curves"/>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sheetData sheetId="9" refreshError="1"/>
      <sheetData sheetId="10" refreshError="1"/>
      <sheetData sheetId="11" refreshError="1"/>
      <sheetData sheetId="12"/>
      <sheetData sheetId="13" refreshError="1"/>
      <sheetData sheetId="14"/>
      <sheetData sheetId="15" refreshError="1"/>
      <sheetData sheetId="16" refreshError="1"/>
      <sheetData sheetId="17" refreshError="1"/>
      <sheetData sheetId="18">
        <row r="13">
          <cell r="GP13" t="str">
            <v>Centrifugal Compressor</v>
          </cell>
          <cell r="GQ13">
            <v>0</v>
          </cell>
          <cell r="GS13">
            <v>0</v>
          </cell>
          <cell r="GT13">
            <v>0</v>
          </cell>
          <cell r="GV13">
            <v>0</v>
          </cell>
          <cell r="GW13">
            <v>0</v>
          </cell>
          <cell r="GY13">
            <v>0</v>
          </cell>
          <cell r="GZ13">
            <v>0</v>
          </cell>
          <cell r="HB13">
            <v>0</v>
          </cell>
          <cell r="HC13">
            <v>0</v>
          </cell>
          <cell r="HE13">
            <v>0</v>
          </cell>
          <cell r="HF13">
            <v>0</v>
          </cell>
          <cell r="HH13">
            <v>0</v>
          </cell>
          <cell r="HI13">
            <v>0</v>
          </cell>
          <cell r="HK13">
            <v>0</v>
          </cell>
          <cell r="HL13">
            <v>0</v>
          </cell>
          <cell r="HN13">
            <v>0</v>
          </cell>
          <cell r="HO13">
            <v>0</v>
          </cell>
          <cell r="HQ13">
            <v>0</v>
          </cell>
          <cell r="HR13">
            <v>0</v>
          </cell>
          <cell r="HT13">
            <v>0</v>
          </cell>
          <cell r="HU13">
            <v>0</v>
          </cell>
          <cell r="HW13">
            <v>0</v>
          </cell>
          <cell r="HX13">
            <v>0</v>
          </cell>
          <cell r="HZ13">
            <v>0</v>
          </cell>
          <cell r="IA13">
            <v>0</v>
          </cell>
          <cell r="IC13">
            <v>0</v>
          </cell>
          <cell r="ID13">
            <v>0</v>
          </cell>
          <cell r="IF13">
            <v>0</v>
          </cell>
        </row>
        <row r="14">
          <cell r="GP14" t="str">
            <v>Reciprocating Compressor</v>
          </cell>
          <cell r="GQ14">
            <v>0</v>
          </cell>
          <cell r="GS14">
            <v>0</v>
          </cell>
          <cell r="GT14">
            <v>0</v>
          </cell>
          <cell r="GV14">
            <v>0</v>
          </cell>
          <cell r="GW14">
            <v>0</v>
          </cell>
          <cell r="GY14">
            <v>0</v>
          </cell>
          <cell r="GZ14">
            <v>0</v>
          </cell>
          <cell r="HB14">
            <v>0</v>
          </cell>
          <cell r="HC14">
            <v>0</v>
          </cell>
          <cell r="HE14">
            <v>0</v>
          </cell>
          <cell r="HF14">
            <v>0</v>
          </cell>
          <cell r="HH14">
            <v>0</v>
          </cell>
          <cell r="HI14">
            <v>0</v>
          </cell>
          <cell r="HK14">
            <v>0</v>
          </cell>
          <cell r="HL14">
            <v>0</v>
          </cell>
          <cell r="HN14">
            <v>0</v>
          </cell>
          <cell r="HO14">
            <v>0</v>
          </cell>
          <cell r="HQ14">
            <v>0</v>
          </cell>
          <cell r="HR14">
            <v>0</v>
          </cell>
          <cell r="HT14">
            <v>0</v>
          </cell>
          <cell r="HU14">
            <v>0</v>
          </cell>
          <cell r="HW14">
            <v>0</v>
          </cell>
          <cell r="HX14">
            <v>0</v>
          </cell>
          <cell r="HZ14">
            <v>0</v>
          </cell>
          <cell r="IA14">
            <v>0</v>
          </cell>
          <cell r="IC14">
            <v>0</v>
          </cell>
          <cell r="ID14">
            <v>0</v>
          </cell>
          <cell r="IF14">
            <v>0</v>
          </cell>
        </row>
        <row r="15">
          <cell r="GP15" t="str">
            <v>Fuel Gas Dew Point Heater, Electric</v>
          </cell>
          <cell r="GQ15">
            <v>200</v>
          </cell>
          <cell r="GS15">
            <v>200</v>
          </cell>
          <cell r="GT15">
            <v>200</v>
          </cell>
          <cell r="GV15">
            <v>200</v>
          </cell>
          <cell r="GW15">
            <v>200</v>
          </cell>
          <cell r="GY15">
            <v>200</v>
          </cell>
          <cell r="GZ15">
            <v>200</v>
          </cell>
          <cell r="HB15">
            <v>200</v>
          </cell>
          <cell r="HC15">
            <v>200</v>
          </cell>
          <cell r="HE15">
            <v>200</v>
          </cell>
          <cell r="HF15">
            <v>200</v>
          </cell>
          <cell r="HH15">
            <v>200</v>
          </cell>
          <cell r="HI15">
            <v>200</v>
          </cell>
          <cell r="HK15">
            <v>200</v>
          </cell>
          <cell r="HL15">
            <v>200</v>
          </cell>
          <cell r="HN15">
            <v>200</v>
          </cell>
          <cell r="HO15">
            <v>200</v>
          </cell>
          <cell r="HQ15">
            <v>200</v>
          </cell>
          <cell r="HR15">
            <v>200</v>
          </cell>
          <cell r="HT15">
            <v>200</v>
          </cell>
          <cell r="HU15">
            <v>200</v>
          </cell>
          <cell r="HW15">
            <v>200</v>
          </cell>
          <cell r="HX15">
            <v>200</v>
          </cell>
          <cell r="HZ15">
            <v>200</v>
          </cell>
          <cell r="IA15">
            <v>200</v>
          </cell>
          <cell r="IC15">
            <v>200</v>
          </cell>
          <cell r="ID15">
            <v>200</v>
          </cell>
          <cell r="IF15">
            <v>200</v>
          </cell>
        </row>
        <row r="16">
          <cell r="GP16" t="str">
            <v>Fuel Gas Dew Point Heater, gas-fired</v>
          </cell>
          <cell r="GQ16">
            <v>200</v>
          </cell>
          <cell r="GS16">
            <v>200</v>
          </cell>
          <cell r="GT16">
            <v>200</v>
          </cell>
          <cell r="GV16">
            <v>200</v>
          </cell>
          <cell r="GW16">
            <v>200</v>
          </cell>
          <cell r="GY16">
            <v>200</v>
          </cell>
          <cell r="GZ16">
            <v>200</v>
          </cell>
          <cell r="HB16">
            <v>200</v>
          </cell>
          <cell r="HC16">
            <v>200</v>
          </cell>
          <cell r="HE16">
            <v>200</v>
          </cell>
          <cell r="HF16">
            <v>200</v>
          </cell>
          <cell r="HH16">
            <v>200</v>
          </cell>
          <cell r="HI16">
            <v>200</v>
          </cell>
          <cell r="HK16">
            <v>200</v>
          </cell>
          <cell r="HL16">
            <v>200</v>
          </cell>
          <cell r="HN16">
            <v>200</v>
          </cell>
          <cell r="HO16">
            <v>200</v>
          </cell>
          <cell r="HQ16">
            <v>200</v>
          </cell>
          <cell r="HR16">
            <v>200</v>
          </cell>
          <cell r="HT16">
            <v>200</v>
          </cell>
          <cell r="HU16">
            <v>200</v>
          </cell>
          <cell r="HW16">
            <v>200</v>
          </cell>
          <cell r="HX16">
            <v>200</v>
          </cell>
          <cell r="HZ16">
            <v>200</v>
          </cell>
          <cell r="IA16">
            <v>200</v>
          </cell>
          <cell r="IC16">
            <v>200</v>
          </cell>
          <cell r="ID16">
            <v>200</v>
          </cell>
          <cell r="IF16">
            <v>200</v>
          </cell>
        </row>
        <row r="17">
          <cell r="GP17" t="str">
            <v>Performance Fuel Gas Heater, uses IP steam</v>
          </cell>
          <cell r="GQ17">
            <v>200</v>
          </cell>
          <cell r="GS17">
            <v>200</v>
          </cell>
          <cell r="GT17">
            <v>200</v>
          </cell>
          <cell r="GV17">
            <v>200</v>
          </cell>
          <cell r="GW17">
            <v>200</v>
          </cell>
          <cell r="GY17">
            <v>200</v>
          </cell>
          <cell r="GZ17">
            <v>200</v>
          </cell>
          <cell r="HB17">
            <v>200</v>
          </cell>
          <cell r="HC17">
            <v>200</v>
          </cell>
          <cell r="HE17">
            <v>200</v>
          </cell>
          <cell r="HF17">
            <v>200</v>
          </cell>
          <cell r="HH17">
            <v>200</v>
          </cell>
          <cell r="HI17">
            <v>200</v>
          </cell>
          <cell r="HK17">
            <v>200</v>
          </cell>
          <cell r="HL17">
            <v>200</v>
          </cell>
          <cell r="HN17">
            <v>200</v>
          </cell>
          <cell r="HO17">
            <v>200</v>
          </cell>
          <cell r="HQ17">
            <v>200</v>
          </cell>
          <cell r="HR17">
            <v>200</v>
          </cell>
          <cell r="HT17">
            <v>200</v>
          </cell>
          <cell r="HU17">
            <v>200</v>
          </cell>
          <cell r="HW17">
            <v>200</v>
          </cell>
          <cell r="HX17">
            <v>200</v>
          </cell>
          <cell r="HZ17">
            <v>200</v>
          </cell>
          <cell r="IA17">
            <v>200</v>
          </cell>
          <cell r="IC17">
            <v>200</v>
          </cell>
          <cell r="ID17">
            <v>200</v>
          </cell>
          <cell r="IF17">
            <v>200</v>
          </cell>
        </row>
        <row r="18">
          <cell r="GP18" t="str">
            <v>Performance Fuel Gas Heater, uses IP feedwater</v>
          </cell>
          <cell r="GQ18">
            <v>200</v>
          </cell>
          <cell r="GS18">
            <v>200</v>
          </cell>
          <cell r="GT18">
            <v>200</v>
          </cell>
          <cell r="GV18">
            <v>200</v>
          </cell>
          <cell r="GW18">
            <v>200</v>
          </cell>
          <cell r="GY18">
            <v>200</v>
          </cell>
          <cell r="GZ18">
            <v>200</v>
          </cell>
          <cell r="HB18">
            <v>200</v>
          </cell>
          <cell r="HC18">
            <v>200</v>
          </cell>
          <cell r="HE18">
            <v>200</v>
          </cell>
          <cell r="HF18">
            <v>200</v>
          </cell>
          <cell r="HH18">
            <v>200</v>
          </cell>
          <cell r="HI18">
            <v>200</v>
          </cell>
          <cell r="HK18">
            <v>200</v>
          </cell>
          <cell r="HL18">
            <v>200</v>
          </cell>
          <cell r="HN18">
            <v>200</v>
          </cell>
          <cell r="HO18">
            <v>200</v>
          </cell>
          <cell r="HQ18">
            <v>200</v>
          </cell>
          <cell r="HR18">
            <v>200</v>
          </cell>
          <cell r="HT18">
            <v>200</v>
          </cell>
          <cell r="HU18">
            <v>200</v>
          </cell>
          <cell r="HW18">
            <v>200</v>
          </cell>
          <cell r="HX18">
            <v>200</v>
          </cell>
          <cell r="HZ18">
            <v>200</v>
          </cell>
          <cell r="IA18">
            <v>200</v>
          </cell>
          <cell r="IC18">
            <v>200</v>
          </cell>
          <cell r="ID18">
            <v>200</v>
          </cell>
          <cell r="IF18">
            <v>200</v>
          </cell>
        </row>
        <row r="19">
          <cell r="GP19" t="str">
            <v>Fuel Gas Treatment Skid</v>
          </cell>
          <cell r="GQ19">
            <v>300</v>
          </cell>
          <cell r="GS19">
            <v>300</v>
          </cell>
          <cell r="GT19">
            <v>300</v>
          </cell>
          <cell r="GV19">
            <v>300</v>
          </cell>
          <cell r="GW19">
            <v>300</v>
          </cell>
          <cell r="GY19">
            <v>300</v>
          </cell>
          <cell r="GZ19">
            <v>300</v>
          </cell>
          <cell r="HB19">
            <v>300</v>
          </cell>
          <cell r="HC19">
            <v>300</v>
          </cell>
          <cell r="HE19">
            <v>300</v>
          </cell>
          <cell r="HF19">
            <v>300</v>
          </cell>
          <cell r="HH19">
            <v>300</v>
          </cell>
          <cell r="HI19">
            <v>300</v>
          </cell>
          <cell r="HK19">
            <v>300</v>
          </cell>
          <cell r="HL19">
            <v>300</v>
          </cell>
          <cell r="HN19">
            <v>300</v>
          </cell>
          <cell r="HO19">
            <v>300</v>
          </cell>
          <cell r="HQ19">
            <v>300</v>
          </cell>
          <cell r="HR19">
            <v>300</v>
          </cell>
          <cell r="HT19">
            <v>300</v>
          </cell>
          <cell r="HU19">
            <v>300</v>
          </cell>
          <cell r="HW19">
            <v>300</v>
          </cell>
          <cell r="HX19">
            <v>300</v>
          </cell>
          <cell r="HZ19">
            <v>300</v>
          </cell>
          <cell r="IA19">
            <v>300</v>
          </cell>
          <cell r="IC19">
            <v>300</v>
          </cell>
          <cell r="ID19">
            <v>300</v>
          </cell>
          <cell r="IF19">
            <v>300</v>
          </cell>
        </row>
        <row r="20">
          <cell r="GP20" t="str">
            <v>Fuel Gas Knockout Tank</v>
          </cell>
          <cell r="GQ20">
            <v>100</v>
          </cell>
          <cell r="GS20">
            <v>100</v>
          </cell>
          <cell r="GT20">
            <v>100</v>
          </cell>
          <cell r="GV20">
            <v>100</v>
          </cell>
          <cell r="GW20">
            <v>100</v>
          </cell>
          <cell r="GY20">
            <v>100</v>
          </cell>
          <cell r="GZ20">
            <v>100</v>
          </cell>
          <cell r="HB20">
            <v>100</v>
          </cell>
          <cell r="HC20">
            <v>100</v>
          </cell>
          <cell r="HE20">
            <v>100</v>
          </cell>
          <cell r="HF20">
            <v>100</v>
          </cell>
          <cell r="HH20">
            <v>100</v>
          </cell>
          <cell r="HI20">
            <v>100</v>
          </cell>
          <cell r="HK20">
            <v>100</v>
          </cell>
          <cell r="HL20">
            <v>100</v>
          </cell>
          <cell r="HN20">
            <v>100</v>
          </cell>
          <cell r="HO20">
            <v>100</v>
          </cell>
          <cell r="HQ20">
            <v>100</v>
          </cell>
          <cell r="HR20">
            <v>100</v>
          </cell>
          <cell r="HT20">
            <v>100</v>
          </cell>
          <cell r="HU20">
            <v>100</v>
          </cell>
          <cell r="HW20">
            <v>100</v>
          </cell>
          <cell r="HX20">
            <v>100</v>
          </cell>
          <cell r="HZ20">
            <v>100</v>
          </cell>
          <cell r="IA20">
            <v>100</v>
          </cell>
          <cell r="IC20">
            <v>100</v>
          </cell>
          <cell r="ID20">
            <v>100</v>
          </cell>
          <cell r="IF20">
            <v>100</v>
          </cell>
        </row>
        <row r="21">
          <cell r="GP21" t="str">
            <v>Fuel Oil Truck Unloading Arm</v>
          </cell>
          <cell r="GQ21">
            <v>100</v>
          </cell>
          <cell r="GS21">
            <v>100</v>
          </cell>
          <cell r="GT21">
            <v>100</v>
          </cell>
          <cell r="GV21">
            <v>100</v>
          </cell>
          <cell r="GW21">
            <v>100</v>
          </cell>
          <cell r="GY21">
            <v>100</v>
          </cell>
          <cell r="GZ21">
            <v>100</v>
          </cell>
          <cell r="HB21">
            <v>100</v>
          </cell>
          <cell r="HC21">
            <v>100</v>
          </cell>
          <cell r="HE21">
            <v>100</v>
          </cell>
          <cell r="HF21">
            <v>100</v>
          </cell>
          <cell r="HH21">
            <v>100</v>
          </cell>
          <cell r="HI21">
            <v>100</v>
          </cell>
          <cell r="HK21">
            <v>100</v>
          </cell>
          <cell r="HL21">
            <v>100</v>
          </cell>
          <cell r="HN21">
            <v>100</v>
          </cell>
          <cell r="HO21">
            <v>100</v>
          </cell>
          <cell r="HQ21">
            <v>100</v>
          </cell>
          <cell r="HR21">
            <v>100</v>
          </cell>
          <cell r="HT21">
            <v>100</v>
          </cell>
          <cell r="HU21">
            <v>100</v>
          </cell>
          <cell r="HW21">
            <v>100</v>
          </cell>
          <cell r="HX21">
            <v>100</v>
          </cell>
          <cell r="HZ21">
            <v>100</v>
          </cell>
          <cell r="IA21">
            <v>100</v>
          </cell>
          <cell r="IC21">
            <v>100</v>
          </cell>
          <cell r="ID21">
            <v>100</v>
          </cell>
          <cell r="IF21">
            <v>100</v>
          </cell>
        </row>
        <row r="22">
          <cell r="GP22" t="str">
            <v>Fuel Oil Filters</v>
          </cell>
          <cell r="GQ22">
            <v>100</v>
          </cell>
          <cell r="GS22">
            <v>100</v>
          </cell>
          <cell r="GT22">
            <v>100</v>
          </cell>
          <cell r="GV22">
            <v>100</v>
          </cell>
          <cell r="GW22">
            <v>100</v>
          </cell>
          <cell r="GY22">
            <v>100</v>
          </cell>
          <cell r="GZ22">
            <v>100</v>
          </cell>
          <cell r="HB22">
            <v>100</v>
          </cell>
          <cell r="HC22">
            <v>100</v>
          </cell>
          <cell r="HE22">
            <v>100</v>
          </cell>
          <cell r="HF22">
            <v>100</v>
          </cell>
          <cell r="HH22">
            <v>100</v>
          </cell>
          <cell r="HI22">
            <v>100</v>
          </cell>
          <cell r="HK22">
            <v>100</v>
          </cell>
          <cell r="HL22">
            <v>100</v>
          </cell>
          <cell r="HN22">
            <v>100</v>
          </cell>
          <cell r="HO22">
            <v>100</v>
          </cell>
          <cell r="HQ22">
            <v>100</v>
          </cell>
          <cell r="HR22">
            <v>100</v>
          </cell>
          <cell r="HT22">
            <v>100</v>
          </cell>
          <cell r="HU22">
            <v>100</v>
          </cell>
          <cell r="HW22">
            <v>100</v>
          </cell>
          <cell r="HX22">
            <v>100</v>
          </cell>
          <cell r="HZ22">
            <v>100</v>
          </cell>
          <cell r="IA22">
            <v>100</v>
          </cell>
          <cell r="IC22">
            <v>100</v>
          </cell>
          <cell r="ID22">
            <v>100</v>
          </cell>
          <cell r="IF22">
            <v>100</v>
          </cell>
        </row>
        <row r="23">
          <cell r="GP23" t="str">
            <v>Fuel Oil Meters</v>
          </cell>
          <cell r="GQ23">
            <v>100</v>
          </cell>
          <cell r="GS23">
            <v>100</v>
          </cell>
          <cell r="GT23">
            <v>100</v>
          </cell>
          <cell r="GV23">
            <v>100</v>
          </cell>
          <cell r="GW23">
            <v>100</v>
          </cell>
          <cell r="GY23">
            <v>100</v>
          </cell>
          <cell r="GZ23">
            <v>100</v>
          </cell>
          <cell r="HB23">
            <v>100</v>
          </cell>
          <cell r="HC23">
            <v>100</v>
          </cell>
          <cell r="HE23">
            <v>100</v>
          </cell>
          <cell r="HF23">
            <v>100</v>
          </cell>
          <cell r="HH23">
            <v>100</v>
          </cell>
          <cell r="HI23">
            <v>100</v>
          </cell>
          <cell r="HK23">
            <v>100</v>
          </cell>
          <cell r="HL23">
            <v>100</v>
          </cell>
          <cell r="HN23">
            <v>100</v>
          </cell>
          <cell r="HO23">
            <v>100</v>
          </cell>
          <cell r="HQ23">
            <v>100</v>
          </cell>
          <cell r="HR23">
            <v>100</v>
          </cell>
          <cell r="HT23">
            <v>100</v>
          </cell>
          <cell r="HU23">
            <v>100</v>
          </cell>
          <cell r="HW23">
            <v>100</v>
          </cell>
          <cell r="HX23">
            <v>100</v>
          </cell>
          <cell r="HZ23">
            <v>100</v>
          </cell>
          <cell r="IA23">
            <v>100</v>
          </cell>
          <cell r="IC23">
            <v>100</v>
          </cell>
          <cell r="ID23">
            <v>100</v>
          </cell>
          <cell r="IF23">
            <v>100</v>
          </cell>
        </row>
        <row r="24">
          <cell r="GP24" t="str">
            <v>Fuel Oil Heaters</v>
          </cell>
          <cell r="GQ24">
            <v>100</v>
          </cell>
          <cell r="GS24">
            <v>100</v>
          </cell>
          <cell r="GT24">
            <v>100</v>
          </cell>
          <cell r="GV24">
            <v>100</v>
          </cell>
          <cell r="GW24">
            <v>100</v>
          </cell>
          <cell r="GY24">
            <v>100</v>
          </cell>
          <cell r="GZ24">
            <v>100</v>
          </cell>
          <cell r="HB24">
            <v>100</v>
          </cell>
          <cell r="HC24">
            <v>100</v>
          </cell>
          <cell r="HE24">
            <v>100</v>
          </cell>
          <cell r="HF24">
            <v>100</v>
          </cell>
          <cell r="HH24">
            <v>100</v>
          </cell>
          <cell r="HI24">
            <v>100</v>
          </cell>
          <cell r="HK24">
            <v>100</v>
          </cell>
          <cell r="HL24">
            <v>100</v>
          </cell>
          <cell r="HN24">
            <v>100</v>
          </cell>
          <cell r="HO24">
            <v>100</v>
          </cell>
          <cell r="HQ24">
            <v>100</v>
          </cell>
          <cell r="HR24">
            <v>100</v>
          </cell>
          <cell r="HT24">
            <v>100</v>
          </cell>
          <cell r="HU24">
            <v>100</v>
          </cell>
          <cell r="HW24">
            <v>100</v>
          </cell>
          <cell r="HX24">
            <v>100</v>
          </cell>
          <cell r="HZ24">
            <v>100</v>
          </cell>
          <cell r="IA24">
            <v>100</v>
          </cell>
          <cell r="IC24">
            <v>100</v>
          </cell>
          <cell r="ID24">
            <v>100</v>
          </cell>
          <cell r="IF24">
            <v>100</v>
          </cell>
        </row>
        <row r="25">
          <cell r="GP25" t="str">
            <v>GE 7241FA.05</v>
          </cell>
          <cell r="GQ25">
            <v>200000</v>
          </cell>
          <cell r="GS25">
            <v>200000</v>
          </cell>
          <cell r="GT25">
            <v>200000</v>
          </cell>
          <cell r="GV25">
            <v>200000</v>
          </cell>
          <cell r="GW25">
            <v>100000</v>
          </cell>
          <cell r="GY25">
            <v>100000</v>
          </cell>
          <cell r="GZ25">
            <v>62500</v>
          </cell>
          <cell r="HB25">
            <v>62500</v>
          </cell>
          <cell r="HC25">
            <v>422500</v>
          </cell>
          <cell r="HE25">
            <v>422500</v>
          </cell>
          <cell r="HH25">
            <v>0</v>
          </cell>
          <cell r="HK25">
            <v>0</v>
          </cell>
          <cell r="HN25">
            <v>0</v>
          </cell>
          <cell r="HQ25">
            <v>0</v>
          </cell>
          <cell r="HR25">
            <v>200000</v>
          </cell>
          <cell r="HT25">
            <v>200000</v>
          </cell>
          <cell r="HW25">
            <v>0</v>
          </cell>
          <cell r="HZ25">
            <v>0</v>
          </cell>
          <cell r="IC25">
            <v>0</v>
          </cell>
          <cell r="ID25">
            <v>100000</v>
          </cell>
          <cell r="IF25">
            <v>100000</v>
          </cell>
        </row>
        <row r="26">
          <cell r="GP26" t="str">
            <v>Once-thru Steam Generator</v>
          </cell>
          <cell r="GQ26">
            <v>25000</v>
          </cell>
          <cell r="GS26">
            <v>25000</v>
          </cell>
          <cell r="GT26">
            <v>25000</v>
          </cell>
          <cell r="GV26">
            <v>25000</v>
          </cell>
          <cell r="GW26">
            <v>25000</v>
          </cell>
          <cell r="GY26">
            <v>25000</v>
          </cell>
          <cell r="GZ26">
            <v>25000</v>
          </cell>
          <cell r="HB26">
            <v>25000</v>
          </cell>
          <cell r="HC26">
            <v>25000</v>
          </cell>
          <cell r="HE26">
            <v>25000</v>
          </cell>
          <cell r="HF26">
            <v>25000</v>
          </cell>
          <cell r="HH26">
            <v>25000</v>
          </cell>
          <cell r="HI26">
            <v>25000</v>
          </cell>
          <cell r="HK26">
            <v>25000</v>
          </cell>
          <cell r="HL26">
            <v>25000</v>
          </cell>
          <cell r="HN26">
            <v>25000</v>
          </cell>
          <cell r="HO26">
            <v>25000</v>
          </cell>
          <cell r="HQ26">
            <v>25000</v>
          </cell>
          <cell r="HR26">
            <v>25000</v>
          </cell>
          <cell r="HT26">
            <v>25000</v>
          </cell>
          <cell r="HU26">
            <v>25000</v>
          </cell>
          <cell r="HW26">
            <v>25000</v>
          </cell>
          <cell r="HX26">
            <v>25000</v>
          </cell>
          <cell r="HZ26">
            <v>25000</v>
          </cell>
          <cell r="IA26">
            <v>25000</v>
          </cell>
          <cell r="IC26">
            <v>25000</v>
          </cell>
          <cell r="ID26">
            <v>25000</v>
          </cell>
          <cell r="IF26">
            <v>25000</v>
          </cell>
        </row>
        <row r="27">
          <cell r="GP27" t="str">
            <v>1 Pressure HRSG</v>
          </cell>
          <cell r="GQ27">
            <v>25000</v>
          </cell>
          <cell r="GS27">
            <v>25000</v>
          </cell>
          <cell r="GT27">
            <v>25000</v>
          </cell>
          <cell r="GV27">
            <v>25000</v>
          </cell>
          <cell r="GW27">
            <v>25000</v>
          </cell>
          <cell r="GY27">
            <v>25000</v>
          </cell>
          <cell r="GZ27">
            <v>25000</v>
          </cell>
          <cell r="HB27">
            <v>25000</v>
          </cell>
          <cell r="HC27">
            <v>25000</v>
          </cell>
          <cell r="HE27">
            <v>25000</v>
          </cell>
          <cell r="HF27">
            <v>25000</v>
          </cell>
          <cell r="HH27">
            <v>25000</v>
          </cell>
          <cell r="HI27">
            <v>25000</v>
          </cell>
          <cell r="HK27">
            <v>25000</v>
          </cell>
          <cell r="HL27">
            <v>25000</v>
          </cell>
          <cell r="HN27">
            <v>25000</v>
          </cell>
          <cell r="HO27">
            <v>25000</v>
          </cell>
          <cell r="HQ27">
            <v>25000</v>
          </cell>
          <cell r="HR27">
            <v>25000</v>
          </cell>
          <cell r="HT27">
            <v>25000</v>
          </cell>
          <cell r="HU27">
            <v>25000</v>
          </cell>
          <cell r="HW27">
            <v>25000</v>
          </cell>
          <cell r="HX27">
            <v>25000</v>
          </cell>
          <cell r="HZ27">
            <v>25000</v>
          </cell>
          <cell r="IA27">
            <v>25000</v>
          </cell>
          <cell r="IC27">
            <v>25000</v>
          </cell>
          <cell r="ID27">
            <v>25000</v>
          </cell>
          <cell r="IF27">
            <v>25000</v>
          </cell>
        </row>
        <row r="28">
          <cell r="GP28" t="str">
            <v>2 Pressure HRSG</v>
          </cell>
          <cell r="GQ28">
            <v>25000</v>
          </cell>
          <cell r="GS28">
            <v>25000</v>
          </cell>
          <cell r="GT28">
            <v>25000</v>
          </cell>
          <cell r="GV28">
            <v>25000</v>
          </cell>
          <cell r="GW28">
            <v>25000</v>
          </cell>
          <cell r="GY28">
            <v>25000</v>
          </cell>
          <cell r="GZ28">
            <v>25000</v>
          </cell>
          <cell r="HB28">
            <v>25000</v>
          </cell>
          <cell r="HC28">
            <v>25000</v>
          </cell>
          <cell r="HE28">
            <v>25000</v>
          </cell>
          <cell r="HF28">
            <v>25000</v>
          </cell>
          <cell r="HH28">
            <v>25000</v>
          </cell>
          <cell r="HI28">
            <v>25000</v>
          </cell>
          <cell r="HK28">
            <v>25000</v>
          </cell>
          <cell r="HL28">
            <v>25000</v>
          </cell>
          <cell r="HN28">
            <v>25000</v>
          </cell>
          <cell r="HO28">
            <v>25000</v>
          </cell>
          <cell r="HQ28">
            <v>25000</v>
          </cell>
          <cell r="HR28">
            <v>25000</v>
          </cell>
          <cell r="HT28">
            <v>25000</v>
          </cell>
          <cell r="HU28">
            <v>25000</v>
          </cell>
          <cell r="HW28">
            <v>25000</v>
          </cell>
          <cell r="HX28">
            <v>25000</v>
          </cell>
          <cell r="HZ28">
            <v>25000</v>
          </cell>
          <cell r="IA28">
            <v>25000</v>
          </cell>
          <cell r="IC28">
            <v>25000</v>
          </cell>
          <cell r="ID28">
            <v>25000</v>
          </cell>
          <cell r="IF28">
            <v>25000</v>
          </cell>
        </row>
        <row r="29">
          <cell r="GP29" t="str">
            <v>3 Pressure HRSG</v>
          </cell>
          <cell r="GQ29">
            <v>25000</v>
          </cell>
          <cell r="GS29">
            <v>25000</v>
          </cell>
          <cell r="GT29">
            <v>25000</v>
          </cell>
          <cell r="GV29">
            <v>25000</v>
          </cell>
          <cell r="GW29">
            <v>25000</v>
          </cell>
          <cell r="GY29">
            <v>25000</v>
          </cell>
          <cell r="GZ29">
            <v>25000</v>
          </cell>
          <cell r="HB29">
            <v>25000</v>
          </cell>
          <cell r="HC29">
            <v>25000</v>
          </cell>
          <cell r="HE29">
            <v>25000</v>
          </cell>
          <cell r="HF29">
            <v>25000</v>
          </cell>
          <cell r="HH29">
            <v>25000</v>
          </cell>
          <cell r="HI29">
            <v>25000</v>
          </cell>
          <cell r="HK29">
            <v>25000</v>
          </cell>
          <cell r="HL29">
            <v>25000</v>
          </cell>
          <cell r="HN29">
            <v>25000</v>
          </cell>
          <cell r="HO29">
            <v>25000</v>
          </cell>
          <cell r="HQ29">
            <v>25000</v>
          </cell>
          <cell r="HR29">
            <v>25000</v>
          </cell>
          <cell r="HT29">
            <v>25000</v>
          </cell>
          <cell r="HU29">
            <v>25000</v>
          </cell>
          <cell r="HW29">
            <v>25000</v>
          </cell>
          <cell r="HX29">
            <v>25000</v>
          </cell>
          <cell r="HZ29">
            <v>25000</v>
          </cell>
          <cell r="IA29">
            <v>25000</v>
          </cell>
          <cell r="IC29">
            <v>25000</v>
          </cell>
          <cell r="ID29">
            <v>25000</v>
          </cell>
          <cell r="IF29">
            <v>25000</v>
          </cell>
        </row>
        <row r="30">
          <cell r="GP30" t="str">
            <v>3 Pressure, with Reheat HRSG</v>
          </cell>
          <cell r="GQ30">
            <v>25000</v>
          </cell>
          <cell r="GS30">
            <v>25000</v>
          </cell>
          <cell r="GT30">
            <v>25000</v>
          </cell>
          <cell r="GV30">
            <v>25000</v>
          </cell>
          <cell r="GW30">
            <v>25000</v>
          </cell>
          <cell r="GY30">
            <v>25000</v>
          </cell>
          <cell r="GZ30">
            <v>25000</v>
          </cell>
          <cell r="HB30">
            <v>25000</v>
          </cell>
          <cell r="HC30">
            <v>25000</v>
          </cell>
          <cell r="HE30">
            <v>25000</v>
          </cell>
          <cell r="HF30">
            <v>25000</v>
          </cell>
          <cell r="HH30">
            <v>25000</v>
          </cell>
          <cell r="HI30">
            <v>25000</v>
          </cell>
          <cell r="HK30">
            <v>25000</v>
          </cell>
          <cell r="HL30">
            <v>25000</v>
          </cell>
          <cell r="HN30">
            <v>25000</v>
          </cell>
          <cell r="HO30">
            <v>25000</v>
          </cell>
          <cell r="HQ30">
            <v>25000</v>
          </cell>
          <cell r="HR30">
            <v>25000</v>
          </cell>
          <cell r="HT30">
            <v>25000</v>
          </cell>
          <cell r="HU30">
            <v>25000</v>
          </cell>
          <cell r="HW30">
            <v>25000</v>
          </cell>
          <cell r="HX30">
            <v>25000</v>
          </cell>
          <cell r="HZ30">
            <v>25000</v>
          </cell>
          <cell r="IA30">
            <v>25000</v>
          </cell>
          <cell r="IC30">
            <v>25000</v>
          </cell>
          <cell r="ID30">
            <v>25000</v>
          </cell>
          <cell r="IF30">
            <v>25000</v>
          </cell>
        </row>
        <row r="31">
          <cell r="GP31" t="str">
            <v>Duct Burners</v>
          </cell>
          <cell r="GS31">
            <v>0</v>
          </cell>
          <cell r="GV31">
            <v>0</v>
          </cell>
          <cell r="GY31">
            <v>0</v>
          </cell>
          <cell r="HB31">
            <v>0</v>
          </cell>
          <cell r="HE31">
            <v>0</v>
          </cell>
          <cell r="HH31">
            <v>0</v>
          </cell>
          <cell r="HK31">
            <v>0</v>
          </cell>
          <cell r="HN31">
            <v>0</v>
          </cell>
          <cell r="HQ31">
            <v>0</v>
          </cell>
          <cell r="HT31">
            <v>0</v>
          </cell>
          <cell r="HW31">
            <v>0</v>
          </cell>
          <cell r="HZ31">
            <v>0</v>
          </cell>
          <cell r="IC31">
            <v>0</v>
          </cell>
          <cell r="IF31">
            <v>0</v>
          </cell>
        </row>
        <row r="32">
          <cell r="GP32" t="str">
            <v>SCR's</v>
          </cell>
          <cell r="GS32">
            <v>0</v>
          </cell>
          <cell r="GV32">
            <v>0</v>
          </cell>
          <cell r="GY32">
            <v>0</v>
          </cell>
          <cell r="HB32">
            <v>0</v>
          </cell>
          <cell r="HE32">
            <v>0</v>
          </cell>
          <cell r="HH32">
            <v>0</v>
          </cell>
          <cell r="HK32">
            <v>0</v>
          </cell>
          <cell r="HN32">
            <v>0</v>
          </cell>
          <cell r="HQ32">
            <v>0</v>
          </cell>
          <cell r="HT32">
            <v>0</v>
          </cell>
          <cell r="HW32">
            <v>0</v>
          </cell>
          <cell r="HZ32">
            <v>0</v>
          </cell>
          <cell r="IC32">
            <v>0</v>
          </cell>
          <cell r="IF32">
            <v>0</v>
          </cell>
        </row>
        <row r="33">
          <cell r="GP33" t="str">
            <v>CO Reactors</v>
          </cell>
          <cell r="GS33">
            <v>0</v>
          </cell>
          <cell r="GV33">
            <v>0</v>
          </cell>
          <cell r="GY33">
            <v>0</v>
          </cell>
          <cell r="HB33">
            <v>0</v>
          </cell>
          <cell r="HE33">
            <v>0</v>
          </cell>
          <cell r="HH33">
            <v>0</v>
          </cell>
          <cell r="HK33">
            <v>0</v>
          </cell>
          <cell r="HN33">
            <v>0</v>
          </cell>
          <cell r="HQ33">
            <v>0</v>
          </cell>
          <cell r="HT33">
            <v>0</v>
          </cell>
          <cell r="HW33">
            <v>0</v>
          </cell>
          <cell r="HZ33">
            <v>0</v>
          </cell>
          <cell r="IC33">
            <v>0</v>
          </cell>
          <cell r="IF33">
            <v>0</v>
          </cell>
        </row>
        <row r="34">
          <cell r="GP34" t="str">
            <v>Bypass Stacks</v>
          </cell>
          <cell r="GS34">
            <v>0</v>
          </cell>
          <cell r="GV34">
            <v>0</v>
          </cell>
          <cell r="GY34">
            <v>0</v>
          </cell>
          <cell r="HB34">
            <v>0</v>
          </cell>
          <cell r="HE34">
            <v>0</v>
          </cell>
          <cell r="HH34">
            <v>0</v>
          </cell>
          <cell r="HK34">
            <v>0</v>
          </cell>
          <cell r="HN34">
            <v>0</v>
          </cell>
          <cell r="HQ34">
            <v>0</v>
          </cell>
          <cell r="HT34">
            <v>0</v>
          </cell>
          <cell r="HW34">
            <v>0</v>
          </cell>
          <cell r="HZ34">
            <v>0</v>
          </cell>
          <cell r="IC34">
            <v>0</v>
          </cell>
          <cell r="IF34">
            <v>0</v>
          </cell>
        </row>
        <row r="35">
          <cell r="GP35" t="str">
            <v>Stack Dampers</v>
          </cell>
          <cell r="GS35">
            <v>0</v>
          </cell>
          <cell r="GV35">
            <v>0</v>
          </cell>
          <cell r="GY35">
            <v>0</v>
          </cell>
          <cell r="HB35">
            <v>0</v>
          </cell>
          <cell r="HE35">
            <v>0</v>
          </cell>
          <cell r="HH35">
            <v>0</v>
          </cell>
          <cell r="HK35">
            <v>0</v>
          </cell>
          <cell r="HN35">
            <v>0</v>
          </cell>
          <cell r="HQ35">
            <v>0</v>
          </cell>
          <cell r="HT35">
            <v>0</v>
          </cell>
          <cell r="HW35">
            <v>0</v>
          </cell>
          <cell r="HZ35">
            <v>0</v>
          </cell>
          <cell r="IC35">
            <v>0</v>
          </cell>
          <cell r="IF35">
            <v>0</v>
          </cell>
        </row>
        <row r="36">
          <cell r="GP36" t="str">
            <v>Simple Cycle Stacks</v>
          </cell>
          <cell r="GQ36">
            <v>10000</v>
          </cell>
          <cell r="GR36">
            <v>20000</v>
          </cell>
          <cell r="GS36">
            <v>20000</v>
          </cell>
          <cell r="GT36">
            <v>10000</v>
          </cell>
          <cell r="GV36">
            <v>10000</v>
          </cell>
          <cell r="GW36">
            <v>10000</v>
          </cell>
          <cell r="GX36">
            <v>8000</v>
          </cell>
          <cell r="GY36">
            <v>8000</v>
          </cell>
          <cell r="GZ36">
            <v>10000</v>
          </cell>
          <cell r="HB36">
            <v>10000</v>
          </cell>
          <cell r="HC36">
            <v>10000</v>
          </cell>
          <cell r="HD36">
            <v>20000</v>
          </cell>
          <cell r="HE36">
            <v>20000</v>
          </cell>
          <cell r="HF36">
            <v>10000</v>
          </cell>
          <cell r="HH36">
            <v>10000</v>
          </cell>
          <cell r="HI36">
            <v>10000</v>
          </cell>
          <cell r="HK36">
            <v>10000</v>
          </cell>
          <cell r="HL36">
            <v>10000</v>
          </cell>
          <cell r="HN36">
            <v>10000</v>
          </cell>
          <cell r="HO36">
            <v>10000</v>
          </cell>
          <cell r="HQ36">
            <v>10000</v>
          </cell>
          <cell r="HR36">
            <v>10000</v>
          </cell>
          <cell r="HS36">
            <v>20000</v>
          </cell>
          <cell r="HT36">
            <v>20000</v>
          </cell>
          <cell r="HU36">
            <v>10000</v>
          </cell>
          <cell r="HW36">
            <v>10000</v>
          </cell>
          <cell r="HX36">
            <v>10000</v>
          </cell>
          <cell r="HZ36">
            <v>10000</v>
          </cell>
          <cell r="IA36">
            <v>10000</v>
          </cell>
          <cell r="IC36">
            <v>10000</v>
          </cell>
          <cell r="ID36">
            <v>10000</v>
          </cell>
          <cell r="IE36">
            <v>8000</v>
          </cell>
          <cell r="IF36">
            <v>8000</v>
          </cell>
        </row>
        <row r="37">
          <cell r="GP37" t="str">
            <v>Hot SCRs</v>
          </cell>
          <cell r="GQ37">
            <v>15000</v>
          </cell>
          <cell r="GS37">
            <v>15000</v>
          </cell>
          <cell r="GT37">
            <v>15000</v>
          </cell>
          <cell r="GV37">
            <v>15000</v>
          </cell>
          <cell r="GW37">
            <v>15000</v>
          </cell>
          <cell r="GX37">
            <v>8000</v>
          </cell>
          <cell r="GY37">
            <v>8000</v>
          </cell>
          <cell r="GZ37">
            <v>15000</v>
          </cell>
          <cell r="HB37">
            <v>15000</v>
          </cell>
          <cell r="HC37">
            <v>15000</v>
          </cell>
          <cell r="HE37">
            <v>15000</v>
          </cell>
          <cell r="HF37">
            <v>15000</v>
          </cell>
          <cell r="HH37">
            <v>15000</v>
          </cell>
          <cell r="HI37">
            <v>15000</v>
          </cell>
          <cell r="HK37">
            <v>15000</v>
          </cell>
          <cell r="HL37">
            <v>15000</v>
          </cell>
          <cell r="HM37">
            <v>35000</v>
          </cell>
          <cell r="HN37">
            <v>35000</v>
          </cell>
          <cell r="HO37">
            <v>15000</v>
          </cell>
          <cell r="HP37">
            <v>40000</v>
          </cell>
          <cell r="HQ37">
            <v>40000</v>
          </cell>
          <cell r="HR37">
            <v>15000</v>
          </cell>
          <cell r="HT37">
            <v>15000</v>
          </cell>
          <cell r="HU37">
            <v>15000</v>
          </cell>
          <cell r="HV37">
            <v>35000</v>
          </cell>
          <cell r="HW37">
            <v>35000</v>
          </cell>
          <cell r="HX37">
            <v>15000</v>
          </cell>
          <cell r="HZ37">
            <v>15000</v>
          </cell>
          <cell r="IA37">
            <v>15000</v>
          </cell>
          <cell r="IB37">
            <v>35000</v>
          </cell>
          <cell r="IC37">
            <v>35000</v>
          </cell>
          <cell r="ID37">
            <v>15000</v>
          </cell>
          <cell r="IE37">
            <v>8000</v>
          </cell>
          <cell r="IF37">
            <v>8000</v>
          </cell>
        </row>
        <row r="38">
          <cell r="GP38" t="str">
            <v>Four Case, Four Flow</v>
          </cell>
          <cell r="GS38">
            <v>0</v>
          </cell>
          <cell r="GV38">
            <v>0</v>
          </cell>
          <cell r="GY38">
            <v>0</v>
          </cell>
          <cell r="HB38">
            <v>0</v>
          </cell>
          <cell r="HE38">
            <v>0</v>
          </cell>
          <cell r="HH38">
            <v>0</v>
          </cell>
          <cell r="HK38">
            <v>0</v>
          </cell>
          <cell r="HN38">
            <v>0</v>
          </cell>
          <cell r="HQ38">
            <v>0</v>
          </cell>
          <cell r="HT38">
            <v>0</v>
          </cell>
          <cell r="HW38">
            <v>0</v>
          </cell>
          <cell r="HZ38">
            <v>0</v>
          </cell>
          <cell r="IC38">
            <v>0</v>
          </cell>
          <cell r="IF38">
            <v>0</v>
          </cell>
        </row>
        <row r="39">
          <cell r="GP39" t="str">
            <v>GE - A Series</v>
          </cell>
          <cell r="GR39">
            <v>170000</v>
          </cell>
          <cell r="GS39">
            <v>170000</v>
          </cell>
          <cell r="GU39">
            <v>170000</v>
          </cell>
          <cell r="GV39">
            <v>170000</v>
          </cell>
          <cell r="GX39">
            <v>170000</v>
          </cell>
          <cell r="GY39">
            <v>170000</v>
          </cell>
          <cell r="HA39">
            <v>170000</v>
          </cell>
          <cell r="HB39">
            <v>170000</v>
          </cell>
          <cell r="HD39">
            <v>170000</v>
          </cell>
          <cell r="HE39">
            <v>170000</v>
          </cell>
          <cell r="HG39">
            <v>170000</v>
          </cell>
          <cell r="HH39">
            <v>170000</v>
          </cell>
          <cell r="HJ39">
            <v>170000</v>
          </cell>
          <cell r="HK39">
            <v>170000</v>
          </cell>
          <cell r="HM39">
            <v>170000</v>
          </cell>
          <cell r="HN39">
            <v>170000</v>
          </cell>
          <cell r="HP39">
            <v>170000</v>
          </cell>
          <cell r="HQ39">
            <v>170000</v>
          </cell>
          <cell r="HS39">
            <v>170000</v>
          </cell>
          <cell r="HT39">
            <v>170000</v>
          </cell>
          <cell r="HV39">
            <v>170000</v>
          </cell>
          <cell r="HW39">
            <v>170000</v>
          </cell>
          <cell r="HY39">
            <v>170000</v>
          </cell>
          <cell r="HZ39">
            <v>170000</v>
          </cell>
          <cell r="IB39">
            <v>170000</v>
          </cell>
          <cell r="IC39">
            <v>170000</v>
          </cell>
          <cell r="IE39">
            <v>170000</v>
          </cell>
          <cell r="IF39">
            <v>170000</v>
          </cell>
        </row>
        <row r="40">
          <cell r="GP40" t="str">
            <v>GE - D Series</v>
          </cell>
          <cell r="GR40">
            <v>285000</v>
          </cell>
          <cell r="GS40">
            <v>285000</v>
          </cell>
          <cell r="GU40">
            <v>285000</v>
          </cell>
          <cell r="GV40">
            <v>285000</v>
          </cell>
          <cell r="GX40">
            <v>285000</v>
          </cell>
          <cell r="GY40">
            <v>285000</v>
          </cell>
          <cell r="HA40">
            <v>285000</v>
          </cell>
          <cell r="HB40">
            <v>285000</v>
          </cell>
          <cell r="HD40">
            <v>285000</v>
          </cell>
          <cell r="HE40">
            <v>285000</v>
          </cell>
          <cell r="HG40">
            <v>285000</v>
          </cell>
          <cell r="HH40">
            <v>285000</v>
          </cell>
          <cell r="HJ40">
            <v>285000</v>
          </cell>
          <cell r="HK40">
            <v>285000</v>
          </cell>
          <cell r="HM40">
            <v>285000</v>
          </cell>
          <cell r="HN40">
            <v>285000</v>
          </cell>
          <cell r="HP40">
            <v>285000</v>
          </cell>
          <cell r="HQ40">
            <v>285000</v>
          </cell>
          <cell r="HS40">
            <v>285000</v>
          </cell>
          <cell r="HT40">
            <v>285000</v>
          </cell>
          <cell r="HV40">
            <v>285000</v>
          </cell>
          <cell r="HW40">
            <v>285000</v>
          </cell>
          <cell r="HY40">
            <v>285000</v>
          </cell>
          <cell r="HZ40">
            <v>285000</v>
          </cell>
          <cell r="IB40">
            <v>285000</v>
          </cell>
          <cell r="IC40">
            <v>285000</v>
          </cell>
          <cell r="IE40">
            <v>285000</v>
          </cell>
          <cell r="IF40">
            <v>285000</v>
          </cell>
        </row>
        <row r="41">
          <cell r="GP41" t="str">
            <v>GE - G Series</v>
          </cell>
          <cell r="GR41">
            <v>325000</v>
          </cell>
          <cell r="GS41">
            <v>325000</v>
          </cell>
          <cell r="GU41">
            <v>325000</v>
          </cell>
          <cell r="GV41">
            <v>325000</v>
          </cell>
          <cell r="GX41">
            <v>325000</v>
          </cell>
          <cell r="GY41">
            <v>325000</v>
          </cell>
          <cell r="HA41">
            <v>325000</v>
          </cell>
          <cell r="HB41">
            <v>325000</v>
          </cell>
          <cell r="HD41">
            <v>325000</v>
          </cell>
          <cell r="HE41">
            <v>325000</v>
          </cell>
          <cell r="HG41">
            <v>325000</v>
          </cell>
          <cell r="HH41">
            <v>325000</v>
          </cell>
          <cell r="HJ41">
            <v>325000</v>
          </cell>
          <cell r="HK41">
            <v>325000</v>
          </cell>
          <cell r="HM41">
            <v>325000</v>
          </cell>
          <cell r="HN41">
            <v>325000</v>
          </cell>
          <cell r="HP41">
            <v>325000</v>
          </cell>
          <cell r="HQ41">
            <v>325000</v>
          </cell>
          <cell r="HS41">
            <v>325000</v>
          </cell>
          <cell r="HT41">
            <v>325000</v>
          </cell>
          <cell r="HV41">
            <v>325000</v>
          </cell>
          <cell r="HW41">
            <v>325000</v>
          </cell>
          <cell r="HY41">
            <v>325000</v>
          </cell>
          <cell r="HZ41">
            <v>325000</v>
          </cell>
          <cell r="IB41">
            <v>325000</v>
          </cell>
          <cell r="IC41">
            <v>325000</v>
          </cell>
          <cell r="IE41">
            <v>325000</v>
          </cell>
          <cell r="IF41">
            <v>325000</v>
          </cell>
        </row>
        <row r="42">
          <cell r="GP42" t="str">
            <v>Siemens SST-3000</v>
          </cell>
          <cell r="GS42">
            <v>0</v>
          </cell>
          <cell r="GV42">
            <v>0</v>
          </cell>
          <cell r="GY42">
            <v>0</v>
          </cell>
          <cell r="HB42">
            <v>0</v>
          </cell>
          <cell r="HE42">
            <v>0</v>
          </cell>
          <cell r="HH42">
            <v>0</v>
          </cell>
          <cell r="HK42">
            <v>0</v>
          </cell>
          <cell r="HN42">
            <v>0</v>
          </cell>
          <cell r="HQ42">
            <v>0</v>
          </cell>
          <cell r="HT42">
            <v>0</v>
          </cell>
          <cell r="HW42">
            <v>0</v>
          </cell>
          <cell r="HZ42">
            <v>0</v>
          </cell>
          <cell r="IC42">
            <v>0</v>
          </cell>
          <cell r="IF42">
            <v>0</v>
          </cell>
        </row>
        <row r="43">
          <cell r="GP43" t="str">
            <v>Siemens SST-5000</v>
          </cell>
          <cell r="GS43">
            <v>0</v>
          </cell>
          <cell r="GV43">
            <v>0</v>
          </cell>
          <cell r="GY43">
            <v>0</v>
          </cell>
          <cell r="HB43">
            <v>0</v>
          </cell>
          <cell r="HE43">
            <v>0</v>
          </cell>
          <cell r="HH43">
            <v>0</v>
          </cell>
          <cell r="HK43">
            <v>0</v>
          </cell>
          <cell r="HN43">
            <v>0</v>
          </cell>
          <cell r="HQ43">
            <v>0</v>
          </cell>
          <cell r="HT43">
            <v>0</v>
          </cell>
          <cell r="HW43">
            <v>0</v>
          </cell>
          <cell r="HZ43">
            <v>0</v>
          </cell>
          <cell r="IC43">
            <v>0</v>
          </cell>
          <cell r="IF43">
            <v>0</v>
          </cell>
        </row>
        <row r="44">
          <cell r="GP44" t="str">
            <v>Siemens SST-6000</v>
          </cell>
          <cell r="GS44">
            <v>0</v>
          </cell>
          <cell r="GV44">
            <v>0</v>
          </cell>
          <cell r="GY44">
            <v>0</v>
          </cell>
          <cell r="HB44">
            <v>0</v>
          </cell>
          <cell r="HE44">
            <v>0</v>
          </cell>
          <cell r="HH44">
            <v>0</v>
          </cell>
          <cell r="HK44">
            <v>0</v>
          </cell>
          <cell r="HN44">
            <v>0</v>
          </cell>
          <cell r="HQ44">
            <v>0</v>
          </cell>
          <cell r="HT44">
            <v>0</v>
          </cell>
          <cell r="HW44">
            <v>0</v>
          </cell>
          <cell r="HZ44">
            <v>0</v>
          </cell>
          <cell r="IC44">
            <v>0</v>
          </cell>
          <cell r="IF44">
            <v>0</v>
          </cell>
        </row>
        <row r="45">
          <cell r="GP45" t="str">
            <v>Siemens SST-900</v>
          </cell>
          <cell r="GS45">
            <v>0</v>
          </cell>
          <cell r="GV45">
            <v>0</v>
          </cell>
          <cell r="GY45">
            <v>0</v>
          </cell>
          <cell r="HB45">
            <v>0</v>
          </cell>
          <cell r="HE45">
            <v>0</v>
          </cell>
          <cell r="HH45">
            <v>0</v>
          </cell>
          <cell r="HK45">
            <v>0</v>
          </cell>
          <cell r="HN45">
            <v>0</v>
          </cell>
          <cell r="HQ45">
            <v>0</v>
          </cell>
          <cell r="HT45">
            <v>0</v>
          </cell>
          <cell r="HW45">
            <v>0</v>
          </cell>
          <cell r="HZ45">
            <v>0</v>
          </cell>
          <cell r="IC45">
            <v>0</v>
          </cell>
          <cell r="IF45">
            <v>0</v>
          </cell>
        </row>
        <row r="46">
          <cell r="GP46" t="str">
            <v>Two Case, Double Flow</v>
          </cell>
          <cell r="GS46">
            <v>0</v>
          </cell>
          <cell r="GV46">
            <v>0</v>
          </cell>
          <cell r="GY46">
            <v>0</v>
          </cell>
          <cell r="HB46">
            <v>0</v>
          </cell>
          <cell r="HE46">
            <v>0</v>
          </cell>
          <cell r="HH46">
            <v>0</v>
          </cell>
          <cell r="HK46">
            <v>0</v>
          </cell>
          <cell r="HN46">
            <v>0</v>
          </cell>
          <cell r="HQ46">
            <v>0</v>
          </cell>
          <cell r="HT46">
            <v>0</v>
          </cell>
          <cell r="HW46">
            <v>0</v>
          </cell>
          <cell r="HZ46">
            <v>0</v>
          </cell>
          <cell r="IC46">
            <v>0</v>
          </cell>
          <cell r="IF46">
            <v>0</v>
          </cell>
        </row>
        <row r="47">
          <cell r="GP47" t="str">
            <v>Two Case, Single Flow</v>
          </cell>
          <cell r="GS47">
            <v>0</v>
          </cell>
          <cell r="GV47">
            <v>0</v>
          </cell>
          <cell r="GY47">
            <v>0</v>
          </cell>
          <cell r="HB47">
            <v>0</v>
          </cell>
          <cell r="HE47">
            <v>0</v>
          </cell>
          <cell r="HH47">
            <v>0</v>
          </cell>
          <cell r="HK47">
            <v>0</v>
          </cell>
          <cell r="HN47">
            <v>0</v>
          </cell>
          <cell r="HQ47">
            <v>0</v>
          </cell>
          <cell r="HT47">
            <v>0</v>
          </cell>
          <cell r="HW47">
            <v>0</v>
          </cell>
          <cell r="HZ47">
            <v>0</v>
          </cell>
          <cell r="IC47">
            <v>0</v>
          </cell>
          <cell r="IF47">
            <v>0</v>
          </cell>
        </row>
        <row r="48">
          <cell r="GP48">
            <v>0</v>
          </cell>
          <cell r="GS48">
            <v>0</v>
          </cell>
          <cell r="GV48">
            <v>0</v>
          </cell>
          <cell r="GY48">
            <v>0</v>
          </cell>
          <cell r="HB48">
            <v>0</v>
          </cell>
          <cell r="HE48">
            <v>0</v>
          </cell>
          <cell r="HH48">
            <v>0</v>
          </cell>
          <cell r="HK48">
            <v>0</v>
          </cell>
          <cell r="HN48">
            <v>0</v>
          </cell>
          <cell r="HQ48">
            <v>0</v>
          </cell>
          <cell r="HT48">
            <v>0</v>
          </cell>
          <cell r="HW48">
            <v>0</v>
          </cell>
          <cell r="HZ48">
            <v>0</v>
          </cell>
          <cell r="IC48">
            <v>0</v>
          </cell>
          <cell r="IF48">
            <v>0</v>
          </cell>
        </row>
        <row r="49">
          <cell r="GP49">
            <v>0</v>
          </cell>
          <cell r="GS49">
            <v>0</v>
          </cell>
          <cell r="GV49">
            <v>0</v>
          </cell>
          <cell r="GY49">
            <v>0</v>
          </cell>
          <cell r="HB49">
            <v>0</v>
          </cell>
          <cell r="HE49">
            <v>0</v>
          </cell>
          <cell r="HH49">
            <v>0</v>
          </cell>
          <cell r="HK49">
            <v>0</v>
          </cell>
          <cell r="HN49">
            <v>0</v>
          </cell>
          <cell r="HQ49">
            <v>0</v>
          </cell>
          <cell r="HT49">
            <v>0</v>
          </cell>
          <cell r="HW49">
            <v>0</v>
          </cell>
          <cell r="HZ49">
            <v>0</v>
          </cell>
          <cell r="IC49">
            <v>0</v>
          </cell>
          <cell r="IF49">
            <v>0</v>
          </cell>
        </row>
        <row r="50">
          <cell r="GP50">
            <v>0</v>
          </cell>
          <cell r="GS50">
            <v>0</v>
          </cell>
          <cell r="GV50">
            <v>0</v>
          </cell>
          <cell r="GY50">
            <v>0</v>
          </cell>
          <cell r="HB50">
            <v>0</v>
          </cell>
          <cell r="HE50">
            <v>0</v>
          </cell>
          <cell r="HH50">
            <v>0</v>
          </cell>
          <cell r="HK50">
            <v>0</v>
          </cell>
          <cell r="HN50">
            <v>0</v>
          </cell>
          <cell r="HQ50">
            <v>0</v>
          </cell>
          <cell r="HT50">
            <v>0</v>
          </cell>
          <cell r="HW50">
            <v>0</v>
          </cell>
          <cell r="HZ50">
            <v>0</v>
          </cell>
          <cell r="IC50">
            <v>0</v>
          </cell>
          <cell r="IF50">
            <v>0</v>
          </cell>
        </row>
        <row r="51">
          <cell r="GP51">
            <v>0</v>
          </cell>
          <cell r="GS51">
            <v>0</v>
          </cell>
          <cell r="GV51">
            <v>0</v>
          </cell>
          <cell r="GY51">
            <v>0</v>
          </cell>
          <cell r="HB51">
            <v>0</v>
          </cell>
          <cell r="HE51">
            <v>0</v>
          </cell>
          <cell r="HH51">
            <v>0</v>
          </cell>
          <cell r="HK51">
            <v>0</v>
          </cell>
          <cell r="HN51">
            <v>0</v>
          </cell>
          <cell r="HQ51">
            <v>0</v>
          </cell>
          <cell r="HT51">
            <v>0</v>
          </cell>
          <cell r="HW51">
            <v>0</v>
          </cell>
          <cell r="HZ51">
            <v>0</v>
          </cell>
          <cell r="IC51">
            <v>0</v>
          </cell>
          <cell r="IF51">
            <v>0</v>
          </cell>
        </row>
        <row r="52">
          <cell r="GP52">
            <v>0</v>
          </cell>
          <cell r="GS52">
            <v>0</v>
          </cell>
          <cell r="GV52">
            <v>0</v>
          </cell>
          <cell r="GY52">
            <v>0</v>
          </cell>
          <cell r="HB52">
            <v>0</v>
          </cell>
          <cell r="HE52">
            <v>0</v>
          </cell>
          <cell r="HH52">
            <v>0</v>
          </cell>
          <cell r="HK52">
            <v>0</v>
          </cell>
          <cell r="HN52">
            <v>0</v>
          </cell>
          <cell r="HQ52">
            <v>0</v>
          </cell>
          <cell r="HT52">
            <v>0</v>
          </cell>
          <cell r="HW52">
            <v>0</v>
          </cell>
          <cell r="HZ52">
            <v>0</v>
          </cell>
          <cell r="IC52">
            <v>0</v>
          </cell>
          <cell r="IF52">
            <v>0</v>
          </cell>
        </row>
        <row r="53">
          <cell r="GP53">
            <v>0</v>
          </cell>
          <cell r="GS53">
            <v>0</v>
          </cell>
          <cell r="GV53">
            <v>0</v>
          </cell>
          <cell r="GY53">
            <v>0</v>
          </cell>
          <cell r="HB53">
            <v>0</v>
          </cell>
          <cell r="HE53">
            <v>0</v>
          </cell>
          <cell r="HH53">
            <v>0</v>
          </cell>
          <cell r="HK53">
            <v>0</v>
          </cell>
          <cell r="HN53">
            <v>0</v>
          </cell>
          <cell r="HQ53">
            <v>0</v>
          </cell>
          <cell r="HT53">
            <v>0</v>
          </cell>
          <cell r="HW53">
            <v>0</v>
          </cell>
          <cell r="HZ53">
            <v>0</v>
          </cell>
          <cell r="IC53">
            <v>0</v>
          </cell>
          <cell r="IF53">
            <v>0</v>
          </cell>
        </row>
        <row r="54">
          <cell r="GP54">
            <v>0</v>
          </cell>
          <cell r="GS54">
            <v>0</v>
          </cell>
          <cell r="GV54">
            <v>0</v>
          </cell>
          <cell r="GY54">
            <v>0</v>
          </cell>
          <cell r="HB54">
            <v>0</v>
          </cell>
          <cell r="HE54">
            <v>0</v>
          </cell>
          <cell r="HH54">
            <v>0</v>
          </cell>
          <cell r="HK54">
            <v>0</v>
          </cell>
          <cell r="HN54">
            <v>0</v>
          </cell>
          <cell r="HQ54">
            <v>0</v>
          </cell>
          <cell r="HT54">
            <v>0</v>
          </cell>
          <cell r="HW54">
            <v>0</v>
          </cell>
          <cell r="HZ54">
            <v>0</v>
          </cell>
          <cell r="IC54">
            <v>0</v>
          </cell>
          <cell r="IF54">
            <v>0</v>
          </cell>
        </row>
        <row r="55">
          <cell r="GP55">
            <v>0</v>
          </cell>
          <cell r="GS55">
            <v>0</v>
          </cell>
          <cell r="GV55">
            <v>0</v>
          </cell>
          <cell r="GY55">
            <v>0</v>
          </cell>
          <cell r="HB55">
            <v>0</v>
          </cell>
          <cell r="HE55">
            <v>0</v>
          </cell>
          <cell r="HH55">
            <v>0</v>
          </cell>
          <cell r="HK55">
            <v>0</v>
          </cell>
          <cell r="HN55">
            <v>0</v>
          </cell>
          <cell r="HQ55">
            <v>0</v>
          </cell>
          <cell r="HT55">
            <v>0</v>
          </cell>
          <cell r="HW55">
            <v>0</v>
          </cell>
          <cell r="HZ55">
            <v>0</v>
          </cell>
          <cell r="IC55">
            <v>0</v>
          </cell>
          <cell r="IF55">
            <v>0</v>
          </cell>
        </row>
        <row r="56">
          <cell r="GP56">
            <v>0</v>
          </cell>
          <cell r="GS56">
            <v>0</v>
          </cell>
          <cell r="GV56">
            <v>0</v>
          </cell>
          <cell r="GY56">
            <v>0</v>
          </cell>
          <cell r="HB56">
            <v>0</v>
          </cell>
          <cell r="HE56">
            <v>0</v>
          </cell>
          <cell r="HH56">
            <v>0</v>
          </cell>
          <cell r="HK56">
            <v>0</v>
          </cell>
          <cell r="HN56">
            <v>0</v>
          </cell>
          <cell r="HQ56">
            <v>0</v>
          </cell>
          <cell r="HT56">
            <v>0</v>
          </cell>
          <cell r="HW56">
            <v>0</v>
          </cell>
          <cell r="HZ56">
            <v>0</v>
          </cell>
          <cell r="IC56">
            <v>0</v>
          </cell>
          <cell r="IF56">
            <v>0</v>
          </cell>
        </row>
        <row r="57">
          <cell r="GP57">
            <v>0</v>
          </cell>
          <cell r="GS57">
            <v>0</v>
          </cell>
          <cell r="GV57">
            <v>0</v>
          </cell>
          <cell r="GY57">
            <v>0</v>
          </cell>
          <cell r="HB57">
            <v>0</v>
          </cell>
          <cell r="HE57">
            <v>0</v>
          </cell>
          <cell r="HH57">
            <v>0</v>
          </cell>
          <cell r="HK57">
            <v>0</v>
          </cell>
          <cell r="HN57">
            <v>0</v>
          </cell>
          <cell r="HQ57">
            <v>0</v>
          </cell>
          <cell r="HT57">
            <v>0</v>
          </cell>
          <cell r="HW57">
            <v>0</v>
          </cell>
          <cell r="HZ57">
            <v>0</v>
          </cell>
          <cell r="IC57">
            <v>0</v>
          </cell>
          <cell r="IF57">
            <v>0</v>
          </cell>
        </row>
        <row r="58">
          <cell r="GP58">
            <v>0</v>
          </cell>
          <cell r="GS58">
            <v>0</v>
          </cell>
          <cell r="GV58">
            <v>0</v>
          </cell>
          <cell r="GY58">
            <v>0</v>
          </cell>
          <cell r="HB58">
            <v>0</v>
          </cell>
          <cell r="HE58">
            <v>0</v>
          </cell>
          <cell r="HH58">
            <v>0</v>
          </cell>
          <cell r="HK58">
            <v>0</v>
          </cell>
          <cell r="HN58">
            <v>0</v>
          </cell>
          <cell r="HQ58">
            <v>0</v>
          </cell>
          <cell r="HT58">
            <v>0</v>
          </cell>
          <cell r="HW58">
            <v>0</v>
          </cell>
          <cell r="HZ58">
            <v>0</v>
          </cell>
          <cell r="IC58">
            <v>0</v>
          </cell>
          <cell r="IF58">
            <v>0</v>
          </cell>
        </row>
        <row r="59">
          <cell r="GP59">
            <v>0</v>
          </cell>
          <cell r="GS59">
            <v>0</v>
          </cell>
          <cell r="GV59">
            <v>0</v>
          </cell>
          <cell r="GY59">
            <v>0</v>
          </cell>
          <cell r="HB59">
            <v>0</v>
          </cell>
          <cell r="HE59">
            <v>0</v>
          </cell>
          <cell r="HH59">
            <v>0</v>
          </cell>
          <cell r="HK59">
            <v>0</v>
          </cell>
          <cell r="HN59">
            <v>0</v>
          </cell>
          <cell r="HQ59">
            <v>0</v>
          </cell>
          <cell r="HT59">
            <v>0</v>
          </cell>
          <cell r="HW59">
            <v>0</v>
          </cell>
          <cell r="HZ59">
            <v>0</v>
          </cell>
          <cell r="IC59">
            <v>0</v>
          </cell>
          <cell r="IF59">
            <v>0</v>
          </cell>
        </row>
        <row r="60">
          <cell r="GP60" t="str">
            <v>Auxiliary Boilers</v>
          </cell>
          <cell r="GQ60">
            <v>3000</v>
          </cell>
          <cell r="GR60">
            <v>5000</v>
          </cell>
          <cell r="GS60">
            <v>5000</v>
          </cell>
          <cell r="GT60">
            <v>3000</v>
          </cell>
          <cell r="GV60">
            <v>3000</v>
          </cell>
          <cell r="GW60">
            <v>3000</v>
          </cell>
          <cell r="GY60">
            <v>3000</v>
          </cell>
          <cell r="GZ60">
            <v>3000</v>
          </cell>
          <cell r="HB60">
            <v>3000</v>
          </cell>
          <cell r="HC60">
            <v>3000</v>
          </cell>
          <cell r="HE60">
            <v>3000</v>
          </cell>
          <cell r="HF60">
            <v>3000</v>
          </cell>
          <cell r="HH60">
            <v>3000</v>
          </cell>
          <cell r="HI60">
            <v>3000</v>
          </cell>
          <cell r="HK60">
            <v>3000</v>
          </cell>
          <cell r="HL60">
            <v>3000</v>
          </cell>
          <cell r="HN60">
            <v>3000</v>
          </cell>
          <cell r="HO60">
            <v>3000</v>
          </cell>
          <cell r="HQ60">
            <v>3000</v>
          </cell>
          <cell r="HR60">
            <v>3000</v>
          </cell>
          <cell r="HS60">
            <v>5000</v>
          </cell>
          <cell r="HT60">
            <v>5000</v>
          </cell>
          <cell r="HU60">
            <v>3000</v>
          </cell>
          <cell r="HW60">
            <v>3000</v>
          </cell>
          <cell r="HX60">
            <v>3000</v>
          </cell>
          <cell r="HZ60">
            <v>3000</v>
          </cell>
          <cell r="IA60">
            <v>3000</v>
          </cell>
          <cell r="IC60">
            <v>3000</v>
          </cell>
          <cell r="ID60">
            <v>3000</v>
          </cell>
          <cell r="IF60">
            <v>3000</v>
          </cell>
        </row>
        <row r="61">
          <cell r="GP61" t="str">
            <v>Auxiliary Boiler SCR</v>
          </cell>
          <cell r="GS61">
            <v>0</v>
          </cell>
          <cell r="GV61">
            <v>0</v>
          </cell>
          <cell r="GY61">
            <v>0</v>
          </cell>
          <cell r="HB61">
            <v>0</v>
          </cell>
          <cell r="HE61">
            <v>0</v>
          </cell>
          <cell r="HH61">
            <v>0</v>
          </cell>
          <cell r="HK61">
            <v>0</v>
          </cell>
          <cell r="HN61">
            <v>0</v>
          </cell>
          <cell r="HQ61">
            <v>0</v>
          </cell>
          <cell r="HT61">
            <v>0</v>
          </cell>
          <cell r="HW61">
            <v>0</v>
          </cell>
          <cell r="HZ61">
            <v>0</v>
          </cell>
          <cell r="IC61">
            <v>0</v>
          </cell>
          <cell r="IF61">
            <v>0</v>
          </cell>
        </row>
        <row r="62">
          <cell r="GP62" t="str">
            <v>Auxiliary Boiler Feed Pump</v>
          </cell>
          <cell r="GQ62">
            <v>500</v>
          </cell>
          <cell r="GS62">
            <v>500</v>
          </cell>
          <cell r="GT62">
            <v>500</v>
          </cell>
          <cell r="GV62">
            <v>500</v>
          </cell>
          <cell r="GW62">
            <v>500</v>
          </cell>
          <cell r="GY62">
            <v>500</v>
          </cell>
          <cell r="GZ62">
            <v>500</v>
          </cell>
          <cell r="HB62">
            <v>500</v>
          </cell>
          <cell r="HC62">
            <v>500</v>
          </cell>
          <cell r="HE62">
            <v>500</v>
          </cell>
          <cell r="HF62">
            <v>500</v>
          </cell>
          <cell r="HH62">
            <v>500</v>
          </cell>
          <cell r="HI62">
            <v>500</v>
          </cell>
          <cell r="HK62">
            <v>500</v>
          </cell>
          <cell r="HL62">
            <v>500</v>
          </cell>
          <cell r="HN62">
            <v>500</v>
          </cell>
          <cell r="HO62">
            <v>500</v>
          </cell>
          <cell r="HQ62">
            <v>500</v>
          </cell>
          <cell r="HR62">
            <v>500</v>
          </cell>
          <cell r="HT62">
            <v>500</v>
          </cell>
          <cell r="HU62">
            <v>500</v>
          </cell>
          <cell r="HW62">
            <v>500</v>
          </cell>
          <cell r="HX62">
            <v>500</v>
          </cell>
          <cell r="HZ62">
            <v>500</v>
          </cell>
          <cell r="IA62">
            <v>500</v>
          </cell>
          <cell r="IC62">
            <v>500</v>
          </cell>
          <cell r="ID62">
            <v>500</v>
          </cell>
          <cell r="IF62">
            <v>500</v>
          </cell>
        </row>
        <row r="63">
          <cell r="GP63" t="str">
            <v>Auxiliary Boiler Deaerator</v>
          </cell>
          <cell r="GS63">
            <v>0</v>
          </cell>
          <cell r="GV63">
            <v>0</v>
          </cell>
          <cell r="GY63">
            <v>0</v>
          </cell>
          <cell r="HB63">
            <v>0</v>
          </cell>
          <cell r="HE63">
            <v>0</v>
          </cell>
          <cell r="HH63">
            <v>0</v>
          </cell>
          <cell r="HK63">
            <v>0</v>
          </cell>
          <cell r="HN63">
            <v>0</v>
          </cell>
          <cell r="HQ63">
            <v>0</v>
          </cell>
          <cell r="HT63">
            <v>0</v>
          </cell>
          <cell r="HW63">
            <v>0</v>
          </cell>
          <cell r="HZ63">
            <v>0</v>
          </cell>
          <cell r="IC63">
            <v>0</v>
          </cell>
          <cell r="IF63">
            <v>0</v>
          </cell>
        </row>
        <row r="64">
          <cell r="GP64" t="str">
            <v>Deaerators</v>
          </cell>
          <cell r="GQ64">
            <v>100</v>
          </cell>
          <cell r="GS64">
            <v>100</v>
          </cell>
          <cell r="GT64">
            <v>100</v>
          </cell>
          <cell r="GV64">
            <v>100</v>
          </cell>
          <cell r="GW64">
            <v>100</v>
          </cell>
          <cell r="GY64">
            <v>100</v>
          </cell>
          <cell r="GZ64">
            <v>100</v>
          </cell>
          <cell r="HB64">
            <v>100</v>
          </cell>
          <cell r="HC64">
            <v>100</v>
          </cell>
          <cell r="HE64">
            <v>100</v>
          </cell>
          <cell r="HF64">
            <v>100</v>
          </cell>
          <cell r="HH64">
            <v>100</v>
          </cell>
          <cell r="HI64">
            <v>100</v>
          </cell>
          <cell r="HK64">
            <v>100</v>
          </cell>
          <cell r="HL64">
            <v>100</v>
          </cell>
          <cell r="HN64">
            <v>100</v>
          </cell>
          <cell r="HO64">
            <v>100</v>
          </cell>
          <cell r="HQ64">
            <v>100</v>
          </cell>
          <cell r="HR64">
            <v>100</v>
          </cell>
          <cell r="HT64">
            <v>100</v>
          </cell>
          <cell r="HU64">
            <v>100</v>
          </cell>
          <cell r="HW64">
            <v>100</v>
          </cell>
          <cell r="HX64">
            <v>100</v>
          </cell>
          <cell r="HZ64">
            <v>100</v>
          </cell>
          <cell r="IA64">
            <v>100</v>
          </cell>
          <cell r="IC64">
            <v>100</v>
          </cell>
          <cell r="ID64">
            <v>100</v>
          </cell>
          <cell r="IF64">
            <v>100</v>
          </cell>
        </row>
        <row r="65">
          <cell r="GP65" t="str">
            <v>ST Surface Condensers</v>
          </cell>
          <cell r="GQ65">
            <v>4000</v>
          </cell>
          <cell r="GR65">
            <v>100</v>
          </cell>
          <cell r="GS65">
            <v>100</v>
          </cell>
          <cell r="GT65">
            <v>4000</v>
          </cell>
          <cell r="GV65">
            <v>4000</v>
          </cell>
          <cell r="GW65">
            <v>4000</v>
          </cell>
          <cell r="GY65">
            <v>4000</v>
          </cell>
          <cell r="GZ65">
            <v>4000</v>
          </cell>
          <cell r="HB65">
            <v>4000</v>
          </cell>
          <cell r="HC65">
            <v>4000</v>
          </cell>
          <cell r="HE65">
            <v>4000</v>
          </cell>
          <cell r="HF65">
            <v>4000</v>
          </cell>
          <cell r="HH65">
            <v>4000</v>
          </cell>
          <cell r="HI65">
            <v>4000</v>
          </cell>
          <cell r="HK65">
            <v>4000</v>
          </cell>
          <cell r="HL65">
            <v>4000</v>
          </cell>
          <cell r="HN65">
            <v>4000</v>
          </cell>
          <cell r="HO65">
            <v>4000</v>
          </cell>
          <cell r="HQ65">
            <v>4000</v>
          </cell>
          <cell r="HR65">
            <v>4000</v>
          </cell>
          <cell r="HS65">
            <v>100</v>
          </cell>
          <cell r="HT65">
            <v>100</v>
          </cell>
          <cell r="HU65">
            <v>4000</v>
          </cell>
          <cell r="HW65">
            <v>4000</v>
          </cell>
          <cell r="HX65">
            <v>4000</v>
          </cell>
          <cell r="HZ65">
            <v>4000</v>
          </cell>
          <cell r="IA65">
            <v>4000</v>
          </cell>
          <cell r="IC65">
            <v>4000</v>
          </cell>
          <cell r="ID65">
            <v>4000</v>
          </cell>
          <cell r="IF65">
            <v>4000</v>
          </cell>
        </row>
        <row r="66">
          <cell r="GP66" t="str">
            <v>Titanium Tubes Option</v>
          </cell>
          <cell r="GS66">
            <v>0</v>
          </cell>
          <cell r="GV66">
            <v>0</v>
          </cell>
          <cell r="GY66">
            <v>0</v>
          </cell>
          <cell r="HB66">
            <v>0</v>
          </cell>
          <cell r="HE66">
            <v>0</v>
          </cell>
          <cell r="HH66">
            <v>0</v>
          </cell>
          <cell r="HK66">
            <v>0</v>
          </cell>
          <cell r="HN66">
            <v>0</v>
          </cell>
          <cell r="HQ66">
            <v>0</v>
          </cell>
          <cell r="HT66">
            <v>0</v>
          </cell>
          <cell r="HW66">
            <v>0</v>
          </cell>
          <cell r="HZ66">
            <v>0</v>
          </cell>
          <cell r="IC66">
            <v>0</v>
          </cell>
          <cell r="IF66">
            <v>0</v>
          </cell>
        </row>
        <row r="67">
          <cell r="GP67" t="str">
            <v>Air Removal Skid - Hogger only (Vac. Pumps Incl.w/Condr.)</v>
          </cell>
          <cell r="GQ67">
            <v>100</v>
          </cell>
          <cell r="GS67">
            <v>100</v>
          </cell>
          <cell r="GT67">
            <v>100</v>
          </cell>
          <cell r="GV67">
            <v>100</v>
          </cell>
          <cell r="GW67">
            <v>100</v>
          </cell>
          <cell r="GY67">
            <v>100</v>
          </cell>
          <cell r="GZ67">
            <v>100</v>
          </cell>
          <cell r="HB67">
            <v>100</v>
          </cell>
          <cell r="HC67">
            <v>100</v>
          </cell>
          <cell r="HE67">
            <v>100</v>
          </cell>
          <cell r="HF67">
            <v>100</v>
          </cell>
          <cell r="HH67">
            <v>100</v>
          </cell>
          <cell r="HI67">
            <v>100</v>
          </cell>
          <cell r="HK67">
            <v>100</v>
          </cell>
          <cell r="HL67">
            <v>100</v>
          </cell>
          <cell r="HN67">
            <v>100</v>
          </cell>
          <cell r="HO67">
            <v>100</v>
          </cell>
          <cell r="HQ67">
            <v>100</v>
          </cell>
          <cell r="HR67">
            <v>100</v>
          </cell>
          <cell r="HT67">
            <v>100</v>
          </cell>
          <cell r="HU67">
            <v>100</v>
          </cell>
          <cell r="HW67">
            <v>100</v>
          </cell>
          <cell r="HX67">
            <v>100</v>
          </cell>
          <cell r="HZ67">
            <v>100</v>
          </cell>
          <cell r="IA67">
            <v>100</v>
          </cell>
          <cell r="IC67">
            <v>100</v>
          </cell>
          <cell r="ID67">
            <v>100</v>
          </cell>
          <cell r="IF67">
            <v>100</v>
          </cell>
        </row>
        <row r="68">
          <cell r="GP68" t="str">
            <v>Air Removal Skid - Complete</v>
          </cell>
          <cell r="GQ68">
            <v>100</v>
          </cell>
          <cell r="GS68">
            <v>100</v>
          </cell>
          <cell r="GT68">
            <v>100</v>
          </cell>
          <cell r="GV68">
            <v>100</v>
          </cell>
          <cell r="GW68">
            <v>100</v>
          </cell>
          <cell r="GY68">
            <v>100</v>
          </cell>
          <cell r="GZ68">
            <v>100</v>
          </cell>
          <cell r="HB68">
            <v>100</v>
          </cell>
          <cell r="HC68">
            <v>100</v>
          </cell>
          <cell r="HE68">
            <v>100</v>
          </cell>
          <cell r="HF68">
            <v>100</v>
          </cell>
          <cell r="HH68">
            <v>100</v>
          </cell>
          <cell r="HI68">
            <v>100</v>
          </cell>
          <cell r="HK68">
            <v>100</v>
          </cell>
          <cell r="HL68">
            <v>100</v>
          </cell>
          <cell r="HN68">
            <v>100</v>
          </cell>
          <cell r="HO68">
            <v>100</v>
          </cell>
          <cell r="HQ68">
            <v>100</v>
          </cell>
          <cell r="HR68">
            <v>100</v>
          </cell>
          <cell r="HT68">
            <v>100</v>
          </cell>
          <cell r="HU68">
            <v>100</v>
          </cell>
          <cell r="HW68">
            <v>100</v>
          </cell>
          <cell r="HX68">
            <v>100</v>
          </cell>
          <cell r="HZ68">
            <v>100</v>
          </cell>
          <cell r="IA68">
            <v>100</v>
          </cell>
          <cell r="IC68">
            <v>100</v>
          </cell>
          <cell r="ID68">
            <v>100</v>
          </cell>
          <cell r="IF68">
            <v>100</v>
          </cell>
        </row>
        <row r="69">
          <cell r="GP69" t="str">
            <v>Air Cooled Condenser</v>
          </cell>
          <cell r="GQ69">
            <v>150000</v>
          </cell>
          <cell r="GS69">
            <v>150000</v>
          </cell>
          <cell r="GT69">
            <v>150000</v>
          </cell>
          <cell r="GV69">
            <v>150000</v>
          </cell>
          <cell r="GW69">
            <v>150000</v>
          </cell>
          <cell r="GY69">
            <v>150000</v>
          </cell>
          <cell r="GZ69">
            <v>150000</v>
          </cell>
          <cell r="HB69">
            <v>150000</v>
          </cell>
          <cell r="HC69">
            <v>150000</v>
          </cell>
          <cell r="HE69">
            <v>150000</v>
          </cell>
          <cell r="HF69">
            <v>150000</v>
          </cell>
          <cell r="HH69">
            <v>150000</v>
          </cell>
          <cell r="HI69">
            <v>150000</v>
          </cell>
          <cell r="HK69">
            <v>150000</v>
          </cell>
          <cell r="HL69">
            <v>150000</v>
          </cell>
          <cell r="HN69">
            <v>150000</v>
          </cell>
          <cell r="HO69">
            <v>150000</v>
          </cell>
          <cell r="HQ69">
            <v>150000</v>
          </cell>
          <cell r="HR69">
            <v>150000</v>
          </cell>
          <cell r="HT69">
            <v>150000</v>
          </cell>
          <cell r="HU69">
            <v>150000</v>
          </cell>
          <cell r="HW69">
            <v>150000</v>
          </cell>
          <cell r="HX69">
            <v>150000</v>
          </cell>
          <cell r="HZ69">
            <v>150000</v>
          </cell>
          <cell r="IA69">
            <v>150000</v>
          </cell>
          <cell r="IC69">
            <v>150000</v>
          </cell>
          <cell r="ID69">
            <v>150000</v>
          </cell>
          <cell r="IF69">
            <v>150000</v>
          </cell>
        </row>
        <row r="70">
          <cell r="GP70" t="str">
            <v>Cooling Tower</v>
          </cell>
          <cell r="GS70">
            <v>0</v>
          </cell>
          <cell r="GV70">
            <v>0</v>
          </cell>
          <cell r="GY70">
            <v>0</v>
          </cell>
          <cell r="HB70">
            <v>0</v>
          </cell>
          <cell r="HE70">
            <v>0</v>
          </cell>
          <cell r="HH70">
            <v>0</v>
          </cell>
          <cell r="HK70">
            <v>0</v>
          </cell>
          <cell r="HN70">
            <v>0</v>
          </cell>
          <cell r="HQ70">
            <v>0</v>
          </cell>
          <cell r="HT70">
            <v>0</v>
          </cell>
          <cell r="HW70">
            <v>0</v>
          </cell>
          <cell r="HZ70">
            <v>0</v>
          </cell>
          <cell r="IC70">
            <v>0</v>
          </cell>
          <cell r="IF70">
            <v>0</v>
          </cell>
        </row>
        <row r="71">
          <cell r="GP71" t="str">
            <v>Noise Attenuation Option</v>
          </cell>
          <cell r="GS71">
            <v>0</v>
          </cell>
          <cell r="GV71">
            <v>0</v>
          </cell>
          <cell r="GY71">
            <v>0</v>
          </cell>
          <cell r="HB71">
            <v>0</v>
          </cell>
          <cell r="HE71">
            <v>0</v>
          </cell>
          <cell r="HH71">
            <v>0</v>
          </cell>
          <cell r="HK71">
            <v>0</v>
          </cell>
          <cell r="HN71">
            <v>0</v>
          </cell>
          <cell r="HQ71">
            <v>0</v>
          </cell>
          <cell r="HT71">
            <v>0</v>
          </cell>
          <cell r="HW71">
            <v>0</v>
          </cell>
          <cell r="HZ71">
            <v>0</v>
          </cell>
          <cell r="IC71">
            <v>0</v>
          </cell>
          <cell r="IF71">
            <v>0</v>
          </cell>
        </row>
        <row r="72">
          <cell r="GP72" t="str">
            <v>Plume Abatement Option</v>
          </cell>
          <cell r="GS72">
            <v>0</v>
          </cell>
          <cell r="GV72">
            <v>0</v>
          </cell>
          <cell r="GY72">
            <v>0</v>
          </cell>
          <cell r="HB72">
            <v>0</v>
          </cell>
          <cell r="HE72">
            <v>0</v>
          </cell>
          <cell r="HH72">
            <v>0</v>
          </cell>
          <cell r="HK72">
            <v>0</v>
          </cell>
          <cell r="HN72">
            <v>0</v>
          </cell>
          <cell r="HQ72">
            <v>0</v>
          </cell>
          <cell r="HT72">
            <v>0</v>
          </cell>
          <cell r="HW72">
            <v>0</v>
          </cell>
          <cell r="HZ72">
            <v>0</v>
          </cell>
          <cell r="IC72">
            <v>0</v>
          </cell>
          <cell r="IF72">
            <v>0</v>
          </cell>
        </row>
        <row r="73">
          <cell r="GP73" t="str">
            <v>SS Pump Intake Screens</v>
          </cell>
          <cell r="GQ73">
            <v>200</v>
          </cell>
          <cell r="GS73">
            <v>200</v>
          </cell>
          <cell r="GV73">
            <v>0</v>
          </cell>
          <cell r="GY73">
            <v>0</v>
          </cell>
          <cell r="HB73">
            <v>0</v>
          </cell>
          <cell r="HE73">
            <v>0</v>
          </cell>
          <cell r="HH73">
            <v>0</v>
          </cell>
          <cell r="HK73">
            <v>0</v>
          </cell>
          <cell r="HN73">
            <v>0</v>
          </cell>
          <cell r="HQ73">
            <v>0</v>
          </cell>
          <cell r="HR73">
            <v>200</v>
          </cell>
          <cell r="HT73">
            <v>200</v>
          </cell>
          <cell r="HW73">
            <v>0</v>
          </cell>
          <cell r="HZ73">
            <v>0</v>
          </cell>
          <cell r="IC73">
            <v>0</v>
          </cell>
          <cell r="IF73">
            <v>0</v>
          </cell>
        </row>
        <row r="74">
          <cell r="GP74" t="str">
            <v>Travelling Screens</v>
          </cell>
          <cell r="GS74">
            <v>0</v>
          </cell>
          <cell r="GV74">
            <v>0</v>
          </cell>
          <cell r="GY74">
            <v>0</v>
          </cell>
          <cell r="HB74">
            <v>0</v>
          </cell>
          <cell r="HE74">
            <v>0</v>
          </cell>
          <cell r="HH74">
            <v>0</v>
          </cell>
          <cell r="HK74">
            <v>0</v>
          </cell>
          <cell r="HN74">
            <v>0</v>
          </cell>
          <cell r="HQ74">
            <v>0</v>
          </cell>
          <cell r="HT74">
            <v>0</v>
          </cell>
          <cell r="HW74">
            <v>0</v>
          </cell>
          <cell r="HZ74">
            <v>0</v>
          </cell>
          <cell r="IC74">
            <v>0</v>
          </cell>
          <cell r="IF74">
            <v>0</v>
          </cell>
        </row>
        <row r="75">
          <cell r="GP75" t="str">
            <v>Screen Wash Pump</v>
          </cell>
          <cell r="GS75">
            <v>0</v>
          </cell>
          <cell r="GV75">
            <v>0</v>
          </cell>
          <cell r="GY75">
            <v>0</v>
          </cell>
          <cell r="HB75">
            <v>0</v>
          </cell>
          <cell r="HE75">
            <v>0</v>
          </cell>
          <cell r="HH75">
            <v>0</v>
          </cell>
          <cell r="HK75">
            <v>0</v>
          </cell>
          <cell r="HN75">
            <v>0</v>
          </cell>
          <cell r="HQ75">
            <v>0</v>
          </cell>
          <cell r="HT75">
            <v>0</v>
          </cell>
          <cell r="HW75">
            <v>0</v>
          </cell>
          <cell r="HZ75">
            <v>0</v>
          </cell>
          <cell r="IC75">
            <v>0</v>
          </cell>
          <cell r="IF75">
            <v>0</v>
          </cell>
        </row>
        <row r="76">
          <cell r="GP76" t="str">
            <v>Plant Aux Cooling WSAC</v>
          </cell>
          <cell r="GQ76">
            <v>3600</v>
          </cell>
          <cell r="GS76">
            <v>3600</v>
          </cell>
          <cell r="GV76">
            <v>0</v>
          </cell>
          <cell r="GY76">
            <v>0</v>
          </cell>
          <cell r="HB76">
            <v>0</v>
          </cell>
          <cell r="HE76">
            <v>0</v>
          </cell>
          <cell r="HH76">
            <v>0</v>
          </cell>
          <cell r="HK76">
            <v>0</v>
          </cell>
          <cell r="HN76">
            <v>0</v>
          </cell>
          <cell r="HQ76">
            <v>0</v>
          </cell>
          <cell r="HR76">
            <v>3600</v>
          </cell>
          <cell r="HT76">
            <v>3600</v>
          </cell>
          <cell r="HW76">
            <v>0</v>
          </cell>
          <cell r="HZ76">
            <v>0</v>
          </cell>
          <cell r="IC76">
            <v>0</v>
          </cell>
          <cell r="IF76">
            <v>0</v>
          </cell>
        </row>
        <row r="77">
          <cell r="GP77" t="str">
            <v>GTG Aux Cooling WSAC</v>
          </cell>
          <cell r="GQ77">
            <v>3600</v>
          </cell>
          <cell r="GS77">
            <v>3600</v>
          </cell>
          <cell r="GV77">
            <v>0</v>
          </cell>
          <cell r="GY77">
            <v>0</v>
          </cell>
          <cell r="HB77">
            <v>0</v>
          </cell>
          <cell r="HE77">
            <v>0</v>
          </cell>
          <cell r="HH77">
            <v>0</v>
          </cell>
          <cell r="HK77">
            <v>0</v>
          </cell>
          <cell r="HN77">
            <v>0</v>
          </cell>
          <cell r="HQ77">
            <v>0</v>
          </cell>
          <cell r="HR77">
            <v>3600</v>
          </cell>
          <cell r="HT77">
            <v>3600</v>
          </cell>
          <cell r="HW77">
            <v>0</v>
          </cell>
          <cell r="HZ77">
            <v>0</v>
          </cell>
          <cell r="IC77">
            <v>0</v>
          </cell>
          <cell r="IF77">
            <v>0</v>
          </cell>
        </row>
        <row r="78">
          <cell r="GP78" t="str">
            <v>BOP Aux Fin Fan Coolers</v>
          </cell>
          <cell r="GQ78">
            <v>5200</v>
          </cell>
          <cell r="GS78">
            <v>5200</v>
          </cell>
          <cell r="GV78">
            <v>0</v>
          </cell>
          <cell r="GY78">
            <v>0</v>
          </cell>
          <cell r="HB78">
            <v>0</v>
          </cell>
          <cell r="HE78">
            <v>0</v>
          </cell>
          <cell r="HH78">
            <v>0</v>
          </cell>
          <cell r="HK78">
            <v>0</v>
          </cell>
          <cell r="HN78">
            <v>0</v>
          </cell>
          <cell r="HQ78">
            <v>0</v>
          </cell>
          <cell r="HR78">
            <v>5200</v>
          </cell>
          <cell r="HT78">
            <v>5200</v>
          </cell>
          <cell r="HW78">
            <v>0</v>
          </cell>
          <cell r="HZ78">
            <v>0</v>
          </cell>
          <cell r="IC78">
            <v>0</v>
          </cell>
          <cell r="IF78">
            <v>0</v>
          </cell>
        </row>
        <row r="79">
          <cell r="GP79" t="str">
            <v>GTG Aux Fin Fan Coolers</v>
          </cell>
          <cell r="GQ79">
            <v>5200</v>
          </cell>
          <cell r="GS79">
            <v>5200</v>
          </cell>
          <cell r="GV79">
            <v>0</v>
          </cell>
          <cell r="GY79">
            <v>0</v>
          </cell>
          <cell r="HB79">
            <v>0</v>
          </cell>
          <cell r="HE79">
            <v>0</v>
          </cell>
          <cell r="HH79">
            <v>0</v>
          </cell>
          <cell r="HK79">
            <v>0</v>
          </cell>
          <cell r="HN79">
            <v>0</v>
          </cell>
          <cell r="HQ79">
            <v>0</v>
          </cell>
          <cell r="HR79">
            <v>5200</v>
          </cell>
          <cell r="HT79">
            <v>5200</v>
          </cell>
          <cell r="HW79">
            <v>0</v>
          </cell>
          <cell r="HZ79">
            <v>0</v>
          </cell>
          <cell r="IC79">
            <v>0</v>
          </cell>
          <cell r="IF79">
            <v>0</v>
          </cell>
        </row>
        <row r="80">
          <cell r="GP80" t="str">
            <v>Fin-Tube to Air (LMS100)</v>
          </cell>
          <cell r="GS80">
            <v>0</v>
          </cell>
          <cell r="GV80">
            <v>0</v>
          </cell>
          <cell r="GY80">
            <v>0</v>
          </cell>
          <cell r="HB80">
            <v>0</v>
          </cell>
          <cell r="HE80">
            <v>0</v>
          </cell>
          <cell r="HH80">
            <v>0</v>
          </cell>
          <cell r="HK80">
            <v>0</v>
          </cell>
          <cell r="HN80">
            <v>0</v>
          </cell>
          <cell r="HQ80">
            <v>0</v>
          </cell>
          <cell r="HT80">
            <v>0</v>
          </cell>
          <cell r="HW80">
            <v>0</v>
          </cell>
          <cell r="HZ80">
            <v>0</v>
          </cell>
          <cell r="IC80">
            <v>0</v>
          </cell>
          <cell r="IF80">
            <v>0</v>
          </cell>
        </row>
        <row r="81">
          <cell r="GP81" t="str">
            <v>CCW Plate and Frame HX</v>
          </cell>
          <cell r="GQ81">
            <v>0</v>
          </cell>
          <cell r="GS81">
            <v>0</v>
          </cell>
          <cell r="GT81">
            <v>0</v>
          </cell>
          <cell r="GV81">
            <v>0</v>
          </cell>
          <cell r="GW81">
            <v>0</v>
          </cell>
          <cell r="GY81">
            <v>0</v>
          </cell>
          <cell r="GZ81">
            <v>0</v>
          </cell>
          <cell r="HB81">
            <v>0</v>
          </cell>
          <cell r="HC81">
            <v>0</v>
          </cell>
          <cell r="HE81">
            <v>0</v>
          </cell>
          <cell r="HF81">
            <v>0</v>
          </cell>
          <cell r="HH81">
            <v>0</v>
          </cell>
          <cell r="HI81">
            <v>0</v>
          </cell>
          <cell r="HK81">
            <v>0</v>
          </cell>
          <cell r="HL81">
            <v>0</v>
          </cell>
          <cell r="HN81">
            <v>0</v>
          </cell>
          <cell r="HO81">
            <v>0</v>
          </cell>
          <cell r="HQ81">
            <v>0</v>
          </cell>
          <cell r="HR81">
            <v>0</v>
          </cell>
          <cell r="HT81">
            <v>0</v>
          </cell>
          <cell r="HU81">
            <v>0</v>
          </cell>
          <cell r="HW81">
            <v>0</v>
          </cell>
          <cell r="HX81">
            <v>0</v>
          </cell>
          <cell r="HZ81">
            <v>0</v>
          </cell>
          <cell r="IA81">
            <v>0</v>
          </cell>
          <cell r="IC81">
            <v>0</v>
          </cell>
          <cell r="ID81">
            <v>0</v>
          </cell>
          <cell r="IF81">
            <v>0</v>
          </cell>
        </row>
        <row r="82">
          <cell r="GP82" t="str">
            <v>CCW Shell and Tube HX</v>
          </cell>
          <cell r="GQ82">
            <v>300</v>
          </cell>
          <cell r="GS82">
            <v>300</v>
          </cell>
          <cell r="GV82">
            <v>0</v>
          </cell>
          <cell r="GY82">
            <v>0</v>
          </cell>
          <cell r="HB82">
            <v>0</v>
          </cell>
          <cell r="HE82">
            <v>0</v>
          </cell>
          <cell r="HH82">
            <v>0</v>
          </cell>
          <cell r="HK82">
            <v>0</v>
          </cell>
          <cell r="HN82">
            <v>0</v>
          </cell>
          <cell r="HQ82">
            <v>0</v>
          </cell>
          <cell r="HR82">
            <v>300</v>
          </cell>
          <cell r="HT82">
            <v>300</v>
          </cell>
          <cell r="HW82">
            <v>0</v>
          </cell>
          <cell r="HZ82">
            <v>0</v>
          </cell>
          <cell r="IC82">
            <v>0</v>
          </cell>
          <cell r="IF82">
            <v>0</v>
          </cell>
        </row>
        <row r="83">
          <cell r="GP83" t="str">
            <v>HP/IP HRSG Boiler Feed Pump (Ring-Section)</v>
          </cell>
          <cell r="GQ83">
            <v>0</v>
          </cell>
          <cell r="GS83">
            <v>0</v>
          </cell>
          <cell r="GT83">
            <v>0</v>
          </cell>
          <cell r="GV83">
            <v>0</v>
          </cell>
          <cell r="GW83">
            <v>0</v>
          </cell>
          <cell r="GY83">
            <v>0</v>
          </cell>
          <cell r="GZ83">
            <v>0</v>
          </cell>
          <cell r="HB83">
            <v>0</v>
          </cell>
          <cell r="HC83">
            <v>0</v>
          </cell>
          <cell r="HE83">
            <v>0</v>
          </cell>
          <cell r="HF83">
            <v>0</v>
          </cell>
          <cell r="HH83">
            <v>0</v>
          </cell>
          <cell r="HI83">
            <v>0</v>
          </cell>
          <cell r="HK83">
            <v>0</v>
          </cell>
          <cell r="HL83">
            <v>0</v>
          </cell>
          <cell r="HN83">
            <v>0</v>
          </cell>
          <cell r="HO83">
            <v>0</v>
          </cell>
          <cell r="HQ83">
            <v>0</v>
          </cell>
          <cell r="HR83">
            <v>0</v>
          </cell>
          <cell r="HT83">
            <v>0</v>
          </cell>
          <cell r="HU83">
            <v>0</v>
          </cell>
          <cell r="HW83">
            <v>0</v>
          </cell>
          <cell r="HX83">
            <v>0</v>
          </cell>
          <cell r="HZ83">
            <v>0</v>
          </cell>
          <cell r="IA83">
            <v>0</v>
          </cell>
          <cell r="IC83">
            <v>0</v>
          </cell>
          <cell r="ID83">
            <v>0</v>
          </cell>
          <cell r="IF83">
            <v>0</v>
          </cell>
        </row>
        <row r="84">
          <cell r="GP84" t="str">
            <v>HP/IP HRSG Boiler Feed Pump (Horizontally Split)</v>
          </cell>
          <cell r="GQ84">
            <v>0</v>
          </cell>
          <cell r="GS84">
            <v>0</v>
          </cell>
          <cell r="GT84">
            <v>0</v>
          </cell>
          <cell r="GV84">
            <v>0</v>
          </cell>
          <cell r="GW84">
            <v>0</v>
          </cell>
          <cell r="GY84">
            <v>0</v>
          </cell>
          <cell r="GZ84">
            <v>0</v>
          </cell>
          <cell r="HB84">
            <v>0</v>
          </cell>
          <cell r="HC84">
            <v>0</v>
          </cell>
          <cell r="HE84">
            <v>0</v>
          </cell>
          <cell r="HF84">
            <v>0</v>
          </cell>
          <cell r="HH84">
            <v>0</v>
          </cell>
          <cell r="HI84">
            <v>0</v>
          </cell>
          <cell r="HK84">
            <v>0</v>
          </cell>
          <cell r="HL84">
            <v>0</v>
          </cell>
          <cell r="HN84">
            <v>0</v>
          </cell>
          <cell r="HO84">
            <v>0</v>
          </cell>
          <cell r="HQ84">
            <v>0</v>
          </cell>
          <cell r="HR84">
            <v>0</v>
          </cell>
          <cell r="HT84">
            <v>0</v>
          </cell>
          <cell r="HU84">
            <v>0</v>
          </cell>
          <cell r="HW84">
            <v>0</v>
          </cell>
          <cell r="HX84">
            <v>0</v>
          </cell>
          <cell r="HZ84">
            <v>0</v>
          </cell>
          <cell r="IA84">
            <v>0</v>
          </cell>
          <cell r="IC84">
            <v>0</v>
          </cell>
          <cell r="ID84">
            <v>0</v>
          </cell>
          <cell r="IF84">
            <v>0</v>
          </cell>
        </row>
        <row r="85">
          <cell r="GP85" t="str">
            <v>Circulating/Cooling Water Pump</v>
          </cell>
          <cell r="GQ85">
            <v>0</v>
          </cell>
          <cell r="GS85">
            <v>0</v>
          </cell>
          <cell r="GT85">
            <v>0</v>
          </cell>
          <cell r="GV85">
            <v>0</v>
          </cell>
          <cell r="GW85">
            <v>0</v>
          </cell>
          <cell r="GY85">
            <v>0</v>
          </cell>
          <cell r="GZ85">
            <v>0</v>
          </cell>
          <cell r="HB85">
            <v>0</v>
          </cell>
          <cell r="HC85">
            <v>0</v>
          </cell>
          <cell r="HE85">
            <v>0</v>
          </cell>
          <cell r="HF85">
            <v>0</v>
          </cell>
          <cell r="HH85">
            <v>0</v>
          </cell>
          <cell r="HI85">
            <v>0</v>
          </cell>
          <cell r="HK85">
            <v>0</v>
          </cell>
          <cell r="HL85">
            <v>0</v>
          </cell>
          <cell r="HN85">
            <v>0</v>
          </cell>
          <cell r="HO85">
            <v>0</v>
          </cell>
          <cell r="HQ85">
            <v>0</v>
          </cell>
          <cell r="HR85">
            <v>0</v>
          </cell>
          <cell r="HT85">
            <v>0</v>
          </cell>
          <cell r="HU85">
            <v>0</v>
          </cell>
          <cell r="HW85">
            <v>0</v>
          </cell>
          <cell r="HX85">
            <v>0</v>
          </cell>
          <cell r="HZ85">
            <v>0</v>
          </cell>
          <cell r="IA85">
            <v>0</v>
          </cell>
          <cell r="IC85">
            <v>0</v>
          </cell>
          <cell r="ID85">
            <v>0</v>
          </cell>
          <cell r="IF85">
            <v>0</v>
          </cell>
        </row>
        <row r="86">
          <cell r="GP86" t="str">
            <v>Auxiliary Cooling Water Pump</v>
          </cell>
          <cell r="GQ86">
            <v>0</v>
          </cell>
          <cell r="GS86">
            <v>0</v>
          </cell>
          <cell r="GT86">
            <v>0</v>
          </cell>
          <cell r="GV86">
            <v>0</v>
          </cell>
          <cell r="GW86">
            <v>0</v>
          </cell>
          <cell r="GY86">
            <v>0</v>
          </cell>
          <cell r="GZ86">
            <v>0</v>
          </cell>
          <cell r="HB86">
            <v>0</v>
          </cell>
          <cell r="HC86">
            <v>0</v>
          </cell>
          <cell r="HE86">
            <v>0</v>
          </cell>
          <cell r="HF86">
            <v>0</v>
          </cell>
          <cell r="HH86">
            <v>0</v>
          </cell>
          <cell r="HI86">
            <v>0</v>
          </cell>
          <cell r="HK86">
            <v>0</v>
          </cell>
          <cell r="HL86">
            <v>0</v>
          </cell>
          <cell r="HN86">
            <v>0</v>
          </cell>
          <cell r="HO86">
            <v>0</v>
          </cell>
          <cell r="HQ86">
            <v>0</v>
          </cell>
          <cell r="HR86">
            <v>0</v>
          </cell>
          <cell r="HT86">
            <v>0</v>
          </cell>
          <cell r="HU86">
            <v>0</v>
          </cell>
          <cell r="HW86">
            <v>0</v>
          </cell>
          <cell r="HX86">
            <v>0</v>
          </cell>
          <cell r="HZ86">
            <v>0</v>
          </cell>
          <cell r="IA86">
            <v>0</v>
          </cell>
          <cell r="IC86">
            <v>0</v>
          </cell>
          <cell r="ID86">
            <v>0</v>
          </cell>
          <cell r="IF86">
            <v>0</v>
          </cell>
        </row>
        <row r="87">
          <cell r="GP87" t="str">
            <v>Condensate Hotwell Pump</v>
          </cell>
          <cell r="GQ87">
            <v>0</v>
          </cell>
          <cell r="GS87">
            <v>0</v>
          </cell>
          <cell r="GT87">
            <v>0</v>
          </cell>
          <cell r="GV87">
            <v>0</v>
          </cell>
          <cell r="GW87">
            <v>0</v>
          </cell>
          <cell r="GY87">
            <v>0</v>
          </cell>
          <cell r="GZ87">
            <v>0</v>
          </cell>
          <cell r="HB87">
            <v>0</v>
          </cell>
          <cell r="HC87">
            <v>0</v>
          </cell>
          <cell r="HE87">
            <v>0</v>
          </cell>
          <cell r="HF87">
            <v>0</v>
          </cell>
          <cell r="HH87">
            <v>0</v>
          </cell>
          <cell r="HI87">
            <v>0</v>
          </cell>
          <cell r="HK87">
            <v>0</v>
          </cell>
          <cell r="HL87">
            <v>0</v>
          </cell>
          <cell r="HN87">
            <v>0</v>
          </cell>
          <cell r="HO87">
            <v>0</v>
          </cell>
          <cell r="HQ87">
            <v>0</v>
          </cell>
          <cell r="HR87">
            <v>0</v>
          </cell>
          <cell r="HT87">
            <v>0</v>
          </cell>
          <cell r="HU87">
            <v>0</v>
          </cell>
          <cell r="HW87">
            <v>0</v>
          </cell>
          <cell r="HX87">
            <v>0</v>
          </cell>
          <cell r="HZ87">
            <v>0</v>
          </cell>
          <cell r="IA87">
            <v>0</v>
          </cell>
          <cell r="IC87">
            <v>0</v>
          </cell>
          <cell r="ID87">
            <v>0</v>
          </cell>
          <cell r="IF87">
            <v>0</v>
          </cell>
        </row>
        <row r="88">
          <cell r="GP88" t="str">
            <v>Demin Water Forwarding Pump</v>
          </cell>
          <cell r="GQ88">
            <v>0</v>
          </cell>
          <cell r="GS88">
            <v>0</v>
          </cell>
          <cell r="GT88">
            <v>0</v>
          </cell>
          <cell r="GV88">
            <v>0</v>
          </cell>
          <cell r="GW88">
            <v>0</v>
          </cell>
          <cell r="GY88">
            <v>0</v>
          </cell>
          <cell r="GZ88">
            <v>0</v>
          </cell>
          <cell r="HB88">
            <v>0</v>
          </cell>
          <cell r="HC88">
            <v>0</v>
          </cell>
          <cell r="HE88">
            <v>0</v>
          </cell>
          <cell r="HF88">
            <v>0</v>
          </cell>
          <cell r="HH88">
            <v>0</v>
          </cell>
          <cell r="HI88">
            <v>0</v>
          </cell>
          <cell r="HK88">
            <v>0</v>
          </cell>
          <cell r="HL88">
            <v>0</v>
          </cell>
          <cell r="HN88">
            <v>0</v>
          </cell>
          <cell r="HO88">
            <v>0</v>
          </cell>
          <cell r="HQ88">
            <v>0</v>
          </cell>
          <cell r="HR88">
            <v>0</v>
          </cell>
          <cell r="HT88">
            <v>0</v>
          </cell>
          <cell r="HU88">
            <v>0</v>
          </cell>
          <cell r="HW88">
            <v>0</v>
          </cell>
          <cell r="HX88">
            <v>0</v>
          </cell>
          <cell r="HZ88">
            <v>0</v>
          </cell>
          <cell r="IA88">
            <v>0</v>
          </cell>
          <cell r="IC88">
            <v>0</v>
          </cell>
          <cell r="ID88">
            <v>0</v>
          </cell>
          <cell r="IF88">
            <v>0</v>
          </cell>
        </row>
        <row r="89">
          <cell r="GP89" t="str">
            <v>NOx Injection Pumps</v>
          </cell>
          <cell r="GQ89">
            <v>100</v>
          </cell>
          <cell r="GS89">
            <v>100</v>
          </cell>
          <cell r="GT89">
            <v>100</v>
          </cell>
          <cell r="GV89">
            <v>100</v>
          </cell>
          <cell r="GW89">
            <v>100</v>
          </cell>
          <cell r="GY89">
            <v>100</v>
          </cell>
          <cell r="GZ89">
            <v>100</v>
          </cell>
          <cell r="HB89">
            <v>100</v>
          </cell>
          <cell r="HC89">
            <v>100</v>
          </cell>
          <cell r="HE89">
            <v>100</v>
          </cell>
          <cell r="HF89">
            <v>100</v>
          </cell>
          <cell r="HH89">
            <v>100</v>
          </cell>
          <cell r="HI89">
            <v>100</v>
          </cell>
          <cell r="HK89">
            <v>100</v>
          </cell>
          <cell r="HL89">
            <v>100</v>
          </cell>
          <cell r="HN89">
            <v>100</v>
          </cell>
          <cell r="HO89">
            <v>100</v>
          </cell>
          <cell r="HQ89">
            <v>100</v>
          </cell>
          <cell r="HR89">
            <v>100</v>
          </cell>
          <cell r="HT89">
            <v>100</v>
          </cell>
          <cell r="HU89">
            <v>100</v>
          </cell>
          <cell r="HW89">
            <v>100</v>
          </cell>
          <cell r="HX89">
            <v>100</v>
          </cell>
          <cell r="HZ89">
            <v>100</v>
          </cell>
          <cell r="IA89">
            <v>100</v>
          </cell>
          <cell r="IC89">
            <v>100</v>
          </cell>
          <cell r="ID89">
            <v>100</v>
          </cell>
          <cell r="IF89">
            <v>100</v>
          </cell>
        </row>
        <row r="90">
          <cell r="GP90" t="str">
            <v>LP Economizer Recirc Pump</v>
          </cell>
          <cell r="GS90">
            <v>0</v>
          </cell>
          <cell r="GV90">
            <v>0</v>
          </cell>
          <cell r="GY90">
            <v>0</v>
          </cell>
          <cell r="HB90">
            <v>0</v>
          </cell>
          <cell r="HE90">
            <v>0</v>
          </cell>
          <cell r="HH90">
            <v>0</v>
          </cell>
          <cell r="HK90">
            <v>0</v>
          </cell>
          <cell r="HN90">
            <v>0</v>
          </cell>
          <cell r="HQ90">
            <v>0</v>
          </cell>
          <cell r="HT90">
            <v>0</v>
          </cell>
          <cell r="HW90">
            <v>0</v>
          </cell>
          <cell r="HZ90">
            <v>0</v>
          </cell>
          <cell r="IC90">
            <v>0</v>
          </cell>
          <cell r="IF90">
            <v>0</v>
          </cell>
        </row>
        <row r="91">
          <cell r="GP91" t="str">
            <v>Misc. Alloy Pump 1</v>
          </cell>
          <cell r="GQ91">
            <v>0</v>
          </cell>
          <cell r="GS91">
            <v>0</v>
          </cell>
          <cell r="GT91">
            <v>0</v>
          </cell>
          <cell r="GV91">
            <v>0</v>
          </cell>
          <cell r="GW91">
            <v>0</v>
          </cell>
          <cell r="GY91">
            <v>0</v>
          </cell>
          <cell r="GZ91">
            <v>0</v>
          </cell>
          <cell r="HB91">
            <v>0</v>
          </cell>
          <cell r="HC91">
            <v>0</v>
          </cell>
          <cell r="HE91">
            <v>0</v>
          </cell>
          <cell r="HF91">
            <v>0</v>
          </cell>
          <cell r="HH91">
            <v>0</v>
          </cell>
          <cell r="HI91">
            <v>0</v>
          </cell>
          <cell r="HK91">
            <v>0</v>
          </cell>
          <cell r="HL91">
            <v>0</v>
          </cell>
          <cell r="HN91">
            <v>0</v>
          </cell>
          <cell r="HO91">
            <v>0</v>
          </cell>
          <cell r="HQ91">
            <v>0</v>
          </cell>
          <cell r="HR91">
            <v>0</v>
          </cell>
          <cell r="HT91">
            <v>0</v>
          </cell>
          <cell r="HU91">
            <v>0</v>
          </cell>
          <cell r="HW91">
            <v>0</v>
          </cell>
          <cell r="HX91">
            <v>0</v>
          </cell>
          <cell r="HZ91">
            <v>0</v>
          </cell>
          <cell r="IA91">
            <v>0</v>
          </cell>
          <cell r="IC91">
            <v>0</v>
          </cell>
          <cell r="ID91">
            <v>0</v>
          </cell>
          <cell r="IF91">
            <v>0</v>
          </cell>
        </row>
        <row r="92">
          <cell r="GP92" t="str">
            <v>Misc. Alloy Pump 2</v>
          </cell>
          <cell r="GQ92">
            <v>0</v>
          </cell>
          <cell r="GS92">
            <v>0</v>
          </cell>
          <cell r="GT92">
            <v>0</v>
          </cell>
          <cell r="GV92">
            <v>0</v>
          </cell>
          <cell r="GW92">
            <v>0</v>
          </cell>
          <cell r="GY92">
            <v>0</v>
          </cell>
          <cell r="GZ92">
            <v>0</v>
          </cell>
          <cell r="HB92">
            <v>0</v>
          </cell>
          <cell r="HC92">
            <v>0</v>
          </cell>
          <cell r="HE92">
            <v>0</v>
          </cell>
          <cell r="HF92">
            <v>0</v>
          </cell>
          <cell r="HH92">
            <v>0</v>
          </cell>
          <cell r="HI92">
            <v>0</v>
          </cell>
          <cell r="HK92">
            <v>0</v>
          </cell>
          <cell r="HL92">
            <v>0</v>
          </cell>
          <cell r="HN92">
            <v>0</v>
          </cell>
          <cell r="HO92">
            <v>0</v>
          </cell>
          <cell r="HQ92">
            <v>0</v>
          </cell>
          <cell r="HR92">
            <v>0</v>
          </cell>
          <cell r="HT92">
            <v>0</v>
          </cell>
          <cell r="HU92">
            <v>0</v>
          </cell>
          <cell r="HW92">
            <v>0</v>
          </cell>
          <cell r="HX92">
            <v>0</v>
          </cell>
          <cell r="HZ92">
            <v>0</v>
          </cell>
          <cell r="IA92">
            <v>0</v>
          </cell>
          <cell r="IC92">
            <v>0</v>
          </cell>
          <cell r="ID92">
            <v>0</v>
          </cell>
          <cell r="IF92">
            <v>0</v>
          </cell>
        </row>
        <row r="93">
          <cell r="GP93" t="str">
            <v>Misc. Alloy Pump 3</v>
          </cell>
          <cell r="GQ93">
            <v>0</v>
          </cell>
          <cell r="GS93">
            <v>0</v>
          </cell>
          <cell r="GT93">
            <v>0</v>
          </cell>
          <cell r="GV93">
            <v>0</v>
          </cell>
          <cell r="GW93">
            <v>0</v>
          </cell>
          <cell r="GY93">
            <v>0</v>
          </cell>
          <cell r="GZ93">
            <v>0</v>
          </cell>
          <cell r="HB93">
            <v>0</v>
          </cell>
          <cell r="HC93">
            <v>0</v>
          </cell>
          <cell r="HE93">
            <v>0</v>
          </cell>
          <cell r="HF93">
            <v>0</v>
          </cell>
          <cell r="HH93">
            <v>0</v>
          </cell>
          <cell r="HI93">
            <v>0</v>
          </cell>
          <cell r="HK93">
            <v>0</v>
          </cell>
          <cell r="HL93">
            <v>0</v>
          </cell>
          <cell r="HN93">
            <v>0</v>
          </cell>
          <cell r="HO93">
            <v>0</v>
          </cell>
          <cell r="HQ93">
            <v>0</v>
          </cell>
          <cell r="HR93">
            <v>0</v>
          </cell>
          <cell r="HT93">
            <v>0</v>
          </cell>
          <cell r="HU93">
            <v>0</v>
          </cell>
          <cell r="HW93">
            <v>0</v>
          </cell>
          <cell r="HX93">
            <v>0</v>
          </cell>
          <cell r="HZ93">
            <v>0</v>
          </cell>
          <cell r="IA93">
            <v>0</v>
          </cell>
          <cell r="IC93">
            <v>0</v>
          </cell>
          <cell r="ID93">
            <v>0</v>
          </cell>
          <cell r="IF93">
            <v>0</v>
          </cell>
        </row>
        <row r="94">
          <cell r="GP94" t="str">
            <v>BOP Closed Cooling Water Pump</v>
          </cell>
          <cell r="GQ94">
            <v>0</v>
          </cell>
          <cell r="GS94">
            <v>0</v>
          </cell>
          <cell r="GT94">
            <v>0</v>
          </cell>
          <cell r="GV94">
            <v>0</v>
          </cell>
          <cell r="GW94">
            <v>0</v>
          </cell>
          <cell r="GY94">
            <v>0</v>
          </cell>
          <cell r="GZ94">
            <v>0</v>
          </cell>
          <cell r="HB94">
            <v>0</v>
          </cell>
          <cell r="HC94">
            <v>0</v>
          </cell>
          <cell r="HE94">
            <v>0</v>
          </cell>
          <cell r="HF94">
            <v>0</v>
          </cell>
          <cell r="HH94">
            <v>0</v>
          </cell>
          <cell r="HI94">
            <v>0</v>
          </cell>
          <cell r="HK94">
            <v>0</v>
          </cell>
          <cell r="HL94">
            <v>0</v>
          </cell>
          <cell r="HN94">
            <v>0</v>
          </cell>
          <cell r="HO94">
            <v>0</v>
          </cell>
          <cell r="HQ94">
            <v>0</v>
          </cell>
          <cell r="HR94">
            <v>0</v>
          </cell>
          <cell r="HT94">
            <v>0</v>
          </cell>
          <cell r="HU94">
            <v>0</v>
          </cell>
          <cell r="HW94">
            <v>0</v>
          </cell>
          <cell r="HX94">
            <v>0</v>
          </cell>
          <cell r="HZ94">
            <v>0</v>
          </cell>
          <cell r="IA94">
            <v>0</v>
          </cell>
          <cell r="IC94">
            <v>0</v>
          </cell>
          <cell r="ID94">
            <v>0</v>
          </cell>
          <cell r="IF94">
            <v>0</v>
          </cell>
        </row>
        <row r="95">
          <cell r="GP95" t="str">
            <v>Service Water Pump</v>
          </cell>
          <cell r="GQ95">
            <v>100</v>
          </cell>
          <cell r="GS95">
            <v>100</v>
          </cell>
          <cell r="GT95">
            <v>100</v>
          </cell>
          <cell r="GV95">
            <v>100</v>
          </cell>
          <cell r="GW95">
            <v>100</v>
          </cell>
          <cell r="GY95">
            <v>100</v>
          </cell>
          <cell r="GZ95">
            <v>100</v>
          </cell>
          <cell r="HB95">
            <v>100</v>
          </cell>
          <cell r="HC95">
            <v>100</v>
          </cell>
          <cell r="HE95">
            <v>100</v>
          </cell>
          <cell r="HF95">
            <v>100</v>
          </cell>
          <cell r="HH95">
            <v>100</v>
          </cell>
          <cell r="HI95">
            <v>100</v>
          </cell>
          <cell r="HK95">
            <v>100</v>
          </cell>
          <cell r="HL95">
            <v>100</v>
          </cell>
          <cell r="HN95">
            <v>100</v>
          </cell>
          <cell r="HO95">
            <v>100</v>
          </cell>
          <cell r="HQ95">
            <v>100</v>
          </cell>
          <cell r="HR95">
            <v>100</v>
          </cell>
          <cell r="HT95">
            <v>100</v>
          </cell>
          <cell r="HU95">
            <v>100</v>
          </cell>
          <cell r="HW95">
            <v>100</v>
          </cell>
          <cell r="HX95">
            <v>100</v>
          </cell>
          <cell r="HZ95">
            <v>100</v>
          </cell>
          <cell r="IA95">
            <v>100</v>
          </cell>
          <cell r="IC95">
            <v>100</v>
          </cell>
          <cell r="ID95">
            <v>100</v>
          </cell>
          <cell r="IF95">
            <v>100</v>
          </cell>
        </row>
        <row r="96">
          <cell r="GP96" t="str">
            <v>Evap Cooler Makeup Pump</v>
          </cell>
          <cell r="GQ96">
            <v>100</v>
          </cell>
          <cell r="GS96">
            <v>100</v>
          </cell>
          <cell r="GT96">
            <v>100</v>
          </cell>
          <cell r="GV96">
            <v>100</v>
          </cell>
          <cell r="GW96">
            <v>100</v>
          </cell>
          <cell r="GY96">
            <v>100</v>
          </cell>
          <cell r="GZ96">
            <v>100</v>
          </cell>
          <cell r="HB96">
            <v>100</v>
          </cell>
          <cell r="HC96">
            <v>100</v>
          </cell>
          <cell r="HE96">
            <v>100</v>
          </cell>
          <cell r="HF96">
            <v>100</v>
          </cell>
          <cell r="HH96">
            <v>100</v>
          </cell>
          <cell r="HI96">
            <v>100</v>
          </cell>
          <cell r="HK96">
            <v>100</v>
          </cell>
          <cell r="HL96">
            <v>100</v>
          </cell>
          <cell r="HN96">
            <v>100</v>
          </cell>
          <cell r="HO96">
            <v>100</v>
          </cell>
          <cell r="HQ96">
            <v>100</v>
          </cell>
          <cell r="HR96">
            <v>100</v>
          </cell>
          <cell r="HT96">
            <v>100</v>
          </cell>
          <cell r="HU96">
            <v>100</v>
          </cell>
          <cell r="HW96">
            <v>100</v>
          </cell>
          <cell r="HX96">
            <v>100</v>
          </cell>
          <cell r="HZ96">
            <v>100</v>
          </cell>
          <cell r="IA96">
            <v>100</v>
          </cell>
          <cell r="IC96">
            <v>100</v>
          </cell>
          <cell r="ID96">
            <v>100</v>
          </cell>
          <cell r="IF96">
            <v>100</v>
          </cell>
        </row>
        <row r="97">
          <cell r="GP97" t="str">
            <v>Evap Cooler Circ Pump</v>
          </cell>
          <cell r="GQ97">
            <v>0</v>
          </cell>
          <cell r="GS97">
            <v>0</v>
          </cell>
          <cell r="GT97">
            <v>0</v>
          </cell>
          <cell r="GV97">
            <v>0</v>
          </cell>
          <cell r="GW97">
            <v>0</v>
          </cell>
          <cell r="GY97">
            <v>0</v>
          </cell>
          <cell r="GZ97">
            <v>0</v>
          </cell>
          <cell r="HB97">
            <v>0</v>
          </cell>
          <cell r="HC97">
            <v>0</v>
          </cell>
          <cell r="HE97">
            <v>0</v>
          </cell>
          <cell r="HF97">
            <v>0</v>
          </cell>
          <cell r="HH97">
            <v>0</v>
          </cell>
          <cell r="HI97">
            <v>0</v>
          </cell>
          <cell r="HK97">
            <v>0</v>
          </cell>
          <cell r="HL97">
            <v>0</v>
          </cell>
          <cell r="HN97">
            <v>0</v>
          </cell>
          <cell r="HO97">
            <v>0</v>
          </cell>
          <cell r="HQ97">
            <v>0</v>
          </cell>
          <cell r="HR97">
            <v>0</v>
          </cell>
          <cell r="HT97">
            <v>0</v>
          </cell>
          <cell r="HU97">
            <v>0</v>
          </cell>
          <cell r="HW97">
            <v>0</v>
          </cell>
          <cell r="HX97">
            <v>0</v>
          </cell>
          <cell r="HZ97">
            <v>0</v>
          </cell>
          <cell r="IA97">
            <v>0</v>
          </cell>
          <cell r="IC97">
            <v>0</v>
          </cell>
          <cell r="ID97">
            <v>0</v>
          </cell>
          <cell r="IF97">
            <v>0</v>
          </cell>
        </row>
        <row r="98">
          <cell r="GP98" t="str">
            <v>Cooling Tower Makeup Pump</v>
          </cell>
          <cell r="GQ98">
            <v>0</v>
          </cell>
          <cell r="GS98">
            <v>0</v>
          </cell>
          <cell r="GT98">
            <v>0</v>
          </cell>
          <cell r="GV98">
            <v>0</v>
          </cell>
          <cell r="GW98">
            <v>0</v>
          </cell>
          <cell r="GY98">
            <v>0</v>
          </cell>
          <cell r="GZ98">
            <v>0</v>
          </cell>
          <cell r="HB98">
            <v>0</v>
          </cell>
          <cell r="HC98">
            <v>0</v>
          </cell>
          <cell r="HE98">
            <v>0</v>
          </cell>
          <cell r="HF98">
            <v>0</v>
          </cell>
          <cell r="HH98">
            <v>0</v>
          </cell>
          <cell r="HI98">
            <v>0</v>
          </cell>
          <cell r="HK98">
            <v>0</v>
          </cell>
          <cell r="HL98">
            <v>0</v>
          </cell>
          <cell r="HN98">
            <v>0</v>
          </cell>
          <cell r="HO98">
            <v>0</v>
          </cell>
          <cell r="HQ98">
            <v>0</v>
          </cell>
          <cell r="HR98">
            <v>0</v>
          </cell>
          <cell r="HT98">
            <v>0</v>
          </cell>
          <cell r="HU98">
            <v>0</v>
          </cell>
          <cell r="HW98">
            <v>0</v>
          </cell>
          <cell r="HX98">
            <v>0</v>
          </cell>
          <cell r="HZ98">
            <v>0</v>
          </cell>
          <cell r="IA98">
            <v>0</v>
          </cell>
          <cell r="IC98">
            <v>0</v>
          </cell>
          <cell r="ID98">
            <v>0</v>
          </cell>
          <cell r="IF98">
            <v>0</v>
          </cell>
        </row>
        <row r="99">
          <cell r="GP99" t="str">
            <v>Raw Water Pump</v>
          </cell>
          <cell r="GQ99">
            <v>0</v>
          </cell>
          <cell r="GS99">
            <v>0</v>
          </cell>
          <cell r="GT99">
            <v>0</v>
          </cell>
          <cell r="GV99">
            <v>0</v>
          </cell>
          <cell r="GW99">
            <v>0</v>
          </cell>
          <cell r="GY99">
            <v>0</v>
          </cell>
          <cell r="GZ99">
            <v>0</v>
          </cell>
          <cell r="HB99">
            <v>0</v>
          </cell>
          <cell r="HC99">
            <v>0</v>
          </cell>
          <cell r="HE99">
            <v>0</v>
          </cell>
          <cell r="HF99">
            <v>0</v>
          </cell>
          <cell r="HH99">
            <v>0</v>
          </cell>
          <cell r="HI99">
            <v>0</v>
          </cell>
          <cell r="HK99">
            <v>0</v>
          </cell>
          <cell r="HL99">
            <v>0</v>
          </cell>
          <cell r="HN99">
            <v>0</v>
          </cell>
          <cell r="HO99">
            <v>0</v>
          </cell>
          <cell r="HQ99">
            <v>0</v>
          </cell>
          <cell r="HR99">
            <v>0</v>
          </cell>
          <cell r="HT99">
            <v>0</v>
          </cell>
          <cell r="HU99">
            <v>0</v>
          </cell>
          <cell r="HW99">
            <v>0</v>
          </cell>
          <cell r="HX99">
            <v>0</v>
          </cell>
          <cell r="HZ99">
            <v>0</v>
          </cell>
          <cell r="IA99">
            <v>0</v>
          </cell>
          <cell r="IC99">
            <v>0</v>
          </cell>
          <cell r="ID99">
            <v>0</v>
          </cell>
          <cell r="IF99">
            <v>0</v>
          </cell>
        </row>
        <row r="100">
          <cell r="GP100" t="str">
            <v>Fuel Oil Unloading Pump</v>
          </cell>
          <cell r="GQ100">
            <v>100</v>
          </cell>
          <cell r="GS100">
            <v>100</v>
          </cell>
          <cell r="GT100">
            <v>100</v>
          </cell>
          <cell r="GV100">
            <v>100</v>
          </cell>
          <cell r="GW100">
            <v>100</v>
          </cell>
          <cell r="GY100">
            <v>100</v>
          </cell>
          <cell r="GZ100">
            <v>100</v>
          </cell>
          <cell r="HB100">
            <v>100</v>
          </cell>
          <cell r="HC100">
            <v>100</v>
          </cell>
          <cell r="HE100">
            <v>100</v>
          </cell>
          <cell r="HF100">
            <v>100</v>
          </cell>
          <cell r="HH100">
            <v>100</v>
          </cell>
          <cell r="HI100">
            <v>100</v>
          </cell>
          <cell r="HK100">
            <v>100</v>
          </cell>
          <cell r="HL100">
            <v>100</v>
          </cell>
          <cell r="HN100">
            <v>100</v>
          </cell>
          <cell r="HO100">
            <v>100</v>
          </cell>
          <cell r="HQ100">
            <v>100</v>
          </cell>
          <cell r="HR100">
            <v>100</v>
          </cell>
          <cell r="HT100">
            <v>100</v>
          </cell>
          <cell r="HU100">
            <v>100</v>
          </cell>
          <cell r="HW100">
            <v>100</v>
          </cell>
          <cell r="HX100">
            <v>100</v>
          </cell>
          <cell r="HZ100">
            <v>100</v>
          </cell>
          <cell r="IA100">
            <v>100</v>
          </cell>
          <cell r="IC100">
            <v>100</v>
          </cell>
          <cell r="ID100">
            <v>100</v>
          </cell>
          <cell r="IF100">
            <v>100</v>
          </cell>
        </row>
        <row r="101">
          <cell r="GP101" t="str">
            <v>Fuel Oil Forwarding Pump</v>
          </cell>
          <cell r="GQ101">
            <v>0</v>
          </cell>
          <cell r="GS101">
            <v>0</v>
          </cell>
          <cell r="GT101">
            <v>0</v>
          </cell>
          <cell r="GV101">
            <v>0</v>
          </cell>
          <cell r="GW101">
            <v>0</v>
          </cell>
          <cell r="GY101">
            <v>0</v>
          </cell>
          <cell r="GZ101">
            <v>0</v>
          </cell>
          <cell r="HB101">
            <v>0</v>
          </cell>
          <cell r="HC101">
            <v>0</v>
          </cell>
          <cell r="HE101">
            <v>0</v>
          </cell>
          <cell r="HF101">
            <v>0</v>
          </cell>
          <cell r="HH101">
            <v>0</v>
          </cell>
          <cell r="HI101">
            <v>0</v>
          </cell>
          <cell r="HK101">
            <v>0</v>
          </cell>
          <cell r="HL101">
            <v>0</v>
          </cell>
          <cell r="HN101">
            <v>0</v>
          </cell>
          <cell r="HO101">
            <v>0</v>
          </cell>
          <cell r="HQ101">
            <v>0</v>
          </cell>
          <cell r="HR101">
            <v>0</v>
          </cell>
          <cell r="HT101">
            <v>0</v>
          </cell>
          <cell r="HU101">
            <v>0</v>
          </cell>
          <cell r="HW101">
            <v>0</v>
          </cell>
          <cell r="HX101">
            <v>0</v>
          </cell>
          <cell r="HZ101">
            <v>0</v>
          </cell>
          <cell r="IA101">
            <v>0</v>
          </cell>
          <cell r="IC101">
            <v>0</v>
          </cell>
          <cell r="ID101">
            <v>0</v>
          </cell>
          <cell r="IF101">
            <v>0</v>
          </cell>
        </row>
        <row r="102">
          <cell r="GP102" t="str">
            <v>Waste Water Pump</v>
          </cell>
          <cell r="GQ102">
            <v>100</v>
          </cell>
          <cell r="GS102">
            <v>100</v>
          </cell>
          <cell r="GT102">
            <v>100</v>
          </cell>
          <cell r="GV102">
            <v>100</v>
          </cell>
          <cell r="GW102">
            <v>100</v>
          </cell>
          <cell r="GY102">
            <v>100</v>
          </cell>
          <cell r="GZ102">
            <v>100</v>
          </cell>
          <cell r="HB102">
            <v>100</v>
          </cell>
          <cell r="HC102">
            <v>100</v>
          </cell>
          <cell r="HE102">
            <v>100</v>
          </cell>
          <cell r="HF102">
            <v>100</v>
          </cell>
          <cell r="HH102">
            <v>100</v>
          </cell>
          <cell r="HI102">
            <v>100</v>
          </cell>
          <cell r="HK102">
            <v>100</v>
          </cell>
          <cell r="HL102">
            <v>100</v>
          </cell>
          <cell r="HN102">
            <v>100</v>
          </cell>
          <cell r="HO102">
            <v>100</v>
          </cell>
          <cell r="HQ102">
            <v>100</v>
          </cell>
          <cell r="HR102">
            <v>100</v>
          </cell>
          <cell r="HT102">
            <v>100</v>
          </cell>
          <cell r="HU102">
            <v>100</v>
          </cell>
          <cell r="HW102">
            <v>100</v>
          </cell>
          <cell r="HX102">
            <v>100</v>
          </cell>
          <cell r="HZ102">
            <v>100</v>
          </cell>
          <cell r="IA102">
            <v>100</v>
          </cell>
          <cell r="IC102">
            <v>100</v>
          </cell>
          <cell r="ID102">
            <v>100</v>
          </cell>
          <cell r="IF102">
            <v>100</v>
          </cell>
        </row>
        <row r="103">
          <cell r="GP103" t="str">
            <v>RO Feed Pump</v>
          </cell>
          <cell r="GQ103">
            <v>0</v>
          </cell>
          <cell r="GS103">
            <v>0</v>
          </cell>
          <cell r="GT103">
            <v>0</v>
          </cell>
          <cell r="GV103">
            <v>0</v>
          </cell>
          <cell r="GW103">
            <v>0</v>
          </cell>
          <cell r="GY103">
            <v>0</v>
          </cell>
          <cell r="GZ103">
            <v>0</v>
          </cell>
          <cell r="HB103">
            <v>0</v>
          </cell>
          <cell r="HC103">
            <v>0</v>
          </cell>
          <cell r="HE103">
            <v>0</v>
          </cell>
          <cell r="HF103">
            <v>0</v>
          </cell>
          <cell r="HH103">
            <v>0</v>
          </cell>
          <cell r="HI103">
            <v>0</v>
          </cell>
          <cell r="HK103">
            <v>0</v>
          </cell>
          <cell r="HL103">
            <v>0</v>
          </cell>
          <cell r="HN103">
            <v>0</v>
          </cell>
          <cell r="HO103">
            <v>0</v>
          </cell>
          <cell r="HQ103">
            <v>0</v>
          </cell>
          <cell r="HR103">
            <v>0</v>
          </cell>
          <cell r="HT103">
            <v>0</v>
          </cell>
          <cell r="HU103">
            <v>0</v>
          </cell>
          <cell r="HW103">
            <v>0</v>
          </cell>
          <cell r="HX103">
            <v>0</v>
          </cell>
          <cell r="HZ103">
            <v>0</v>
          </cell>
          <cell r="IA103">
            <v>0</v>
          </cell>
          <cell r="IC103">
            <v>0</v>
          </cell>
          <cell r="ID103">
            <v>0</v>
          </cell>
          <cell r="IF103">
            <v>0</v>
          </cell>
        </row>
        <row r="104">
          <cell r="GP104" t="str">
            <v>Demin Feed Pump</v>
          </cell>
          <cell r="GQ104">
            <v>0</v>
          </cell>
          <cell r="GS104">
            <v>0</v>
          </cell>
          <cell r="GT104">
            <v>0</v>
          </cell>
          <cell r="GV104">
            <v>0</v>
          </cell>
          <cell r="GW104">
            <v>0</v>
          </cell>
          <cell r="GY104">
            <v>0</v>
          </cell>
          <cell r="GZ104">
            <v>0</v>
          </cell>
          <cell r="HB104">
            <v>0</v>
          </cell>
          <cell r="HC104">
            <v>0</v>
          </cell>
          <cell r="HE104">
            <v>0</v>
          </cell>
          <cell r="HF104">
            <v>0</v>
          </cell>
          <cell r="HH104">
            <v>0</v>
          </cell>
          <cell r="HI104">
            <v>0</v>
          </cell>
          <cell r="HK104">
            <v>0</v>
          </cell>
          <cell r="HL104">
            <v>0</v>
          </cell>
          <cell r="HN104">
            <v>0</v>
          </cell>
          <cell r="HO104">
            <v>0</v>
          </cell>
          <cell r="HQ104">
            <v>0</v>
          </cell>
          <cell r="HR104">
            <v>0</v>
          </cell>
          <cell r="HT104">
            <v>0</v>
          </cell>
          <cell r="HU104">
            <v>0</v>
          </cell>
          <cell r="HW104">
            <v>0</v>
          </cell>
          <cell r="HX104">
            <v>0</v>
          </cell>
          <cell r="HZ104">
            <v>0</v>
          </cell>
          <cell r="IA104">
            <v>0</v>
          </cell>
          <cell r="IC104">
            <v>0</v>
          </cell>
          <cell r="ID104">
            <v>0</v>
          </cell>
          <cell r="IF104">
            <v>0</v>
          </cell>
        </row>
        <row r="105">
          <cell r="GP105" t="str">
            <v>Plant Aux CCW Pump</v>
          </cell>
          <cell r="GQ105">
            <v>0</v>
          </cell>
          <cell r="GS105">
            <v>0</v>
          </cell>
          <cell r="GT105">
            <v>0</v>
          </cell>
          <cell r="GV105">
            <v>0</v>
          </cell>
          <cell r="GW105">
            <v>0</v>
          </cell>
          <cell r="GY105">
            <v>0</v>
          </cell>
          <cell r="GZ105">
            <v>0</v>
          </cell>
          <cell r="HB105">
            <v>0</v>
          </cell>
          <cell r="HC105">
            <v>0</v>
          </cell>
          <cell r="HE105">
            <v>0</v>
          </cell>
          <cell r="HF105">
            <v>0</v>
          </cell>
          <cell r="HH105">
            <v>0</v>
          </cell>
          <cell r="HI105">
            <v>0</v>
          </cell>
          <cell r="HK105">
            <v>0</v>
          </cell>
          <cell r="HL105">
            <v>0</v>
          </cell>
          <cell r="HN105">
            <v>0</v>
          </cell>
          <cell r="HO105">
            <v>0</v>
          </cell>
          <cell r="HQ105">
            <v>0</v>
          </cell>
          <cell r="HR105">
            <v>0</v>
          </cell>
          <cell r="HT105">
            <v>0</v>
          </cell>
          <cell r="HU105">
            <v>0</v>
          </cell>
          <cell r="HW105">
            <v>0</v>
          </cell>
          <cell r="HX105">
            <v>0</v>
          </cell>
          <cell r="HZ105">
            <v>0</v>
          </cell>
          <cell r="IA105">
            <v>0</v>
          </cell>
          <cell r="IC105">
            <v>0</v>
          </cell>
          <cell r="ID105">
            <v>0</v>
          </cell>
          <cell r="IF105">
            <v>0</v>
          </cell>
        </row>
        <row r="106">
          <cell r="GP106" t="str">
            <v>GTG Aux CCW Pump</v>
          </cell>
          <cell r="GQ106">
            <v>200</v>
          </cell>
          <cell r="GS106">
            <v>200</v>
          </cell>
          <cell r="GT106">
            <v>200</v>
          </cell>
          <cell r="GV106">
            <v>200</v>
          </cell>
          <cell r="GW106">
            <v>200</v>
          </cell>
          <cell r="GY106">
            <v>200</v>
          </cell>
          <cell r="GZ106">
            <v>200</v>
          </cell>
          <cell r="HB106">
            <v>200</v>
          </cell>
          <cell r="HC106">
            <v>200</v>
          </cell>
          <cell r="HE106">
            <v>200</v>
          </cell>
          <cell r="HF106">
            <v>200</v>
          </cell>
          <cell r="HH106">
            <v>200</v>
          </cell>
          <cell r="HI106">
            <v>200</v>
          </cell>
          <cell r="HK106">
            <v>200</v>
          </cell>
          <cell r="HL106">
            <v>200</v>
          </cell>
          <cell r="HN106">
            <v>200</v>
          </cell>
          <cell r="HO106">
            <v>200</v>
          </cell>
          <cell r="HQ106">
            <v>200</v>
          </cell>
          <cell r="HR106">
            <v>200</v>
          </cell>
          <cell r="HT106">
            <v>200</v>
          </cell>
          <cell r="HU106">
            <v>200</v>
          </cell>
          <cell r="HW106">
            <v>200</v>
          </cell>
          <cell r="HX106">
            <v>200</v>
          </cell>
          <cell r="HZ106">
            <v>200</v>
          </cell>
          <cell r="IA106">
            <v>200</v>
          </cell>
          <cell r="IC106">
            <v>200</v>
          </cell>
          <cell r="ID106">
            <v>200</v>
          </cell>
          <cell r="IF106">
            <v>200</v>
          </cell>
        </row>
        <row r="107">
          <cell r="GP107" t="str">
            <v>User Defined</v>
          </cell>
          <cell r="GQ107">
            <v>0</v>
          </cell>
          <cell r="GS107">
            <v>0</v>
          </cell>
          <cell r="GT107">
            <v>0</v>
          </cell>
          <cell r="GV107">
            <v>0</v>
          </cell>
          <cell r="GW107">
            <v>0</v>
          </cell>
          <cell r="GY107">
            <v>0</v>
          </cell>
          <cell r="GZ107">
            <v>0</v>
          </cell>
          <cell r="HB107">
            <v>0</v>
          </cell>
          <cell r="HC107">
            <v>0</v>
          </cell>
          <cell r="HE107">
            <v>0</v>
          </cell>
          <cell r="HF107">
            <v>0</v>
          </cell>
          <cell r="HH107">
            <v>0</v>
          </cell>
          <cell r="HI107">
            <v>0</v>
          </cell>
          <cell r="HK107">
            <v>0</v>
          </cell>
          <cell r="HL107">
            <v>0</v>
          </cell>
          <cell r="HN107">
            <v>0</v>
          </cell>
          <cell r="HO107">
            <v>0</v>
          </cell>
          <cell r="HQ107">
            <v>0</v>
          </cell>
          <cell r="HR107">
            <v>0</v>
          </cell>
          <cell r="HT107">
            <v>0</v>
          </cell>
          <cell r="HU107">
            <v>0</v>
          </cell>
          <cell r="HW107">
            <v>0</v>
          </cell>
          <cell r="HX107">
            <v>0</v>
          </cell>
          <cell r="HZ107">
            <v>0</v>
          </cell>
          <cell r="IA107">
            <v>0</v>
          </cell>
          <cell r="IC107">
            <v>0</v>
          </cell>
          <cell r="ID107">
            <v>0</v>
          </cell>
          <cell r="IF107">
            <v>0</v>
          </cell>
        </row>
        <row r="108">
          <cell r="GP108" t="str">
            <v>Blowdown Sump Pump</v>
          </cell>
          <cell r="GQ108">
            <v>0</v>
          </cell>
          <cell r="GS108">
            <v>0</v>
          </cell>
          <cell r="GT108">
            <v>0</v>
          </cell>
          <cell r="GV108">
            <v>0</v>
          </cell>
          <cell r="GW108">
            <v>0</v>
          </cell>
          <cell r="GY108">
            <v>0</v>
          </cell>
          <cell r="GZ108">
            <v>0</v>
          </cell>
          <cell r="HB108">
            <v>0</v>
          </cell>
          <cell r="HC108">
            <v>0</v>
          </cell>
          <cell r="HE108">
            <v>0</v>
          </cell>
          <cell r="HF108">
            <v>0</v>
          </cell>
          <cell r="HH108">
            <v>0</v>
          </cell>
          <cell r="HI108">
            <v>0</v>
          </cell>
          <cell r="HK108">
            <v>0</v>
          </cell>
          <cell r="HL108">
            <v>0</v>
          </cell>
          <cell r="HN108">
            <v>0</v>
          </cell>
          <cell r="HO108">
            <v>0</v>
          </cell>
          <cell r="HQ108">
            <v>0</v>
          </cell>
          <cell r="HR108">
            <v>0</v>
          </cell>
          <cell r="HT108">
            <v>0</v>
          </cell>
          <cell r="HU108">
            <v>0</v>
          </cell>
          <cell r="HW108">
            <v>0</v>
          </cell>
          <cell r="HX108">
            <v>0</v>
          </cell>
          <cell r="HZ108">
            <v>0</v>
          </cell>
          <cell r="IA108">
            <v>0</v>
          </cell>
          <cell r="IC108">
            <v>0</v>
          </cell>
          <cell r="ID108">
            <v>0</v>
          </cell>
          <cell r="IF108">
            <v>0</v>
          </cell>
        </row>
        <row r="109">
          <cell r="GP109" t="str">
            <v>Chemical Sump Pump</v>
          </cell>
          <cell r="GQ109">
            <v>0</v>
          </cell>
          <cell r="GS109">
            <v>0</v>
          </cell>
          <cell r="GT109">
            <v>0</v>
          </cell>
          <cell r="GV109">
            <v>0</v>
          </cell>
          <cell r="GW109">
            <v>0</v>
          </cell>
          <cell r="GY109">
            <v>0</v>
          </cell>
          <cell r="GZ109">
            <v>0</v>
          </cell>
          <cell r="HB109">
            <v>0</v>
          </cell>
          <cell r="HC109">
            <v>0</v>
          </cell>
          <cell r="HE109">
            <v>0</v>
          </cell>
          <cell r="HF109">
            <v>0</v>
          </cell>
          <cell r="HH109">
            <v>0</v>
          </cell>
          <cell r="HI109">
            <v>0</v>
          </cell>
          <cell r="HK109">
            <v>0</v>
          </cell>
          <cell r="HL109">
            <v>0</v>
          </cell>
          <cell r="HN109">
            <v>0</v>
          </cell>
          <cell r="HO109">
            <v>0</v>
          </cell>
          <cell r="HQ109">
            <v>0</v>
          </cell>
          <cell r="HR109">
            <v>0</v>
          </cell>
          <cell r="HT109">
            <v>0</v>
          </cell>
          <cell r="HU109">
            <v>0</v>
          </cell>
          <cell r="HW109">
            <v>0</v>
          </cell>
          <cell r="HX109">
            <v>0</v>
          </cell>
          <cell r="HZ109">
            <v>0</v>
          </cell>
          <cell r="IA109">
            <v>0</v>
          </cell>
          <cell r="IC109">
            <v>0</v>
          </cell>
          <cell r="ID109">
            <v>0</v>
          </cell>
          <cell r="IF109">
            <v>0</v>
          </cell>
        </row>
        <row r="110">
          <cell r="GP110" t="str">
            <v>Recycle Water Sump Pump</v>
          </cell>
          <cell r="GQ110">
            <v>0</v>
          </cell>
          <cell r="GS110">
            <v>0</v>
          </cell>
          <cell r="GT110">
            <v>0</v>
          </cell>
          <cell r="GV110">
            <v>0</v>
          </cell>
          <cell r="GW110">
            <v>0</v>
          </cell>
          <cell r="GY110">
            <v>0</v>
          </cell>
          <cell r="GZ110">
            <v>0</v>
          </cell>
          <cell r="HB110">
            <v>0</v>
          </cell>
          <cell r="HC110">
            <v>0</v>
          </cell>
          <cell r="HE110">
            <v>0</v>
          </cell>
          <cell r="HF110">
            <v>0</v>
          </cell>
          <cell r="HH110">
            <v>0</v>
          </cell>
          <cell r="HI110">
            <v>0</v>
          </cell>
          <cell r="HK110">
            <v>0</v>
          </cell>
          <cell r="HL110">
            <v>0</v>
          </cell>
          <cell r="HN110">
            <v>0</v>
          </cell>
          <cell r="HO110">
            <v>0</v>
          </cell>
          <cell r="HQ110">
            <v>0</v>
          </cell>
          <cell r="HR110">
            <v>0</v>
          </cell>
          <cell r="HT110">
            <v>0</v>
          </cell>
          <cell r="HU110">
            <v>0</v>
          </cell>
          <cell r="HW110">
            <v>0</v>
          </cell>
          <cell r="HX110">
            <v>0</v>
          </cell>
          <cell r="HZ110">
            <v>0</v>
          </cell>
          <cell r="IA110">
            <v>0</v>
          </cell>
          <cell r="IC110">
            <v>0</v>
          </cell>
          <cell r="ID110">
            <v>0</v>
          </cell>
          <cell r="IF110">
            <v>0</v>
          </cell>
        </row>
        <row r="111">
          <cell r="GP111" t="str">
            <v>Oily Water Sump Pump</v>
          </cell>
          <cell r="GQ111">
            <v>0</v>
          </cell>
          <cell r="GS111">
            <v>0</v>
          </cell>
          <cell r="GT111">
            <v>0</v>
          </cell>
          <cell r="GV111">
            <v>0</v>
          </cell>
          <cell r="GW111">
            <v>0</v>
          </cell>
          <cell r="GY111">
            <v>0</v>
          </cell>
          <cell r="GZ111">
            <v>0</v>
          </cell>
          <cell r="HB111">
            <v>0</v>
          </cell>
          <cell r="HC111">
            <v>0</v>
          </cell>
          <cell r="HE111">
            <v>0</v>
          </cell>
          <cell r="HF111">
            <v>0</v>
          </cell>
          <cell r="HH111">
            <v>0</v>
          </cell>
          <cell r="HI111">
            <v>0</v>
          </cell>
          <cell r="HK111">
            <v>0</v>
          </cell>
          <cell r="HL111">
            <v>0</v>
          </cell>
          <cell r="HN111">
            <v>0</v>
          </cell>
          <cell r="HO111">
            <v>0</v>
          </cell>
          <cell r="HQ111">
            <v>0</v>
          </cell>
          <cell r="HR111">
            <v>0</v>
          </cell>
          <cell r="HT111">
            <v>0</v>
          </cell>
          <cell r="HU111">
            <v>0</v>
          </cell>
          <cell r="HW111">
            <v>0</v>
          </cell>
          <cell r="HX111">
            <v>0</v>
          </cell>
          <cell r="HZ111">
            <v>0</v>
          </cell>
          <cell r="IA111">
            <v>0</v>
          </cell>
          <cell r="IC111">
            <v>0</v>
          </cell>
          <cell r="ID111">
            <v>0</v>
          </cell>
          <cell r="IF111">
            <v>0</v>
          </cell>
        </row>
        <row r="112">
          <cell r="GP112" t="str">
            <v>Misc Sump Pump 1</v>
          </cell>
          <cell r="GQ112">
            <v>0</v>
          </cell>
          <cell r="GS112">
            <v>0</v>
          </cell>
          <cell r="GT112">
            <v>0</v>
          </cell>
          <cell r="GV112">
            <v>0</v>
          </cell>
          <cell r="GW112">
            <v>0</v>
          </cell>
          <cell r="GY112">
            <v>0</v>
          </cell>
          <cell r="GZ112">
            <v>0</v>
          </cell>
          <cell r="HB112">
            <v>0</v>
          </cell>
          <cell r="HC112">
            <v>0</v>
          </cell>
          <cell r="HE112">
            <v>0</v>
          </cell>
          <cell r="HF112">
            <v>0</v>
          </cell>
          <cell r="HH112">
            <v>0</v>
          </cell>
          <cell r="HI112">
            <v>0</v>
          </cell>
          <cell r="HK112">
            <v>0</v>
          </cell>
          <cell r="HL112">
            <v>0</v>
          </cell>
          <cell r="HN112">
            <v>0</v>
          </cell>
          <cell r="HO112">
            <v>0</v>
          </cell>
          <cell r="HQ112">
            <v>0</v>
          </cell>
          <cell r="HR112">
            <v>0</v>
          </cell>
          <cell r="HT112">
            <v>0</v>
          </cell>
          <cell r="HU112">
            <v>0</v>
          </cell>
          <cell r="HW112">
            <v>0</v>
          </cell>
          <cell r="HX112">
            <v>0</v>
          </cell>
          <cell r="HZ112">
            <v>0</v>
          </cell>
          <cell r="IA112">
            <v>0</v>
          </cell>
          <cell r="IC112">
            <v>0</v>
          </cell>
          <cell r="ID112">
            <v>0</v>
          </cell>
          <cell r="IF112">
            <v>0</v>
          </cell>
        </row>
        <row r="113">
          <cell r="GP113" t="str">
            <v>Misc Sump Pump 2</v>
          </cell>
          <cell r="GQ113">
            <v>0</v>
          </cell>
          <cell r="GS113">
            <v>0</v>
          </cell>
          <cell r="GT113">
            <v>0</v>
          </cell>
          <cell r="GV113">
            <v>0</v>
          </cell>
          <cell r="GW113">
            <v>0</v>
          </cell>
          <cell r="GY113">
            <v>0</v>
          </cell>
          <cell r="GZ113">
            <v>0</v>
          </cell>
          <cell r="HB113">
            <v>0</v>
          </cell>
          <cell r="HC113">
            <v>0</v>
          </cell>
          <cell r="HE113">
            <v>0</v>
          </cell>
          <cell r="HF113">
            <v>0</v>
          </cell>
          <cell r="HH113">
            <v>0</v>
          </cell>
          <cell r="HI113">
            <v>0</v>
          </cell>
          <cell r="HK113">
            <v>0</v>
          </cell>
          <cell r="HL113">
            <v>0</v>
          </cell>
          <cell r="HN113">
            <v>0</v>
          </cell>
          <cell r="HO113">
            <v>0</v>
          </cell>
          <cell r="HQ113">
            <v>0</v>
          </cell>
          <cell r="HR113">
            <v>0</v>
          </cell>
          <cell r="HT113">
            <v>0</v>
          </cell>
          <cell r="HU113">
            <v>0</v>
          </cell>
          <cell r="HW113">
            <v>0</v>
          </cell>
          <cell r="HX113">
            <v>0</v>
          </cell>
          <cell r="HZ113">
            <v>0</v>
          </cell>
          <cell r="IA113">
            <v>0</v>
          </cell>
          <cell r="IC113">
            <v>0</v>
          </cell>
          <cell r="ID113">
            <v>0</v>
          </cell>
          <cell r="IF113">
            <v>0</v>
          </cell>
        </row>
        <row r="114">
          <cell r="GP114" t="str">
            <v>Misc Sump Pump 3</v>
          </cell>
          <cell r="GQ114">
            <v>0</v>
          </cell>
          <cell r="GS114">
            <v>0</v>
          </cell>
          <cell r="GT114">
            <v>0</v>
          </cell>
          <cell r="GV114">
            <v>0</v>
          </cell>
          <cell r="GW114">
            <v>0</v>
          </cell>
          <cell r="GY114">
            <v>0</v>
          </cell>
          <cell r="GZ114">
            <v>0</v>
          </cell>
          <cell r="HB114">
            <v>0</v>
          </cell>
          <cell r="HC114">
            <v>0</v>
          </cell>
          <cell r="HE114">
            <v>0</v>
          </cell>
          <cell r="HF114">
            <v>0</v>
          </cell>
          <cell r="HH114">
            <v>0</v>
          </cell>
          <cell r="HI114">
            <v>0</v>
          </cell>
          <cell r="HK114">
            <v>0</v>
          </cell>
          <cell r="HL114">
            <v>0</v>
          </cell>
          <cell r="HN114">
            <v>0</v>
          </cell>
          <cell r="HO114">
            <v>0</v>
          </cell>
          <cell r="HQ114">
            <v>0</v>
          </cell>
          <cell r="HR114">
            <v>0</v>
          </cell>
          <cell r="HT114">
            <v>0</v>
          </cell>
          <cell r="HU114">
            <v>0</v>
          </cell>
          <cell r="HW114">
            <v>0</v>
          </cell>
          <cell r="HX114">
            <v>0</v>
          </cell>
          <cell r="HZ114">
            <v>0</v>
          </cell>
          <cell r="IA114">
            <v>0</v>
          </cell>
          <cell r="IC114">
            <v>0</v>
          </cell>
          <cell r="ID114">
            <v>0</v>
          </cell>
          <cell r="IF114">
            <v>0</v>
          </cell>
        </row>
        <row r="115">
          <cell r="GP115" t="str">
            <v>Raw Water Storage Tank</v>
          </cell>
          <cell r="GQ115">
            <v>0</v>
          </cell>
          <cell r="GS115">
            <v>0</v>
          </cell>
          <cell r="GT115">
            <v>0</v>
          </cell>
          <cell r="GV115">
            <v>0</v>
          </cell>
          <cell r="GW115">
            <v>0</v>
          </cell>
          <cell r="GY115">
            <v>0</v>
          </cell>
          <cell r="GZ115">
            <v>0</v>
          </cell>
          <cell r="HB115">
            <v>0</v>
          </cell>
          <cell r="HC115">
            <v>0</v>
          </cell>
          <cell r="HE115">
            <v>0</v>
          </cell>
          <cell r="HF115">
            <v>0</v>
          </cell>
          <cell r="HH115">
            <v>0</v>
          </cell>
          <cell r="HI115">
            <v>0</v>
          </cell>
          <cell r="HK115">
            <v>0</v>
          </cell>
          <cell r="HL115">
            <v>0</v>
          </cell>
          <cell r="HN115">
            <v>0</v>
          </cell>
          <cell r="HO115">
            <v>0</v>
          </cell>
          <cell r="HQ115">
            <v>0</v>
          </cell>
          <cell r="HR115">
            <v>0</v>
          </cell>
          <cell r="HT115">
            <v>0</v>
          </cell>
          <cell r="HU115">
            <v>0</v>
          </cell>
          <cell r="HW115">
            <v>0</v>
          </cell>
          <cell r="HX115">
            <v>0</v>
          </cell>
          <cell r="HZ115">
            <v>0</v>
          </cell>
          <cell r="IA115">
            <v>0</v>
          </cell>
          <cell r="IC115">
            <v>0</v>
          </cell>
          <cell r="ID115">
            <v>0</v>
          </cell>
          <cell r="IF115">
            <v>0</v>
          </cell>
        </row>
        <row r="116">
          <cell r="GP116" t="str">
            <v>Treated / Fire Water Storage Tank</v>
          </cell>
          <cell r="GQ116">
            <v>0</v>
          </cell>
          <cell r="GS116">
            <v>0</v>
          </cell>
          <cell r="GT116">
            <v>0</v>
          </cell>
          <cell r="GV116">
            <v>0</v>
          </cell>
          <cell r="GW116">
            <v>0</v>
          </cell>
          <cell r="GY116">
            <v>0</v>
          </cell>
          <cell r="GZ116">
            <v>0</v>
          </cell>
          <cell r="HB116">
            <v>0</v>
          </cell>
          <cell r="HC116">
            <v>0</v>
          </cell>
          <cell r="HE116">
            <v>0</v>
          </cell>
          <cell r="HF116">
            <v>0</v>
          </cell>
          <cell r="HH116">
            <v>0</v>
          </cell>
          <cell r="HI116">
            <v>0</v>
          </cell>
          <cell r="HK116">
            <v>0</v>
          </cell>
          <cell r="HL116">
            <v>0</v>
          </cell>
          <cell r="HN116">
            <v>0</v>
          </cell>
          <cell r="HO116">
            <v>0</v>
          </cell>
          <cell r="HQ116">
            <v>0</v>
          </cell>
          <cell r="HR116">
            <v>0</v>
          </cell>
          <cell r="HT116">
            <v>0</v>
          </cell>
          <cell r="HU116">
            <v>0</v>
          </cell>
          <cell r="HW116">
            <v>0</v>
          </cell>
          <cell r="HX116">
            <v>0</v>
          </cell>
          <cell r="HZ116">
            <v>0</v>
          </cell>
          <cell r="IA116">
            <v>0</v>
          </cell>
          <cell r="IC116">
            <v>0</v>
          </cell>
          <cell r="ID116">
            <v>0</v>
          </cell>
          <cell r="IF116">
            <v>0</v>
          </cell>
        </row>
        <row r="117">
          <cell r="GP117" t="str">
            <v>RO Product Storage Tank</v>
          </cell>
          <cell r="GQ117">
            <v>0</v>
          </cell>
          <cell r="GS117">
            <v>0</v>
          </cell>
          <cell r="GT117">
            <v>0</v>
          </cell>
          <cell r="GV117">
            <v>0</v>
          </cell>
          <cell r="GW117">
            <v>0</v>
          </cell>
          <cell r="GY117">
            <v>0</v>
          </cell>
          <cell r="GZ117">
            <v>0</v>
          </cell>
          <cell r="HB117">
            <v>0</v>
          </cell>
          <cell r="HC117">
            <v>0</v>
          </cell>
          <cell r="HE117">
            <v>0</v>
          </cell>
          <cell r="HF117">
            <v>0</v>
          </cell>
          <cell r="HH117">
            <v>0</v>
          </cell>
          <cell r="HI117">
            <v>0</v>
          </cell>
          <cell r="HK117">
            <v>0</v>
          </cell>
          <cell r="HL117">
            <v>0</v>
          </cell>
          <cell r="HN117">
            <v>0</v>
          </cell>
          <cell r="HO117">
            <v>0</v>
          </cell>
          <cell r="HQ117">
            <v>0</v>
          </cell>
          <cell r="HR117">
            <v>0</v>
          </cell>
          <cell r="HT117">
            <v>0</v>
          </cell>
          <cell r="HU117">
            <v>0</v>
          </cell>
          <cell r="HW117">
            <v>0</v>
          </cell>
          <cell r="HX117">
            <v>0</v>
          </cell>
          <cell r="HZ117">
            <v>0</v>
          </cell>
          <cell r="IA117">
            <v>0</v>
          </cell>
          <cell r="IC117">
            <v>0</v>
          </cell>
          <cell r="ID117">
            <v>0</v>
          </cell>
          <cell r="IF117">
            <v>0</v>
          </cell>
        </row>
        <row r="118">
          <cell r="GP118" t="str">
            <v>Single-Wall Fuel Oil Storage Tank</v>
          </cell>
          <cell r="GQ118">
            <v>0</v>
          </cell>
          <cell r="GS118">
            <v>0</v>
          </cell>
          <cell r="GT118">
            <v>0</v>
          </cell>
          <cell r="GV118">
            <v>0</v>
          </cell>
          <cell r="GW118">
            <v>0</v>
          </cell>
          <cell r="GY118">
            <v>0</v>
          </cell>
          <cell r="GZ118">
            <v>0</v>
          </cell>
          <cell r="HB118">
            <v>0</v>
          </cell>
          <cell r="HC118">
            <v>0</v>
          </cell>
          <cell r="HE118">
            <v>0</v>
          </cell>
          <cell r="HF118">
            <v>0</v>
          </cell>
          <cell r="HH118">
            <v>0</v>
          </cell>
          <cell r="HI118">
            <v>0</v>
          </cell>
          <cell r="HK118">
            <v>0</v>
          </cell>
          <cell r="HL118">
            <v>0</v>
          </cell>
          <cell r="HN118">
            <v>0</v>
          </cell>
          <cell r="HO118">
            <v>0</v>
          </cell>
          <cell r="HQ118">
            <v>0</v>
          </cell>
          <cell r="HR118">
            <v>0</v>
          </cell>
          <cell r="HT118">
            <v>0</v>
          </cell>
          <cell r="HU118">
            <v>0</v>
          </cell>
          <cell r="HW118">
            <v>0</v>
          </cell>
          <cell r="HX118">
            <v>0</v>
          </cell>
          <cell r="HZ118">
            <v>0</v>
          </cell>
          <cell r="IA118">
            <v>0</v>
          </cell>
          <cell r="IC118">
            <v>0</v>
          </cell>
          <cell r="ID118">
            <v>0</v>
          </cell>
          <cell r="IF118">
            <v>0</v>
          </cell>
        </row>
        <row r="119">
          <cell r="GP119" t="str">
            <v>Misc Field Erected Tank 1</v>
          </cell>
          <cell r="GQ119">
            <v>0</v>
          </cell>
          <cell r="GS119">
            <v>0</v>
          </cell>
          <cell r="GT119">
            <v>0</v>
          </cell>
          <cell r="GV119">
            <v>0</v>
          </cell>
          <cell r="GW119">
            <v>0</v>
          </cell>
          <cell r="GY119">
            <v>0</v>
          </cell>
          <cell r="GZ119">
            <v>0</v>
          </cell>
          <cell r="HB119">
            <v>0</v>
          </cell>
          <cell r="HC119">
            <v>0</v>
          </cell>
          <cell r="HE119">
            <v>0</v>
          </cell>
          <cell r="HF119">
            <v>0</v>
          </cell>
          <cell r="HH119">
            <v>0</v>
          </cell>
          <cell r="HI119">
            <v>0</v>
          </cell>
          <cell r="HK119">
            <v>0</v>
          </cell>
          <cell r="HL119">
            <v>0</v>
          </cell>
          <cell r="HN119">
            <v>0</v>
          </cell>
          <cell r="HO119">
            <v>0</v>
          </cell>
          <cell r="HQ119">
            <v>0</v>
          </cell>
          <cell r="HR119">
            <v>0</v>
          </cell>
          <cell r="HT119">
            <v>0</v>
          </cell>
          <cell r="HU119">
            <v>0</v>
          </cell>
          <cell r="HW119">
            <v>0</v>
          </cell>
          <cell r="HX119">
            <v>0</v>
          </cell>
          <cell r="HZ119">
            <v>0</v>
          </cell>
          <cell r="IA119">
            <v>0</v>
          </cell>
          <cell r="IC119">
            <v>0</v>
          </cell>
          <cell r="ID119">
            <v>0</v>
          </cell>
          <cell r="IF119">
            <v>0</v>
          </cell>
        </row>
        <row r="120">
          <cell r="GP120" t="str">
            <v>Misc Field Erected Tank 2</v>
          </cell>
          <cell r="GQ120">
            <v>0</v>
          </cell>
          <cell r="GS120">
            <v>0</v>
          </cell>
          <cell r="GT120">
            <v>0</v>
          </cell>
          <cell r="GV120">
            <v>0</v>
          </cell>
          <cell r="GW120">
            <v>0</v>
          </cell>
          <cell r="GY120">
            <v>0</v>
          </cell>
          <cell r="GZ120">
            <v>0</v>
          </cell>
          <cell r="HB120">
            <v>0</v>
          </cell>
          <cell r="HC120">
            <v>0</v>
          </cell>
          <cell r="HE120">
            <v>0</v>
          </cell>
          <cell r="HF120">
            <v>0</v>
          </cell>
          <cell r="HH120">
            <v>0</v>
          </cell>
          <cell r="HI120">
            <v>0</v>
          </cell>
          <cell r="HK120">
            <v>0</v>
          </cell>
          <cell r="HL120">
            <v>0</v>
          </cell>
          <cell r="HN120">
            <v>0</v>
          </cell>
          <cell r="HO120">
            <v>0</v>
          </cell>
          <cell r="HQ120">
            <v>0</v>
          </cell>
          <cell r="HR120">
            <v>0</v>
          </cell>
          <cell r="HT120">
            <v>0</v>
          </cell>
          <cell r="HU120">
            <v>0</v>
          </cell>
          <cell r="HW120">
            <v>0</v>
          </cell>
          <cell r="HX120">
            <v>0</v>
          </cell>
          <cell r="HZ120">
            <v>0</v>
          </cell>
          <cell r="IA120">
            <v>0</v>
          </cell>
          <cell r="IC120">
            <v>0</v>
          </cell>
          <cell r="ID120">
            <v>0</v>
          </cell>
          <cell r="IF120">
            <v>0</v>
          </cell>
        </row>
        <row r="121">
          <cell r="GP121" t="str">
            <v>Misc Field Erected Tank 3</v>
          </cell>
          <cell r="GQ121">
            <v>0</v>
          </cell>
          <cell r="GS121">
            <v>0</v>
          </cell>
          <cell r="GT121">
            <v>0</v>
          </cell>
          <cell r="GV121">
            <v>0</v>
          </cell>
          <cell r="GW121">
            <v>0</v>
          </cell>
          <cell r="GY121">
            <v>0</v>
          </cell>
          <cell r="GZ121">
            <v>0</v>
          </cell>
          <cell r="HB121">
            <v>0</v>
          </cell>
          <cell r="HC121">
            <v>0</v>
          </cell>
          <cell r="HE121">
            <v>0</v>
          </cell>
          <cell r="HF121">
            <v>0</v>
          </cell>
          <cell r="HH121">
            <v>0</v>
          </cell>
          <cell r="HI121">
            <v>0</v>
          </cell>
          <cell r="HK121">
            <v>0</v>
          </cell>
          <cell r="HL121">
            <v>0</v>
          </cell>
          <cell r="HN121">
            <v>0</v>
          </cell>
          <cell r="HO121">
            <v>0</v>
          </cell>
          <cell r="HQ121">
            <v>0</v>
          </cell>
          <cell r="HR121">
            <v>0</v>
          </cell>
          <cell r="HT121">
            <v>0</v>
          </cell>
          <cell r="HU121">
            <v>0</v>
          </cell>
          <cell r="HW121">
            <v>0</v>
          </cell>
          <cell r="HX121">
            <v>0</v>
          </cell>
          <cell r="HZ121">
            <v>0</v>
          </cell>
          <cell r="IA121">
            <v>0</v>
          </cell>
          <cell r="IC121">
            <v>0</v>
          </cell>
          <cell r="ID121">
            <v>0</v>
          </cell>
          <cell r="IF121">
            <v>0</v>
          </cell>
        </row>
        <row r="122">
          <cell r="GP122" t="str">
            <v>Double Wall Fuel Oil Storage Tank</v>
          </cell>
          <cell r="GQ122">
            <v>0</v>
          </cell>
          <cell r="GS122">
            <v>0</v>
          </cell>
          <cell r="GT122">
            <v>0</v>
          </cell>
          <cell r="GV122">
            <v>0</v>
          </cell>
          <cell r="GW122">
            <v>0</v>
          </cell>
          <cell r="GY122">
            <v>0</v>
          </cell>
          <cell r="GZ122">
            <v>0</v>
          </cell>
          <cell r="HB122">
            <v>0</v>
          </cell>
          <cell r="HC122">
            <v>0</v>
          </cell>
          <cell r="HE122">
            <v>0</v>
          </cell>
          <cell r="HF122">
            <v>0</v>
          </cell>
          <cell r="HH122">
            <v>0</v>
          </cell>
          <cell r="HI122">
            <v>0</v>
          </cell>
          <cell r="HK122">
            <v>0</v>
          </cell>
          <cell r="HL122">
            <v>0</v>
          </cell>
          <cell r="HN122">
            <v>0</v>
          </cell>
          <cell r="HO122">
            <v>0</v>
          </cell>
          <cell r="HQ122">
            <v>0</v>
          </cell>
          <cell r="HR122">
            <v>0</v>
          </cell>
          <cell r="HT122">
            <v>0</v>
          </cell>
          <cell r="HU122">
            <v>0</v>
          </cell>
          <cell r="HW122">
            <v>0</v>
          </cell>
          <cell r="HX122">
            <v>0</v>
          </cell>
          <cell r="HZ122">
            <v>0</v>
          </cell>
          <cell r="IA122">
            <v>0</v>
          </cell>
          <cell r="IC122">
            <v>0</v>
          </cell>
          <cell r="ID122">
            <v>0</v>
          </cell>
          <cell r="IF122">
            <v>0</v>
          </cell>
        </row>
        <row r="123">
          <cell r="GP123" t="str">
            <v>Misc Double Wall Tank 1</v>
          </cell>
          <cell r="GQ123">
            <v>0</v>
          </cell>
          <cell r="GS123">
            <v>0</v>
          </cell>
          <cell r="GT123">
            <v>0</v>
          </cell>
          <cell r="GV123">
            <v>0</v>
          </cell>
          <cell r="GW123">
            <v>0</v>
          </cell>
          <cell r="GY123">
            <v>0</v>
          </cell>
          <cell r="GZ123">
            <v>0</v>
          </cell>
          <cell r="HB123">
            <v>0</v>
          </cell>
          <cell r="HC123">
            <v>0</v>
          </cell>
          <cell r="HE123">
            <v>0</v>
          </cell>
          <cell r="HF123">
            <v>0</v>
          </cell>
          <cell r="HH123">
            <v>0</v>
          </cell>
          <cell r="HI123">
            <v>0</v>
          </cell>
          <cell r="HK123">
            <v>0</v>
          </cell>
          <cell r="HL123">
            <v>0</v>
          </cell>
          <cell r="HN123">
            <v>0</v>
          </cell>
          <cell r="HO123">
            <v>0</v>
          </cell>
          <cell r="HQ123">
            <v>0</v>
          </cell>
          <cell r="HR123">
            <v>0</v>
          </cell>
          <cell r="HT123">
            <v>0</v>
          </cell>
          <cell r="HU123">
            <v>0</v>
          </cell>
          <cell r="HW123">
            <v>0</v>
          </cell>
          <cell r="HX123">
            <v>0</v>
          </cell>
          <cell r="HZ123">
            <v>0</v>
          </cell>
          <cell r="IA123">
            <v>0</v>
          </cell>
          <cell r="IC123">
            <v>0</v>
          </cell>
          <cell r="ID123">
            <v>0</v>
          </cell>
          <cell r="IF123">
            <v>0</v>
          </cell>
        </row>
        <row r="124">
          <cell r="GP124" t="str">
            <v>Misc Double Wall Tank 2</v>
          </cell>
          <cell r="GQ124">
            <v>0</v>
          </cell>
          <cell r="GS124">
            <v>0</v>
          </cell>
          <cell r="GT124">
            <v>0</v>
          </cell>
          <cell r="GV124">
            <v>0</v>
          </cell>
          <cell r="GW124">
            <v>0</v>
          </cell>
          <cell r="GY124">
            <v>0</v>
          </cell>
          <cell r="GZ124">
            <v>0</v>
          </cell>
          <cell r="HB124">
            <v>0</v>
          </cell>
          <cell r="HC124">
            <v>0</v>
          </cell>
          <cell r="HE124">
            <v>0</v>
          </cell>
          <cell r="HF124">
            <v>0</v>
          </cell>
          <cell r="HH124">
            <v>0</v>
          </cell>
          <cell r="HI124">
            <v>0</v>
          </cell>
          <cell r="HK124">
            <v>0</v>
          </cell>
          <cell r="HL124">
            <v>0</v>
          </cell>
          <cell r="HN124">
            <v>0</v>
          </cell>
          <cell r="HO124">
            <v>0</v>
          </cell>
          <cell r="HQ124">
            <v>0</v>
          </cell>
          <cell r="HR124">
            <v>0</v>
          </cell>
          <cell r="HT124">
            <v>0</v>
          </cell>
          <cell r="HU124">
            <v>0</v>
          </cell>
          <cell r="HW124">
            <v>0</v>
          </cell>
          <cell r="HX124">
            <v>0</v>
          </cell>
          <cell r="HZ124">
            <v>0</v>
          </cell>
          <cell r="IA124">
            <v>0</v>
          </cell>
          <cell r="IC124">
            <v>0</v>
          </cell>
          <cell r="ID124">
            <v>0</v>
          </cell>
          <cell r="IF124">
            <v>0</v>
          </cell>
        </row>
        <row r="125">
          <cell r="GP125" t="str">
            <v>Misc Double Wall Tank 3</v>
          </cell>
          <cell r="GQ125">
            <v>0</v>
          </cell>
          <cell r="GS125">
            <v>0</v>
          </cell>
          <cell r="GT125">
            <v>0</v>
          </cell>
          <cell r="GV125">
            <v>0</v>
          </cell>
          <cell r="GW125">
            <v>0</v>
          </cell>
          <cell r="GY125">
            <v>0</v>
          </cell>
          <cell r="GZ125">
            <v>0</v>
          </cell>
          <cell r="HB125">
            <v>0</v>
          </cell>
          <cell r="HC125">
            <v>0</v>
          </cell>
          <cell r="HE125">
            <v>0</v>
          </cell>
          <cell r="HF125">
            <v>0</v>
          </cell>
          <cell r="HH125">
            <v>0</v>
          </cell>
          <cell r="HI125">
            <v>0</v>
          </cell>
          <cell r="HK125">
            <v>0</v>
          </cell>
          <cell r="HL125">
            <v>0</v>
          </cell>
          <cell r="HN125">
            <v>0</v>
          </cell>
          <cell r="HO125">
            <v>0</v>
          </cell>
          <cell r="HQ125">
            <v>0</v>
          </cell>
          <cell r="HR125">
            <v>0</v>
          </cell>
          <cell r="HT125">
            <v>0</v>
          </cell>
          <cell r="HU125">
            <v>0</v>
          </cell>
          <cell r="HW125">
            <v>0</v>
          </cell>
          <cell r="HX125">
            <v>0</v>
          </cell>
          <cell r="HZ125">
            <v>0</v>
          </cell>
          <cell r="IA125">
            <v>0</v>
          </cell>
          <cell r="IC125">
            <v>0</v>
          </cell>
          <cell r="ID125">
            <v>0</v>
          </cell>
          <cell r="IF125">
            <v>0</v>
          </cell>
        </row>
        <row r="126">
          <cell r="GP126" t="str">
            <v>Demin Water Storage Tank</v>
          </cell>
          <cell r="GQ126">
            <v>0</v>
          </cell>
          <cell r="GS126">
            <v>0</v>
          </cell>
          <cell r="GT126">
            <v>0</v>
          </cell>
          <cell r="GV126">
            <v>0</v>
          </cell>
          <cell r="GW126">
            <v>0</v>
          </cell>
          <cell r="GY126">
            <v>0</v>
          </cell>
          <cell r="GZ126">
            <v>0</v>
          </cell>
          <cell r="HB126">
            <v>0</v>
          </cell>
          <cell r="HC126">
            <v>0</v>
          </cell>
          <cell r="HE126">
            <v>0</v>
          </cell>
          <cell r="HF126">
            <v>0</v>
          </cell>
          <cell r="HH126">
            <v>0</v>
          </cell>
          <cell r="HI126">
            <v>0</v>
          </cell>
          <cell r="HK126">
            <v>0</v>
          </cell>
          <cell r="HL126">
            <v>0</v>
          </cell>
          <cell r="HN126">
            <v>0</v>
          </cell>
          <cell r="HO126">
            <v>0</v>
          </cell>
          <cell r="HQ126">
            <v>0</v>
          </cell>
          <cell r="HR126">
            <v>0</v>
          </cell>
          <cell r="HT126">
            <v>0</v>
          </cell>
          <cell r="HU126">
            <v>0</v>
          </cell>
          <cell r="HW126">
            <v>0</v>
          </cell>
          <cell r="HX126">
            <v>0</v>
          </cell>
          <cell r="HZ126">
            <v>0</v>
          </cell>
          <cell r="IA126">
            <v>0</v>
          </cell>
          <cell r="IC126">
            <v>0</v>
          </cell>
          <cell r="ID126">
            <v>0</v>
          </cell>
          <cell r="IF126">
            <v>0</v>
          </cell>
        </row>
        <row r="127">
          <cell r="GP127" t="str">
            <v>Condensate Storage Tank</v>
          </cell>
          <cell r="GQ127">
            <v>0</v>
          </cell>
          <cell r="GS127">
            <v>0</v>
          </cell>
          <cell r="GT127">
            <v>0</v>
          </cell>
          <cell r="GV127">
            <v>0</v>
          </cell>
          <cell r="GW127">
            <v>0</v>
          </cell>
          <cell r="GY127">
            <v>0</v>
          </cell>
          <cell r="GZ127">
            <v>0</v>
          </cell>
          <cell r="HB127">
            <v>0</v>
          </cell>
          <cell r="HC127">
            <v>0</v>
          </cell>
          <cell r="HE127">
            <v>0</v>
          </cell>
          <cell r="HF127">
            <v>0</v>
          </cell>
          <cell r="HH127">
            <v>0</v>
          </cell>
          <cell r="HI127">
            <v>0</v>
          </cell>
          <cell r="HK127">
            <v>0</v>
          </cell>
          <cell r="HL127">
            <v>0</v>
          </cell>
          <cell r="HN127">
            <v>0</v>
          </cell>
          <cell r="HO127">
            <v>0</v>
          </cell>
          <cell r="HQ127">
            <v>0</v>
          </cell>
          <cell r="HR127">
            <v>0</v>
          </cell>
          <cell r="HT127">
            <v>0</v>
          </cell>
          <cell r="HU127">
            <v>0</v>
          </cell>
          <cell r="HW127">
            <v>0</v>
          </cell>
          <cell r="HX127">
            <v>0</v>
          </cell>
          <cell r="HZ127">
            <v>0</v>
          </cell>
          <cell r="IA127">
            <v>0</v>
          </cell>
          <cell r="IC127">
            <v>0</v>
          </cell>
          <cell r="ID127">
            <v>0</v>
          </cell>
          <cell r="IF127">
            <v>0</v>
          </cell>
        </row>
        <row r="128">
          <cell r="GP128" t="str">
            <v>Neutralization Tank</v>
          </cell>
          <cell r="GQ128">
            <v>0</v>
          </cell>
          <cell r="GS128">
            <v>0</v>
          </cell>
          <cell r="GT128">
            <v>0</v>
          </cell>
          <cell r="GV128">
            <v>0</v>
          </cell>
          <cell r="GW128">
            <v>0</v>
          </cell>
          <cell r="GY128">
            <v>0</v>
          </cell>
          <cell r="GZ128">
            <v>0</v>
          </cell>
          <cell r="HB128">
            <v>0</v>
          </cell>
          <cell r="HC128">
            <v>0</v>
          </cell>
          <cell r="HE128">
            <v>0</v>
          </cell>
          <cell r="HF128">
            <v>0</v>
          </cell>
          <cell r="HH128">
            <v>0</v>
          </cell>
          <cell r="HI128">
            <v>0</v>
          </cell>
          <cell r="HK128">
            <v>0</v>
          </cell>
          <cell r="HL128">
            <v>0</v>
          </cell>
          <cell r="HN128">
            <v>0</v>
          </cell>
          <cell r="HO128">
            <v>0</v>
          </cell>
          <cell r="HQ128">
            <v>0</v>
          </cell>
          <cell r="HR128">
            <v>0</v>
          </cell>
          <cell r="HT128">
            <v>0</v>
          </cell>
          <cell r="HU128">
            <v>0</v>
          </cell>
          <cell r="HW128">
            <v>0</v>
          </cell>
          <cell r="HX128">
            <v>0</v>
          </cell>
          <cell r="HZ128">
            <v>0</v>
          </cell>
          <cell r="IA128">
            <v>0</v>
          </cell>
          <cell r="IC128">
            <v>0</v>
          </cell>
          <cell r="ID128">
            <v>0</v>
          </cell>
          <cell r="IF128">
            <v>0</v>
          </cell>
        </row>
        <row r="129">
          <cell r="GP129" t="str">
            <v>Misc Lined Tank 1</v>
          </cell>
          <cell r="GQ129">
            <v>0</v>
          </cell>
          <cell r="GS129">
            <v>0</v>
          </cell>
          <cell r="GT129">
            <v>0</v>
          </cell>
          <cell r="GV129">
            <v>0</v>
          </cell>
          <cell r="GW129">
            <v>0</v>
          </cell>
          <cell r="GY129">
            <v>0</v>
          </cell>
          <cell r="GZ129">
            <v>0</v>
          </cell>
          <cell r="HB129">
            <v>0</v>
          </cell>
          <cell r="HC129">
            <v>0</v>
          </cell>
          <cell r="HE129">
            <v>0</v>
          </cell>
          <cell r="HF129">
            <v>0</v>
          </cell>
          <cell r="HH129">
            <v>0</v>
          </cell>
          <cell r="HI129">
            <v>0</v>
          </cell>
          <cell r="HK129">
            <v>0</v>
          </cell>
          <cell r="HL129">
            <v>0</v>
          </cell>
          <cell r="HN129">
            <v>0</v>
          </cell>
          <cell r="HO129">
            <v>0</v>
          </cell>
          <cell r="HQ129">
            <v>0</v>
          </cell>
          <cell r="HR129">
            <v>0</v>
          </cell>
          <cell r="HT129">
            <v>0</v>
          </cell>
          <cell r="HU129">
            <v>0</v>
          </cell>
          <cell r="HW129">
            <v>0</v>
          </cell>
          <cell r="HX129">
            <v>0</v>
          </cell>
          <cell r="HZ129">
            <v>0</v>
          </cell>
          <cell r="IA129">
            <v>0</v>
          </cell>
          <cell r="IC129">
            <v>0</v>
          </cell>
          <cell r="ID129">
            <v>0</v>
          </cell>
          <cell r="IF129">
            <v>0</v>
          </cell>
        </row>
        <row r="130">
          <cell r="GP130" t="str">
            <v>Misc Lined Tank 2</v>
          </cell>
          <cell r="GQ130">
            <v>0</v>
          </cell>
          <cell r="GS130">
            <v>0</v>
          </cell>
          <cell r="GT130">
            <v>0</v>
          </cell>
          <cell r="GV130">
            <v>0</v>
          </cell>
          <cell r="GW130">
            <v>0</v>
          </cell>
          <cell r="GY130">
            <v>0</v>
          </cell>
          <cell r="GZ130">
            <v>0</v>
          </cell>
          <cell r="HB130">
            <v>0</v>
          </cell>
          <cell r="HC130">
            <v>0</v>
          </cell>
          <cell r="HE130">
            <v>0</v>
          </cell>
          <cell r="HF130">
            <v>0</v>
          </cell>
          <cell r="HH130">
            <v>0</v>
          </cell>
          <cell r="HI130">
            <v>0</v>
          </cell>
          <cell r="HK130">
            <v>0</v>
          </cell>
          <cell r="HL130">
            <v>0</v>
          </cell>
          <cell r="HN130">
            <v>0</v>
          </cell>
          <cell r="HO130">
            <v>0</v>
          </cell>
          <cell r="HQ130">
            <v>0</v>
          </cell>
          <cell r="HR130">
            <v>0</v>
          </cell>
          <cell r="HT130">
            <v>0</v>
          </cell>
          <cell r="HU130">
            <v>0</v>
          </cell>
          <cell r="HW130">
            <v>0</v>
          </cell>
          <cell r="HX130">
            <v>0</v>
          </cell>
          <cell r="HZ130">
            <v>0</v>
          </cell>
          <cell r="IA130">
            <v>0</v>
          </cell>
          <cell r="IC130">
            <v>0</v>
          </cell>
          <cell r="ID130">
            <v>0</v>
          </cell>
          <cell r="IF130">
            <v>0</v>
          </cell>
        </row>
        <row r="131">
          <cell r="GP131" t="str">
            <v>Misc Lined Tank 3</v>
          </cell>
          <cell r="GQ131">
            <v>0</v>
          </cell>
          <cell r="GS131">
            <v>0</v>
          </cell>
          <cell r="GT131">
            <v>0</v>
          </cell>
          <cell r="GV131">
            <v>0</v>
          </cell>
          <cell r="GW131">
            <v>0</v>
          </cell>
          <cell r="GY131">
            <v>0</v>
          </cell>
          <cell r="GZ131">
            <v>0</v>
          </cell>
          <cell r="HB131">
            <v>0</v>
          </cell>
          <cell r="HC131">
            <v>0</v>
          </cell>
          <cell r="HE131">
            <v>0</v>
          </cell>
          <cell r="HF131">
            <v>0</v>
          </cell>
          <cell r="HH131">
            <v>0</v>
          </cell>
          <cell r="HI131">
            <v>0</v>
          </cell>
          <cell r="HK131">
            <v>0</v>
          </cell>
          <cell r="HL131">
            <v>0</v>
          </cell>
          <cell r="HN131">
            <v>0</v>
          </cell>
          <cell r="HO131">
            <v>0</v>
          </cell>
          <cell r="HQ131">
            <v>0</v>
          </cell>
          <cell r="HR131">
            <v>0</v>
          </cell>
          <cell r="HT131">
            <v>0</v>
          </cell>
          <cell r="HU131">
            <v>0</v>
          </cell>
          <cell r="HW131">
            <v>0</v>
          </cell>
          <cell r="HX131">
            <v>0</v>
          </cell>
          <cell r="HZ131">
            <v>0</v>
          </cell>
          <cell r="IA131">
            <v>0</v>
          </cell>
          <cell r="IC131">
            <v>0</v>
          </cell>
          <cell r="ID131">
            <v>0</v>
          </cell>
          <cell r="IF131">
            <v>0</v>
          </cell>
        </row>
        <row r="132">
          <cell r="GP132" t="str">
            <v>HRSG Blowdown Tank</v>
          </cell>
          <cell r="GQ132">
            <v>0</v>
          </cell>
          <cell r="GS132">
            <v>0</v>
          </cell>
          <cell r="GT132">
            <v>0</v>
          </cell>
          <cell r="GV132">
            <v>0</v>
          </cell>
          <cell r="GW132">
            <v>0</v>
          </cell>
          <cell r="GY132">
            <v>0</v>
          </cell>
          <cell r="GZ132">
            <v>0</v>
          </cell>
          <cell r="HB132">
            <v>0</v>
          </cell>
          <cell r="HC132">
            <v>0</v>
          </cell>
          <cell r="HE132">
            <v>0</v>
          </cell>
          <cell r="HF132">
            <v>0</v>
          </cell>
          <cell r="HH132">
            <v>0</v>
          </cell>
          <cell r="HI132">
            <v>0</v>
          </cell>
          <cell r="HK132">
            <v>0</v>
          </cell>
          <cell r="HL132">
            <v>0</v>
          </cell>
          <cell r="HN132">
            <v>0</v>
          </cell>
          <cell r="HO132">
            <v>0</v>
          </cell>
          <cell r="HQ132">
            <v>0</v>
          </cell>
          <cell r="HR132">
            <v>0</v>
          </cell>
          <cell r="HT132">
            <v>0</v>
          </cell>
          <cell r="HU132">
            <v>0</v>
          </cell>
          <cell r="HW132">
            <v>0</v>
          </cell>
          <cell r="HX132">
            <v>0</v>
          </cell>
          <cell r="HZ132">
            <v>0</v>
          </cell>
          <cell r="IA132">
            <v>0</v>
          </cell>
          <cell r="IC132">
            <v>0</v>
          </cell>
          <cell r="ID132">
            <v>0</v>
          </cell>
          <cell r="IF132">
            <v>0</v>
          </cell>
        </row>
        <row r="133">
          <cell r="GP133" t="str">
            <v>Auxiliary Boiler Blowdown Tank</v>
          </cell>
          <cell r="GQ133">
            <v>0</v>
          </cell>
          <cell r="GS133">
            <v>0</v>
          </cell>
          <cell r="GT133">
            <v>0</v>
          </cell>
          <cell r="GV133">
            <v>0</v>
          </cell>
          <cell r="GW133">
            <v>0</v>
          </cell>
          <cell r="GY133">
            <v>0</v>
          </cell>
          <cell r="GZ133">
            <v>0</v>
          </cell>
          <cell r="HB133">
            <v>0</v>
          </cell>
          <cell r="HC133">
            <v>0</v>
          </cell>
          <cell r="HE133">
            <v>0</v>
          </cell>
          <cell r="HF133">
            <v>0</v>
          </cell>
          <cell r="HH133">
            <v>0</v>
          </cell>
          <cell r="HI133">
            <v>0</v>
          </cell>
          <cell r="HK133">
            <v>0</v>
          </cell>
          <cell r="HL133">
            <v>0</v>
          </cell>
          <cell r="HN133">
            <v>0</v>
          </cell>
          <cell r="HO133">
            <v>0</v>
          </cell>
          <cell r="HQ133">
            <v>0</v>
          </cell>
          <cell r="HR133">
            <v>0</v>
          </cell>
          <cell r="HT133">
            <v>0</v>
          </cell>
          <cell r="HU133">
            <v>0</v>
          </cell>
          <cell r="HW133">
            <v>0</v>
          </cell>
          <cell r="HX133">
            <v>0</v>
          </cell>
          <cell r="HZ133">
            <v>0</v>
          </cell>
          <cell r="IA133">
            <v>0</v>
          </cell>
          <cell r="IC133">
            <v>0</v>
          </cell>
          <cell r="ID133">
            <v>0</v>
          </cell>
          <cell r="IF133">
            <v>0</v>
          </cell>
        </row>
        <row r="134">
          <cell r="GP134" t="str">
            <v>Lube Oil Storage Tank</v>
          </cell>
          <cell r="GQ134">
            <v>0</v>
          </cell>
          <cell r="GS134">
            <v>0</v>
          </cell>
          <cell r="GT134">
            <v>0</v>
          </cell>
          <cell r="GV134">
            <v>0</v>
          </cell>
          <cell r="GW134">
            <v>0</v>
          </cell>
          <cell r="GY134">
            <v>0</v>
          </cell>
          <cell r="GZ134">
            <v>0</v>
          </cell>
          <cell r="HB134">
            <v>0</v>
          </cell>
          <cell r="HC134">
            <v>0</v>
          </cell>
          <cell r="HE134">
            <v>0</v>
          </cell>
          <cell r="HF134">
            <v>0</v>
          </cell>
          <cell r="HH134">
            <v>0</v>
          </cell>
          <cell r="HI134">
            <v>0</v>
          </cell>
          <cell r="HK134">
            <v>0</v>
          </cell>
          <cell r="HL134">
            <v>0</v>
          </cell>
          <cell r="HN134">
            <v>0</v>
          </cell>
          <cell r="HO134">
            <v>0</v>
          </cell>
          <cell r="HQ134">
            <v>0</v>
          </cell>
          <cell r="HR134">
            <v>0</v>
          </cell>
          <cell r="HT134">
            <v>0</v>
          </cell>
          <cell r="HU134">
            <v>0</v>
          </cell>
          <cell r="HW134">
            <v>0</v>
          </cell>
          <cell r="HX134">
            <v>0</v>
          </cell>
          <cell r="HZ134">
            <v>0</v>
          </cell>
          <cell r="IA134">
            <v>0</v>
          </cell>
          <cell r="IC134">
            <v>0</v>
          </cell>
          <cell r="ID134">
            <v>0</v>
          </cell>
          <cell r="IF134">
            <v>0</v>
          </cell>
        </row>
        <row r="135">
          <cell r="GP135" t="str">
            <v>Shop Fab Tank 4</v>
          </cell>
          <cell r="GQ135">
            <v>0</v>
          </cell>
          <cell r="GS135">
            <v>0</v>
          </cell>
          <cell r="GT135">
            <v>0</v>
          </cell>
          <cell r="GV135">
            <v>0</v>
          </cell>
          <cell r="GW135">
            <v>0</v>
          </cell>
          <cell r="GY135">
            <v>0</v>
          </cell>
          <cell r="GZ135">
            <v>0</v>
          </cell>
          <cell r="HB135">
            <v>0</v>
          </cell>
          <cell r="HC135">
            <v>0</v>
          </cell>
          <cell r="HE135">
            <v>0</v>
          </cell>
          <cell r="HF135">
            <v>0</v>
          </cell>
          <cell r="HH135">
            <v>0</v>
          </cell>
          <cell r="HI135">
            <v>0</v>
          </cell>
          <cell r="HK135">
            <v>0</v>
          </cell>
          <cell r="HL135">
            <v>0</v>
          </cell>
          <cell r="HN135">
            <v>0</v>
          </cell>
          <cell r="HO135">
            <v>0</v>
          </cell>
          <cell r="HQ135">
            <v>0</v>
          </cell>
          <cell r="HR135">
            <v>0</v>
          </cell>
          <cell r="HT135">
            <v>0</v>
          </cell>
          <cell r="HU135">
            <v>0</v>
          </cell>
          <cell r="HW135">
            <v>0</v>
          </cell>
          <cell r="HX135">
            <v>0</v>
          </cell>
          <cell r="HZ135">
            <v>0</v>
          </cell>
          <cell r="IA135">
            <v>0</v>
          </cell>
          <cell r="IC135">
            <v>0</v>
          </cell>
          <cell r="ID135">
            <v>0</v>
          </cell>
          <cell r="IF135">
            <v>0</v>
          </cell>
        </row>
        <row r="136">
          <cell r="GP136" t="str">
            <v>Closed Cooling Water Head Tank</v>
          </cell>
          <cell r="GQ136">
            <v>100</v>
          </cell>
          <cell r="GS136">
            <v>100</v>
          </cell>
          <cell r="GT136">
            <v>100</v>
          </cell>
          <cell r="GV136">
            <v>100</v>
          </cell>
          <cell r="GW136">
            <v>100</v>
          </cell>
          <cell r="GY136">
            <v>100</v>
          </cell>
          <cell r="GZ136">
            <v>100</v>
          </cell>
          <cell r="HB136">
            <v>100</v>
          </cell>
          <cell r="HC136">
            <v>100</v>
          </cell>
          <cell r="HE136">
            <v>100</v>
          </cell>
          <cell r="HF136">
            <v>100</v>
          </cell>
          <cell r="HH136">
            <v>100</v>
          </cell>
          <cell r="HI136">
            <v>100</v>
          </cell>
          <cell r="HK136">
            <v>100</v>
          </cell>
          <cell r="HL136">
            <v>100</v>
          </cell>
          <cell r="HN136">
            <v>100</v>
          </cell>
          <cell r="HO136">
            <v>100</v>
          </cell>
          <cell r="HQ136">
            <v>100</v>
          </cell>
          <cell r="HR136">
            <v>100</v>
          </cell>
          <cell r="HT136">
            <v>100</v>
          </cell>
          <cell r="HU136">
            <v>100</v>
          </cell>
          <cell r="HW136">
            <v>100</v>
          </cell>
          <cell r="HX136">
            <v>100</v>
          </cell>
          <cell r="HZ136">
            <v>100</v>
          </cell>
          <cell r="IA136">
            <v>100</v>
          </cell>
          <cell r="IC136">
            <v>100</v>
          </cell>
          <cell r="ID136">
            <v>100</v>
          </cell>
          <cell r="IF136">
            <v>100</v>
          </cell>
        </row>
        <row r="137">
          <cell r="GP137" t="str">
            <v>Shop Fab Tank 1</v>
          </cell>
          <cell r="GQ137">
            <v>0</v>
          </cell>
          <cell r="GS137">
            <v>0</v>
          </cell>
          <cell r="GT137">
            <v>0</v>
          </cell>
          <cell r="GV137">
            <v>0</v>
          </cell>
          <cell r="GW137">
            <v>0</v>
          </cell>
          <cell r="GY137">
            <v>0</v>
          </cell>
          <cell r="GZ137">
            <v>0</v>
          </cell>
          <cell r="HB137">
            <v>0</v>
          </cell>
          <cell r="HC137">
            <v>0</v>
          </cell>
          <cell r="HE137">
            <v>0</v>
          </cell>
          <cell r="HF137">
            <v>0</v>
          </cell>
          <cell r="HH137">
            <v>0</v>
          </cell>
          <cell r="HI137">
            <v>0</v>
          </cell>
          <cell r="HK137">
            <v>0</v>
          </cell>
          <cell r="HL137">
            <v>0</v>
          </cell>
          <cell r="HN137">
            <v>0</v>
          </cell>
          <cell r="HO137">
            <v>0</v>
          </cell>
          <cell r="HQ137">
            <v>0</v>
          </cell>
          <cell r="HR137">
            <v>0</v>
          </cell>
          <cell r="HT137">
            <v>0</v>
          </cell>
          <cell r="HU137">
            <v>0</v>
          </cell>
          <cell r="HW137">
            <v>0</v>
          </cell>
          <cell r="HX137">
            <v>0</v>
          </cell>
          <cell r="HZ137">
            <v>0</v>
          </cell>
          <cell r="IA137">
            <v>0</v>
          </cell>
          <cell r="IC137">
            <v>0</v>
          </cell>
          <cell r="ID137">
            <v>0</v>
          </cell>
          <cell r="IF137">
            <v>0</v>
          </cell>
        </row>
        <row r="138">
          <cell r="GP138" t="str">
            <v>Shop Fab Tank 2</v>
          </cell>
          <cell r="GQ138">
            <v>0</v>
          </cell>
          <cell r="GS138">
            <v>0</v>
          </cell>
          <cell r="GT138">
            <v>0</v>
          </cell>
          <cell r="GV138">
            <v>0</v>
          </cell>
          <cell r="GW138">
            <v>0</v>
          </cell>
          <cell r="GY138">
            <v>0</v>
          </cell>
          <cell r="GZ138">
            <v>0</v>
          </cell>
          <cell r="HB138">
            <v>0</v>
          </cell>
          <cell r="HC138">
            <v>0</v>
          </cell>
          <cell r="HE138">
            <v>0</v>
          </cell>
          <cell r="HF138">
            <v>0</v>
          </cell>
          <cell r="HH138">
            <v>0</v>
          </cell>
          <cell r="HI138">
            <v>0</v>
          </cell>
          <cell r="HK138">
            <v>0</v>
          </cell>
          <cell r="HL138">
            <v>0</v>
          </cell>
          <cell r="HN138">
            <v>0</v>
          </cell>
          <cell r="HO138">
            <v>0</v>
          </cell>
          <cell r="HQ138">
            <v>0</v>
          </cell>
          <cell r="HR138">
            <v>0</v>
          </cell>
          <cell r="HT138">
            <v>0</v>
          </cell>
          <cell r="HU138">
            <v>0</v>
          </cell>
          <cell r="HW138">
            <v>0</v>
          </cell>
          <cell r="HX138">
            <v>0</v>
          </cell>
          <cell r="HZ138">
            <v>0</v>
          </cell>
          <cell r="IA138">
            <v>0</v>
          </cell>
          <cell r="IC138">
            <v>0</v>
          </cell>
          <cell r="ID138">
            <v>0</v>
          </cell>
          <cell r="IF138">
            <v>0</v>
          </cell>
        </row>
        <row r="139">
          <cell r="GP139" t="str">
            <v>Shop Fab Tank 3</v>
          </cell>
          <cell r="GQ139">
            <v>0</v>
          </cell>
          <cell r="GS139">
            <v>0</v>
          </cell>
          <cell r="GT139">
            <v>0</v>
          </cell>
          <cell r="GV139">
            <v>0</v>
          </cell>
          <cell r="GW139">
            <v>0</v>
          </cell>
          <cell r="GY139">
            <v>0</v>
          </cell>
          <cell r="GZ139">
            <v>0</v>
          </cell>
          <cell r="HB139">
            <v>0</v>
          </cell>
          <cell r="HC139">
            <v>0</v>
          </cell>
          <cell r="HE139">
            <v>0</v>
          </cell>
          <cell r="HF139">
            <v>0</v>
          </cell>
          <cell r="HH139">
            <v>0</v>
          </cell>
          <cell r="HI139">
            <v>0</v>
          </cell>
          <cell r="HK139">
            <v>0</v>
          </cell>
          <cell r="HL139">
            <v>0</v>
          </cell>
          <cell r="HN139">
            <v>0</v>
          </cell>
          <cell r="HO139">
            <v>0</v>
          </cell>
          <cell r="HQ139">
            <v>0</v>
          </cell>
          <cell r="HR139">
            <v>0</v>
          </cell>
          <cell r="HT139">
            <v>0</v>
          </cell>
          <cell r="HU139">
            <v>0</v>
          </cell>
          <cell r="HW139">
            <v>0</v>
          </cell>
          <cell r="HX139">
            <v>0</v>
          </cell>
          <cell r="HZ139">
            <v>0</v>
          </cell>
          <cell r="IA139">
            <v>0</v>
          </cell>
          <cell r="IC139">
            <v>0</v>
          </cell>
          <cell r="ID139">
            <v>0</v>
          </cell>
          <cell r="IF139">
            <v>0</v>
          </cell>
        </row>
        <row r="140">
          <cell r="GP140" t="str">
            <v>GTG Drains Tank</v>
          </cell>
          <cell r="GQ140">
            <v>100</v>
          </cell>
          <cell r="GS140">
            <v>100</v>
          </cell>
          <cell r="GT140">
            <v>100</v>
          </cell>
          <cell r="GV140">
            <v>100</v>
          </cell>
          <cell r="GW140">
            <v>100</v>
          </cell>
          <cell r="GY140">
            <v>100</v>
          </cell>
          <cell r="GZ140">
            <v>100</v>
          </cell>
          <cell r="HB140">
            <v>100</v>
          </cell>
          <cell r="HC140">
            <v>100</v>
          </cell>
          <cell r="HE140">
            <v>100</v>
          </cell>
          <cell r="HF140">
            <v>100</v>
          </cell>
          <cell r="HH140">
            <v>100</v>
          </cell>
          <cell r="HI140">
            <v>100</v>
          </cell>
          <cell r="HK140">
            <v>100</v>
          </cell>
          <cell r="HL140">
            <v>100</v>
          </cell>
          <cell r="HN140">
            <v>100</v>
          </cell>
          <cell r="HO140">
            <v>100</v>
          </cell>
          <cell r="HQ140">
            <v>100</v>
          </cell>
          <cell r="HR140">
            <v>100</v>
          </cell>
          <cell r="HT140">
            <v>100</v>
          </cell>
          <cell r="HU140">
            <v>100</v>
          </cell>
          <cell r="HW140">
            <v>100</v>
          </cell>
          <cell r="HX140">
            <v>100</v>
          </cell>
          <cell r="HZ140">
            <v>100</v>
          </cell>
          <cell r="IA140">
            <v>100</v>
          </cell>
          <cell r="IC140">
            <v>100</v>
          </cell>
          <cell r="ID140">
            <v>100</v>
          </cell>
          <cell r="IF140">
            <v>100</v>
          </cell>
        </row>
        <row r="141">
          <cell r="GP141" t="str">
            <v>False Start Drain Tank</v>
          </cell>
          <cell r="GQ141">
            <v>100</v>
          </cell>
          <cell r="GS141">
            <v>100</v>
          </cell>
          <cell r="GT141">
            <v>100</v>
          </cell>
          <cell r="GV141">
            <v>100</v>
          </cell>
          <cell r="GW141">
            <v>100</v>
          </cell>
          <cell r="GY141">
            <v>100</v>
          </cell>
          <cell r="GZ141">
            <v>100</v>
          </cell>
          <cell r="HB141">
            <v>100</v>
          </cell>
          <cell r="HC141">
            <v>100</v>
          </cell>
          <cell r="HE141">
            <v>100</v>
          </cell>
          <cell r="HF141">
            <v>100</v>
          </cell>
          <cell r="HH141">
            <v>100</v>
          </cell>
          <cell r="HI141">
            <v>100</v>
          </cell>
          <cell r="HK141">
            <v>100</v>
          </cell>
          <cell r="HL141">
            <v>100</v>
          </cell>
          <cell r="HN141">
            <v>100</v>
          </cell>
          <cell r="HO141">
            <v>100</v>
          </cell>
          <cell r="HQ141">
            <v>100</v>
          </cell>
          <cell r="HR141">
            <v>100</v>
          </cell>
          <cell r="HT141">
            <v>100</v>
          </cell>
          <cell r="HU141">
            <v>100</v>
          </cell>
          <cell r="HW141">
            <v>100</v>
          </cell>
          <cell r="HX141">
            <v>100</v>
          </cell>
          <cell r="HZ141">
            <v>100</v>
          </cell>
          <cell r="IA141">
            <v>100</v>
          </cell>
          <cell r="IC141">
            <v>100</v>
          </cell>
          <cell r="ID141">
            <v>100</v>
          </cell>
          <cell r="IF141">
            <v>100</v>
          </cell>
        </row>
        <row r="142">
          <cell r="GP142" t="str">
            <v>Acid Storage Tank</v>
          </cell>
          <cell r="GQ142">
            <v>0</v>
          </cell>
          <cell r="GS142">
            <v>0</v>
          </cell>
          <cell r="GT142">
            <v>0</v>
          </cell>
          <cell r="GV142">
            <v>0</v>
          </cell>
          <cell r="GW142">
            <v>0</v>
          </cell>
          <cell r="GY142">
            <v>0</v>
          </cell>
          <cell r="GZ142">
            <v>0</v>
          </cell>
          <cell r="HB142">
            <v>0</v>
          </cell>
          <cell r="HC142">
            <v>0</v>
          </cell>
          <cell r="HE142">
            <v>0</v>
          </cell>
          <cell r="HF142">
            <v>0</v>
          </cell>
          <cell r="HH142">
            <v>0</v>
          </cell>
          <cell r="HI142">
            <v>0</v>
          </cell>
          <cell r="HK142">
            <v>0</v>
          </cell>
          <cell r="HL142">
            <v>0</v>
          </cell>
          <cell r="HN142">
            <v>0</v>
          </cell>
          <cell r="HO142">
            <v>0</v>
          </cell>
          <cell r="HQ142">
            <v>0</v>
          </cell>
          <cell r="HR142">
            <v>0</v>
          </cell>
          <cell r="HT142">
            <v>0</v>
          </cell>
          <cell r="HU142">
            <v>0</v>
          </cell>
          <cell r="HW142">
            <v>0</v>
          </cell>
          <cell r="HX142">
            <v>0</v>
          </cell>
          <cell r="HZ142">
            <v>0</v>
          </cell>
          <cell r="IA142">
            <v>0</v>
          </cell>
          <cell r="IC142">
            <v>0</v>
          </cell>
          <cell r="ID142">
            <v>0</v>
          </cell>
          <cell r="IF142">
            <v>0</v>
          </cell>
        </row>
        <row r="143">
          <cell r="GP143" t="str">
            <v>Caustic Storage Tank</v>
          </cell>
          <cell r="GQ143">
            <v>0</v>
          </cell>
          <cell r="GS143">
            <v>0</v>
          </cell>
          <cell r="GT143">
            <v>0</v>
          </cell>
          <cell r="GV143">
            <v>0</v>
          </cell>
          <cell r="GW143">
            <v>0</v>
          </cell>
          <cell r="GY143">
            <v>0</v>
          </cell>
          <cell r="GZ143">
            <v>0</v>
          </cell>
          <cell r="HB143">
            <v>0</v>
          </cell>
          <cell r="HC143">
            <v>0</v>
          </cell>
          <cell r="HE143">
            <v>0</v>
          </cell>
          <cell r="HF143">
            <v>0</v>
          </cell>
          <cell r="HH143">
            <v>0</v>
          </cell>
          <cell r="HI143">
            <v>0</v>
          </cell>
          <cell r="HK143">
            <v>0</v>
          </cell>
          <cell r="HL143">
            <v>0</v>
          </cell>
          <cell r="HN143">
            <v>0</v>
          </cell>
          <cell r="HO143">
            <v>0</v>
          </cell>
          <cell r="HQ143">
            <v>0</v>
          </cell>
          <cell r="HR143">
            <v>0</v>
          </cell>
          <cell r="HT143">
            <v>0</v>
          </cell>
          <cell r="HU143">
            <v>0</v>
          </cell>
          <cell r="HW143">
            <v>0</v>
          </cell>
          <cell r="HX143">
            <v>0</v>
          </cell>
          <cell r="HZ143">
            <v>0</v>
          </cell>
          <cell r="IA143">
            <v>0</v>
          </cell>
          <cell r="IC143">
            <v>0</v>
          </cell>
          <cell r="ID143">
            <v>0</v>
          </cell>
          <cell r="IF143">
            <v>0</v>
          </cell>
        </row>
        <row r="144">
          <cell r="GP144" t="str">
            <v>Sulfuric Acid Tank</v>
          </cell>
          <cell r="GQ144">
            <v>0</v>
          </cell>
          <cell r="GS144">
            <v>0</v>
          </cell>
          <cell r="GT144">
            <v>0</v>
          </cell>
          <cell r="GV144">
            <v>0</v>
          </cell>
          <cell r="GW144">
            <v>0</v>
          </cell>
          <cell r="GY144">
            <v>0</v>
          </cell>
          <cell r="GZ144">
            <v>0</v>
          </cell>
          <cell r="HB144">
            <v>0</v>
          </cell>
          <cell r="HC144">
            <v>0</v>
          </cell>
          <cell r="HE144">
            <v>0</v>
          </cell>
          <cell r="HF144">
            <v>0</v>
          </cell>
          <cell r="HH144">
            <v>0</v>
          </cell>
          <cell r="HI144">
            <v>0</v>
          </cell>
          <cell r="HK144">
            <v>0</v>
          </cell>
          <cell r="HL144">
            <v>0</v>
          </cell>
          <cell r="HN144">
            <v>0</v>
          </cell>
          <cell r="HO144">
            <v>0</v>
          </cell>
          <cell r="HQ144">
            <v>0</v>
          </cell>
          <cell r="HR144">
            <v>0</v>
          </cell>
          <cell r="HT144">
            <v>0</v>
          </cell>
          <cell r="HU144">
            <v>0</v>
          </cell>
          <cell r="HW144">
            <v>0</v>
          </cell>
          <cell r="HX144">
            <v>0</v>
          </cell>
          <cell r="HZ144">
            <v>0</v>
          </cell>
          <cell r="IA144">
            <v>0</v>
          </cell>
          <cell r="IC144">
            <v>0</v>
          </cell>
          <cell r="ID144">
            <v>0</v>
          </cell>
          <cell r="IF144">
            <v>0</v>
          </cell>
        </row>
        <row r="145">
          <cell r="GP145" t="str">
            <v>Shop Fab Non Met Tank 1</v>
          </cell>
          <cell r="GQ145">
            <v>0</v>
          </cell>
          <cell r="GS145">
            <v>0</v>
          </cell>
          <cell r="GT145">
            <v>0</v>
          </cell>
          <cell r="GV145">
            <v>0</v>
          </cell>
          <cell r="GW145">
            <v>0</v>
          </cell>
          <cell r="GY145">
            <v>0</v>
          </cell>
          <cell r="GZ145">
            <v>0</v>
          </cell>
          <cell r="HB145">
            <v>0</v>
          </cell>
          <cell r="HC145">
            <v>0</v>
          </cell>
          <cell r="HE145">
            <v>0</v>
          </cell>
          <cell r="HF145">
            <v>0</v>
          </cell>
          <cell r="HH145">
            <v>0</v>
          </cell>
          <cell r="HI145">
            <v>0</v>
          </cell>
          <cell r="HK145">
            <v>0</v>
          </cell>
          <cell r="HL145">
            <v>0</v>
          </cell>
          <cell r="HN145">
            <v>0</v>
          </cell>
          <cell r="HO145">
            <v>0</v>
          </cell>
          <cell r="HQ145">
            <v>0</v>
          </cell>
          <cell r="HR145">
            <v>0</v>
          </cell>
          <cell r="HT145">
            <v>0</v>
          </cell>
          <cell r="HU145">
            <v>0</v>
          </cell>
          <cell r="HW145">
            <v>0</v>
          </cell>
          <cell r="HX145">
            <v>0</v>
          </cell>
          <cell r="HZ145">
            <v>0</v>
          </cell>
          <cell r="IA145">
            <v>0</v>
          </cell>
          <cell r="IC145">
            <v>0</v>
          </cell>
          <cell r="ID145">
            <v>0</v>
          </cell>
          <cell r="IF145">
            <v>0</v>
          </cell>
        </row>
        <row r="146">
          <cell r="GP146" t="str">
            <v>Shop Fab Non Met Tank 2</v>
          </cell>
          <cell r="GQ146">
            <v>0</v>
          </cell>
          <cell r="GS146">
            <v>0</v>
          </cell>
          <cell r="GT146">
            <v>0</v>
          </cell>
          <cell r="GV146">
            <v>0</v>
          </cell>
          <cell r="GW146">
            <v>0</v>
          </cell>
          <cell r="GY146">
            <v>0</v>
          </cell>
          <cell r="GZ146">
            <v>0</v>
          </cell>
          <cell r="HB146">
            <v>0</v>
          </cell>
          <cell r="HC146">
            <v>0</v>
          </cell>
          <cell r="HE146">
            <v>0</v>
          </cell>
          <cell r="HF146">
            <v>0</v>
          </cell>
          <cell r="HH146">
            <v>0</v>
          </cell>
          <cell r="HI146">
            <v>0</v>
          </cell>
          <cell r="HK146">
            <v>0</v>
          </cell>
          <cell r="HL146">
            <v>0</v>
          </cell>
          <cell r="HN146">
            <v>0</v>
          </cell>
          <cell r="HO146">
            <v>0</v>
          </cell>
          <cell r="HQ146">
            <v>0</v>
          </cell>
          <cell r="HR146">
            <v>0</v>
          </cell>
          <cell r="HT146">
            <v>0</v>
          </cell>
          <cell r="HU146">
            <v>0</v>
          </cell>
          <cell r="HW146">
            <v>0</v>
          </cell>
          <cell r="HX146">
            <v>0</v>
          </cell>
          <cell r="HZ146">
            <v>0</v>
          </cell>
          <cell r="IA146">
            <v>0</v>
          </cell>
          <cell r="IC146">
            <v>0</v>
          </cell>
          <cell r="ID146">
            <v>0</v>
          </cell>
          <cell r="IF146">
            <v>0</v>
          </cell>
        </row>
        <row r="147">
          <cell r="GP147" t="str">
            <v>Shop Fab Non Met Tank 3</v>
          </cell>
          <cell r="GQ147">
            <v>0</v>
          </cell>
          <cell r="GS147">
            <v>0</v>
          </cell>
          <cell r="GT147">
            <v>0</v>
          </cell>
          <cell r="GV147">
            <v>0</v>
          </cell>
          <cell r="GW147">
            <v>0</v>
          </cell>
          <cell r="GY147">
            <v>0</v>
          </cell>
          <cell r="GZ147">
            <v>0</v>
          </cell>
          <cell r="HB147">
            <v>0</v>
          </cell>
          <cell r="HC147">
            <v>0</v>
          </cell>
          <cell r="HE147">
            <v>0</v>
          </cell>
          <cell r="HF147">
            <v>0</v>
          </cell>
          <cell r="HH147">
            <v>0</v>
          </cell>
          <cell r="HI147">
            <v>0</v>
          </cell>
          <cell r="HK147">
            <v>0</v>
          </cell>
          <cell r="HL147">
            <v>0</v>
          </cell>
          <cell r="HN147">
            <v>0</v>
          </cell>
          <cell r="HO147">
            <v>0</v>
          </cell>
          <cell r="HQ147">
            <v>0</v>
          </cell>
          <cell r="HR147">
            <v>0</v>
          </cell>
          <cell r="HT147">
            <v>0</v>
          </cell>
          <cell r="HU147">
            <v>0</v>
          </cell>
          <cell r="HW147">
            <v>0</v>
          </cell>
          <cell r="HX147">
            <v>0</v>
          </cell>
          <cell r="HZ147">
            <v>0</v>
          </cell>
          <cell r="IA147">
            <v>0</v>
          </cell>
          <cell r="IC147">
            <v>0</v>
          </cell>
          <cell r="ID147">
            <v>0</v>
          </cell>
          <cell r="IF147">
            <v>0</v>
          </cell>
        </row>
        <row r="148">
          <cell r="GP148" t="str">
            <v>Condensate Drains Tank</v>
          </cell>
          <cell r="GQ148">
            <v>0</v>
          </cell>
          <cell r="GS148">
            <v>0</v>
          </cell>
          <cell r="GT148">
            <v>0</v>
          </cell>
          <cell r="GV148">
            <v>0</v>
          </cell>
          <cell r="GW148">
            <v>0</v>
          </cell>
          <cell r="GY148">
            <v>0</v>
          </cell>
          <cell r="GZ148">
            <v>0</v>
          </cell>
          <cell r="HB148">
            <v>0</v>
          </cell>
          <cell r="HC148">
            <v>0</v>
          </cell>
          <cell r="HE148">
            <v>0</v>
          </cell>
          <cell r="HF148">
            <v>0</v>
          </cell>
          <cell r="HH148">
            <v>0</v>
          </cell>
          <cell r="HI148">
            <v>0</v>
          </cell>
          <cell r="HK148">
            <v>0</v>
          </cell>
          <cell r="HL148">
            <v>0</v>
          </cell>
          <cell r="HN148">
            <v>0</v>
          </cell>
          <cell r="HO148">
            <v>0</v>
          </cell>
          <cell r="HQ148">
            <v>0</v>
          </cell>
          <cell r="HR148">
            <v>0</v>
          </cell>
          <cell r="HT148">
            <v>0</v>
          </cell>
          <cell r="HU148">
            <v>0</v>
          </cell>
          <cell r="HW148">
            <v>0</v>
          </cell>
          <cell r="HX148">
            <v>0</v>
          </cell>
          <cell r="HZ148">
            <v>0</v>
          </cell>
          <cell r="IA148">
            <v>0</v>
          </cell>
          <cell r="IC148">
            <v>0</v>
          </cell>
          <cell r="ID148">
            <v>0</v>
          </cell>
          <cell r="IF148">
            <v>0</v>
          </cell>
        </row>
        <row r="149">
          <cell r="GQ149">
            <v>0</v>
          </cell>
          <cell r="GT149">
            <v>0</v>
          </cell>
          <cell r="GW149">
            <v>0</v>
          </cell>
          <cell r="GZ149">
            <v>0</v>
          </cell>
          <cell r="HC149">
            <v>0</v>
          </cell>
          <cell r="HF149">
            <v>0</v>
          </cell>
          <cell r="HI149">
            <v>0</v>
          </cell>
          <cell r="HL149">
            <v>0</v>
          </cell>
          <cell r="HO149">
            <v>0</v>
          </cell>
          <cell r="HR149">
            <v>0</v>
          </cell>
          <cell r="HU149">
            <v>0</v>
          </cell>
          <cell r="HX149">
            <v>0</v>
          </cell>
          <cell r="IA149">
            <v>0</v>
          </cell>
          <cell r="ID149">
            <v>0</v>
          </cell>
        </row>
        <row r="150">
          <cell r="GQ150">
            <v>0</v>
          </cell>
          <cell r="GT150">
            <v>0</v>
          </cell>
          <cell r="GW150">
            <v>0</v>
          </cell>
          <cell r="GZ150">
            <v>0</v>
          </cell>
          <cell r="HC150">
            <v>0</v>
          </cell>
          <cell r="HF150">
            <v>0</v>
          </cell>
          <cell r="HI150">
            <v>0</v>
          </cell>
          <cell r="HL150">
            <v>0</v>
          </cell>
          <cell r="HO150">
            <v>0</v>
          </cell>
          <cell r="HR150">
            <v>0</v>
          </cell>
          <cell r="HU150">
            <v>0</v>
          </cell>
          <cell r="HX150">
            <v>0</v>
          </cell>
          <cell r="IA150">
            <v>0</v>
          </cell>
          <cell r="ID150">
            <v>0</v>
          </cell>
        </row>
        <row r="151">
          <cell r="GQ151">
            <v>0</v>
          </cell>
          <cell r="GT151">
            <v>0</v>
          </cell>
          <cell r="GW151">
            <v>0</v>
          </cell>
          <cell r="GZ151">
            <v>0</v>
          </cell>
          <cell r="HC151">
            <v>0</v>
          </cell>
          <cell r="HF151">
            <v>0</v>
          </cell>
          <cell r="HI151">
            <v>0</v>
          </cell>
          <cell r="HL151">
            <v>0</v>
          </cell>
          <cell r="HO151">
            <v>0</v>
          </cell>
          <cell r="HR151">
            <v>0</v>
          </cell>
          <cell r="HU151">
            <v>0</v>
          </cell>
          <cell r="HX151">
            <v>0</v>
          </cell>
          <cell r="IA151">
            <v>0</v>
          </cell>
          <cell r="ID151">
            <v>0</v>
          </cell>
        </row>
        <row r="152">
          <cell r="GP152" t="str">
            <v>Electric Immersion Heater - Field Fab Tank</v>
          </cell>
          <cell r="GQ152">
            <v>0</v>
          </cell>
          <cell r="GS152">
            <v>0</v>
          </cell>
          <cell r="GT152">
            <v>0</v>
          </cell>
          <cell r="GV152">
            <v>0</v>
          </cell>
          <cell r="GW152">
            <v>0</v>
          </cell>
          <cell r="GY152">
            <v>0</v>
          </cell>
          <cell r="GZ152">
            <v>0</v>
          </cell>
          <cell r="HB152">
            <v>0</v>
          </cell>
          <cell r="HC152">
            <v>0</v>
          </cell>
          <cell r="HE152">
            <v>0</v>
          </cell>
          <cell r="HF152">
            <v>0</v>
          </cell>
          <cell r="HH152">
            <v>0</v>
          </cell>
          <cell r="HI152">
            <v>0</v>
          </cell>
          <cell r="HK152">
            <v>0</v>
          </cell>
          <cell r="HL152">
            <v>0</v>
          </cell>
          <cell r="HN152">
            <v>0</v>
          </cell>
          <cell r="HO152">
            <v>0</v>
          </cell>
          <cell r="HQ152">
            <v>0</v>
          </cell>
          <cell r="HR152">
            <v>0</v>
          </cell>
          <cell r="HT152">
            <v>0</v>
          </cell>
          <cell r="HU152">
            <v>0</v>
          </cell>
          <cell r="HW152">
            <v>0</v>
          </cell>
          <cell r="HX152">
            <v>0</v>
          </cell>
          <cell r="HZ152">
            <v>0</v>
          </cell>
          <cell r="IA152">
            <v>0</v>
          </cell>
          <cell r="IC152">
            <v>0</v>
          </cell>
          <cell r="ID152">
            <v>0</v>
          </cell>
          <cell r="IF152">
            <v>0</v>
          </cell>
        </row>
        <row r="153">
          <cell r="GP153" t="str">
            <v>Electric Immersion Heater - Shop Fab Tank</v>
          </cell>
          <cell r="GQ153">
            <v>0</v>
          </cell>
          <cell r="GS153">
            <v>0</v>
          </cell>
          <cell r="GT153">
            <v>0</v>
          </cell>
          <cell r="GV153">
            <v>0</v>
          </cell>
          <cell r="GW153">
            <v>0</v>
          </cell>
          <cell r="GY153">
            <v>0</v>
          </cell>
          <cell r="GZ153">
            <v>0</v>
          </cell>
          <cell r="HB153">
            <v>0</v>
          </cell>
          <cell r="HC153">
            <v>0</v>
          </cell>
          <cell r="HE153">
            <v>0</v>
          </cell>
          <cell r="HF153">
            <v>0</v>
          </cell>
          <cell r="HH153">
            <v>0</v>
          </cell>
          <cell r="HI153">
            <v>0</v>
          </cell>
          <cell r="HK153">
            <v>0</v>
          </cell>
          <cell r="HL153">
            <v>0</v>
          </cell>
          <cell r="HN153">
            <v>0</v>
          </cell>
          <cell r="HO153">
            <v>0</v>
          </cell>
          <cell r="HQ153">
            <v>0</v>
          </cell>
          <cell r="HR153">
            <v>0</v>
          </cell>
          <cell r="HT153">
            <v>0</v>
          </cell>
          <cell r="HU153">
            <v>0</v>
          </cell>
          <cell r="HW153">
            <v>0</v>
          </cell>
          <cell r="HX153">
            <v>0</v>
          </cell>
          <cell r="HZ153">
            <v>0</v>
          </cell>
          <cell r="IA153">
            <v>0</v>
          </cell>
          <cell r="IC153">
            <v>0</v>
          </cell>
          <cell r="ID153">
            <v>0</v>
          </cell>
          <cell r="IF153">
            <v>0</v>
          </cell>
        </row>
        <row r="154">
          <cell r="GP154" t="str">
            <v>Makeup Water Sand Filter</v>
          </cell>
          <cell r="GQ154">
            <v>0</v>
          </cell>
          <cell r="GS154">
            <v>0</v>
          </cell>
          <cell r="GT154">
            <v>0</v>
          </cell>
          <cell r="GV154">
            <v>0</v>
          </cell>
          <cell r="GW154">
            <v>0</v>
          </cell>
          <cell r="GY154">
            <v>0</v>
          </cell>
          <cell r="GZ154">
            <v>0</v>
          </cell>
          <cell r="HB154">
            <v>0</v>
          </cell>
          <cell r="HC154">
            <v>0</v>
          </cell>
          <cell r="HE154">
            <v>0</v>
          </cell>
          <cell r="HF154">
            <v>0</v>
          </cell>
          <cell r="HH154">
            <v>0</v>
          </cell>
          <cell r="HI154">
            <v>0</v>
          </cell>
          <cell r="HK154">
            <v>0</v>
          </cell>
          <cell r="HL154">
            <v>0</v>
          </cell>
          <cell r="HN154">
            <v>0</v>
          </cell>
          <cell r="HO154">
            <v>0</v>
          </cell>
          <cell r="HQ154">
            <v>0</v>
          </cell>
          <cell r="HR154">
            <v>0</v>
          </cell>
          <cell r="HT154">
            <v>0</v>
          </cell>
          <cell r="HU154">
            <v>0</v>
          </cell>
          <cell r="HW154">
            <v>0</v>
          </cell>
          <cell r="HX154">
            <v>0</v>
          </cell>
          <cell r="HZ154">
            <v>0</v>
          </cell>
          <cell r="IA154">
            <v>0</v>
          </cell>
          <cell r="IC154">
            <v>0</v>
          </cell>
          <cell r="ID154">
            <v>0</v>
          </cell>
          <cell r="IF154">
            <v>0</v>
          </cell>
        </row>
        <row r="155">
          <cell r="GP155" t="str">
            <v xml:space="preserve">Clarifier &amp; Gravity Filters - </v>
          </cell>
          <cell r="GQ155">
            <v>0</v>
          </cell>
          <cell r="GS155">
            <v>0</v>
          </cell>
          <cell r="GT155">
            <v>0</v>
          </cell>
          <cell r="GV155">
            <v>0</v>
          </cell>
          <cell r="GW155">
            <v>0</v>
          </cell>
          <cell r="GY155">
            <v>0</v>
          </cell>
          <cell r="GZ155">
            <v>0</v>
          </cell>
          <cell r="HB155">
            <v>0</v>
          </cell>
          <cell r="HC155">
            <v>0</v>
          </cell>
          <cell r="HE155">
            <v>0</v>
          </cell>
          <cell r="HF155">
            <v>0</v>
          </cell>
          <cell r="HH155">
            <v>0</v>
          </cell>
          <cell r="HI155">
            <v>0</v>
          </cell>
          <cell r="HK155">
            <v>0</v>
          </cell>
          <cell r="HL155">
            <v>0</v>
          </cell>
          <cell r="HN155">
            <v>0</v>
          </cell>
          <cell r="HO155">
            <v>0</v>
          </cell>
          <cell r="HQ155">
            <v>0</v>
          </cell>
          <cell r="HR155">
            <v>0</v>
          </cell>
          <cell r="HT155">
            <v>0</v>
          </cell>
          <cell r="HU155">
            <v>0</v>
          </cell>
          <cell r="HW155">
            <v>0</v>
          </cell>
          <cell r="HX155">
            <v>0</v>
          </cell>
          <cell r="HZ155">
            <v>0</v>
          </cell>
          <cell r="IA155">
            <v>0</v>
          </cell>
          <cell r="IC155">
            <v>0</v>
          </cell>
          <cell r="ID155">
            <v>0</v>
          </cell>
          <cell r="IF155">
            <v>0</v>
          </cell>
        </row>
        <row r="156">
          <cell r="GP156" t="str">
            <v>Gray Water Treatment System</v>
          </cell>
          <cell r="GQ156">
            <v>0</v>
          </cell>
          <cell r="GS156">
            <v>0</v>
          </cell>
          <cell r="GT156">
            <v>0</v>
          </cell>
          <cell r="GV156">
            <v>0</v>
          </cell>
          <cell r="GW156">
            <v>0</v>
          </cell>
          <cell r="GY156">
            <v>0</v>
          </cell>
          <cell r="GZ156">
            <v>0</v>
          </cell>
          <cell r="HB156">
            <v>0</v>
          </cell>
          <cell r="HC156">
            <v>0</v>
          </cell>
          <cell r="HE156">
            <v>0</v>
          </cell>
          <cell r="HF156">
            <v>0</v>
          </cell>
          <cell r="HH156">
            <v>0</v>
          </cell>
          <cell r="HI156">
            <v>0</v>
          </cell>
          <cell r="HK156">
            <v>0</v>
          </cell>
          <cell r="HL156">
            <v>0</v>
          </cell>
          <cell r="HN156">
            <v>0</v>
          </cell>
          <cell r="HO156">
            <v>0</v>
          </cell>
          <cell r="HQ156">
            <v>0</v>
          </cell>
          <cell r="HR156">
            <v>0</v>
          </cell>
          <cell r="HT156">
            <v>0</v>
          </cell>
          <cell r="HU156">
            <v>0</v>
          </cell>
          <cell r="HW156">
            <v>0</v>
          </cell>
          <cell r="HX156">
            <v>0</v>
          </cell>
          <cell r="HZ156">
            <v>0</v>
          </cell>
          <cell r="IA156">
            <v>0</v>
          </cell>
          <cell r="IC156">
            <v>0</v>
          </cell>
          <cell r="ID156">
            <v>0</v>
          </cell>
          <cell r="IF156">
            <v>0</v>
          </cell>
        </row>
        <row r="157">
          <cell r="GP157" t="str">
            <v xml:space="preserve">Desalination System - </v>
          </cell>
          <cell r="GQ157">
            <v>0</v>
          </cell>
          <cell r="GS157">
            <v>0</v>
          </cell>
          <cell r="GT157">
            <v>0</v>
          </cell>
          <cell r="GV157">
            <v>0</v>
          </cell>
          <cell r="GW157">
            <v>0</v>
          </cell>
          <cell r="GY157">
            <v>0</v>
          </cell>
          <cell r="GZ157">
            <v>0</v>
          </cell>
          <cell r="HB157">
            <v>0</v>
          </cell>
          <cell r="HC157">
            <v>0</v>
          </cell>
          <cell r="HE157">
            <v>0</v>
          </cell>
          <cell r="HF157">
            <v>0</v>
          </cell>
          <cell r="HH157">
            <v>0</v>
          </cell>
          <cell r="HI157">
            <v>0</v>
          </cell>
          <cell r="HK157">
            <v>0</v>
          </cell>
          <cell r="HL157">
            <v>0</v>
          </cell>
          <cell r="HN157">
            <v>0</v>
          </cell>
          <cell r="HO157">
            <v>0</v>
          </cell>
          <cell r="HQ157">
            <v>0</v>
          </cell>
          <cell r="HR157">
            <v>0</v>
          </cell>
          <cell r="HT157">
            <v>0</v>
          </cell>
          <cell r="HU157">
            <v>0</v>
          </cell>
          <cell r="HW157">
            <v>0</v>
          </cell>
          <cell r="HX157">
            <v>0</v>
          </cell>
          <cell r="HZ157">
            <v>0</v>
          </cell>
          <cell r="IA157">
            <v>0</v>
          </cell>
          <cell r="IC157">
            <v>0</v>
          </cell>
          <cell r="ID157">
            <v>0</v>
          </cell>
          <cell r="IF157">
            <v>0</v>
          </cell>
        </row>
        <row r="158">
          <cell r="GP158" t="str">
            <v>2-Stage Reverse Osmosis, Electrodeionization (RO/EDI) Water Treatment System</v>
          </cell>
          <cell r="GQ158">
            <v>0</v>
          </cell>
          <cell r="GS158">
            <v>0</v>
          </cell>
          <cell r="GT158">
            <v>0</v>
          </cell>
          <cell r="GV158">
            <v>0</v>
          </cell>
          <cell r="GW158">
            <v>0</v>
          </cell>
          <cell r="GY158">
            <v>0</v>
          </cell>
          <cell r="GZ158">
            <v>0</v>
          </cell>
          <cell r="HB158">
            <v>0</v>
          </cell>
          <cell r="HC158">
            <v>0</v>
          </cell>
          <cell r="HE158">
            <v>0</v>
          </cell>
          <cell r="HF158">
            <v>0</v>
          </cell>
          <cell r="HH158">
            <v>0</v>
          </cell>
          <cell r="HI158">
            <v>0</v>
          </cell>
          <cell r="HK158">
            <v>0</v>
          </cell>
          <cell r="HL158">
            <v>0</v>
          </cell>
          <cell r="HN158">
            <v>0</v>
          </cell>
          <cell r="HO158">
            <v>0</v>
          </cell>
          <cell r="HQ158">
            <v>0</v>
          </cell>
          <cell r="HR158">
            <v>0</v>
          </cell>
          <cell r="HT158">
            <v>0</v>
          </cell>
          <cell r="HU158">
            <v>0</v>
          </cell>
          <cell r="HW158">
            <v>0</v>
          </cell>
          <cell r="HX158">
            <v>0</v>
          </cell>
          <cell r="HZ158">
            <v>0</v>
          </cell>
          <cell r="IA158">
            <v>0</v>
          </cell>
          <cell r="IC158">
            <v>0</v>
          </cell>
          <cell r="ID158">
            <v>0</v>
          </cell>
          <cell r="IF158">
            <v>0</v>
          </cell>
        </row>
        <row r="159">
          <cell r="GP159" t="str">
            <v>Coagulant Feed System. Supplied with RO Water Treatment System.</v>
          </cell>
          <cell r="GS159">
            <v>0</v>
          </cell>
          <cell r="GV159">
            <v>0</v>
          </cell>
          <cell r="GY159">
            <v>0</v>
          </cell>
          <cell r="HB159">
            <v>0</v>
          </cell>
          <cell r="HE159">
            <v>0</v>
          </cell>
          <cell r="HH159">
            <v>0</v>
          </cell>
          <cell r="HK159">
            <v>0</v>
          </cell>
          <cell r="HN159">
            <v>0</v>
          </cell>
          <cell r="HQ159">
            <v>0</v>
          </cell>
          <cell r="HT159">
            <v>0</v>
          </cell>
          <cell r="HW159">
            <v>0</v>
          </cell>
          <cell r="HZ159">
            <v>0</v>
          </cell>
          <cell r="IC159">
            <v>0</v>
          </cell>
          <cell r="IF159">
            <v>0</v>
          </cell>
        </row>
        <row r="160">
          <cell r="GP160" t="str">
            <v>Air Scour Blowers. Supplied with RO Water Treatment System.</v>
          </cell>
          <cell r="GS160">
            <v>0</v>
          </cell>
          <cell r="GV160">
            <v>0</v>
          </cell>
          <cell r="GY160">
            <v>0</v>
          </cell>
          <cell r="HB160">
            <v>0</v>
          </cell>
          <cell r="HE160">
            <v>0</v>
          </cell>
          <cell r="HH160">
            <v>0</v>
          </cell>
          <cell r="HK160">
            <v>0</v>
          </cell>
          <cell r="HN160">
            <v>0</v>
          </cell>
          <cell r="HQ160">
            <v>0</v>
          </cell>
          <cell r="HT160">
            <v>0</v>
          </cell>
          <cell r="HW160">
            <v>0</v>
          </cell>
          <cell r="HZ160">
            <v>0</v>
          </cell>
          <cell r="IC160">
            <v>0</v>
          </cell>
          <cell r="IF160">
            <v>0</v>
          </cell>
        </row>
        <row r="161">
          <cell r="GP161" t="str">
            <v>Backwash Pumps.  Supplied with RO Water Treatment System.</v>
          </cell>
          <cell r="GS161">
            <v>0</v>
          </cell>
          <cell r="GV161">
            <v>0</v>
          </cell>
          <cell r="GY161">
            <v>0</v>
          </cell>
          <cell r="HB161">
            <v>0</v>
          </cell>
          <cell r="HE161">
            <v>0</v>
          </cell>
          <cell r="HH161">
            <v>0</v>
          </cell>
          <cell r="HK161">
            <v>0</v>
          </cell>
          <cell r="HN161">
            <v>0</v>
          </cell>
          <cell r="HQ161">
            <v>0</v>
          </cell>
          <cell r="HT161">
            <v>0</v>
          </cell>
          <cell r="HW161">
            <v>0</v>
          </cell>
          <cell r="HZ161">
            <v>0</v>
          </cell>
          <cell r="IC161">
            <v>0</v>
          </cell>
          <cell r="IF161">
            <v>0</v>
          </cell>
        </row>
        <row r="162">
          <cell r="GP162" t="str">
            <v>RO Clean in Place (CIP) Skid.  Supplied with RO Water Treatment System.</v>
          </cell>
          <cell r="GS162">
            <v>0</v>
          </cell>
          <cell r="GV162">
            <v>0</v>
          </cell>
          <cell r="GY162">
            <v>0</v>
          </cell>
          <cell r="HB162">
            <v>0</v>
          </cell>
          <cell r="HE162">
            <v>0</v>
          </cell>
          <cell r="HH162">
            <v>0</v>
          </cell>
          <cell r="HK162">
            <v>0</v>
          </cell>
          <cell r="HN162">
            <v>0</v>
          </cell>
          <cell r="HQ162">
            <v>0</v>
          </cell>
          <cell r="HT162">
            <v>0</v>
          </cell>
          <cell r="HW162">
            <v>0</v>
          </cell>
          <cell r="HZ162">
            <v>0</v>
          </cell>
          <cell r="IC162">
            <v>0</v>
          </cell>
          <cell r="IF162">
            <v>0</v>
          </cell>
        </row>
        <row r="163">
          <cell r="GP163" t="str">
            <v>RO 25% Caustic Feed System.  Supplied with RO Water Treatment System.</v>
          </cell>
          <cell r="GS163">
            <v>0</v>
          </cell>
          <cell r="GV163">
            <v>0</v>
          </cell>
          <cell r="GY163">
            <v>0</v>
          </cell>
          <cell r="HB163">
            <v>0</v>
          </cell>
          <cell r="HE163">
            <v>0</v>
          </cell>
          <cell r="HH163">
            <v>0</v>
          </cell>
          <cell r="HK163">
            <v>0</v>
          </cell>
          <cell r="HN163">
            <v>0</v>
          </cell>
          <cell r="HQ163">
            <v>0</v>
          </cell>
          <cell r="HT163">
            <v>0</v>
          </cell>
          <cell r="HW163">
            <v>0</v>
          </cell>
          <cell r="HZ163">
            <v>0</v>
          </cell>
          <cell r="IC163">
            <v>0</v>
          </cell>
          <cell r="IF163">
            <v>0</v>
          </cell>
        </row>
        <row r="164">
          <cell r="GP164" t="str">
            <v>RO Bisulfite System (Dechlorination).   Supplied with RO Water Treatment System.</v>
          </cell>
          <cell r="GS164">
            <v>0</v>
          </cell>
          <cell r="GV164">
            <v>0</v>
          </cell>
          <cell r="GY164">
            <v>0</v>
          </cell>
          <cell r="HB164">
            <v>0</v>
          </cell>
          <cell r="HE164">
            <v>0</v>
          </cell>
          <cell r="HH164">
            <v>0</v>
          </cell>
          <cell r="HK164">
            <v>0</v>
          </cell>
          <cell r="HN164">
            <v>0</v>
          </cell>
          <cell r="HQ164">
            <v>0</v>
          </cell>
          <cell r="HT164">
            <v>0</v>
          </cell>
          <cell r="HW164">
            <v>0</v>
          </cell>
          <cell r="HZ164">
            <v>0</v>
          </cell>
          <cell r="IC164">
            <v>0</v>
          </cell>
          <cell r="IF164">
            <v>0</v>
          </cell>
        </row>
        <row r="165">
          <cell r="GP165" t="str">
            <v>RO Antiscalant Feed System.  Supplied with RO Water Treatment System.</v>
          </cell>
          <cell r="GS165">
            <v>0</v>
          </cell>
          <cell r="GV165">
            <v>0</v>
          </cell>
          <cell r="GY165">
            <v>0</v>
          </cell>
          <cell r="HB165">
            <v>0</v>
          </cell>
          <cell r="HE165">
            <v>0</v>
          </cell>
          <cell r="HH165">
            <v>0</v>
          </cell>
          <cell r="HK165">
            <v>0</v>
          </cell>
          <cell r="HN165">
            <v>0</v>
          </cell>
          <cell r="HQ165">
            <v>0</v>
          </cell>
          <cell r="HT165">
            <v>0</v>
          </cell>
          <cell r="HW165">
            <v>0</v>
          </cell>
          <cell r="HZ165">
            <v>0</v>
          </cell>
          <cell r="IC165">
            <v>0</v>
          </cell>
          <cell r="IF165">
            <v>0</v>
          </cell>
        </row>
        <row r="166">
          <cell r="GP166" t="str">
            <v>Multimedia Filters with Booster Pumps.   Supplied with RO Water Treatment System.</v>
          </cell>
          <cell r="GS166">
            <v>0</v>
          </cell>
          <cell r="GV166">
            <v>0</v>
          </cell>
          <cell r="GY166">
            <v>0</v>
          </cell>
          <cell r="HB166">
            <v>0</v>
          </cell>
          <cell r="HE166">
            <v>0</v>
          </cell>
          <cell r="HH166">
            <v>0</v>
          </cell>
          <cell r="HK166">
            <v>0</v>
          </cell>
          <cell r="HN166">
            <v>0</v>
          </cell>
          <cell r="HQ166">
            <v>0</v>
          </cell>
          <cell r="HT166">
            <v>0</v>
          </cell>
          <cell r="HW166">
            <v>0</v>
          </cell>
          <cell r="HZ166">
            <v>0</v>
          </cell>
          <cell r="IC166">
            <v>0</v>
          </cell>
          <cell r="IF166">
            <v>0</v>
          </cell>
        </row>
        <row r="167">
          <cell r="GP167" t="str">
            <v>RO Cartridge Filter.  Supplied with RO Water Treatment System.</v>
          </cell>
          <cell r="GS167">
            <v>0</v>
          </cell>
          <cell r="GV167">
            <v>0</v>
          </cell>
          <cell r="GY167">
            <v>0</v>
          </cell>
          <cell r="HB167">
            <v>0</v>
          </cell>
          <cell r="HE167">
            <v>0</v>
          </cell>
          <cell r="HH167">
            <v>0</v>
          </cell>
          <cell r="HK167">
            <v>0</v>
          </cell>
          <cell r="HN167">
            <v>0</v>
          </cell>
          <cell r="HQ167">
            <v>0</v>
          </cell>
          <cell r="HT167">
            <v>0</v>
          </cell>
          <cell r="HW167">
            <v>0</v>
          </cell>
          <cell r="HZ167">
            <v>0</v>
          </cell>
          <cell r="IC167">
            <v>0</v>
          </cell>
          <cell r="IF167">
            <v>0</v>
          </cell>
        </row>
        <row r="168">
          <cell r="GP168" t="str">
            <v>Reverse Osmosis 1st Pass Pumps.  Supplied with RO Water Treatment System.</v>
          </cell>
          <cell r="GS168">
            <v>0</v>
          </cell>
          <cell r="GV168">
            <v>0</v>
          </cell>
          <cell r="GY168">
            <v>0</v>
          </cell>
          <cell r="HB168">
            <v>0</v>
          </cell>
          <cell r="HE168">
            <v>0</v>
          </cell>
          <cell r="HH168">
            <v>0</v>
          </cell>
          <cell r="HK168">
            <v>0</v>
          </cell>
          <cell r="HN168">
            <v>0</v>
          </cell>
          <cell r="HQ168">
            <v>0</v>
          </cell>
          <cell r="HT168">
            <v>0</v>
          </cell>
          <cell r="HW168">
            <v>0</v>
          </cell>
          <cell r="HZ168">
            <v>0</v>
          </cell>
          <cell r="IC168">
            <v>0</v>
          </cell>
          <cell r="IF168">
            <v>0</v>
          </cell>
        </row>
        <row r="169">
          <cell r="GP169" t="str">
            <v>1st Pass RO Membrane Bank</v>
          </cell>
          <cell r="GS169">
            <v>0</v>
          </cell>
          <cell r="GV169">
            <v>0</v>
          </cell>
          <cell r="GY169">
            <v>0</v>
          </cell>
          <cell r="HB169">
            <v>0</v>
          </cell>
          <cell r="HE169">
            <v>0</v>
          </cell>
          <cell r="HH169">
            <v>0</v>
          </cell>
          <cell r="HK169">
            <v>0</v>
          </cell>
          <cell r="HN169">
            <v>0</v>
          </cell>
          <cell r="HQ169">
            <v>0</v>
          </cell>
          <cell r="HT169">
            <v>0</v>
          </cell>
          <cell r="HW169">
            <v>0</v>
          </cell>
          <cell r="HZ169">
            <v>0</v>
          </cell>
          <cell r="IC169">
            <v>0</v>
          </cell>
          <cell r="IF169">
            <v>0</v>
          </cell>
        </row>
        <row r="170">
          <cell r="GP170" t="str">
            <v>RO 1st Pass Break Tank. Supplied with RO Water Treatment System.</v>
          </cell>
          <cell r="GS170">
            <v>0</v>
          </cell>
          <cell r="GV170">
            <v>0</v>
          </cell>
          <cell r="GY170">
            <v>0</v>
          </cell>
          <cell r="HB170">
            <v>0</v>
          </cell>
          <cell r="HE170">
            <v>0</v>
          </cell>
          <cell r="HH170">
            <v>0</v>
          </cell>
          <cell r="HK170">
            <v>0</v>
          </cell>
          <cell r="HN170">
            <v>0</v>
          </cell>
          <cell r="HQ170">
            <v>0</v>
          </cell>
          <cell r="HT170">
            <v>0</v>
          </cell>
          <cell r="HW170">
            <v>0</v>
          </cell>
          <cell r="HZ170">
            <v>0</v>
          </cell>
          <cell r="IC170">
            <v>0</v>
          </cell>
          <cell r="IF170">
            <v>0</v>
          </cell>
        </row>
        <row r="171">
          <cell r="GP171" t="str">
            <v>Reverse Osmosis 2nd Pass Pumps.  Supplied with RO Water Treatment System.</v>
          </cell>
          <cell r="GS171">
            <v>0</v>
          </cell>
          <cell r="GV171">
            <v>0</v>
          </cell>
          <cell r="GY171">
            <v>0</v>
          </cell>
          <cell r="HB171">
            <v>0</v>
          </cell>
          <cell r="HE171">
            <v>0</v>
          </cell>
          <cell r="HH171">
            <v>0</v>
          </cell>
          <cell r="HK171">
            <v>0</v>
          </cell>
          <cell r="HN171">
            <v>0</v>
          </cell>
          <cell r="HQ171">
            <v>0</v>
          </cell>
          <cell r="HT171">
            <v>0</v>
          </cell>
          <cell r="HW171">
            <v>0</v>
          </cell>
          <cell r="HZ171">
            <v>0</v>
          </cell>
          <cell r="IC171">
            <v>0</v>
          </cell>
          <cell r="IF171">
            <v>0</v>
          </cell>
        </row>
        <row r="172">
          <cell r="GP172" t="str">
            <v>2nd Pass RO Membrane Bank</v>
          </cell>
          <cell r="GS172">
            <v>0</v>
          </cell>
          <cell r="GV172">
            <v>0</v>
          </cell>
          <cell r="GY172">
            <v>0</v>
          </cell>
          <cell r="HB172">
            <v>0</v>
          </cell>
          <cell r="HE172">
            <v>0</v>
          </cell>
          <cell r="HH172">
            <v>0</v>
          </cell>
          <cell r="HK172">
            <v>0</v>
          </cell>
          <cell r="HN172">
            <v>0</v>
          </cell>
          <cell r="HQ172">
            <v>0</v>
          </cell>
          <cell r="HT172">
            <v>0</v>
          </cell>
          <cell r="HW172">
            <v>0</v>
          </cell>
          <cell r="HZ172">
            <v>0</v>
          </cell>
          <cell r="IC172">
            <v>0</v>
          </cell>
          <cell r="IF172">
            <v>0</v>
          </cell>
        </row>
        <row r="173">
          <cell r="GP173" t="str">
            <v>EDI Units. Supplied with RO Water Treatment System.</v>
          </cell>
          <cell r="GS173">
            <v>0</v>
          </cell>
          <cell r="GV173">
            <v>0</v>
          </cell>
          <cell r="GY173">
            <v>0</v>
          </cell>
          <cell r="HB173">
            <v>0</v>
          </cell>
          <cell r="HE173">
            <v>0</v>
          </cell>
          <cell r="HH173">
            <v>0</v>
          </cell>
          <cell r="HK173">
            <v>0</v>
          </cell>
          <cell r="HN173">
            <v>0</v>
          </cell>
          <cell r="HQ173">
            <v>0</v>
          </cell>
          <cell r="HT173">
            <v>0</v>
          </cell>
          <cell r="HW173">
            <v>0</v>
          </cell>
          <cell r="HZ173">
            <v>0</v>
          </cell>
          <cell r="IC173">
            <v>0</v>
          </cell>
          <cell r="IF173">
            <v>0</v>
          </cell>
        </row>
        <row r="174">
          <cell r="GP174" t="str">
            <v>Rental Demineralizer</v>
          </cell>
          <cell r="GQ174">
            <v>0</v>
          </cell>
          <cell r="GR174">
            <v>0</v>
          </cell>
          <cell r="GS174">
            <v>0</v>
          </cell>
          <cell r="GT174">
            <v>0</v>
          </cell>
          <cell r="GU174">
            <v>0</v>
          </cell>
          <cell r="GV174">
            <v>0</v>
          </cell>
          <cell r="GW174">
            <v>0</v>
          </cell>
          <cell r="GX174">
            <v>0</v>
          </cell>
          <cell r="GY174">
            <v>0</v>
          </cell>
          <cell r="GZ174">
            <v>0</v>
          </cell>
          <cell r="HA174">
            <v>0</v>
          </cell>
          <cell r="HB174">
            <v>0</v>
          </cell>
          <cell r="HC174">
            <v>0</v>
          </cell>
          <cell r="HD174">
            <v>0</v>
          </cell>
          <cell r="HE174">
            <v>0</v>
          </cell>
          <cell r="HF174">
            <v>0</v>
          </cell>
          <cell r="HG174">
            <v>0</v>
          </cell>
          <cell r="HH174">
            <v>0</v>
          </cell>
          <cell r="HI174">
            <v>0</v>
          </cell>
          <cell r="HJ174">
            <v>0</v>
          </cell>
          <cell r="HK174">
            <v>0</v>
          </cell>
          <cell r="HL174">
            <v>0</v>
          </cell>
          <cell r="HM174">
            <v>0</v>
          </cell>
          <cell r="HN174">
            <v>0</v>
          </cell>
          <cell r="HO174">
            <v>0</v>
          </cell>
          <cell r="HP174">
            <v>0</v>
          </cell>
          <cell r="HQ174">
            <v>0</v>
          </cell>
          <cell r="HR174">
            <v>0</v>
          </cell>
          <cell r="HS174">
            <v>0</v>
          </cell>
          <cell r="HT174">
            <v>0</v>
          </cell>
          <cell r="HU174">
            <v>0</v>
          </cell>
          <cell r="HV174">
            <v>0</v>
          </cell>
          <cell r="HW174">
            <v>0</v>
          </cell>
          <cell r="HX174">
            <v>0</v>
          </cell>
          <cell r="HY174">
            <v>0</v>
          </cell>
          <cell r="HZ174">
            <v>0</v>
          </cell>
          <cell r="IA174">
            <v>0</v>
          </cell>
          <cell r="IB174">
            <v>0</v>
          </cell>
          <cell r="IC174">
            <v>0</v>
          </cell>
          <cell r="ID174">
            <v>0</v>
          </cell>
          <cell r="IE174">
            <v>0</v>
          </cell>
          <cell r="IF174">
            <v>0</v>
          </cell>
        </row>
        <row r="175">
          <cell r="GP175" t="str">
            <v xml:space="preserve">Condensate Polisher - </v>
          </cell>
          <cell r="GQ175">
            <v>0</v>
          </cell>
          <cell r="GS175">
            <v>0</v>
          </cell>
          <cell r="GT175">
            <v>0</v>
          </cell>
          <cell r="GV175">
            <v>0</v>
          </cell>
          <cell r="GW175">
            <v>0</v>
          </cell>
          <cell r="GY175">
            <v>0</v>
          </cell>
          <cell r="GZ175">
            <v>0</v>
          </cell>
          <cell r="HB175">
            <v>0</v>
          </cell>
          <cell r="HC175">
            <v>0</v>
          </cell>
          <cell r="HE175">
            <v>0</v>
          </cell>
          <cell r="HF175">
            <v>0</v>
          </cell>
          <cell r="HH175">
            <v>0</v>
          </cell>
          <cell r="HI175">
            <v>0</v>
          </cell>
          <cell r="HK175">
            <v>0</v>
          </cell>
          <cell r="HL175">
            <v>0</v>
          </cell>
          <cell r="HN175">
            <v>0</v>
          </cell>
          <cell r="HO175">
            <v>0</v>
          </cell>
          <cell r="HQ175">
            <v>0</v>
          </cell>
          <cell r="HR175">
            <v>0</v>
          </cell>
          <cell r="HT175">
            <v>0</v>
          </cell>
          <cell r="HU175">
            <v>0</v>
          </cell>
          <cell r="HW175">
            <v>0</v>
          </cell>
          <cell r="HX175">
            <v>0</v>
          </cell>
          <cell r="HZ175">
            <v>0</v>
          </cell>
          <cell r="IA175">
            <v>0</v>
          </cell>
          <cell r="IC175">
            <v>0</v>
          </cell>
          <cell r="ID175">
            <v>0</v>
          </cell>
          <cell r="IF175">
            <v>0</v>
          </cell>
        </row>
        <row r="176">
          <cell r="GP176" t="str">
            <v xml:space="preserve">Zero Liquid Discharge (ZLD) System - </v>
          </cell>
          <cell r="GQ176">
            <v>0</v>
          </cell>
          <cell r="GS176">
            <v>0</v>
          </cell>
          <cell r="GT176">
            <v>0</v>
          </cell>
          <cell r="GV176">
            <v>0</v>
          </cell>
          <cell r="GW176">
            <v>0</v>
          </cell>
          <cell r="GY176">
            <v>0</v>
          </cell>
          <cell r="GZ176">
            <v>0</v>
          </cell>
          <cell r="HB176">
            <v>0</v>
          </cell>
          <cell r="HC176">
            <v>0</v>
          </cell>
          <cell r="HE176">
            <v>0</v>
          </cell>
          <cell r="HF176">
            <v>0</v>
          </cell>
          <cell r="HH176">
            <v>0</v>
          </cell>
          <cell r="HI176">
            <v>0</v>
          </cell>
          <cell r="HK176">
            <v>0</v>
          </cell>
          <cell r="HL176">
            <v>0</v>
          </cell>
          <cell r="HN176">
            <v>0</v>
          </cell>
          <cell r="HO176">
            <v>0</v>
          </cell>
          <cell r="HQ176">
            <v>0</v>
          </cell>
          <cell r="HR176">
            <v>0</v>
          </cell>
          <cell r="HT176">
            <v>0</v>
          </cell>
          <cell r="HU176">
            <v>0</v>
          </cell>
          <cell r="HW176">
            <v>0</v>
          </cell>
          <cell r="HX176">
            <v>0</v>
          </cell>
          <cell r="HZ176">
            <v>0</v>
          </cell>
          <cell r="IA176">
            <v>0</v>
          </cell>
          <cell r="IC176">
            <v>0</v>
          </cell>
          <cell r="ID176">
            <v>0</v>
          </cell>
          <cell r="IF176">
            <v>0</v>
          </cell>
        </row>
        <row r="177">
          <cell r="GP177" t="str">
            <v>Waste Water Neutralization System</v>
          </cell>
          <cell r="GQ177">
            <v>0</v>
          </cell>
          <cell r="GS177">
            <v>0</v>
          </cell>
          <cell r="GT177">
            <v>0</v>
          </cell>
          <cell r="GV177">
            <v>0</v>
          </cell>
          <cell r="GW177">
            <v>0</v>
          </cell>
          <cell r="GY177">
            <v>0</v>
          </cell>
          <cell r="GZ177">
            <v>0</v>
          </cell>
          <cell r="HB177">
            <v>0</v>
          </cell>
          <cell r="HC177">
            <v>0</v>
          </cell>
          <cell r="HE177">
            <v>0</v>
          </cell>
          <cell r="HF177">
            <v>0</v>
          </cell>
          <cell r="HH177">
            <v>0</v>
          </cell>
          <cell r="HI177">
            <v>0</v>
          </cell>
          <cell r="HK177">
            <v>0</v>
          </cell>
          <cell r="HL177">
            <v>0</v>
          </cell>
          <cell r="HN177">
            <v>0</v>
          </cell>
          <cell r="HO177">
            <v>0</v>
          </cell>
          <cell r="HQ177">
            <v>0</v>
          </cell>
          <cell r="HR177">
            <v>0</v>
          </cell>
          <cell r="HT177">
            <v>0</v>
          </cell>
          <cell r="HU177">
            <v>0</v>
          </cell>
          <cell r="HW177">
            <v>0</v>
          </cell>
          <cell r="HX177">
            <v>0</v>
          </cell>
          <cell r="HZ177">
            <v>0</v>
          </cell>
          <cell r="IA177">
            <v>0</v>
          </cell>
          <cell r="IC177">
            <v>0</v>
          </cell>
          <cell r="ID177">
            <v>0</v>
          </cell>
          <cell r="IF177">
            <v>0</v>
          </cell>
        </row>
        <row r="178">
          <cell r="GP178" t="str">
            <v>Dewatering System</v>
          </cell>
          <cell r="GQ178">
            <v>0</v>
          </cell>
          <cell r="GS178">
            <v>0</v>
          </cell>
          <cell r="GT178">
            <v>0</v>
          </cell>
          <cell r="GV178">
            <v>0</v>
          </cell>
          <cell r="GW178">
            <v>0</v>
          </cell>
          <cell r="GY178">
            <v>0</v>
          </cell>
          <cell r="GZ178">
            <v>0</v>
          </cell>
          <cell r="HB178">
            <v>0</v>
          </cell>
          <cell r="HC178">
            <v>0</v>
          </cell>
          <cell r="HE178">
            <v>0</v>
          </cell>
          <cell r="HF178">
            <v>0</v>
          </cell>
          <cell r="HH178">
            <v>0</v>
          </cell>
          <cell r="HI178">
            <v>0</v>
          </cell>
          <cell r="HK178">
            <v>0</v>
          </cell>
          <cell r="HL178">
            <v>0</v>
          </cell>
          <cell r="HN178">
            <v>0</v>
          </cell>
          <cell r="HO178">
            <v>0</v>
          </cell>
          <cell r="HQ178">
            <v>0</v>
          </cell>
          <cell r="HR178">
            <v>0</v>
          </cell>
          <cell r="HT178">
            <v>0</v>
          </cell>
          <cell r="HU178">
            <v>0</v>
          </cell>
          <cell r="HW178">
            <v>0</v>
          </cell>
          <cell r="HX178">
            <v>0</v>
          </cell>
          <cell r="HZ178">
            <v>0</v>
          </cell>
          <cell r="IA178">
            <v>0</v>
          </cell>
          <cell r="IC178">
            <v>0</v>
          </cell>
          <cell r="ID178">
            <v>0</v>
          </cell>
          <cell r="IF178">
            <v>0</v>
          </cell>
        </row>
        <row r="179">
          <cell r="GP179" t="str">
            <v>Sodium Bisulfite System (Dechlorination)</v>
          </cell>
          <cell r="GQ179">
            <v>0</v>
          </cell>
          <cell r="GS179">
            <v>0</v>
          </cell>
          <cell r="GT179">
            <v>0</v>
          </cell>
          <cell r="GV179">
            <v>0</v>
          </cell>
          <cell r="GW179">
            <v>0</v>
          </cell>
          <cell r="GY179">
            <v>0</v>
          </cell>
          <cell r="GZ179">
            <v>0</v>
          </cell>
          <cell r="HB179">
            <v>0</v>
          </cell>
          <cell r="HC179">
            <v>0</v>
          </cell>
          <cell r="HE179">
            <v>0</v>
          </cell>
          <cell r="HF179">
            <v>0</v>
          </cell>
          <cell r="HH179">
            <v>0</v>
          </cell>
          <cell r="HI179">
            <v>0</v>
          </cell>
          <cell r="HK179">
            <v>0</v>
          </cell>
          <cell r="HL179">
            <v>0</v>
          </cell>
          <cell r="HN179">
            <v>0</v>
          </cell>
          <cell r="HO179">
            <v>0</v>
          </cell>
          <cell r="HQ179">
            <v>0</v>
          </cell>
          <cell r="HR179">
            <v>0</v>
          </cell>
          <cell r="HT179">
            <v>0</v>
          </cell>
          <cell r="HU179">
            <v>0</v>
          </cell>
          <cell r="HW179">
            <v>0</v>
          </cell>
          <cell r="HX179">
            <v>0</v>
          </cell>
          <cell r="HZ179">
            <v>0</v>
          </cell>
          <cell r="IA179">
            <v>0</v>
          </cell>
          <cell r="IC179">
            <v>0</v>
          </cell>
          <cell r="ID179">
            <v>0</v>
          </cell>
          <cell r="IF179">
            <v>0</v>
          </cell>
        </row>
        <row r="180">
          <cell r="GP180" t="str">
            <v>Ammonia Feed Skid, HRSG Treatment</v>
          </cell>
          <cell r="GQ180">
            <v>0</v>
          </cell>
          <cell r="GS180">
            <v>0</v>
          </cell>
          <cell r="GT180">
            <v>0</v>
          </cell>
          <cell r="GV180">
            <v>0</v>
          </cell>
          <cell r="GW180">
            <v>0</v>
          </cell>
          <cell r="GY180">
            <v>0</v>
          </cell>
          <cell r="GZ180">
            <v>0</v>
          </cell>
          <cell r="HB180">
            <v>0</v>
          </cell>
          <cell r="HC180">
            <v>0</v>
          </cell>
          <cell r="HE180">
            <v>0</v>
          </cell>
          <cell r="HF180">
            <v>0</v>
          </cell>
          <cell r="HH180">
            <v>0</v>
          </cell>
          <cell r="HI180">
            <v>0</v>
          </cell>
          <cell r="HK180">
            <v>0</v>
          </cell>
          <cell r="HL180">
            <v>0</v>
          </cell>
          <cell r="HN180">
            <v>0</v>
          </cell>
          <cell r="HO180">
            <v>0</v>
          </cell>
          <cell r="HQ180">
            <v>0</v>
          </cell>
          <cell r="HR180">
            <v>0</v>
          </cell>
          <cell r="HT180">
            <v>0</v>
          </cell>
          <cell r="HU180">
            <v>0</v>
          </cell>
          <cell r="HW180">
            <v>0</v>
          </cell>
          <cell r="HX180">
            <v>0</v>
          </cell>
          <cell r="HZ180">
            <v>0</v>
          </cell>
          <cell r="IA180">
            <v>0</v>
          </cell>
          <cell r="IC180">
            <v>0</v>
          </cell>
          <cell r="ID180">
            <v>0</v>
          </cell>
          <cell r="IF180">
            <v>0</v>
          </cell>
        </row>
        <row r="181">
          <cell r="GP181" t="str">
            <v>Phosphate Feed Skid, HRSG Treatment</v>
          </cell>
          <cell r="GQ181">
            <v>0</v>
          </cell>
          <cell r="GS181">
            <v>0</v>
          </cell>
          <cell r="GT181">
            <v>0</v>
          </cell>
          <cell r="GV181">
            <v>0</v>
          </cell>
          <cell r="GW181">
            <v>0</v>
          </cell>
          <cell r="GY181">
            <v>0</v>
          </cell>
          <cell r="GZ181">
            <v>0</v>
          </cell>
          <cell r="HB181">
            <v>0</v>
          </cell>
          <cell r="HC181">
            <v>0</v>
          </cell>
          <cell r="HE181">
            <v>0</v>
          </cell>
          <cell r="HF181">
            <v>0</v>
          </cell>
          <cell r="HH181">
            <v>0</v>
          </cell>
          <cell r="HI181">
            <v>0</v>
          </cell>
          <cell r="HK181">
            <v>0</v>
          </cell>
          <cell r="HL181">
            <v>0</v>
          </cell>
          <cell r="HN181">
            <v>0</v>
          </cell>
          <cell r="HO181">
            <v>0</v>
          </cell>
          <cell r="HQ181">
            <v>0</v>
          </cell>
          <cell r="HR181">
            <v>0</v>
          </cell>
          <cell r="HT181">
            <v>0</v>
          </cell>
          <cell r="HU181">
            <v>0</v>
          </cell>
          <cell r="HW181">
            <v>0</v>
          </cell>
          <cell r="HX181">
            <v>0</v>
          </cell>
          <cell r="HZ181">
            <v>0</v>
          </cell>
          <cell r="IA181">
            <v>0</v>
          </cell>
          <cell r="IC181">
            <v>0</v>
          </cell>
          <cell r="ID181">
            <v>0</v>
          </cell>
          <cell r="IF181">
            <v>0</v>
          </cell>
        </row>
        <row r="182">
          <cell r="GP182" t="str">
            <v>Acid Feed Skid, Circulating Water Treatment</v>
          </cell>
          <cell r="GQ182">
            <v>0</v>
          </cell>
          <cell r="GS182">
            <v>0</v>
          </cell>
          <cell r="GT182">
            <v>0</v>
          </cell>
          <cell r="GV182">
            <v>0</v>
          </cell>
          <cell r="GW182">
            <v>0</v>
          </cell>
          <cell r="GY182">
            <v>0</v>
          </cell>
          <cell r="GZ182">
            <v>0</v>
          </cell>
          <cell r="HB182">
            <v>0</v>
          </cell>
          <cell r="HC182">
            <v>0</v>
          </cell>
          <cell r="HE182">
            <v>0</v>
          </cell>
          <cell r="HF182">
            <v>0</v>
          </cell>
          <cell r="HH182">
            <v>0</v>
          </cell>
          <cell r="HI182">
            <v>0</v>
          </cell>
          <cell r="HK182">
            <v>0</v>
          </cell>
          <cell r="HL182">
            <v>0</v>
          </cell>
          <cell r="HN182">
            <v>0</v>
          </cell>
          <cell r="HO182">
            <v>0</v>
          </cell>
          <cell r="HQ182">
            <v>0</v>
          </cell>
          <cell r="HR182">
            <v>0</v>
          </cell>
          <cell r="HT182">
            <v>0</v>
          </cell>
          <cell r="HU182">
            <v>0</v>
          </cell>
          <cell r="HW182">
            <v>0</v>
          </cell>
          <cell r="HX182">
            <v>0</v>
          </cell>
          <cell r="HZ182">
            <v>0</v>
          </cell>
          <cell r="IA182">
            <v>0</v>
          </cell>
          <cell r="IC182">
            <v>0</v>
          </cell>
          <cell r="ID182">
            <v>0</v>
          </cell>
          <cell r="IF182">
            <v>0</v>
          </cell>
        </row>
        <row r="183">
          <cell r="GP183" t="str">
            <v>Sodium Hypochlorite Injection Skid, Circulating Water Treatment</v>
          </cell>
          <cell r="GQ183">
            <v>0</v>
          </cell>
          <cell r="GS183">
            <v>0</v>
          </cell>
          <cell r="GT183">
            <v>0</v>
          </cell>
          <cell r="GV183">
            <v>0</v>
          </cell>
          <cell r="GW183">
            <v>0</v>
          </cell>
          <cell r="GY183">
            <v>0</v>
          </cell>
          <cell r="GZ183">
            <v>0</v>
          </cell>
          <cell r="HB183">
            <v>0</v>
          </cell>
          <cell r="HC183">
            <v>0</v>
          </cell>
          <cell r="HE183">
            <v>0</v>
          </cell>
          <cell r="HF183">
            <v>0</v>
          </cell>
          <cell r="HH183">
            <v>0</v>
          </cell>
          <cell r="HI183">
            <v>0</v>
          </cell>
          <cell r="HK183">
            <v>0</v>
          </cell>
          <cell r="HL183">
            <v>0</v>
          </cell>
          <cell r="HN183">
            <v>0</v>
          </cell>
          <cell r="HO183">
            <v>0</v>
          </cell>
          <cell r="HQ183">
            <v>0</v>
          </cell>
          <cell r="HR183">
            <v>0</v>
          </cell>
          <cell r="HT183">
            <v>0</v>
          </cell>
          <cell r="HU183">
            <v>0</v>
          </cell>
          <cell r="HW183">
            <v>0</v>
          </cell>
          <cell r="HX183">
            <v>0</v>
          </cell>
          <cell r="HZ183">
            <v>0</v>
          </cell>
          <cell r="IA183">
            <v>0</v>
          </cell>
          <cell r="IC183">
            <v>0</v>
          </cell>
          <cell r="ID183">
            <v>0</v>
          </cell>
          <cell r="IF183">
            <v>0</v>
          </cell>
        </row>
        <row r="184">
          <cell r="GP184" t="str">
            <v>Sodium Hypochlorite Tank, Circulating Water Treatment</v>
          </cell>
          <cell r="GQ184">
            <v>0</v>
          </cell>
          <cell r="GS184">
            <v>0</v>
          </cell>
          <cell r="GT184">
            <v>0</v>
          </cell>
          <cell r="GV184">
            <v>0</v>
          </cell>
          <cell r="GW184">
            <v>0</v>
          </cell>
          <cell r="GY184">
            <v>0</v>
          </cell>
          <cell r="GZ184">
            <v>0</v>
          </cell>
          <cell r="HB184">
            <v>0</v>
          </cell>
          <cell r="HC184">
            <v>0</v>
          </cell>
          <cell r="HE184">
            <v>0</v>
          </cell>
          <cell r="HF184">
            <v>0</v>
          </cell>
          <cell r="HH184">
            <v>0</v>
          </cell>
          <cell r="HI184">
            <v>0</v>
          </cell>
          <cell r="HK184">
            <v>0</v>
          </cell>
          <cell r="HL184">
            <v>0</v>
          </cell>
          <cell r="HN184">
            <v>0</v>
          </cell>
          <cell r="HO184">
            <v>0</v>
          </cell>
          <cell r="HQ184">
            <v>0</v>
          </cell>
          <cell r="HR184">
            <v>0</v>
          </cell>
          <cell r="HT184">
            <v>0</v>
          </cell>
          <cell r="HU184">
            <v>0</v>
          </cell>
          <cell r="HW184">
            <v>0</v>
          </cell>
          <cell r="HX184">
            <v>0</v>
          </cell>
          <cell r="HZ184">
            <v>0</v>
          </cell>
          <cell r="IA184">
            <v>0</v>
          </cell>
          <cell r="IC184">
            <v>0</v>
          </cell>
          <cell r="ID184">
            <v>0</v>
          </cell>
          <cell r="IF184">
            <v>0</v>
          </cell>
        </row>
        <row r="185">
          <cell r="GP185" t="str">
            <v>Sulfuric Acid Storage Tank, Circulating Water Treatment</v>
          </cell>
          <cell r="GQ185">
            <v>0</v>
          </cell>
          <cell r="GS185">
            <v>0</v>
          </cell>
          <cell r="GT185">
            <v>0</v>
          </cell>
          <cell r="GV185">
            <v>0</v>
          </cell>
          <cell r="GW185">
            <v>0</v>
          </cell>
          <cell r="GY185">
            <v>0</v>
          </cell>
          <cell r="GZ185">
            <v>0</v>
          </cell>
          <cell r="HB185">
            <v>0</v>
          </cell>
          <cell r="HC185">
            <v>0</v>
          </cell>
          <cell r="HE185">
            <v>0</v>
          </cell>
          <cell r="HF185">
            <v>0</v>
          </cell>
          <cell r="HH185">
            <v>0</v>
          </cell>
          <cell r="HI185">
            <v>0</v>
          </cell>
          <cell r="HK185">
            <v>0</v>
          </cell>
          <cell r="HL185">
            <v>0</v>
          </cell>
          <cell r="HN185">
            <v>0</v>
          </cell>
          <cell r="HO185">
            <v>0</v>
          </cell>
          <cell r="HQ185">
            <v>0</v>
          </cell>
          <cell r="HR185">
            <v>0</v>
          </cell>
          <cell r="HT185">
            <v>0</v>
          </cell>
          <cell r="HU185">
            <v>0</v>
          </cell>
          <cell r="HW185">
            <v>0</v>
          </cell>
          <cell r="HX185">
            <v>0</v>
          </cell>
          <cell r="HZ185">
            <v>0</v>
          </cell>
          <cell r="IA185">
            <v>0</v>
          </cell>
          <cell r="IC185">
            <v>0</v>
          </cell>
          <cell r="ID185">
            <v>0</v>
          </cell>
          <cell r="IF185">
            <v>0</v>
          </cell>
        </row>
        <row r="186">
          <cell r="GP186" t="str">
            <v>Antifoulant/Corrosion Inhibitor Skid, Circulating Water Treatment</v>
          </cell>
          <cell r="GQ186">
            <v>0</v>
          </cell>
          <cell r="GS186">
            <v>0</v>
          </cell>
          <cell r="GT186">
            <v>0</v>
          </cell>
          <cell r="GV186">
            <v>0</v>
          </cell>
          <cell r="GW186">
            <v>0</v>
          </cell>
          <cell r="GY186">
            <v>0</v>
          </cell>
          <cell r="GZ186">
            <v>0</v>
          </cell>
          <cell r="HB186">
            <v>0</v>
          </cell>
          <cell r="HC186">
            <v>0</v>
          </cell>
          <cell r="HE186">
            <v>0</v>
          </cell>
          <cell r="HF186">
            <v>0</v>
          </cell>
          <cell r="HH186">
            <v>0</v>
          </cell>
          <cell r="HI186">
            <v>0</v>
          </cell>
          <cell r="HK186">
            <v>0</v>
          </cell>
          <cell r="HL186">
            <v>0</v>
          </cell>
          <cell r="HN186">
            <v>0</v>
          </cell>
          <cell r="HO186">
            <v>0</v>
          </cell>
          <cell r="HQ186">
            <v>0</v>
          </cell>
          <cell r="HR186">
            <v>0</v>
          </cell>
          <cell r="HT186">
            <v>0</v>
          </cell>
          <cell r="HU186">
            <v>0</v>
          </cell>
          <cell r="HW186">
            <v>0</v>
          </cell>
          <cell r="HX186">
            <v>0</v>
          </cell>
          <cell r="HZ186">
            <v>0</v>
          </cell>
          <cell r="IA186">
            <v>0</v>
          </cell>
          <cell r="IC186">
            <v>0</v>
          </cell>
          <cell r="ID186">
            <v>0</v>
          </cell>
          <cell r="IF186">
            <v>0</v>
          </cell>
        </row>
        <row r="187">
          <cell r="GP187" t="str">
            <v>Mixing Trough, Circulating Water Treatment</v>
          </cell>
          <cell r="GQ187">
            <v>0</v>
          </cell>
          <cell r="GS187">
            <v>0</v>
          </cell>
          <cell r="GT187">
            <v>0</v>
          </cell>
          <cell r="GV187">
            <v>0</v>
          </cell>
          <cell r="GW187">
            <v>0</v>
          </cell>
          <cell r="GY187">
            <v>0</v>
          </cell>
          <cell r="GZ187">
            <v>0</v>
          </cell>
          <cell r="HB187">
            <v>0</v>
          </cell>
          <cell r="HC187">
            <v>0</v>
          </cell>
          <cell r="HE187">
            <v>0</v>
          </cell>
          <cell r="HF187">
            <v>0</v>
          </cell>
          <cell r="HH187">
            <v>0</v>
          </cell>
          <cell r="HI187">
            <v>0</v>
          </cell>
          <cell r="HK187">
            <v>0</v>
          </cell>
          <cell r="HL187">
            <v>0</v>
          </cell>
          <cell r="HN187">
            <v>0</v>
          </cell>
          <cell r="HO187">
            <v>0</v>
          </cell>
          <cell r="HQ187">
            <v>0</v>
          </cell>
          <cell r="HR187">
            <v>0</v>
          </cell>
          <cell r="HT187">
            <v>0</v>
          </cell>
          <cell r="HU187">
            <v>0</v>
          </cell>
          <cell r="HW187">
            <v>0</v>
          </cell>
          <cell r="HX187">
            <v>0</v>
          </cell>
          <cell r="HZ187">
            <v>0</v>
          </cell>
          <cell r="IA187">
            <v>0</v>
          </cell>
          <cell r="IC187">
            <v>0</v>
          </cell>
          <cell r="ID187">
            <v>0</v>
          </cell>
          <cell r="IF187">
            <v>0</v>
          </cell>
        </row>
        <row r="188">
          <cell r="GP188" t="str">
            <v>Corrosion Inhibitor Pot Feeder, Closed-Cooling Water Treatment</v>
          </cell>
          <cell r="GQ188">
            <v>0</v>
          </cell>
          <cell r="GS188">
            <v>0</v>
          </cell>
          <cell r="GT188">
            <v>0</v>
          </cell>
          <cell r="GV188">
            <v>0</v>
          </cell>
          <cell r="GW188">
            <v>0</v>
          </cell>
          <cell r="GY188">
            <v>0</v>
          </cell>
          <cell r="GZ188">
            <v>0</v>
          </cell>
          <cell r="HB188">
            <v>0</v>
          </cell>
          <cell r="HC188">
            <v>0</v>
          </cell>
          <cell r="HE188">
            <v>0</v>
          </cell>
          <cell r="HF188">
            <v>0</v>
          </cell>
          <cell r="HH188">
            <v>0</v>
          </cell>
          <cell r="HI188">
            <v>0</v>
          </cell>
          <cell r="HK188">
            <v>0</v>
          </cell>
          <cell r="HL188">
            <v>0</v>
          </cell>
          <cell r="HN188">
            <v>0</v>
          </cell>
          <cell r="HO188">
            <v>0</v>
          </cell>
          <cell r="HQ188">
            <v>0</v>
          </cell>
          <cell r="HR188">
            <v>0</v>
          </cell>
          <cell r="HT188">
            <v>0</v>
          </cell>
          <cell r="HU188">
            <v>0</v>
          </cell>
          <cell r="HW188">
            <v>0</v>
          </cell>
          <cell r="HX188">
            <v>0</v>
          </cell>
          <cell r="HZ188">
            <v>0</v>
          </cell>
          <cell r="IA188">
            <v>0</v>
          </cell>
          <cell r="IC188">
            <v>0</v>
          </cell>
          <cell r="ID188">
            <v>0</v>
          </cell>
          <cell r="IF188">
            <v>0</v>
          </cell>
        </row>
        <row r="189">
          <cell r="GP189" t="str">
            <v>Chemical Injection Skid, Auxiliary Boiler</v>
          </cell>
          <cell r="GQ189">
            <v>0</v>
          </cell>
          <cell r="GS189">
            <v>0</v>
          </cell>
          <cell r="GT189">
            <v>0</v>
          </cell>
          <cell r="GV189">
            <v>0</v>
          </cell>
          <cell r="GW189">
            <v>0</v>
          </cell>
          <cell r="GY189">
            <v>0</v>
          </cell>
          <cell r="GZ189">
            <v>0</v>
          </cell>
          <cell r="HB189">
            <v>0</v>
          </cell>
          <cell r="HC189">
            <v>0</v>
          </cell>
          <cell r="HE189">
            <v>0</v>
          </cell>
          <cell r="HF189">
            <v>0</v>
          </cell>
          <cell r="HH189">
            <v>0</v>
          </cell>
          <cell r="HI189">
            <v>0</v>
          </cell>
          <cell r="HK189">
            <v>0</v>
          </cell>
          <cell r="HL189">
            <v>0</v>
          </cell>
          <cell r="HN189">
            <v>0</v>
          </cell>
          <cell r="HO189">
            <v>0</v>
          </cell>
          <cell r="HQ189">
            <v>0</v>
          </cell>
          <cell r="HR189">
            <v>0</v>
          </cell>
          <cell r="HT189">
            <v>0</v>
          </cell>
          <cell r="HU189">
            <v>0</v>
          </cell>
          <cell r="HW189">
            <v>0</v>
          </cell>
          <cell r="HX189">
            <v>0</v>
          </cell>
          <cell r="HZ189">
            <v>0</v>
          </cell>
          <cell r="IA189">
            <v>0</v>
          </cell>
          <cell r="IC189">
            <v>0</v>
          </cell>
          <cell r="ID189">
            <v>0</v>
          </cell>
          <cell r="IF189">
            <v>0</v>
          </cell>
        </row>
        <row r="190">
          <cell r="GP190" t="str">
            <v>GTG Water Wash Drain Tank</v>
          </cell>
          <cell r="GQ190">
            <v>100</v>
          </cell>
          <cell r="GS190">
            <v>100</v>
          </cell>
          <cell r="GT190">
            <v>100</v>
          </cell>
          <cell r="GV190">
            <v>100</v>
          </cell>
          <cell r="GW190">
            <v>100</v>
          </cell>
          <cell r="GY190">
            <v>100</v>
          </cell>
          <cell r="GZ190">
            <v>100</v>
          </cell>
          <cell r="HB190">
            <v>100</v>
          </cell>
          <cell r="HC190">
            <v>100</v>
          </cell>
          <cell r="HE190">
            <v>100</v>
          </cell>
          <cell r="HF190">
            <v>100</v>
          </cell>
          <cell r="HH190">
            <v>100</v>
          </cell>
          <cell r="HI190">
            <v>100</v>
          </cell>
          <cell r="HK190">
            <v>100</v>
          </cell>
          <cell r="HL190">
            <v>100</v>
          </cell>
          <cell r="HN190">
            <v>100</v>
          </cell>
          <cell r="HO190">
            <v>100</v>
          </cell>
          <cell r="HQ190">
            <v>100</v>
          </cell>
          <cell r="HR190">
            <v>100</v>
          </cell>
          <cell r="HT190">
            <v>100</v>
          </cell>
          <cell r="HU190">
            <v>100</v>
          </cell>
          <cell r="HW190">
            <v>100</v>
          </cell>
          <cell r="HX190">
            <v>100</v>
          </cell>
          <cell r="HZ190">
            <v>100</v>
          </cell>
          <cell r="IA190">
            <v>100</v>
          </cell>
          <cell r="IC190">
            <v>100</v>
          </cell>
          <cell r="ID190">
            <v>100</v>
          </cell>
          <cell r="IF190">
            <v>100</v>
          </cell>
        </row>
        <row r="191">
          <cell r="GP191" t="str">
            <v>HRSG Waste Water Sump</v>
          </cell>
          <cell r="GQ191">
            <v>0</v>
          </cell>
          <cell r="GS191">
            <v>0</v>
          </cell>
          <cell r="GT191">
            <v>0</v>
          </cell>
          <cell r="GV191">
            <v>0</v>
          </cell>
          <cell r="GW191">
            <v>0</v>
          </cell>
          <cell r="GY191">
            <v>0</v>
          </cell>
          <cell r="GZ191">
            <v>0</v>
          </cell>
          <cell r="HB191">
            <v>0</v>
          </cell>
          <cell r="HC191">
            <v>0</v>
          </cell>
          <cell r="HE191">
            <v>0</v>
          </cell>
          <cell r="HF191">
            <v>0</v>
          </cell>
          <cell r="HH191">
            <v>0</v>
          </cell>
          <cell r="HI191">
            <v>0</v>
          </cell>
          <cell r="HK191">
            <v>0</v>
          </cell>
          <cell r="HL191">
            <v>0</v>
          </cell>
          <cell r="HN191">
            <v>0</v>
          </cell>
          <cell r="HO191">
            <v>0</v>
          </cell>
          <cell r="HQ191">
            <v>0</v>
          </cell>
          <cell r="HR191">
            <v>0</v>
          </cell>
          <cell r="HT191">
            <v>0</v>
          </cell>
          <cell r="HU191">
            <v>0</v>
          </cell>
          <cell r="HW191">
            <v>0</v>
          </cell>
          <cell r="HX191">
            <v>0</v>
          </cell>
          <cell r="HZ191">
            <v>0</v>
          </cell>
          <cell r="IA191">
            <v>0</v>
          </cell>
          <cell r="IC191">
            <v>0</v>
          </cell>
          <cell r="ID191">
            <v>0</v>
          </cell>
          <cell r="IF191">
            <v>0</v>
          </cell>
        </row>
        <row r="192">
          <cell r="GP192" t="str">
            <v>HRSG Waste Water Sump Pump</v>
          </cell>
          <cell r="GQ192">
            <v>0</v>
          </cell>
          <cell r="GS192">
            <v>0</v>
          </cell>
          <cell r="GT192">
            <v>0</v>
          </cell>
          <cell r="GV192">
            <v>0</v>
          </cell>
          <cell r="GW192">
            <v>0</v>
          </cell>
          <cell r="GY192">
            <v>0</v>
          </cell>
          <cell r="GZ192">
            <v>0</v>
          </cell>
          <cell r="HB192">
            <v>0</v>
          </cell>
          <cell r="HC192">
            <v>0</v>
          </cell>
          <cell r="HE192">
            <v>0</v>
          </cell>
          <cell r="HF192">
            <v>0</v>
          </cell>
          <cell r="HH192">
            <v>0</v>
          </cell>
          <cell r="HI192">
            <v>0</v>
          </cell>
          <cell r="HK192">
            <v>0</v>
          </cell>
          <cell r="HL192">
            <v>0</v>
          </cell>
          <cell r="HN192">
            <v>0</v>
          </cell>
          <cell r="HO192">
            <v>0</v>
          </cell>
          <cell r="HQ192">
            <v>0</v>
          </cell>
          <cell r="HR192">
            <v>0</v>
          </cell>
          <cell r="HT192">
            <v>0</v>
          </cell>
          <cell r="HU192">
            <v>0</v>
          </cell>
          <cell r="HW192">
            <v>0</v>
          </cell>
          <cell r="HX192">
            <v>0</v>
          </cell>
          <cell r="HZ192">
            <v>0</v>
          </cell>
          <cell r="IA192">
            <v>0</v>
          </cell>
          <cell r="IC192">
            <v>0</v>
          </cell>
          <cell r="ID192">
            <v>0</v>
          </cell>
          <cell r="IF192">
            <v>0</v>
          </cell>
        </row>
        <row r="193">
          <cell r="GP193" t="str">
            <v>HRSG Chem Feed Area Waste Water Sump</v>
          </cell>
          <cell r="GQ193">
            <v>0</v>
          </cell>
          <cell r="GS193">
            <v>0</v>
          </cell>
          <cell r="GT193">
            <v>0</v>
          </cell>
          <cell r="GV193">
            <v>0</v>
          </cell>
          <cell r="GW193">
            <v>0</v>
          </cell>
          <cell r="GY193">
            <v>0</v>
          </cell>
          <cell r="GZ193">
            <v>0</v>
          </cell>
          <cell r="HB193">
            <v>0</v>
          </cell>
          <cell r="HC193">
            <v>0</v>
          </cell>
          <cell r="HE193">
            <v>0</v>
          </cell>
          <cell r="HF193">
            <v>0</v>
          </cell>
          <cell r="HH193">
            <v>0</v>
          </cell>
          <cell r="HI193">
            <v>0</v>
          </cell>
          <cell r="HK193">
            <v>0</v>
          </cell>
          <cell r="HL193">
            <v>0</v>
          </cell>
          <cell r="HN193">
            <v>0</v>
          </cell>
          <cell r="HO193">
            <v>0</v>
          </cell>
          <cell r="HQ193">
            <v>0</v>
          </cell>
          <cell r="HR193">
            <v>0</v>
          </cell>
          <cell r="HT193">
            <v>0</v>
          </cell>
          <cell r="HU193">
            <v>0</v>
          </cell>
          <cell r="HW193">
            <v>0</v>
          </cell>
          <cell r="HX193">
            <v>0</v>
          </cell>
          <cell r="HZ193">
            <v>0</v>
          </cell>
          <cell r="IA193">
            <v>0</v>
          </cell>
          <cell r="IC193">
            <v>0</v>
          </cell>
          <cell r="ID193">
            <v>0</v>
          </cell>
          <cell r="IF193">
            <v>0</v>
          </cell>
        </row>
        <row r="194">
          <cell r="GP194" t="str">
            <v>HRSG Chemical Feed Sump Pumps</v>
          </cell>
          <cell r="GQ194">
            <v>0</v>
          </cell>
          <cell r="GS194">
            <v>0</v>
          </cell>
          <cell r="GT194">
            <v>0</v>
          </cell>
          <cell r="GV194">
            <v>0</v>
          </cell>
          <cell r="GW194">
            <v>0</v>
          </cell>
          <cell r="GY194">
            <v>0</v>
          </cell>
          <cell r="GZ194">
            <v>0</v>
          </cell>
          <cell r="HB194">
            <v>0</v>
          </cell>
          <cell r="HC194">
            <v>0</v>
          </cell>
          <cell r="HE194">
            <v>0</v>
          </cell>
          <cell r="HF194">
            <v>0</v>
          </cell>
          <cell r="HH194">
            <v>0</v>
          </cell>
          <cell r="HI194">
            <v>0</v>
          </cell>
          <cell r="HK194">
            <v>0</v>
          </cell>
          <cell r="HL194">
            <v>0</v>
          </cell>
          <cell r="HN194">
            <v>0</v>
          </cell>
          <cell r="HO194">
            <v>0</v>
          </cell>
          <cell r="HQ194">
            <v>0</v>
          </cell>
          <cell r="HR194">
            <v>0</v>
          </cell>
          <cell r="HT194">
            <v>0</v>
          </cell>
          <cell r="HU194">
            <v>0</v>
          </cell>
          <cell r="HW194">
            <v>0</v>
          </cell>
          <cell r="HX194">
            <v>0</v>
          </cell>
          <cell r="HZ194">
            <v>0</v>
          </cell>
          <cell r="IA194">
            <v>0</v>
          </cell>
          <cell r="IC194">
            <v>0</v>
          </cell>
          <cell r="ID194">
            <v>0</v>
          </cell>
          <cell r="IF194">
            <v>0</v>
          </cell>
        </row>
        <row r="195">
          <cell r="GP195" t="str">
            <v>Cooling Tower Chem Feed Waste Water Sump</v>
          </cell>
          <cell r="GQ195">
            <v>0</v>
          </cell>
          <cell r="GS195">
            <v>0</v>
          </cell>
          <cell r="GT195">
            <v>0</v>
          </cell>
          <cell r="GV195">
            <v>0</v>
          </cell>
          <cell r="GW195">
            <v>0</v>
          </cell>
          <cell r="GY195">
            <v>0</v>
          </cell>
          <cell r="GZ195">
            <v>0</v>
          </cell>
          <cell r="HB195">
            <v>0</v>
          </cell>
          <cell r="HC195">
            <v>0</v>
          </cell>
          <cell r="HE195">
            <v>0</v>
          </cell>
          <cell r="HF195">
            <v>0</v>
          </cell>
          <cell r="HH195">
            <v>0</v>
          </cell>
          <cell r="HI195">
            <v>0</v>
          </cell>
          <cell r="HK195">
            <v>0</v>
          </cell>
          <cell r="HL195">
            <v>0</v>
          </cell>
          <cell r="HN195">
            <v>0</v>
          </cell>
          <cell r="HO195">
            <v>0</v>
          </cell>
          <cell r="HQ195">
            <v>0</v>
          </cell>
          <cell r="HR195">
            <v>0</v>
          </cell>
          <cell r="HT195">
            <v>0</v>
          </cell>
          <cell r="HU195">
            <v>0</v>
          </cell>
          <cell r="HW195">
            <v>0</v>
          </cell>
          <cell r="HX195">
            <v>0</v>
          </cell>
          <cell r="HZ195">
            <v>0</v>
          </cell>
          <cell r="IA195">
            <v>0</v>
          </cell>
          <cell r="IC195">
            <v>0</v>
          </cell>
          <cell r="ID195">
            <v>0</v>
          </cell>
          <cell r="IF195">
            <v>0</v>
          </cell>
        </row>
        <row r="196">
          <cell r="GP196" t="str">
            <v>Cooling Tower Chemical Feed Sump Pumps</v>
          </cell>
          <cell r="GQ196">
            <v>0</v>
          </cell>
          <cell r="GS196">
            <v>0</v>
          </cell>
          <cell r="GT196">
            <v>0</v>
          </cell>
          <cell r="GV196">
            <v>0</v>
          </cell>
          <cell r="GW196">
            <v>0</v>
          </cell>
          <cell r="GY196">
            <v>0</v>
          </cell>
          <cell r="GZ196">
            <v>0</v>
          </cell>
          <cell r="HB196">
            <v>0</v>
          </cell>
          <cell r="HC196">
            <v>0</v>
          </cell>
          <cell r="HE196">
            <v>0</v>
          </cell>
          <cell r="HF196">
            <v>0</v>
          </cell>
          <cell r="HH196">
            <v>0</v>
          </cell>
          <cell r="HI196">
            <v>0</v>
          </cell>
          <cell r="HK196">
            <v>0</v>
          </cell>
          <cell r="HL196">
            <v>0</v>
          </cell>
          <cell r="HN196">
            <v>0</v>
          </cell>
          <cell r="HO196">
            <v>0</v>
          </cell>
          <cell r="HQ196">
            <v>0</v>
          </cell>
          <cell r="HR196">
            <v>0</v>
          </cell>
          <cell r="HT196">
            <v>0</v>
          </cell>
          <cell r="HU196">
            <v>0</v>
          </cell>
          <cell r="HW196">
            <v>0</v>
          </cell>
          <cell r="HX196">
            <v>0</v>
          </cell>
          <cell r="HZ196">
            <v>0</v>
          </cell>
          <cell r="IA196">
            <v>0</v>
          </cell>
          <cell r="IC196">
            <v>0</v>
          </cell>
          <cell r="ID196">
            <v>0</v>
          </cell>
          <cell r="IF196">
            <v>0</v>
          </cell>
        </row>
        <row r="197">
          <cell r="GP197" t="str">
            <v>R/O Enclosure Waste Water Sump</v>
          </cell>
          <cell r="GS197">
            <v>0</v>
          </cell>
          <cell r="GV197">
            <v>0</v>
          </cell>
          <cell r="GY197">
            <v>0</v>
          </cell>
          <cell r="HB197">
            <v>0</v>
          </cell>
          <cell r="HE197">
            <v>0</v>
          </cell>
          <cell r="HH197">
            <v>0</v>
          </cell>
          <cell r="HK197">
            <v>0</v>
          </cell>
          <cell r="HN197">
            <v>0</v>
          </cell>
          <cell r="HQ197">
            <v>0</v>
          </cell>
          <cell r="HT197">
            <v>0</v>
          </cell>
          <cell r="HW197">
            <v>0</v>
          </cell>
          <cell r="HZ197">
            <v>0</v>
          </cell>
          <cell r="IC197">
            <v>0</v>
          </cell>
          <cell r="IF197">
            <v>0</v>
          </cell>
        </row>
        <row r="198">
          <cell r="GP198" t="str">
            <v>R/O Sump Pumps</v>
          </cell>
          <cell r="GS198">
            <v>0</v>
          </cell>
          <cell r="GV198">
            <v>0</v>
          </cell>
          <cell r="GY198">
            <v>0</v>
          </cell>
          <cell r="HB198">
            <v>0</v>
          </cell>
          <cell r="HE198">
            <v>0</v>
          </cell>
          <cell r="HH198">
            <v>0</v>
          </cell>
          <cell r="HK198">
            <v>0</v>
          </cell>
          <cell r="HN198">
            <v>0</v>
          </cell>
          <cell r="HQ198">
            <v>0</v>
          </cell>
          <cell r="HT198">
            <v>0</v>
          </cell>
          <cell r="HW198">
            <v>0</v>
          </cell>
          <cell r="HZ198">
            <v>0</v>
          </cell>
          <cell r="IC198">
            <v>0</v>
          </cell>
          <cell r="IF198">
            <v>0</v>
          </cell>
        </row>
        <row r="199">
          <cell r="GP199" t="str">
            <v>ZLDS Recovery Waste Water Sump</v>
          </cell>
          <cell r="GQ199">
            <v>0</v>
          </cell>
          <cell r="GS199">
            <v>0</v>
          </cell>
          <cell r="GT199">
            <v>0</v>
          </cell>
          <cell r="GV199">
            <v>0</v>
          </cell>
          <cell r="GW199">
            <v>0</v>
          </cell>
          <cell r="GY199">
            <v>0</v>
          </cell>
          <cell r="GZ199">
            <v>0</v>
          </cell>
          <cell r="HB199">
            <v>0</v>
          </cell>
          <cell r="HC199">
            <v>0</v>
          </cell>
          <cell r="HE199">
            <v>0</v>
          </cell>
          <cell r="HF199">
            <v>0</v>
          </cell>
          <cell r="HH199">
            <v>0</v>
          </cell>
          <cell r="HI199">
            <v>0</v>
          </cell>
          <cell r="HK199">
            <v>0</v>
          </cell>
          <cell r="HL199">
            <v>0</v>
          </cell>
          <cell r="HN199">
            <v>0</v>
          </cell>
          <cell r="HO199">
            <v>0</v>
          </cell>
          <cell r="HQ199">
            <v>0</v>
          </cell>
          <cell r="HR199">
            <v>0</v>
          </cell>
          <cell r="HT199">
            <v>0</v>
          </cell>
          <cell r="HU199">
            <v>0</v>
          </cell>
          <cell r="HW199">
            <v>0</v>
          </cell>
          <cell r="HX199">
            <v>0</v>
          </cell>
          <cell r="HZ199">
            <v>0</v>
          </cell>
          <cell r="IA199">
            <v>0</v>
          </cell>
          <cell r="IC199">
            <v>0</v>
          </cell>
          <cell r="ID199">
            <v>0</v>
          </cell>
          <cell r="IF199">
            <v>0</v>
          </cell>
        </row>
        <row r="200">
          <cell r="GP200" t="str">
            <v>ZLDS Recovery Sump Pumps</v>
          </cell>
          <cell r="GQ200">
            <v>0</v>
          </cell>
          <cell r="GS200">
            <v>0</v>
          </cell>
          <cell r="GT200">
            <v>0</v>
          </cell>
          <cell r="GV200">
            <v>0</v>
          </cell>
          <cell r="GW200">
            <v>0</v>
          </cell>
          <cell r="GY200">
            <v>0</v>
          </cell>
          <cell r="GZ200">
            <v>0</v>
          </cell>
          <cell r="HB200">
            <v>0</v>
          </cell>
          <cell r="HC200">
            <v>0</v>
          </cell>
          <cell r="HE200">
            <v>0</v>
          </cell>
          <cell r="HF200">
            <v>0</v>
          </cell>
          <cell r="HH200">
            <v>0</v>
          </cell>
          <cell r="HI200">
            <v>0</v>
          </cell>
          <cell r="HK200">
            <v>0</v>
          </cell>
          <cell r="HL200">
            <v>0</v>
          </cell>
          <cell r="HN200">
            <v>0</v>
          </cell>
          <cell r="HO200">
            <v>0</v>
          </cell>
          <cell r="HQ200">
            <v>0</v>
          </cell>
          <cell r="HR200">
            <v>0</v>
          </cell>
          <cell r="HT200">
            <v>0</v>
          </cell>
          <cell r="HU200">
            <v>0</v>
          </cell>
          <cell r="HW200">
            <v>0</v>
          </cell>
          <cell r="HX200">
            <v>0</v>
          </cell>
          <cell r="HZ200">
            <v>0</v>
          </cell>
          <cell r="IA200">
            <v>0</v>
          </cell>
          <cell r="IC200">
            <v>0</v>
          </cell>
          <cell r="ID200">
            <v>0</v>
          </cell>
          <cell r="IF200">
            <v>0</v>
          </cell>
        </row>
        <row r="201">
          <cell r="GP201" t="str">
            <v>Oily Water Separator / Underground</v>
          </cell>
          <cell r="GQ201">
            <v>200</v>
          </cell>
          <cell r="GS201">
            <v>200</v>
          </cell>
          <cell r="GT201">
            <v>200</v>
          </cell>
          <cell r="GV201">
            <v>200</v>
          </cell>
          <cell r="GW201">
            <v>200</v>
          </cell>
          <cell r="GY201">
            <v>200</v>
          </cell>
          <cell r="GZ201">
            <v>200</v>
          </cell>
          <cell r="HB201">
            <v>200</v>
          </cell>
          <cell r="HC201">
            <v>200</v>
          </cell>
          <cell r="HE201">
            <v>200</v>
          </cell>
          <cell r="HF201">
            <v>200</v>
          </cell>
          <cell r="HH201">
            <v>200</v>
          </cell>
          <cell r="HI201">
            <v>200</v>
          </cell>
          <cell r="HK201">
            <v>200</v>
          </cell>
          <cell r="HL201">
            <v>200</v>
          </cell>
          <cell r="HN201">
            <v>200</v>
          </cell>
          <cell r="HO201">
            <v>200</v>
          </cell>
          <cell r="HQ201">
            <v>200</v>
          </cell>
          <cell r="HR201">
            <v>200</v>
          </cell>
          <cell r="HT201">
            <v>200</v>
          </cell>
          <cell r="HU201">
            <v>200</v>
          </cell>
          <cell r="HW201">
            <v>200</v>
          </cell>
          <cell r="HX201">
            <v>200</v>
          </cell>
          <cell r="HZ201">
            <v>200</v>
          </cell>
          <cell r="IA201">
            <v>200</v>
          </cell>
          <cell r="IC201">
            <v>200</v>
          </cell>
          <cell r="ID201">
            <v>200</v>
          </cell>
          <cell r="IF201">
            <v>200</v>
          </cell>
        </row>
        <row r="202">
          <cell r="GP202" t="str">
            <v>GTG Waste Water Sump</v>
          </cell>
          <cell r="GS202">
            <v>0</v>
          </cell>
          <cell r="GV202">
            <v>0</v>
          </cell>
          <cell r="GY202">
            <v>0</v>
          </cell>
          <cell r="HB202">
            <v>0</v>
          </cell>
          <cell r="HE202">
            <v>0</v>
          </cell>
          <cell r="HH202">
            <v>0</v>
          </cell>
          <cell r="HK202">
            <v>0</v>
          </cell>
          <cell r="HN202">
            <v>0</v>
          </cell>
          <cell r="HQ202">
            <v>0</v>
          </cell>
          <cell r="HT202">
            <v>0</v>
          </cell>
          <cell r="HW202">
            <v>0</v>
          </cell>
          <cell r="HZ202">
            <v>0</v>
          </cell>
          <cell r="IC202">
            <v>0</v>
          </cell>
          <cell r="IF202">
            <v>0</v>
          </cell>
        </row>
        <row r="203">
          <cell r="GP203" t="str">
            <v>GTG Waste Water Sump Pump</v>
          </cell>
          <cell r="GQ203">
            <v>0</v>
          </cell>
          <cell r="GS203">
            <v>0</v>
          </cell>
          <cell r="GT203">
            <v>0</v>
          </cell>
          <cell r="GV203">
            <v>0</v>
          </cell>
          <cell r="GW203">
            <v>0</v>
          </cell>
          <cell r="GY203">
            <v>0</v>
          </cell>
          <cell r="GZ203">
            <v>0</v>
          </cell>
          <cell r="HB203">
            <v>0</v>
          </cell>
          <cell r="HC203">
            <v>0</v>
          </cell>
          <cell r="HE203">
            <v>0</v>
          </cell>
          <cell r="HF203">
            <v>0</v>
          </cell>
          <cell r="HH203">
            <v>0</v>
          </cell>
          <cell r="HI203">
            <v>0</v>
          </cell>
          <cell r="HK203">
            <v>0</v>
          </cell>
          <cell r="HL203">
            <v>0</v>
          </cell>
          <cell r="HN203">
            <v>0</v>
          </cell>
          <cell r="HO203">
            <v>0</v>
          </cell>
          <cell r="HQ203">
            <v>0</v>
          </cell>
          <cell r="HR203">
            <v>0</v>
          </cell>
          <cell r="HT203">
            <v>0</v>
          </cell>
          <cell r="HU203">
            <v>0</v>
          </cell>
          <cell r="HW203">
            <v>0</v>
          </cell>
          <cell r="HX203">
            <v>0</v>
          </cell>
          <cell r="HZ203">
            <v>0</v>
          </cell>
          <cell r="IA203">
            <v>0</v>
          </cell>
          <cell r="IC203">
            <v>0</v>
          </cell>
          <cell r="ID203">
            <v>0</v>
          </cell>
          <cell r="IF203">
            <v>0</v>
          </cell>
        </row>
        <row r="204">
          <cell r="GP204" t="str">
            <v>STG Waste Water Sump</v>
          </cell>
          <cell r="GS204">
            <v>0</v>
          </cell>
          <cell r="GV204">
            <v>0</v>
          </cell>
          <cell r="GY204">
            <v>0</v>
          </cell>
          <cell r="HB204">
            <v>0</v>
          </cell>
          <cell r="HE204">
            <v>0</v>
          </cell>
          <cell r="HH204">
            <v>0</v>
          </cell>
          <cell r="HK204">
            <v>0</v>
          </cell>
          <cell r="HN204">
            <v>0</v>
          </cell>
          <cell r="HQ204">
            <v>0</v>
          </cell>
          <cell r="HT204">
            <v>0</v>
          </cell>
          <cell r="HW204">
            <v>0</v>
          </cell>
          <cell r="HZ204">
            <v>0</v>
          </cell>
          <cell r="IC204">
            <v>0</v>
          </cell>
          <cell r="IF204">
            <v>0</v>
          </cell>
        </row>
        <row r="205">
          <cell r="GP205" t="str">
            <v>STG Recovery Sump Pump</v>
          </cell>
          <cell r="GQ205">
            <v>0</v>
          </cell>
          <cell r="GS205">
            <v>0</v>
          </cell>
          <cell r="GT205">
            <v>0</v>
          </cell>
          <cell r="GV205">
            <v>0</v>
          </cell>
          <cell r="GW205">
            <v>0</v>
          </cell>
          <cell r="GY205">
            <v>0</v>
          </cell>
          <cell r="GZ205">
            <v>0</v>
          </cell>
          <cell r="HB205">
            <v>0</v>
          </cell>
          <cell r="HC205">
            <v>0</v>
          </cell>
          <cell r="HE205">
            <v>0</v>
          </cell>
          <cell r="HF205">
            <v>0</v>
          </cell>
          <cell r="HH205">
            <v>0</v>
          </cell>
          <cell r="HI205">
            <v>0</v>
          </cell>
          <cell r="HK205">
            <v>0</v>
          </cell>
          <cell r="HL205">
            <v>0</v>
          </cell>
          <cell r="HN205">
            <v>0</v>
          </cell>
          <cell r="HO205">
            <v>0</v>
          </cell>
          <cell r="HQ205">
            <v>0</v>
          </cell>
          <cell r="HR205">
            <v>0</v>
          </cell>
          <cell r="HT205">
            <v>0</v>
          </cell>
          <cell r="HU205">
            <v>0</v>
          </cell>
          <cell r="HW205">
            <v>0</v>
          </cell>
          <cell r="HX205">
            <v>0</v>
          </cell>
          <cell r="HZ205">
            <v>0</v>
          </cell>
          <cell r="IA205">
            <v>0</v>
          </cell>
          <cell r="IC205">
            <v>0</v>
          </cell>
          <cell r="ID205">
            <v>0</v>
          </cell>
          <cell r="IF205">
            <v>0</v>
          </cell>
        </row>
        <row r="206">
          <cell r="GP206" t="str">
            <v>Sample Panel</v>
          </cell>
          <cell r="GQ206">
            <v>0</v>
          </cell>
          <cell r="GS206">
            <v>0</v>
          </cell>
          <cell r="GT206">
            <v>0</v>
          </cell>
          <cell r="GV206">
            <v>0</v>
          </cell>
          <cell r="GW206">
            <v>0</v>
          </cell>
          <cell r="GY206">
            <v>0</v>
          </cell>
          <cell r="GZ206">
            <v>0</v>
          </cell>
          <cell r="HB206">
            <v>0</v>
          </cell>
          <cell r="HC206">
            <v>0</v>
          </cell>
          <cell r="HE206">
            <v>0</v>
          </cell>
          <cell r="HF206">
            <v>0</v>
          </cell>
          <cell r="HH206">
            <v>0</v>
          </cell>
          <cell r="HI206">
            <v>0</v>
          </cell>
          <cell r="HK206">
            <v>0</v>
          </cell>
          <cell r="HL206">
            <v>0</v>
          </cell>
          <cell r="HN206">
            <v>0</v>
          </cell>
          <cell r="HO206">
            <v>0</v>
          </cell>
          <cell r="HQ206">
            <v>0</v>
          </cell>
          <cell r="HR206">
            <v>0</v>
          </cell>
          <cell r="HT206">
            <v>0</v>
          </cell>
          <cell r="HU206">
            <v>0</v>
          </cell>
          <cell r="HW206">
            <v>0</v>
          </cell>
          <cell r="HX206">
            <v>0</v>
          </cell>
          <cell r="HZ206">
            <v>0</v>
          </cell>
          <cell r="IA206">
            <v>0</v>
          </cell>
          <cell r="IC206">
            <v>0</v>
          </cell>
          <cell r="ID206">
            <v>0</v>
          </cell>
          <cell r="IF206">
            <v>0</v>
          </cell>
        </row>
        <row r="207">
          <cell r="GP207" t="str">
            <v>Safety Shower Assembly / Eyewash Assembly</v>
          </cell>
          <cell r="GQ207">
            <v>0</v>
          </cell>
          <cell r="GS207">
            <v>0</v>
          </cell>
          <cell r="GT207">
            <v>0</v>
          </cell>
          <cell r="GV207">
            <v>0</v>
          </cell>
          <cell r="GW207">
            <v>0</v>
          </cell>
          <cell r="GY207">
            <v>0</v>
          </cell>
          <cell r="GZ207">
            <v>0</v>
          </cell>
          <cell r="HB207">
            <v>0</v>
          </cell>
          <cell r="HC207">
            <v>0</v>
          </cell>
          <cell r="HE207">
            <v>0</v>
          </cell>
          <cell r="HF207">
            <v>0</v>
          </cell>
          <cell r="HH207">
            <v>0</v>
          </cell>
          <cell r="HI207">
            <v>0</v>
          </cell>
          <cell r="HK207">
            <v>0</v>
          </cell>
          <cell r="HL207">
            <v>0</v>
          </cell>
          <cell r="HN207">
            <v>0</v>
          </cell>
          <cell r="HO207">
            <v>0</v>
          </cell>
          <cell r="HQ207">
            <v>0</v>
          </cell>
          <cell r="HR207">
            <v>0</v>
          </cell>
          <cell r="HT207">
            <v>0</v>
          </cell>
          <cell r="HU207">
            <v>0</v>
          </cell>
          <cell r="HW207">
            <v>0</v>
          </cell>
          <cell r="HX207">
            <v>0</v>
          </cell>
          <cell r="HZ207">
            <v>0</v>
          </cell>
          <cell r="IA207">
            <v>0</v>
          </cell>
          <cell r="IC207">
            <v>0</v>
          </cell>
          <cell r="ID207">
            <v>0</v>
          </cell>
          <cell r="IF207">
            <v>0</v>
          </cell>
        </row>
        <row r="208">
          <cell r="GP208" t="str">
            <v>Ammonia Storage Tank</v>
          </cell>
          <cell r="GQ208">
            <v>1300</v>
          </cell>
          <cell r="GS208">
            <v>1300</v>
          </cell>
          <cell r="GT208">
            <v>1300</v>
          </cell>
          <cell r="GV208">
            <v>1300</v>
          </cell>
          <cell r="GW208">
            <v>1300</v>
          </cell>
          <cell r="GY208">
            <v>1300</v>
          </cell>
          <cell r="GZ208">
            <v>1300</v>
          </cell>
          <cell r="HB208">
            <v>1300</v>
          </cell>
          <cell r="HC208">
            <v>1300</v>
          </cell>
          <cell r="HE208">
            <v>1300</v>
          </cell>
          <cell r="HF208">
            <v>1300</v>
          </cell>
          <cell r="HH208">
            <v>1300</v>
          </cell>
          <cell r="HI208">
            <v>1300</v>
          </cell>
          <cell r="HK208">
            <v>1300</v>
          </cell>
          <cell r="HL208">
            <v>1300</v>
          </cell>
          <cell r="HN208">
            <v>1300</v>
          </cell>
          <cell r="HO208">
            <v>1300</v>
          </cell>
          <cell r="HQ208">
            <v>1300</v>
          </cell>
          <cell r="HR208">
            <v>1300</v>
          </cell>
          <cell r="HT208">
            <v>1300</v>
          </cell>
          <cell r="HU208">
            <v>1300</v>
          </cell>
          <cell r="HW208">
            <v>1300</v>
          </cell>
          <cell r="HX208">
            <v>1300</v>
          </cell>
          <cell r="HZ208">
            <v>1300</v>
          </cell>
          <cell r="IA208">
            <v>1300</v>
          </cell>
          <cell r="IC208">
            <v>1300</v>
          </cell>
          <cell r="ID208">
            <v>1300</v>
          </cell>
          <cell r="IF208">
            <v>1300</v>
          </cell>
        </row>
        <row r="209">
          <cell r="GP209" t="str">
            <v>Aqueous Ammonia Forwarding Pump</v>
          </cell>
          <cell r="GS209">
            <v>0</v>
          </cell>
          <cell r="GV209">
            <v>0</v>
          </cell>
          <cell r="GY209">
            <v>0</v>
          </cell>
          <cell r="HB209">
            <v>0</v>
          </cell>
          <cell r="HE209">
            <v>0</v>
          </cell>
          <cell r="HH209">
            <v>0</v>
          </cell>
          <cell r="HK209">
            <v>0</v>
          </cell>
          <cell r="HN209">
            <v>0</v>
          </cell>
          <cell r="HQ209">
            <v>0</v>
          </cell>
          <cell r="HT209">
            <v>0</v>
          </cell>
          <cell r="HW209">
            <v>0</v>
          </cell>
          <cell r="HZ209">
            <v>0</v>
          </cell>
          <cell r="IC209">
            <v>0</v>
          </cell>
          <cell r="IF209">
            <v>0</v>
          </cell>
        </row>
        <row r="210">
          <cell r="GP210" t="str">
            <v>Fire Pump, Electric</v>
          </cell>
          <cell r="GQ210">
            <v>1000</v>
          </cell>
          <cell r="GS210">
            <v>1000</v>
          </cell>
          <cell r="GT210">
            <v>1000</v>
          </cell>
          <cell r="GV210">
            <v>1000</v>
          </cell>
          <cell r="GW210">
            <v>1000</v>
          </cell>
          <cell r="GY210">
            <v>1000</v>
          </cell>
          <cell r="GZ210">
            <v>1000</v>
          </cell>
          <cell r="HB210">
            <v>1000</v>
          </cell>
          <cell r="HC210">
            <v>1000</v>
          </cell>
          <cell r="HE210">
            <v>1000</v>
          </cell>
          <cell r="HF210">
            <v>1000</v>
          </cell>
          <cell r="HH210">
            <v>1000</v>
          </cell>
          <cell r="HI210">
            <v>1000</v>
          </cell>
          <cell r="HK210">
            <v>1000</v>
          </cell>
          <cell r="HL210">
            <v>1000</v>
          </cell>
          <cell r="HN210">
            <v>1000</v>
          </cell>
          <cell r="HO210">
            <v>1000</v>
          </cell>
          <cell r="HQ210">
            <v>1000</v>
          </cell>
          <cell r="HR210">
            <v>1000</v>
          </cell>
          <cell r="HT210">
            <v>1000</v>
          </cell>
          <cell r="HU210">
            <v>1000</v>
          </cell>
          <cell r="HW210">
            <v>1000</v>
          </cell>
          <cell r="HX210">
            <v>1000</v>
          </cell>
          <cell r="HZ210">
            <v>1000</v>
          </cell>
          <cell r="IA210">
            <v>1000</v>
          </cell>
          <cell r="IC210">
            <v>1000</v>
          </cell>
          <cell r="ID210">
            <v>1000</v>
          </cell>
          <cell r="IF210">
            <v>1000</v>
          </cell>
        </row>
        <row r="211">
          <cell r="GP211" t="str">
            <v>Fire Pump, Diesel</v>
          </cell>
          <cell r="GQ211">
            <v>0</v>
          </cell>
          <cell r="GS211">
            <v>0</v>
          </cell>
          <cell r="GT211">
            <v>0</v>
          </cell>
          <cell r="GV211">
            <v>0</v>
          </cell>
          <cell r="GW211">
            <v>0</v>
          </cell>
          <cell r="GY211">
            <v>0</v>
          </cell>
          <cell r="GZ211">
            <v>0</v>
          </cell>
          <cell r="HB211">
            <v>0</v>
          </cell>
          <cell r="HC211">
            <v>0</v>
          </cell>
          <cell r="HE211">
            <v>0</v>
          </cell>
          <cell r="HF211">
            <v>0</v>
          </cell>
          <cell r="HH211">
            <v>0</v>
          </cell>
          <cell r="HI211">
            <v>0</v>
          </cell>
          <cell r="HK211">
            <v>0</v>
          </cell>
          <cell r="HL211">
            <v>0</v>
          </cell>
          <cell r="HN211">
            <v>0</v>
          </cell>
          <cell r="HO211">
            <v>0</v>
          </cell>
          <cell r="HQ211">
            <v>0</v>
          </cell>
          <cell r="HR211">
            <v>0</v>
          </cell>
          <cell r="HT211">
            <v>0</v>
          </cell>
          <cell r="HU211">
            <v>0</v>
          </cell>
          <cell r="HW211">
            <v>0</v>
          </cell>
          <cell r="HX211">
            <v>0</v>
          </cell>
          <cell r="HZ211">
            <v>0</v>
          </cell>
          <cell r="IA211">
            <v>0</v>
          </cell>
          <cell r="IC211">
            <v>0</v>
          </cell>
          <cell r="ID211">
            <v>0</v>
          </cell>
          <cell r="IF211">
            <v>0</v>
          </cell>
        </row>
        <row r="212">
          <cell r="GP212" t="str">
            <v>Fire Alarm System</v>
          </cell>
          <cell r="GQ212">
            <v>0</v>
          </cell>
          <cell r="GS212">
            <v>0</v>
          </cell>
          <cell r="GT212">
            <v>0</v>
          </cell>
          <cell r="GV212">
            <v>0</v>
          </cell>
          <cell r="GW212">
            <v>0</v>
          </cell>
          <cell r="GY212">
            <v>0</v>
          </cell>
          <cell r="GZ212">
            <v>0</v>
          </cell>
          <cell r="HB212">
            <v>0</v>
          </cell>
          <cell r="HC212">
            <v>0</v>
          </cell>
          <cell r="HE212">
            <v>0</v>
          </cell>
          <cell r="HF212">
            <v>0</v>
          </cell>
          <cell r="HH212">
            <v>0</v>
          </cell>
          <cell r="HI212">
            <v>0</v>
          </cell>
          <cell r="HK212">
            <v>0</v>
          </cell>
          <cell r="HL212">
            <v>0</v>
          </cell>
          <cell r="HN212">
            <v>0</v>
          </cell>
          <cell r="HO212">
            <v>0</v>
          </cell>
          <cell r="HQ212">
            <v>0</v>
          </cell>
          <cell r="HR212">
            <v>0</v>
          </cell>
          <cell r="HT212">
            <v>0</v>
          </cell>
          <cell r="HU212">
            <v>0</v>
          </cell>
          <cell r="HW212">
            <v>0</v>
          </cell>
          <cell r="HX212">
            <v>0</v>
          </cell>
          <cell r="HZ212">
            <v>0</v>
          </cell>
          <cell r="IA212">
            <v>0</v>
          </cell>
          <cell r="IC212">
            <v>0</v>
          </cell>
          <cell r="ID212">
            <v>0</v>
          </cell>
          <cell r="IF212">
            <v>0</v>
          </cell>
        </row>
        <row r="213">
          <cell r="GP213" t="str">
            <v>STG Sprinkler System</v>
          </cell>
          <cell r="GQ213">
            <v>0</v>
          </cell>
          <cell r="GS213">
            <v>0</v>
          </cell>
          <cell r="GT213">
            <v>0</v>
          </cell>
          <cell r="GV213">
            <v>0</v>
          </cell>
          <cell r="GW213">
            <v>0</v>
          </cell>
          <cell r="GY213">
            <v>0</v>
          </cell>
          <cell r="GZ213">
            <v>0</v>
          </cell>
          <cell r="HB213">
            <v>0</v>
          </cell>
          <cell r="HC213">
            <v>0</v>
          </cell>
          <cell r="HE213">
            <v>0</v>
          </cell>
          <cell r="HF213">
            <v>0</v>
          </cell>
          <cell r="HH213">
            <v>0</v>
          </cell>
          <cell r="HI213">
            <v>0</v>
          </cell>
          <cell r="HK213">
            <v>0</v>
          </cell>
          <cell r="HL213">
            <v>0</v>
          </cell>
          <cell r="HN213">
            <v>0</v>
          </cell>
          <cell r="HO213">
            <v>0</v>
          </cell>
          <cell r="HQ213">
            <v>0</v>
          </cell>
          <cell r="HR213">
            <v>0</v>
          </cell>
          <cell r="HT213">
            <v>0</v>
          </cell>
          <cell r="HU213">
            <v>0</v>
          </cell>
          <cell r="HW213">
            <v>0</v>
          </cell>
          <cell r="HX213">
            <v>0</v>
          </cell>
          <cell r="HZ213">
            <v>0</v>
          </cell>
          <cell r="IA213">
            <v>0</v>
          </cell>
          <cell r="IC213">
            <v>0</v>
          </cell>
          <cell r="ID213">
            <v>0</v>
          </cell>
          <cell r="IF213">
            <v>0</v>
          </cell>
        </row>
        <row r="214">
          <cell r="GP214" t="str">
            <v>GSU Sprinkler System</v>
          </cell>
          <cell r="GQ214">
            <v>400</v>
          </cell>
          <cell r="GS214">
            <v>400</v>
          </cell>
          <cell r="GT214">
            <v>400</v>
          </cell>
          <cell r="GV214">
            <v>400</v>
          </cell>
          <cell r="GW214">
            <v>400</v>
          </cell>
          <cell r="GY214">
            <v>400</v>
          </cell>
          <cell r="GZ214">
            <v>400</v>
          </cell>
          <cell r="HB214">
            <v>400</v>
          </cell>
          <cell r="HC214">
            <v>400</v>
          </cell>
          <cell r="HE214">
            <v>400</v>
          </cell>
          <cell r="HF214">
            <v>400</v>
          </cell>
          <cell r="HH214">
            <v>400</v>
          </cell>
          <cell r="HI214">
            <v>400</v>
          </cell>
          <cell r="HK214">
            <v>400</v>
          </cell>
          <cell r="HL214">
            <v>400</v>
          </cell>
          <cell r="HN214">
            <v>400</v>
          </cell>
          <cell r="HO214">
            <v>400</v>
          </cell>
          <cell r="HQ214">
            <v>400</v>
          </cell>
          <cell r="HR214">
            <v>400</v>
          </cell>
          <cell r="HT214">
            <v>400</v>
          </cell>
          <cell r="HU214">
            <v>400</v>
          </cell>
          <cell r="HW214">
            <v>400</v>
          </cell>
          <cell r="HX214">
            <v>400</v>
          </cell>
          <cell r="HZ214">
            <v>400</v>
          </cell>
          <cell r="IA214">
            <v>400</v>
          </cell>
          <cell r="IC214">
            <v>400</v>
          </cell>
          <cell r="ID214">
            <v>400</v>
          </cell>
          <cell r="IF214">
            <v>400</v>
          </cell>
        </row>
        <row r="215">
          <cell r="GP215" t="str">
            <v>Aux Transformer Sprinkler System</v>
          </cell>
          <cell r="GQ215">
            <v>400</v>
          </cell>
          <cell r="GS215">
            <v>400</v>
          </cell>
          <cell r="GT215">
            <v>400</v>
          </cell>
          <cell r="GV215">
            <v>400</v>
          </cell>
          <cell r="GW215">
            <v>400</v>
          </cell>
          <cell r="GY215">
            <v>400</v>
          </cell>
          <cell r="GZ215">
            <v>400</v>
          </cell>
          <cell r="HB215">
            <v>400</v>
          </cell>
          <cell r="HC215">
            <v>400</v>
          </cell>
          <cell r="HE215">
            <v>400</v>
          </cell>
          <cell r="HF215">
            <v>400</v>
          </cell>
          <cell r="HH215">
            <v>400</v>
          </cell>
          <cell r="HI215">
            <v>400</v>
          </cell>
          <cell r="HK215">
            <v>400</v>
          </cell>
          <cell r="HL215">
            <v>400</v>
          </cell>
          <cell r="HN215">
            <v>400</v>
          </cell>
          <cell r="HO215">
            <v>400</v>
          </cell>
          <cell r="HQ215">
            <v>400</v>
          </cell>
          <cell r="HR215">
            <v>400</v>
          </cell>
          <cell r="HT215">
            <v>400</v>
          </cell>
          <cell r="HU215">
            <v>400</v>
          </cell>
          <cell r="HW215">
            <v>400</v>
          </cell>
          <cell r="HX215">
            <v>400</v>
          </cell>
          <cell r="HZ215">
            <v>400</v>
          </cell>
          <cell r="IA215">
            <v>400</v>
          </cell>
          <cell r="IC215">
            <v>400</v>
          </cell>
          <cell r="ID215">
            <v>400</v>
          </cell>
          <cell r="IF215">
            <v>400</v>
          </cell>
        </row>
        <row r="216">
          <cell r="GP216" t="str">
            <v>Fuel Oil Tank Foam System</v>
          </cell>
          <cell r="GQ216">
            <v>0</v>
          </cell>
          <cell r="GS216">
            <v>0</v>
          </cell>
          <cell r="GT216">
            <v>0</v>
          </cell>
          <cell r="GV216">
            <v>0</v>
          </cell>
          <cell r="GW216">
            <v>0</v>
          </cell>
          <cell r="GY216">
            <v>0</v>
          </cell>
          <cell r="GZ216">
            <v>0</v>
          </cell>
          <cell r="HB216">
            <v>0</v>
          </cell>
          <cell r="HC216">
            <v>0</v>
          </cell>
          <cell r="HE216">
            <v>0</v>
          </cell>
          <cell r="HF216">
            <v>0</v>
          </cell>
          <cell r="HH216">
            <v>0</v>
          </cell>
          <cell r="HI216">
            <v>0</v>
          </cell>
          <cell r="HK216">
            <v>0</v>
          </cell>
          <cell r="HL216">
            <v>0</v>
          </cell>
          <cell r="HN216">
            <v>0</v>
          </cell>
          <cell r="HO216">
            <v>0</v>
          </cell>
          <cell r="HQ216">
            <v>0</v>
          </cell>
          <cell r="HR216">
            <v>0</v>
          </cell>
          <cell r="HT216">
            <v>0</v>
          </cell>
          <cell r="HU216">
            <v>0</v>
          </cell>
          <cell r="HW216">
            <v>0</v>
          </cell>
          <cell r="HX216">
            <v>0</v>
          </cell>
          <cell r="HZ216">
            <v>0</v>
          </cell>
          <cell r="IA216">
            <v>0</v>
          </cell>
          <cell r="IC216">
            <v>0</v>
          </cell>
          <cell r="ID216">
            <v>0</v>
          </cell>
          <cell r="IF216">
            <v>0</v>
          </cell>
        </row>
        <row r="217">
          <cell r="GP217" t="str">
            <v>Fire Extinguishers</v>
          </cell>
          <cell r="GS217">
            <v>0</v>
          </cell>
          <cell r="GV217">
            <v>0</v>
          </cell>
          <cell r="GY217">
            <v>0</v>
          </cell>
          <cell r="HB217">
            <v>0</v>
          </cell>
          <cell r="HE217">
            <v>0</v>
          </cell>
          <cell r="HH217">
            <v>0</v>
          </cell>
          <cell r="HK217">
            <v>0</v>
          </cell>
          <cell r="HN217">
            <v>0</v>
          </cell>
          <cell r="HQ217">
            <v>0</v>
          </cell>
          <cell r="HT217">
            <v>0</v>
          </cell>
          <cell r="HW217">
            <v>0</v>
          </cell>
          <cell r="HZ217">
            <v>0</v>
          </cell>
          <cell r="IC217">
            <v>0</v>
          </cell>
          <cell r="IF217">
            <v>0</v>
          </cell>
        </row>
        <row r="218">
          <cell r="GP218" t="str">
            <v>Air Compressor</v>
          </cell>
          <cell r="GQ218">
            <v>900</v>
          </cell>
          <cell r="GS218">
            <v>900</v>
          </cell>
          <cell r="GT218">
            <v>900</v>
          </cell>
          <cell r="GV218">
            <v>900</v>
          </cell>
          <cell r="GW218">
            <v>900</v>
          </cell>
          <cell r="GY218">
            <v>900</v>
          </cell>
          <cell r="GZ218">
            <v>900</v>
          </cell>
          <cell r="HB218">
            <v>900</v>
          </cell>
          <cell r="HC218">
            <v>900</v>
          </cell>
          <cell r="HE218">
            <v>900</v>
          </cell>
          <cell r="HF218">
            <v>900</v>
          </cell>
          <cell r="HH218">
            <v>900</v>
          </cell>
          <cell r="HI218">
            <v>900</v>
          </cell>
          <cell r="HK218">
            <v>900</v>
          </cell>
          <cell r="HL218">
            <v>900</v>
          </cell>
          <cell r="HN218">
            <v>900</v>
          </cell>
          <cell r="HO218">
            <v>900</v>
          </cell>
          <cell r="HQ218">
            <v>900</v>
          </cell>
          <cell r="HR218">
            <v>900</v>
          </cell>
          <cell r="HT218">
            <v>900</v>
          </cell>
          <cell r="HU218">
            <v>900</v>
          </cell>
          <cell r="HW218">
            <v>900</v>
          </cell>
          <cell r="HX218">
            <v>900</v>
          </cell>
          <cell r="HZ218">
            <v>900</v>
          </cell>
          <cell r="IA218">
            <v>900</v>
          </cell>
          <cell r="IC218">
            <v>900</v>
          </cell>
          <cell r="ID218">
            <v>900</v>
          </cell>
          <cell r="IF218">
            <v>900</v>
          </cell>
        </row>
        <row r="219">
          <cell r="GP219" t="str">
            <v>Instrument Air Dryer</v>
          </cell>
          <cell r="GQ219">
            <v>0</v>
          </cell>
          <cell r="GS219">
            <v>0</v>
          </cell>
          <cell r="GT219">
            <v>0</v>
          </cell>
          <cell r="GV219">
            <v>0</v>
          </cell>
          <cell r="GW219">
            <v>0</v>
          </cell>
          <cell r="GY219">
            <v>0</v>
          </cell>
          <cell r="GZ219">
            <v>0</v>
          </cell>
          <cell r="HB219">
            <v>0</v>
          </cell>
          <cell r="HC219">
            <v>0</v>
          </cell>
          <cell r="HE219">
            <v>0</v>
          </cell>
          <cell r="HF219">
            <v>0</v>
          </cell>
          <cell r="HH219">
            <v>0</v>
          </cell>
          <cell r="HI219">
            <v>0</v>
          </cell>
          <cell r="HK219">
            <v>0</v>
          </cell>
          <cell r="HL219">
            <v>0</v>
          </cell>
          <cell r="HN219">
            <v>0</v>
          </cell>
          <cell r="HO219">
            <v>0</v>
          </cell>
          <cell r="HQ219">
            <v>0</v>
          </cell>
          <cell r="HR219">
            <v>0</v>
          </cell>
          <cell r="HT219">
            <v>0</v>
          </cell>
          <cell r="HU219">
            <v>0</v>
          </cell>
          <cell r="HW219">
            <v>0</v>
          </cell>
          <cell r="HX219">
            <v>0</v>
          </cell>
          <cell r="HZ219">
            <v>0</v>
          </cell>
          <cell r="IA219">
            <v>0</v>
          </cell>
          <cell r="IC219">
            <v>0</v>
          </cell>
          <cell r="ID219">
            <v>0</v>
          </cell>
          <cell r="IF219">
            <v>0</v>
          </cell>
        </row>
        <row r="220">
          <cell r="GP220" t="str">
            <v>Instrument Air Receiver</v>
          </cell>
          <cell r="GQ220">
            <v>0</v>
          </cell>
          <cell r="GS220">
            <v>0</v>
          </cell>
          <cell r="GT220">
            <v>0</v>
          </cell>
          <cell r="GV220">
            <v>0</v>
          </cell>
          <cell r="GW220">
            <v>0</v>
          </cell>
          <cell r="GY220">
            <v>0</v>
          </cell>
          <cell r="GZ220">
            <v>0</v>
          </cell>
          <cell r="HB220">
            <v>0</v>
          </cell>
          <cell r="HC220">
            <v>0</v>
          </cell>
          <cell r="HE220">
            <v>0</v>
          </cell>
          <cell r="HF220">
            <v>0</v>
          </cell>
          <cell r="HH220">
            <v>0</v>
          </cell>
          <cell r="HI220">
            <v>0</v>
          </cell>
          <cell r="HK220">
            <v>0</v>
          </cell>
          <cell r="HL220">
            <v>0</v>
          </cell>
          <cell r="HN220">
            <v>0</v>
          </cell>
          <cell r="HO220">
            <v>0</v>
          </cell>
          <cell r="HQ220">
            <v>0</v>
          </cell>
          <cell r="HR220">
            <v>0</v>
          </cell>
          <cell r="HT220">
            <v>0</v>
          </cell>
          <cell r="HU220">
            <v>0</v>
          </cell>
          <cell r="HW220">
            <v>0</v>
          </cell>
          <cell r="HX220">
            <v>0</v>
          </cell>
          <cell r="HZ220">
            <v>0</v>
          </cell>
          <cell r="IA220">
            <v>0</v>
          </cell>
          <cell r="IC220">
            <v>0</v>
          </cell>
          <cell r="ID220">
            <v>0</v>
          </cell>
          <cell r="IF220">
            <v>0</v>
          </cell>
        </row>
        <row r="221">
          <cell r="GP221" t="str">
            <v>Continuous Emissions Monitoring System</v>
          </cell>
          <cell r="GQ221">
            <v>0</v>
          </cell>
          <cell r="GS221">
            <v>0</v>
          </cell>
          <cell r="GT221">
            <v>0</v>
          </cell>
          <cell r="GV221">
            <v>0</v>
          </cell>
          <cell r="GW221">
            <v>0</v>
          </cell>
          <cell r="GY221">
            <v>0</v>
          </cell>
          <cell r="GZ221">
            <v>0</v>
          </cell>
          <cell r="HB221">
            <v>0</v>
          </cell>
          <cell r="HC221">
            <v>0</v>
          </cell>
          <cell r="HE221">
            <v>0</v>
          </cell>
          <cell r="HF221">
            <v>0</v>
          </cell>
          <cell r="HH221">
            <v>0</v>
          </cell>
          <cell r="HI221">
            <v>0</v>
          </cell>
          <cell r="HK221">
            <v>0</v>
          </cell>
          <cell r="HL221">
            <v>0</v>
          </cell>
          <cell r="HN221">
            <v>0</v>
          </cell>
          <cell r="HO221">
            <v>0</v>
          </cell>
          <cell r="HQ221">
            <v>0</v>
          </cell>
          <cell r="HR221">
            <v>0</v>
          </cell>
          <cell r="HT221">
            <v>0</v>
          </cell>
          <cell r="HU221">
            <v>0</v>
          </cell>
          <cell r="HW221">
            <v>0</v>
          </cell>
          <cell r="HX221">
            <v>0</v>
          </cell>
          <cell r="HZ221">
            <v>0</v>
          </cell>
          <cell r="IA221">
            <v>0</v>
          </cell>
          <cell r="IC221">
            <v>0</v>
          </cell>
          <cell r="ID221">
            <v>0</v>
          </cell>
          <cell r="IF221">
            <v>0</v>
          </cell>
        </row>
        <row r="222">
          <cell r="GP222" t="str">
            <v>Bulk Hydrogen Storage</v>
          </cell>
          <cell r="GQ222">
            <v>0</v>
          </cell>
          <cell r="GS222">
            <v>0</v>
          </cell>
          <cell r="GT222">
            <v>0</v>
          </cell>
          <cell r="GV222">
            <v>0</v>
          </cell>
          <cell r="GW222">
            <v>0</v>
          </cell>
          <cell r="GY222">
            <v>0</v>
          </cell>
          <cell r="GZ222">
            <v>0</v>
          </cell>
          <cell r="HB222">
            <v>0</v>
          </cell>
          <cell r="HC222">
            <v>0</v>
          </cell>
          <cell r="HE222">
            <v>0</v>
          </cell>
          <cell r="HF222">
            <v>0</v>
          </cell>
          <cell r="HH222">
            <v>0</v>
          </cell>
          <cell r="HI222">
            <v>0</v>
          </cell>
          <cell r="HK222">
            <v>0</v>
          </cell>
          <cell r="HL222">
            <v>0</v>
          </cell>
          <cell r="HN222">
            <v>0</v>
          </cell>
          <cell r="HO222">
            <v>0</v>
          </cell>
          <cell r="HQ222">
            <v>0</v>
          </cell>
          <cell r="HR222">
            <v>0</v>
          </cell>
          <cell r="HT222">
            <v>0</v>
          </cell>
          <cell r="HU222">
            <v>0</v>
          </cell>
          <cell r="HW222">
            <v>0</v>
          </cell>
          <cell r="HX222">
            <v>0</v>
          </cell>
          <cell r="HZ222">
            <v>0</v>
          </cell>
          <cell r="IA222">
            <v>0</v>
          </cell>
          <cell r="IC222">
            <v>0</v>
          </cell>
          <cell r="ID222">
            <v>0</v>
          </cell>
          <cell r="IF222">
            <v>0</v>
          </cell>
        </row>
        <row r="223">
          <cell r="GP223" t="str">
            <v>Bulk CO2 Storage</v>
          </cell>
          <cell r="GQ223">
            <v>0</v>
          </cell>
          <cell r="GS223">
            <v>0</v>
          </cell>
          <cell r="GT223">
            <v>0</v>
          </cell>
          <cell r="GV223">
            <v>0</v>
          </cell>
          <cell r="GW223">
            <v>0</v>
          </cell>
          <cell r="GY223">
            <v>0</v>
          </cell>
          <cell r="GZ223">
            <v>0</v>
          </cell>
          <cell r="HB223">
            <v>0</v>
          </cell>
          <cell r="HC223">
            <v>0</v>
          </cell>
          <cell r="HE223">
            <v>0</v>
          </cell>
          <cell r="HF223">
            <v>0</v>
          </cell>
          <cell r="HH223">
            <v>0</v>
          </cell>
          <cell r="HI223">
            <v>0</v>
          </cell>
          <cell r="HK223">
            <v>0</v>
          </cell>
          <cell r="HL223">
            <v>0</v>
          </cell>
          <cell r="HN223">
            <v>0</v>
          </cell>
          <cell r="HO223">
            <v>0</v>
          </cell>
          <cell r="HQ223">
            <v>0</v>
          </cell>
          <cell r="HR223">
            <v>0</v>
          </cell>
          <cell r="HT223">
            <v>0</v>
          </cell>
          <cell r="HU223">
            <v>0</v>
          </cell>
          <cell r="HW223">
            <v>0</v>
          </cell>
          <cell r="HX223">
            <v>0</v>
          </cell>
          <cell r="HZ223">
            <v>0</v>
          </cell>
          <cell r="IA223">
            <v>0</v>
          </cell>
          <cell r="IC223">
            <v>0</v>
          </cell>
          <cell r="ID223">
            <v>0</v>
          </cell>
          <cell r="IF223">
            <v>0</v>
          </cell>
        </row>
        <row r="224">
          <cell r="GP224" t="str">
            <v>Bulk Nitrogen Storage</v>
          </cell>
          <cell r="GQ224">
            <v>0</v>
          </cell>
          <cell r="GS224">
            <v>0</v>
          </cell>
          <cell r="GT224">
            <v>0</v>
          </cell>
          <cell r="GV224">
            <v>0</v>
          </cell>
          <cell r="GW224">
            <v>0</v>
          </cell>
          <cell r="GY224">
            <v>0</v>
          </cell>
          <cell r="GZ224">
            <v>0</v>
          </cell>
          <cell r="HB224">
            <v>0</v>
          </cell>
          <cell r="HC224">
            <v>0</v>
          </cell>
          <cell r="HE224">
            <v>0</v>
          </cell>
          <cell r="HF224">
            <v>0</v>
          </cell>
          <cell r="HH224">
            <v>0</v>
          </cell>
          <cell r="HI224">
            <v>0</v>
          </cell>
          <cell r="HK224">
            <v>0</v>
          </cell>
          <cell r="HL224">
            <v>0</v>
          </cell>
          <cell r="HN224">
            <v>0</v>
          </cell>
          <cell r="HO224">
            <v>0</v>
          </cell>
          <cell r="HQ224">
            <v>0</v>
          </cell>
          <cell r="HR224">
            <v>0</v>
          </cell>
          <cell r="HT224">
            <v>0</v>
          </cell>
          <cell r="HU224">
            <v>0</v>
          </cell>
          <cell r="HW224">
            <v>0</v>
          </cell>
          <cell r="HX224">
            <v>0</v>
          </cell>
          <cell r="HZ224">
            <v>0</v>
          </cell>
          <cell r="IA224">
            <v>0</v>
          </cell>
          <cell r="IC224">
            <v>0</v>
          </cell>
          <cell r="ID224">
            <v>0</v>
          </cell>
          <cell r="IF224">
            <v>0</v>
          </cell>
        </row>
        <row r="225">
          <cell r="GP225">
            <v>0</v>
          </cell>
          <cell r="GS225">
            <v>0</v>
          </cell>
          <cell r="GV225">
            <v>0</v>
          </cell>
          <cell r="GY225">
            <v>0</v>
          </cell>
          <cell r="HB225">
            <v>0</v>
          </cell>
          <cell r="HE225">
            <v>0</v>
          </cell>
          <cell r="HH225">
            <v>0</v>
          </cell>
          <cell r="HK225">
            <v>0</v>
          </cell>
          <cell r="HN225">
            <v>0</v>
          </cell>
          <cell r="HQ225">
            <v>0</v>
          </cell>
          <cell r="HT225">
            <v>0</v>
          </cell>
          <cell r="HW225">
            <v>0</v>
          </cell>
          <cell r="HZ225">
            <v>0</v>
          </cell>
          <cell r="IC225">
            <v>0</v>
          </cell>
          <cell r="IF225">
            <v>0</v>
          </cell>
        </row>
        <row r="226">
          <cell r="GP226">
            <v>0</v>
          </cell>
          <cell r="GS226">
            <v>0</v>
          </cell>
          <cell r="GV226">
            <v>0</v>
          </cell>
          <cell r="GY226">
            <v>0</v>
          </cell>
          <cell r="HB226">
            <v>0</v>
          </cell>
          <cell r="HE226">
            <v>0</v>
          </cell>
          <cell r="HH226">
            <v>0</v>
          </cell>
          <cell r="HK226">
            <v>0</v>
          </cell>
          <cell r="HN226">
            <v>0</v>
          </cell>
          <cell r="HQ226">
            <v>0</v>
          </cell>
          <cell r="HT226">
            <v>0</v>
          </cell>
          <cell r="HW226">
            <v>0</v>
          </cell>
          <cell r="HZ226">
            <v>0</v>
          </cell>
          <cell r="IC226">
            <v>0</v>
          </cell>
          <cell r="IF226">
            <v>0</v>
          </cell>
        </row>
        <row r="227">
          <cell r="GP227" t="str">
            <v>Elevator</v>
          </cell>
          <cell r="GQ227">
            <v>0</v>
          </cell>
          <cell r="GS227">
            <v>0</v>
          </cell>
          <cell r="GT227">
            <v>0</v>
          </cell>
          <cell r="GV227">
            <v>0</v>
          </cell>
          <cell r="GW227">
            <v>0</v>
          </cell>
          <cell r="GY227">
            <v>0</v>
          </cell>
          <cell r="GZ227">
            <v>0</v>
          </cell>
          <cell r="HB227">
            <v>0</v>
          </cell>
          <cell r="HC227">
            <v>0</v>
          </cell>
          <cell r="HE227">
            <v>0</v>
          </cell>
          <cell r="HF227">
            <v>0</v>
          </cell>
          <cell r="HH227">
            <v>0</v>
          </cell>
          <cell r="HI227">
            <v>0</v>
          </cell>
          <cell r="HK227">
            <v>0</v>
          </cell>
          <cell r="HL227">
            <v>0</v>
          </cell>
          <cell r="HN227">
            <v>0</v>
          </cell>
          <cell r="HO227">
            <v>0</v>
          </cell>
          <cell r="HQ227">
            <v>0</v>
          </cell>
          <cell r="HR227">
            <v>0</v>
          </cell>
          <cell r="HT227">
            <v>0</v>
          </cell>
          <cell r="HU227">
            <v>0</v>
          </cell>
          <cell r="HW227">
            <v>0</v>
          </cell>
          <cell r="HX227">
            <v>0</v>
          </cell>
          <cell r="HZ227">
            <v>0</v>
          </cell>
          <cell r="IA227">
            <v>0</v>
          </cell>
          <cell r="IC227">
            <v>0</v>
          </cell>
          <cell r="ID227">
            <v>0</v>
          </cell>
          <cell r="IF227">
            <v>0</v>
          </cell>
        </row>
        <row r="228">
          <cell r="GP228" t="str">
            <v>STG Maintenance Gantry Crane</v>
          </cell>
          <cell r="GQ228">
            <v>0</v>
          </cell>
          <cell r="GS228">
            <v>0</v>
          </cell>
          <cell r="GT228">
            <v>0</v>
          </cell>
          <cell r="GV228">
            <v>0</v>
          </cell>
          <cell r="GW228">
            <v>0</v>
          </cell>
          <cell r="GY228">
            <v>0</v>
          </cell>
          <cell r="GZ228">
            <v>0</v>
          </cell>
          <cell r="HB228">
            <v>0</v>
          </cell>
          <cell r="HC228">
            <v>0</v>
          </cell>
          <cell r="HE228">
            <v>0</v>
          </cell>
          <cell r="HF228">
            <v>0</v>
          </cell>
          <cell r="HH228">
            <v>0</v>
          </cell>
          <cell r="HI228">
            <v>0</v>
          </cell>
          <cell r="HK228">
            <v>0</v>
          </cell>
          <cell r="HL228">
            <v>0</v>
          </cell>
          <cell r="HN228">
            <v>0</v>
          </cell>
          <cell r="HO228">
            <v>0</v>
          </cell>
          <cell r="HQ228">
            <v>0</v>
          </cell>
          <cell r="HR228">
            <v>0</v>
          </cell>
          <cell r="HT228">
            <v>0</v>
          </cell>
          <cell r="HU228">
            <v>0</v>
          </cell>
          <cell r="HW228">
            <v>0</v>
          </cell>
          <cell r="HX228">
            <v>0</v>
          </cell>
          <cell r="HZ228">
            <v>0</v>
          </cell>
          <cell r="IA228">
            <v>0</v>
          </cell>
          <cell r="IC228">
            <v>0</v>
          </cell>
          <cell r="ID228">
            <v>0</v>
          </cell>
          <cell r="IF228">
            <v>0</v>
          </cell>
        </row>
        <row r="229">
          <cell r="GP229" t="str">
            <v>GTG Maintenance Gantry Crane</v>
          </cell>
          <cell r="GQ229">
            <v>0</v>
          </cell>
          <cell r="GS229">
            <v>0</v>
          </cell>
          <cell r="GT229">
            <v>0</v>
          </cell>
          <cell r="GV229">
            <v>0</v>
          </cell>
          <cell r="GW229">
            <v>0</v>
          </cell>
          <cell r="GY229">
            <v>0</v>
          </cell>
          <cell r="GZ229">
            <v>0</v>
          </cell>
          <cell r="HB229">
            <v>0</v>
          </cell>
          <cell r="HC229">
            <v>0</v>
          </cell>
          <cell r="HE229">
            <v>0</v>
          </cell>
          <cell r="HF229">
            <v>0</v>
          </cell>
          <cell r="HH229">
            <v>0</v>
          </cell>
          <cell r="HI229">
            <v>0</v>
          </cell>
          <cell r="HK229">
            <v>0</v>
          </cell>
          <cell r="HL229">
            <v>0</v>
          </cell>
          <cell r="HN229">
            <v>0</v>
          </cell>
          <cell r="HO229">
            <v>0</v>
          </cell>
          <cell r="HQ229">
            <v>0</v>
          </cell>
          <cell r="HR229">
            <v>0</v>
          </cell>
          <cell r="HT229">
            <v>0</v>
          </cell>
          <cell r="HU229">
            <v>0</v>
          </cell>
          <cell r="HW229">
            <v>0</v>
          </cell>
          <cell r="HX229">
            <v>0</v>
          </cell>
          <cell r="HZ229">
            <v>0</v>
          </cell>
          <cell r="IA229">
            <v>0</v>
          </cell>
          <cell r="IC229">
            <v>0</v>
          </cell>
          <cell r="ID229">
            <v>0</v>
          </cell>
          <cell r="IF229">
            <v>0</v>
          </cell>
        </row>
        <row r="230">
          <cell r="GP230" t="str">
            <v>Hoist</v>
          </cell>
          <cell r="GQ230">
            <v>0</v>
          </cell>
          <cell r="GS230">
            <v>0</v>
          </cell>
          <cell r="GT230">
            <v>0</v>
          </cell>
          <cell r="GV230">
            <v>0</v>
          </cell>
          <cell r="GW230">
            <v>0</v>
          </cell>
          <cell r="GY230">
            <v>0</v>
          </cell>
          <cell r="GZ230">
            <v>0</v>
          </cell>
          <cell r="HB230">
            <v>0</v>
          </cell>
          <cell r="HC230">
            <v>0</v>
          </cell>
          <cell r="HE230">
            <v>0</v>
          </cell>
          <cell r="HF230">
            <v>0</v>
          </cell>
          <cell r="HH230">
            <v>0</v>
          </cell>
          <cell r="HI230">
            <v>0</v>
          </cell>
          <cell r="HK230">
            <v>0</v>
          </cell>
          <cell r="HL230">
            <v>0</v>
          </cell>
          <cell r="HN230">
            <v>0</v>
          </cell>
          <cell r="HO230">
            <v>0</v>
          </cell>
          <cell r="HQ230">
            <v>0</v>
          </cell>
          <cell r="HR230">
            <v>0</v>
          </cell>
          <cell r="HT230">
            <v>0</v>
          </cell>
          <cell r="HU230">
            <v>0</v>
          </cell>
          <cell r="HW230">
            <v>0</v>
          </cell>
          <cell r="HX230">
            <v>0</v>
          </cell>
          <cell r="HZ230">
            <v>0</v>
          </cell>
          <cell r="IA230">
            <v>0</v>
          </cell>
          <cell r="IC230">
            <v>0</v>
          </cell>
          <cell r="ID230">
            <v>0</v>
          </cell>
          <cell r="IF230">
            <v>0</v>
          </cell>
        </row>
        <row r="231">
          <cell r="GP231">
            <v>0</v>
          </cell>
          <cell r="GQ231">
            <v>0</v>
          </cell>
          <cell r="GS231">
            <v>0</v>
          </cell>
          <cell r="GT231">
            <v>0</v>
          </cell>
          <cell r="GV231">
            <v>0</v>
          </cell>
          <cell r="GW231">
            <v>0</v>
          </cell>
          <cell r="GY231">
            <v>0</v>
          </cell>
          <cell r="GZ231">
            <v>0</v>
          </cell>
          <cell r="HB231">
            <v>0</v>
          </cell>
          <cell r="HC231">
            <v>0</v>
          </cell>
          <cell r="HE231">
            <v>0</v>
          </cell>
          <cell r="HF231">
            <v>0</v>
          </cell>
          <cell r="HH231">
            <v>0</v>
          </cell>
          <cell r="HI231">
            <v>0</v>
          </cell>
          <cell r="HK231">
            <v>0</v>
          </cell>
          <cell r="HL231">
            <v>0</v>
          </cell>
          <cell r="HN231">
            <v>0</v>
          </cell>
          <cell r="HO231">
            <v>0</v>
          </cell>
          <cell r="HQ231">
            <v>0</v>
          </cell>
          <cell r="HR231">
            <v>0</v>
          </cell>
          <cell r="HT231">
            <v>0</v>
          </cell>
          <cell r="HU231">
            <v>0</v>
          </cell>
          <cell r="HW231">
            <v>0</v>
          </cell>
          <cell r="HX231">
            <v>0</v>
          </cell>
          <cell r="HZ231">
            <v>0</v>
          </cell>
          <cell r="IA231">
            <v>0</v>
          </cell>
          <cell r="IC231">
            <v>0</v>
          </cell>
          <cell r="ID231">
            <v>0</v>
          </cell>
          <cell r="IF231">
            <v>0</v>
          </cell>
        </row>
        <row r="232">
          <cell r="GP232" t="str">
            <v>GTG Inlet Chiller</v>
          </cell>
          <cell r="GQ232">
            <v>0</v>
          </cell>
          <cell r="GS232">
            <v>0</v>
          </cell>
          <cell r="GT232">
            <v>0</v>
          </cell>
          <cell r="GV232">
            <v>0</v>
          </cell>
          <cell r="GW232">
            <v>0</v>
          </cell>
          <cell r="GY232">
            <v>0</v>
          </cell>
          <cell r="GZ232">
            <v>0</v>
          </cell>
          <cell r="HB232">
            <v>0</v>
          </cell>
          <cell r="HC232">
            <v>0</v>
          </cell>
          <cell r="HE232">
            <v>0</v>
          </cell>
          <cell r="HF232">
            <v>0</v>
          </cell>
          <cell r="HH232">
            <v>0</v>
          </cell>
          <cell r="HI232">
            <v>0</v>
          </cell>
          <cell r="HK232">
            <v>0</v>
          </cell>
          <cell r="HL232">
            <v>0</v>
          </cell>
          <cell r="HN232">
            <v>0</v>
          </cell>
          <cell r="HO232">
            <v>0</v>
          </cell>
          <cell r="HQ232">
            <v>0</v>
          </cell>
          <cell r="HR232">
            <v>0</v>
          </cell>
          <cell r="HT232">
            <v>0</v>
          </cell>
          <cell r="HU232">
            <v>0</v>
          </cell>
          <cell r="HW232">
            <v>0</v>
          </cell>
          <cell r="HX232">
            <v>0</v>
          </cell>
          <cell r="HZ232">
            <v>0</v>
          </cell>
          <cell r="IA232">
            <v>0</v>
          </cell>
          <cell r="IC232">
            <v>0</v>
          </cell>
          <cell r="ID232">
            <v>0</v>
          </cell>
          <cell r="IF232">
            <v>0</v>
          </cell>
        </row>
        <row r="233">
          <cell r="GP233" t="str">
            <v>Steam Turbine Bypass Valves</v>
          </cell>
          <cell r="GS233">
            <v>0</v>
          </cell>
          <cell r="GV233">
            <v>0</v>
          </cell>
          <cell r="GY233">
            <v>0</v>
          </cell>
          <cell r="HB233">
            <v>0</v>
          </cell>
          <cell r="HE233">
            <v>0</v>
          </cell>
          <cell r="HH233">
            <v>0</v>
          </cell>
          <cell r="HK233">
            <v>0</v>
          </cell>
          <cell r="HN233">
            <v>0</v>
          </cell>
          <cell r="HQ233">
            <v>0</v>
          </cell>
          <cell r="HT233">
            <v>0</v>
          </cell>
          <cell r="HW233">
            <v>0</v>
          </cell>
          <cell r="HZ233">
            <v>0</v>
          </cell>
          <cell r="IC233">
            <v>0</v>
          </cell>
          <cell r="IF233">
            <v>0</v>
          </cell>
        </row>
        <row r="234">
          <cell r="GP234" t="str">
            <v>Fuel Gas Billing Meter</v>
          </cell>
          <cell r="GS234">
            <v>0</v>
          </cell>
          <cell r="GV234">
            <v>0</v>
          </cell>
          <cell r="GY234">
            <v>0</v>
          </cell>
          <cell r="HB234">
            <v>0</v>
          </cell>
          <cell r="HE234">
            <v>0</v>
          </cell>
          <cell r="HH234">
            <v>0</v>
          </cell>
          <cell r="HK234">
            <v>0</v>
          </cell>
          <cell r="HN234">
            <v>0</v>
          </cell>
          <cell r="HQ234">
            <v>0</v>
          </cell>
          <cell r="HT234">
            <v>0</v>
          </cell>
          <cell r="HW234">
            <v>0</v>
          </cell>
          <cell r="HZ234">
            <v>0</v>
          </cell>
          <cell r="IC234">
            <v>0</v>
          </cell>
          <cell r="IF234">
            <v>0</v>
          </cell>
        </row>
        <row r="235">
          <cell r="GP235" t="str">
            <v>Manual Input 1</v>
          </cell>
          <cell r="GS235">
            <v>0</v>
          </cell>
          <cell r="GV235">
            <v>0</v>
          </cell>
          <cell r="GY235">
            <v>0</v>
          </cell>
          <cell r="HB235">
            <v>0</v>
          </cell>
          <cell r="HE235">
            <v>0</v>
          </cell>
          <cell r="HH235">
            <v>0</v>
          </cell>
          <cell r="HK235">
            <v>0</v>
          </cell>
          <cell r="HN235">
            <v>0</v>
          </cell>
          <cell r="HQ235">
            <v>0</v>
          </cell>
          <cell r="HT235">
            <v>0</v>
          </cell>
          <cell r="HW235">
            <v>0</v>
          </cell>
          <cell r="HZ235">
            <v>0</v>
          </cell>
          <cell r="IC235">
            <v>0</v>
          </cell>
          <cell r="IF235">
            <v>0</v>
          </cell>
        </row>
        <row r="236">
          <cell r="GP236" t="str">
            <v>Manual Input 2</v>
          </cell>
          <cell r="GS236">
            <v>0</v>
          </cell>
          <cell r="GV236">
            <v>0</v>
          </cell>
          <cell r="GY236">
            <v>0</v>
          </cell>
          <cell r="HB236">
            <v>0</v>
          </cell>
          <cell r="HE236">
            <v>0</v>
          </cell>
          <cell r="HH236">
            <v>0</v>
          </cell>
          <cell r="HK236">
            <v>0</v>
          </cell>
          <cell r="HN236">
            <v>0</v>
          </cell>
          <cell r="HQ236">
            <v>0</v>
          </cell>
          <cell r="HT236">
            <v>0</v>
          </cell>
          <cell r="HW236">
            <v>0</v>
          </cell>
          <cell r="HZ236">
            <v>0</v>
          </cell>
          <cell r="IC236">
            <v>0</v>
          </cell>
          <cell r="IF236">
            <v>0</v>
          </cell>
        </row>
        <row r="237">
          <cell r="GP237" t="str">
            <v>Manual Input 3</v>
          </cell>
          <cell r="GS237">
            <v>0</v>
          </cell>
          <cell r="GV237">
            <v>0</v>
          </cell>
          <cell r="GY237">
            <v>0</v>
          </cell>
          <cell r="HB237">
            <v>0</v>
          </cell>
          <cell r="HE237">
            <v>0</v>
          </cell>
          <cell r="HH237">
            <v>0</v>
          </cell>
          <cell r="HK237">
            <v>0</v>
          </cell>
          <cell r="HN237">
            <v>0</v>
          </cell>
          <cell r="HQ237">
            <v>0</v>
          </cell>
          <cell r="HT237">
            <v>0</v>
          </cell>
          <cell r="HW237">
            <v>0</v>
          </cell>
          <cell r="HZ237">
            <v>0</v>
          </cell>
          <cell r="IC237">
            <v>0</v>
          </cell>
          <cell r="IF237">
            <v>0</v>
          </cell>
        </row>
        <row r="238">
          <cell r="GP238" t="str">
            <v>Manual Input 4</v>
          </cell>
          <cell r="GS238">
            <v>0</v>
          </cell>
          <cell r="GV238">
            <v>0</v>
          </cell>
          <cell r="GY238">
            <v>0</v>
          </cell>
          <cell r="HB238">
            <v>0</v>
          </cell>
          <cell r="HE238">
            <v>0</v>
          </cell>
          <cell r="HH238">
            <v>0</v>
          </cell>
          <cell r="HK238">
            <v>0</v>
          </cell>
          <cell r="HN238">
            <v>0</v>
          </cell>
          <cell r="HQ238">
            <v>0</v>
          </cell>
          <cell r="HT238">
            <v>0</v>
          </cell>
          <cell r="HW238">
            <v>0</v>
          </cell>
          <cell r="HZ238">
            <v>0</v>
          </cell>
          <cell r="IC238">
            <v>0</v>
          </cell>
          <cell r="IF238">
            <v>0</v>
          </cell>
        </row>
        <row r="239">
          <cell r="GP239" t="str">
            <v>Manual Input 5</v>
          </cell>
          <cell r="GS239">
            <v>0</v>
          </cell>
          <cell r="GV239">
            <v>0</v>
          </cell>
          <cell r="GY239">
            <v>0</v>
          </cell>
          <cell r="HB239">
            <v>0</v>
          </cell>
          <cell r="HE239">
            <v>0</v>
          </cell>
          <cell r="HH239">
            <v>0</v>
          </cell>
          <cell r="HK239">
            <v>0</v>
          </cell>
          <cell r="HN239">
            <v>0</v>
          </cell>
          <cell r="HQ239">
            <v>0</v>
          </cell>
          <cell r="HT239">
            <v>0</v>
          </cell>
          <cell r="HW239">
            <v>0</v>
          </cell>
          <cell r="HZ239">
            <v>0</v>
          </cell>
          <cell r="IC239">
            <v>0</v>
          </cell>
          <cell r="IF239">
            <v>0</v>
          </cell>
        </row>
        <row r="240">
          <cell r="GP240" t="str">
            <v>Manual Input 6</v>
          </cell>
          <cell r="GS240">
            <v>0</v>
          </cell>
          <cell r="GV240">
            <v>0</v>
          </cell>
          <cell r="GY240">
            <v>0</v>
          </cell>
          <cell r="HB240">
            <v>0</v>
          </cell>
          <cell r="HE240">
            <v>0</v>
          </cell>
          <cell r="HH240">
            <v>0</v>
          </cell>
          <cell r="HK240">
            <v>0</v>
          </cell>
          <cell r="HN240">
            <v>0</v>
          </cell>
          <cell r="HQ240">
            <v>0</v>
          </cell>
          <cell r="HT240">
            <v>0</v>
          </cell>
          <cell r="HW240">
            <v>0</v>
          </cell>
          <cell r="HZ240">
            <v>0</v>
          </cell>
          <cell r="IC240">
            <v>0</v>
          </cell>
          <cell r="IF240">
            <v>0</v>
          </cell>
        </row>
        <row r="241">
          <cell r="GP241" t="str">
            <v>Manual Input 7</v>
          </cell>
          <cell r="GS241">
            <v>0</v>
          </cell>
          <cell r="GV241">
            <v>0</v>
          </cell>
          <cell r="GY241">
            <v>0</v>
          </cell>
          <cell r="HB241">
            <v>0</v>
          </cell>
          <cell r="HE241">
            <v>0</v>
          </cell>
          <cell r="HH241">
            <v>0</v>
          </cell>
          <cell r="HK241">
            <v>0</v>
          </cell>
          <cell r="HN241">
            <v>0</v>
          </cell>
          <cell r="HQ241">
            <v>0</v>
          </cell>
          <cell r="HT241">
            <v>0</v>
          </cell>
          <cell r="HW241">
            <v>0</v>
          </cell>
          <cell r="HZ241">
            <v>0</v>
          </cell>
          <cell r="IC241">
            <v>0</v>
          </cell>
          <cell r="IF241">
            <v>0</v>
          </cell>
        </row>
        <row r="242">
          <cell r="GP242" t="str">
            <v>Manual Input 8</v>
          </cell>
          <cell r="GS242">
            <v>0</v>
          </cell>
          <cell r="GV242">
            <v>0</v>
          </cell>
          <cell r="GY242">
            <v>0</v>
          </cell>
          <cell r="HB242">
            <v>0</v>
          </cell>
          <cell r="HE242">
            <v>0</v>
          </cell>
          <cell r="HH242">
            <v>0</v>
          </cell>
          <cell r="HK242">
            <v>0</v>
          </cell>
          <cell r="HN242">
            <v>0</v>
          </cell>
          <cell r="HQ242">
            <v>0</v>
          </cell>
          <cell r="HT242">
            <v>0</v>
          </cell>
          <cell r="HW242">
            <v>0</v>
          </cell>
          <cell r="HZ242">
            <v>0</v>
          </cell>
          <cell r="IC242">
            <v>0</v>
          </cell>
          <cell r="IF242">
            <v>0</v>
          </cell>
        </row>
        <row r="243">
          <cell r="GP243">
            <v>0</v>
          </cell>
          <cell r="GS243">
            <v>0</v>
          </cell>
          <cell r="GV243">
            <v>0</v>
          </cell>
          <cell r="GY243">
            <v>0</v>
          </cell>
          <cell r="HB243">
            <v>0</v>
          </cell>
          <cell r="HE243">
            <v>0</v>
          </cell>
          <cell r="HH243">
            <v>0</v>
          </cell>
          <cell r="HK243">
            <v>0</v>
          </cell>
          <cell r="HN243">
            <v>0</v>
          </cell>
          <cell r="HQ243">
            <v>0</v>
          </cell>
          <cell r="HT243">
            <v>0</v>
          </cell>
          <cell r="HW243">
            <v>0</v>
          </cell>
          <cell r="HZ243">
            <v>0</v>
          </cell>
          <cell r="IC243">
            <v>0</v>
          </cell>
          <cell r="IF243">
            <v>0</v>
          </cell>
        </row>
        <row r="244">
          <cell r="GP244">
            <v>0</v>
          </cell>
          <cell r="GS244">
            <v>0</v>
          </cell>
          <cell r="GV244">
            <v>0</v>
          </cell>
          <cell r="GY244">
            <v>0</v>
          </cell>
          <cell r="HB244">
            <v>0</v>
          </cell>
          <cell r="HE244">
            <v>0</v>
          </cell>
          <cell r="HH244">
            <v>0</v>
          </cell>
          <cell r="HK244">
            <v>0</v>
          </cell>
          <cell r="HN244">
            <v>0</v>
          </cell>
          <cell r="HQ244">
            <v>0</v>
          </cell>
          <cell r="HT244">
            <v>0</v>
          </cell>
          <cell r="HW244">
            <v>0</v>
          </cell>
          <cell r="HZ244">
            <v>0</v>
          </cell>
          <cell r="IC244">
            <v>0</v>
          </cell>
          <cell r="IF244">
            <v>0</v>
          </cell>
        </row>
        <row r="245">
          <cell r="GP245">
            <v>0</v>
          </cell>
          <cell r="GS245">
            <v>0</v>
          </cell>
          <cell r="GV245">
            <v>0</v>
          </cell>
          <cell r="GY245">
            <v>0</v>
          </cell>
          <cell r="HB245">
            <v>0</v>
          </cell>
          <cell r="HE245">
            <v>0</v>
          </cell>
          <cell r="HH245">
            <v>0</v>
          </cell>
          <cell r="HK245">
            <v>0</v>
          </cell>
          <cell r="HN245">
            <v>0</v>
          </cell>
          <cell r="HQ245">
            <v>0</v>
          </cell>
          <cell r="HT245">
            <v>0</v>
          </cell>
          <cell r="HW245">
            <v>0</v>
          </cell>
          <cell r="HZ245">
            <v>0</v>
          </cell>
          <cell r="IC245">
            <v>0</v>
          </cell>
          <cell r="IF245">
            <v>0</v>
          </cell>
        </row>
        <row r="246">
          <cell r="GP246">
            <v>0</v>
          </cell>
          <cell r="GS246">
            <v>0</v>
          </cell>
          <cell r="GV246">
            <v>0</v>
          </cell>
          <cell r="GY246">
            <v>0</v>
          </cell>
          <cell r="HB246">
            <v>0</v>
          </cell>
          <cell r="HE246">
            <v>0</v>
          </cell>
          <cell r="HH246">
            <v>0</v>
          </cell>
          <cell r="HK246">
            <v>0</v>
          </cell>
          <cell r="HN246">
            <v>0</v>
          </cell>
          <cell r="HQ246">
            <v>0</v>
          </cell>
          <cell r="HT246">
            <v>0</v>
          </cell>
          <cell r="HW246">
            <v>0</v>
          </cell>
          <cell r="HZ246">
            <v>0</v>
          </cell>
          <cell r="IC246">
            <v>0</v>
          </cell>
          <cell r="IF246">
            <v>0</v>
          </cell>
        </row>
        <row r="247">
          <cell r="GP247">
            <v>0</v>
          </cell>
          <cell r="GS247">
            <v>0</v>
          </cell>
          <cell r="GV247">
            <v>0</v>
          </cell>
          <cell r="GY247">
            <v>0</v>
          </cell>
          <cell r="HB247">
            <v>0</v>
          </cell>
          <cell r="HE247">
            <v>0</v>
          </cell>
          <cell r="HH247">
            <v>0</v>
          </cell>
          <cell r="HK247">
            <v>0</v>
          </cell>
          <cell r="HN247">
            <v>0</v>
          </cell>
          <cell r="HQ247">
            <v>0</v>
          </cell>
          <cell r="HT247">
            <v>0</v>
          </cell>
          <cell r="HW247">
            <v>0</v>
          </cell>
          <cell r="HZ247">
            <v>0</v>
          </cell>
          <cell r="IC247">
            <v>0</v>
          </cell>
          <cell r="IF247">
            <v>0</v>
          </cell>
        </row>
        <row r="248">
          <cell r="GP248">
            <v>0</v>
          </cell>
          <cell r="GS248">
            <v>0</v>
          </cell>
          <cell r="GV248">
            <v>0</v>
          </cell>
          <cell r="GY248">
            <v>0</v>
          </cell>
          <cell r="HB248">
            <v>0</v>
          </cell>
          <cell r="HE248">
            <v>0</v>
          </cell>
          <cell r="HH248">
            <v>0</v>
          </cell>
          <cell r="HK248">
            <v>0</v>
          </cell>
          <cell r="HN248">
            <v>0</v>
          </cell>
          <cell r="HQ248">
            <v>0</v>
          </cell>
          <cell r="HT248">
            <v>0</v>
          </cell>
          <cell r="HW248">
            <v>0</v>
          </cell>
          <cell r="HZ248">
            <v>0</v>
          </cell>
          <cell r="IC248">
            <v>0</v>
          </cell>
          <cell r="IF248">
            <v>0</v>
          </cell>
        </row>
        <row r="249">
          <cell r="GP249">
            <v>0</v>
          </cell>
          <cell r="GS249">
            <v>0</v>
          </cell>
          <cell r="GV249">
            <v>0</v>
          </cell>
          <cell r="GY249">
            <v>0</v>
          </cell>
          <cell r="HB249">
            <v>0</v>
          </cell>
          <cell r="HE249">
            <v>0</v>
          </cell>
          <cell r="HH249">
            <v>0</v>
          </cell>
          <cell r="HK249">
            <v>0</v>
          </cell>
          <cell r="HN249">
            <v>0</v>
          </cell>
          <cell r="HQ249">
            <v>0</v>
          </cell>
          <cell r="HT249">
            <v>0</v>
          </cell>
          <cell r="HW249">
            <v>0</v>
          </cell>
          <cell r="HZ249">
            <v>0</v>
          </cell>
          <cell r="IC249">
            <v>0</v>
          </cell>
          <cell r="IF249">
            <v>0</v>
          </cell>
        </row>
        <row r="250">
          <cell r="GP250">
            <v>0</v>
          </cell>
          <cell r="GS250">
            <v>0</v>
          </cell>
          <cell r="GV250">
            <v>0</v>
          </cell>
          <cell r="GY250">
            <v>0</v>
          </cell>
          <cell r="HB250">
            <v>0</v>
          </cell>
          <cell r="HE250">
            <v>0</v>
          </cell>
          <cell r="HH250">
            <v>0</v>
          </cell>
          <cell r="HK250">
            <v>0</v>
          </cell>
          <cell r="HN250">
            <v>0</v>
          </cell>
          <cell r="HQ250">
            <v>0</v>
          </cell>
          <cell r="HT250">
            <v>0</v>
          </cell>
          <cell r="HW250">
            <v>0</v>
          </cell>
          <cell r="HZ250">
            <v>0</v>
          </cell>
          <cell r="IC250">
            <v>0</v>
          </cell>
          <cell r="IF250">
            <v>0</v>
          </cell>
        </row>
        <row r="251">
          <cell r="GP251">
            <v>0</v>
          </cell>
          <cell r="GS251">
            <v>0</v>
          </cell>
          <cell r="GV251">
            <v>0</v>
          </cell>
          <cell r="GY251">
            <v>0</v>
          </cell>
          <cell r="HB251">
            <v>0</v>
          </cell>
          <cell r="HE251">
            <v>0</v>
          </cell>
          <cell r="HH251">
            <v>0</v>
          </cell>
          <cell r="HK251">
            <v>0</v>
          </cell>
          <cell r="HN251">
            <v>0</v>
          </cell>
          <cell r="HQ251">
            <v>0</v>
          </cell>
          <cell r="HT251">
            <v>0</v>
          </cell>
          <cell r="HW251">
            <v>0</v>
          </cell>
          <cell r="HZ251">
            <v>0</v>
          </cell>
          <cell r="IC251">
            <v>0</v>
          </cell>
          <cell r="IF251">
            <v>0</v>
          </cell>
        </row>
        <row r="252">
          <cell r="GP252">
            <v>0</v>
          </cell>
          <cell r="GS252">
            <v>0</v>
          </cell>
          <cell r="GV252">
            <v>0</v>
          </cell>
          <cell r="GY252">
            <v>0</v>
          </cell>
          <cell r="HB252">
            <v>0</v>
          </cell>
          <cell r="HE252">
            <v>0</v>
          </cell>
          <cell r="HH252">
            <v>0</v>
          </cell>
          <cell r="HK252">
            <v>0</v>
          </cell>
          <cell r="HN252">
            <v>0</v>
          </cell>
          <cell r="HQ252">
            <v>0</v>
          </cell>
          <cell r="HT252">
            <v>0</v>
          </cell>
          <cell r="HW252">
            <v>0</v>
          </cell>
          <cell r="HZ252">
            <v>0</v>
          </cell>
          <cell r="IC252">
            <v>0</v>
          </cell>
          <cell r="IF252">
            <v>0</v>
          </cell>
        </row>
        <row r="253">
          <cell r="GP253">
            <v>0</v>
          </cell>
          <cell r="GS253">
            <v>0</v>
          </cell>
          <cell r="GV253">
            <v>0</v>
          </cell>
          <cell r="GY253">
            <v>0</v>
          </cell>
          <cell r="HB253">
            <v>0</v>
          </cell>
          <cell r="HE253">
            <v>0</v>
          </cell>
          <cell r="HH253">
            <v>0</v>
          </cell>
          <cell r="HK253">
            <v>0</v>
          </cell>
          <cell r="HN253">
            <v>0</v>
          </cell>
          <cell r="HQ253">
            <v>0</v>
          </cell>
          <cell r="HT253">
            <v>0</v>
          </cell>
          <cell r="HW253">
            <v>0</v>
          </cell>
          <cell r="HZ253">
            <v>0</v>
          </cell>
          <cell r="IC253">
            <v>0</v>
          </cell>
          <cell r="IF253">
            <v>0</v>
          </cell>
        </row>
        <row r="254">
          <cell r="GP254">
            <v>0</v>
          </cell>
          <cell r="GS254">
            <v>0</v>
          </cell>
          <cell r="GV254">
            <v>0</v>
          </cell>
          <cell r="GY254">
            <v>0</v>
          </cell>
          <cell r="HB254">
            <v>0</v>
          </cell>
          <cell r="HE254">
            <v>0</v>
          </cell>
          <cell r="HH254">
            <v>0</v>
          </cell>
          <cell r="HK254">
            <v>0</v>
          </cell>
          <cell r="HN254">
            <v>0</v>
          </cell>
          <cell r="HQ254">
            <v>0</v>
          </cell>
          <cell r="HT254">
            <v>0</v>
          </cell>
          <cell r="HW254">
            <v>0</v>
          </cell>
          <cell r="HZ254">
            <v>0</v>
          </cell>
          <cell r="IC254">
            <v>0</v>
          </cell>
          <cell r="IF254">
            <v>0</v>
          </cell>
        </row>
        <row r="255">
          <cell r="GP255">
            <v>0</v>
          </cell>
          <cell r="GS255">
            <v>0</v>
          </cell>
          <cell r="GV255">
            <v>0</v>
          </cell>
          <cell r="GY255">
            <v>0</v>
          </cell>
          <cell r="HB255">
            <v>0</v>
          </cell>
          <cell r="HE255">
            <v>0</v>
          </cell>
          <cell r="HH255">
            <v>0</v>
          </cell>
          <cell r="HK255">
            <v>0</v>
          </cell>
          <cell r="HN255">
            <v>0</v>
          </cell>
          <cell r="HQ255">
            <v>0</v>
          </cell>
          <cell r="HT255">
            <v>0</v>
          </cell>
          <cell r="HW255">
            <v>0</v>
          </cell>
          <cell r="HZ255">
            <v>0</v>
          </cell>
          <cell r="IC255">
            <v>0</v>
          </cell>
          <cell r="IF255">
            <v>0</v>
          </cell>
        </row>
        <row r="256">
          <cell r="GP256">
            <v>0</v>
          </cell>
          <cell r="GS256">
            <v>0</v>
          </cell>
          <cell r="GV256">
            <v>0</v>
          </cell>
          <cell r="GY256">
            <v>0</v>
          </cell>
          <cell r="HB256">
            <v>0</v>
          </cell>
          <cell r="HE256">
            <v>0</v>
          </cell>
          <cell r="HH256">
            <v>0</v>
          </cell>
          <cell r="HK256">
            <v>0</v>
          </cell>
          <cell r="HN256">
            <v>0</v>
          </cell>
          <cell r="HQ256">
            <v>0</v>
          </cell>
          <cell r="HT256">
            <v>0</v>
          </cell>
          <cell r="HW256">
            <v>0</v>
          </cell>
          <cell r="HZ256">
            <v>0</v>
          </cell>
          <cell r="IC256">
            <v>0</v>
          </cell>
          <cell r="IF256">
            <v>0</v>
          </cell>
        </row>
        <row r="257">
          <cell r="GP257">
            <v>0</v>
          </cell>
          <cell r="GS257">
            <v>0</v>
          </cell>
          <cell r="GV257">
            <v>0</v>
          </cell>
          <cell r="GY257">
            <v>0</v>
          </cell>
          <cell r="HB257">
            <v>0</v>
          </cell>
          <cell r="HE257">
            <v>0</v>
          </cell>
          <cell r="HH257">
            <v>0</v>
          </cell>
          <cell r="HK257">
            <v>0</v>
          </cell>
          <cell r="HN257">
            <v>0</v>
          </cell>
          <cell r="HQ257">
            <v>0</v>
          </cell>
          <cell r="HT257">
            <v>0</v>
          </cell>
          <cell r="HW257">
            <v>0</v>
          </cell>
          <cell r="HZ257">
            <v>0</v>
          </cell>
          <cell r="IC257">
            <v>0</v>
          </cell>
          <cell r="IF257">
            <v>0</v>
          </cell>
        </row>
        <row r="258">
          <cell r="GP258">
            <v>0</v>
          </cell>
          <cell r="GS258">
            <v>0</v>
          </cell>
          <cell r="GV258">
            <v>0</v>
          </cell>
          <cell r="GY258">
            <v>0</v>
          </cell>
          <cell r="HB258">
            <v>0</v>
          </cell>
          <cell r="HE258">
            <v>0</v>
          </cell>
          <cell r="HH258">
            <v>0</v>
          </cell>
          <cell r="HK258">
            <v>0</v>
          </cell>
          <cell r="HN258">
            <v>0</v>
          </cell>
          <cell r="HQ258">
            <v>0</v>
          </cell>
          <cell r="HT258">
            <v>0</v>
          </cell>
          <cell r="HW258">
            <v>0</v>
          </cell>
          <cell r="HZ258">
            <v>0</v>
          </cell>
          <cell r="IC258">
            <v>0</v>
          </cell>
          <cell r="IF258">
            <v>0</v>
          </cell>
        </row>
        <row r="259">
          <cell r="GP259">
            <v>0</v>
          </cell>
          <cell r="GS259">
            <v>0</v>
          </cell>
          <cell r="GV259">
            <v>0</v>
          </cell>
          <cell r="GY259">
            <v>0</v>
          </cell>
          <cell r="HB259">
            <v>0</v>
          </cell>
          <cell r="HE259">
            <v>0</v>
          </cell>
          <cell r="HH259">
            <v>0</v>
          </cell>
          <cell r="HK259">
            <v>0</v>
          </cell>
          <cell r="HN259">
            <v>0</v>
          </cell>
          <cell r="HQ259">
            <v>0</v>
          </cell>
          <cell r="HT259">
            <v>0</v>
          </cell>
          <cell r="HW259">
            <v>0</v>
          </cell>
          <cell r="HZ259">
            <v>0</v>
          </cell>
          <cell r="IC259">
            <v>0</v>
          </cell>
          <cell r="IF259">
            <v>0</v>
          </cell>
        </row>
        <row r="264">
          <cell r="GQ264" t="str">
            <v>Electrical</v>
          </cell>
        </row>
        <row r="268">
          <cell r="GP268" t="str">
            <v>Description</v>
          </cell>
          <cell r="GS268">
            <v>1</v>
          </cell>
          <cell r="GV268">
            <v>2</v>
          </cell>
          <cell r="GY268">
            <v>3</v>
          </cell>
          <cell r="HB268">
            <v>4</v>
          </cell>
          <cell r="HE268">
            <v>5</v>
          </cell>
          <cell r="HH268">
            <v>6</v>
          </cell>
          <cell r="HK268">
            <v>7</v>
          </cell>
          <cell r="HN268">
            <v>8</v>
          </cell>
          <cell r="HQ268">
            <v>9</v>
          </cell>
          <cell r="HT268">
            <v>10</v>
          </cell>
          <cell r="HW268">
            <v>11</v>
          </cell>
          <cell r="HZ268">
            <v>12</v>
          </cell>
          <cell r="IC268">
            <v>13</v>
          </cell>
          <cell r="IF268">
            <v>14</v>
          </cell>
          <cell r="IG268">
            <v>15</v>
          </cell>
          <cell r="IH268">
            <v>16</v>
          </cell>
        </row>
        <row r="269">
          <cell r="GP269" t="str">
            <v>CTG GSU - GE 7241FA.05</v>
          </cell>
          <cell r="GQ269">
            <v>2000</v>
          </cell>
          <cell r="GS269">
            <v>2000</v>
          </cell>
          <cell r="GT269">
            <v>2000</v>
          </cell>
          <cell r="GV269">
            <v>2000</v>
          </cell>
          <cell r="GW269">
            <v>2000</v>
          </cell>
          <cell r="GY269">
            <v>2000</v>
          </cell>
          <cell r="GZ269">
            <v>2000</v>
          </cell>
          <cell r="HB269">
            <v>2000</v>
          </cell>
          <cell r="HC269">
            <v>2000</v>
          </cell>
          <cell r="HE269">
            <v>2000</v>
          </cell>
          <cell r="HF269">
            <v>2000</v>
          </cell>
          <cell r="HH269">
            <v>2000</v>
          </cell>
          <cell r="HI269">
            <v>2000</v>
          </cell>
          <cell r="HK269">
            <v>2000</v>
          </cell>
          <cell r="HL269">
            <v>2000</v>
          </cell>
          <cell r="HN269">
            <v>2000</v>
          </cell>
          <cell r="HO269">
            <v>2000</v>
          </cell>
          <cell r="HQ269">
            <v>2000</v>
          </cell>
          <cell r="HR269">
            <v>2000</v>
          </cell>
          <cell r="HT269">
            <v>2000</v>
          </cell>
          <cell r="HU269">
            <v>2000</v>
          </cell>
          <cell r="HW269">
            <v>2000</v>
          </cell>
          <cell r="HX269">
            <v>2000</v>
          </cell>
          <cell r="HZ269">
            <v>2000</v>
          </cell>
          <cell r="IA269">
            <v>2000</v>
          </cell>
          <cell r="IC269">
            <v>2000</v>
          </cell>
          <cell r="ID269">
            <v>2000</v>
          </cell>
          <cell r="IF269">
            <v>2000</v>
          </cell>
        </row>
        <row r="270">
          <cell r="GP270" t="str">
            <v>CTG Iso Phase Bus</v>
          </cell>
          <cell r="GQ270">
            <v>25</v>
          </cell>
          <cell r="GS270">
            <v>25</v>
          </cell>
          <cell r="GT270">
            <v>25</v>
          </cell>
          <cell r="GV270">
            <v>25</v>
          </cell>
          <cell r="GW270">
            <v>25</v>
          </cell>
          <cell r="GY270">
            <v>25</v>
          </cell>
          <cell r="GZ270">
            <v>25</v>
          </cell>
          <cell r="HB270">
            <v>25</v>
          </cell>
          <cell r="HC270">
            <v>25</v>
          </cell>
          <cell r="HE270">
            <v>25</v>
          </cell>
          <cell r="HF270">
            <v>25</v>
          </cell>
          <cell r="HH270">
            <v>25</v>
          </cell>
          <cell r="HI270">
            <v>25</v>
          </cell>
          <cell r="HK270">
            <v>25</v>
          </cell>
          <cell r="HL270">
            <v>25</v>
          </cell>
          <cell r="HN270">
            <v>25</v>
          </cell>
          <cell r="HO270">
            <v>25</v>
          </cell>
          <cell r="HQ270">
            <v>25</v>
          </cell>
          <cell r="HR270">
            <v>25</v>
          </cell>
          <cell r="HT270">
            <v>25</v>
          </cell>
          <cell r="HU270">
            <v>25</v>
          </cell>
          <cell r="HW270">
            <v>25</v>
          </cell>
          <cell r="HX270">
            <v>25</v>
          </cell>
          <cell r="HZ270">
            <v>25</v>
          </cell>
          <cell r="IA270">
            <v>25</v>
          </cell>
          <cell r="IC270">
            <v>25</v>
          </cell>
          <cell r="ID270">
            <v>25</v>
          </cell>
          <cell r="IF270">
            <v>25</v>
          </cell>
        </row>
        <row r="271">
          <cell r="GP271" t="str">
            <v>CT Generator Breaker</v>
          </cell>
          <cell r="GQ271">
            <v>1000</v>
          </cell>
          <cell r="GS271">
            <v>1000</v>
          </cell>
          <cell r="GT271">
            <v>1000</v>
          </cell>
          <cell r="GV271">
            <v>1000</v>
          </cell>
          <cell r="GW271">
            <v>1000</v>
          </cell>
          <cell r="GY271">
            <v>1000</v>
          </cell>
          <cell r="GZ271">
            <v>1000</v>
          </cell>
          <cell r="HB271">
            <v>1000</v>
          </cell>
          <cell r="HC271">
            <v>1000</v>
          </cell>
          <cell r="HE271">
            <v>1000</v>
          </cell>
          <cell r="HF271">
            <v>1000</v>
          </cell>
          <cell r="HH271">
            <v>1000</v>
          </cell>
          <cell r="HI271">
            <v>1000</v>
          </cell>
          <cell r="HK271">
            <v>1000</v>
          </cell>
          <cell r="HL271">
            <v>1000</v>
          </cell>
          <cell r="HN271">
            <v>1000</v>
          </cell>
          <cell r="HO271">
            <v>1000</v>
          </cell>
          <cell r="HQ271">
            <v>1000</v>
          </cell>
          <cell r="HR271">
            <v>1000</v>
          </cell>
          <cell r="HT271">
            <v>1000</v>
          </cell>
          <cell r="HU271">
            <v>1000</v>
          </cell>
          <cell r="HW271">
            <v>1000</v>
          </cell>
          <cell r="HX271">
            <v>1000</v>
          </cell>
          <cell r="HZ271">
            <v>1000</v>
          </cell>
          <cell r="IA271">
            <v>1000</v>
          </cell>
          <cell r="IC271">
            <v>1000</v>
          </cell>
          <cell r="ID271">
            <v>1000</v>
          </cell>
          <cell r="IF271">
            <v>1000</v>
          </cell>
        </row>
        <row r="272">
          <cell r="GP272">
            <v>0</v>
          </cell>
          <cell r="GS272">
            <v>0</v>
          </cell>
          <cell r="GV272">
            <v>0</v>
          </cell>
          <cell r="GY272">
            <v>0</v>
          </cell>
          <cell r="HB272">
            <v>0</v>
          </cell>
          <cell r="HE272">
            <v>0</v>
          </cell>
          <cell r="HH272">
            <v>0</v>
          </cell>
          <cell r="HK272">
            <v>0</v>
          </cell>
          <cell r="HN272">
            <v>0</v>
          </cell>
          <cell r="HQ272">
            <v>0</v>
          </cell>
          <cell r="HT272">
            <v>0</v>
          </cell>
          <cell r="HW272">
            <v>0</v>
          </cell>
          <cell r="HZ272">
            <v>0</v>
          </cell>
          <cell r="IC272">
            <v>0</v>
          </cell>
          <cell r="IF272">
            <v>0</v>
          </cell>
        </row>
        <row r="273">
          <cell r="GP273" t="str">
            <v>STG Iso Phase Bus</v>
          </cell>
          <cell r="GQ273">
            <v>25</v>
          </cell>
          <cell r="GS273">
            <v>25</v>
          </cell>
          <cell r="GT273">
            <v>25</v>
          </cell>
          <cell r="GV273">
            <v>25</v>
          </cell>
          <cell r="GW273">
            <v>25</v>
          </cell>
          <cell r="GY273">
            <v>25</v>
          </cell>
          <cell r="GZ273">
            <v>25</v>
          </cell>
          <cell r="HB273">
            <v>25</v>
          </cell>
          <cell r="HC273">
            <v>25</v>
          </cell>
          <cell r="HE273">
            <v>25</v>
          </cell>
          <cell r="HF273">
            <v>25</v>
          </cell>
          <cell r="HH273">
            <v>25</v>
          </cell>
          <cell r="HI273">
            <v>25</v>
          </cell>
          <cell r="HK273">
            <v>25</v>
          </cell>
          <cell r="HL273">
            <v>25</v>
          </cell>
          <cell r="HN273">
            <v>25</v>
          </cell>
          <cell r="HO273">
            <v>25</v>
          </cell>
          <cell r="HQ273">
            <v>25</v>
          </cell>
          <cell r="HR273">
            <v>25</v>
          </cell>
          <cell r="HT273">
            <v>25</v>
          </cell>
          <cell r="HU273">
            <v>25</v>
          </cell>
          <cell r="HW273">
            <v>25</v>
          </cell>
          <cell r="HX273">
            <v>25</v>
          </cell>
          <cell r="HZ273">
            <v>25</v>
          </cell>
          <cell r="IA273">
            <v>25</v>
          </cell>
          <cell r="IC273">
            <v>25</v>
          </cell>
          <cell r="ID273">
            <v>25</v>
          </cell>
          <cell r="IF273">
            <v>25</v>
          </cell>
        </row>
        <row r="274">
          <cell r="GP274" t="str">
            <v>ST Generator Breaker</v>
          </cell>
          <cell r="GQ274">
            <v>1000</v>
          </cell>
          <cell r="GS274">
            <v>1000</v>
          </cell>
          <cell r="GT274">
            <v>1000</v>
          </cell>
          <cell r="GV274">
            <v>1000</v>
          </cell>
          <cell r="GW274">
            <v>1000</v>
          </cell>
          <cell r="GY274">
            <v>1000</v>
          </cell>
          <cell r="GZ274">
            <v>1000</v>
          </cell>
          <cell r="HB274">
            <v>1000</v>
          </cell>
          <cell r="HC274">
            <v>1000</v>
          </cell>
          <cell r="HE274">
            <v>1000</v>
          </cell>
          <cell r="HF274">
            <v>1000</v>
          </cell>
          <cell r="HH274">
            <v>1000</v>
          </cell>
          <cell r="HI274">
            <v>1000</v>
          </cell>
          <cell r="HK274">
            <v>1000</v>
          </cell>
          <cell r="HL274">
            <v>1000</v>
          </cell>
          <cell r="HN274">
            <v>1000</v>
          </cell>
          <cell r="HO274">
            <v>1000</v>
          </cell>
          <cell r="HQ274">
            <v>1000</v>
          </cell>
          <cell r="HR274">
            <v>1000</v>
          </cell>
          <cell r="HT274">
            <v>1000</v>
          </cell>
          <cell r="HU274">
            <v>1000</v>
          </cell>
          <cell r="HW274">
            <v>1000</v>
          </cell>
          <cell r="HX274">
            <v>1000</v>
          </cell>
          <cell r="HZ274">
            <v>1000</v>
          </cell>
          <cell r="IA274">
            <v>1000</v>
          </cell>
          <cell r="IC274">
            <v>1000</v>
          </cell>
          <cell r="ID274">
            <v>1000</v>
          </cell>
          <cell r="IF274">
            <v>1000</v>
          </cell>
        </row>
        <row r="275">
          <cell r="GP275" t="str">
            <v>Aux. Transformers</v>
          </cell>
          <cell r="GQ275">
            <v>100</v>
          </cell>
          <cell r="GS275">
            <v>100</v>
          </cell>
          <cell r="GT275">
            <v>100</v>
          </cell>
          <cell r="GV275">
            <v>100</v>
          </cell>
          <cell r="GW275">
            <v>100</v>
          </cell>
          <cell r="GY275">
            <v>100</v>
          </cell>
          <cell r="GZ275">
            <v>100</v>
          </cell>
          <cell r="HB275">
            <v>100</v>
          </cell>
          <cell r="HC275">
            <v>100</v>
          </cell>
          <cell r="HE275">
            <v>100</v>
          </cell>
          <cell r="HF275">
            <v>100</v>
          </cell>
          <cell r="HH275">
            <v>100</v>
          </cell>
          <cell r="HI275">
            <v>100</v>
          </cell>
          <cell r="HK275">
            <v>100</v>
          </cell>
          <cell r="HL275">
            <v>100</v>
          </cell>
          <cell r="HN275">
            <v>100</v>
          </cell>
          <cell r="HO275">
            <v>100</v>
          </cell>
          <cell r="HQ275">
            <v>100</v>
          </cell>
          <cell r="HR275">
            <v>100</v>
          </cell>
          <cell r="HT275">
            <v>100</v>
          </cell>
          <cell r="HU275">
            <v>100</v>
          </cell>
          <cell r="HW275">
            <v>100</v>
          </cell>
          <cell r="HX275">
            <v>100</v>
          </cell>
          <cell r="HZ275">
            <v>100</v>
          </cell>
          <cell r="IA275">
            <v>100</v>
          </cell>
          <cell r="IC275">
            <v>100</v>
          </cell>
          <cell r="ID275">
            <v>100</v>
          </cell>
          <cell r="IF275">
            <v>100</v>
          </cell>
        </row>
        <row r="276">
          <cell r="GP276">
            <v>0</v>
          </cell>
          <cell r="GS276">
            <v>0</v>
          </cell>
          <cell r="GV276">
            <v>0</v>
          </cell>
          <cell r="GY276">
            <v>0</v>
          </cell>
          <cell r="HB276">
            <v>0</v>
          </cell>
          <cell r="HE276">
            <v>0</v>
          </cell>
          <cell r="HH276">
            <v>0</v>
          </cell>
          <cell r="HK276">
            <v>0</v>
          </cell>
          <cell r="HN276">
            <v>0</v>
          </cell>
          <cell r="HQ276">
            <v>0</v>
          </cell>
          <cell r="HT276">
            <v>0</v>
          </cell>
          <cell r="HW276">
            <v>0</v>
          </cell>
          <cell r="HZ276">
            <v>0</v>
          </cell>
          <cell r="IC276">
            <v>0</v>
          </cell>
          <cell r="IF276">
            <v>0</v>
          </cell>
        </row>
        <row r="277">
          <cell r="GP277" t="str">
            <v>PDC</v>
          </cell>
          <cell r="GQ277">
            <v>5</v>
          </cell>
          <cell r="GS277">
            <v>5</v>
          </cell>
          <cell r="GT277">
            <v>5</v>
          </cell>
          <cell r="GV277">
            <v>5</v>
          </cell>
          <cell r="GW277">
            <v>5</v>
          </cell>
          <cell r="GY277">
            <v>5</v>
          </cell>
          <cell r="GZ277">
            <v>5</v>
          </cell>
          <cell r="HB277">
            <v>5</v>
          </cell>
          <cell r="HC277">
            <v>5</v>
          </cell>
          <cell r="HE277">
            <v>5</v>
          </cell>
          <cell r="HF277">
            <v>5</v>
          </cell>
          <cell r="HH277">
            <v>5</v>
          </cell>
          <cell r="HI277">
            <v>5</v>
          </cell>
          <cell r="HK277">
            <v>5</v>
          </cell>
          <cell r="HL277">
            <v>5</v>
          </cell>
          <cell r="HN277">
            <v>5</v>
          </cell>
          <cell r="HO277">
            <v>5</v>
          </cell>
          <cell r="HQ277">
            <v>5</v>
          </cell>
          <cell r="HR277">
            <v>5</v>
          </cell>
          <cell r="HT277">
            <v>5</v>
          </cell>
          <cell r="HU277">
            <v>5</v>
          </cell>
          <cell r="HW277">
            <v>5</v>
          </cell>
          <cell r="HX277">
            <v>5</v>
          </cell>
          <cell r="HZ277">
            <v>5</v>
          </cell>
          <cell r="IA277">
            <v>5</v>
          </cell>
          <cell r="IC277">
            <v>5</v>
          </cell>
          <cell r="ID277">
            <v>5</v>
          </cell>
          <cell r="IF277">
            <v>5</v>
          </cell>
        </row>
        <row r="278">
          <cell r="GP278" t="str">
            <v>480V Non segregated Bus Type 1</v>
          </cell>
          <cell r="GQ278">
            <v>200</v>
          </cell>
          <cell r="GS278">
            <v>200</v>
          </cell>
          <cell r="GT278">
            <v>200</v>
          </cell>
          <cell r="GV278">
            <v>200</v>
          </cell>
          <cell r="GW278">
            <v>200</v>
          </cell>
          <cell r="GY278">
            <v>200</v>
          </cell>
          <cell r="GZ278">
            <v>200</v>
          </cell>
          <cell r="HB278">
            <v>200</v>
          </cell>
          <cell r="HC278">
            <v>200</v>
          </cell>
          <cell r="HE278">
            <v>200</v>
          </cell>
          <cell r="HF278">
            <v>200</v>
          </cell>
          <cell r="HH278">
            <v>200</v>
          </cell>
          <cell r="HI278">
            <v>200</v>
          </cell>
          <cell r="HK278">
            <v>200</v>
          </cell>
          <cell r="HL278">
            <v>200</v>
          </cell>
          <cell r="HN278">
            <v>200</v>
          </cell>
          <cell r="HO278">
            <v>200</v>
          </cell>
          <cell r="HQ278">
            <v>200</v>
          </cell>
          <cell r="HR278">
            <v>200</v>
          </cell>
          <cell r="HT278">
            <v>200</v>
          </cell>
          <cell r="HU278">
            <v>200</v>
          </cell>
          <cell r="HW278">
            <v>200</v>
          </cell>
          <cell r="HX278">
            <v>200</v>
          </cell>
          <cell r="HZ278">
            <v>200</v>
          </cell>
          <cell r="IA278">
            <v>200</v>
          </cell>
          <cell r="IC278">
            <v>200</v>
          </cell>
          <cell r="ID278">
            <v>200</v>
          </cell>
          <cell r="IF278">
            <v>200</v>
          </cell>
        </row>
        <row r="279">
          <cell r="GP279" t="str">
            <v>480V Non segregated Bus Type 2</v>
          </cell>
          <cell r="GQ279">
            <v>200</v>
          </cell>
          <cell r="GS279">
            <v>200</v>
          </cell>
          <cell r="GT279">
            <v>200</v>
          </cell>
          <cell r="GV279">
            <v>200</v>
          </cell>
          <cell r="GW279">
            <v>200</v>
          </cell>
          <cell r="GY279">
            <v>200</v>
          </cell>
          <cell r="GZ279">
            <v>200</v>
          </cell>
          <cell r="HB279">
            <v>200</v>
          </cell>
          <cell r="HC279">
            <v>200</v>
          </cell>
          <cell r="HE279">
            <v>200</v>
          </cell>
          <cell r="HF279">
            <v>200</v>
          </cell>
          <cell r="HH279">
            <v>200</v>
          </cell>
          <cell r="HI279">
            <v>200</v>
          </cell>
          <cell r="HK279">
            <v>200</v>
          </cell>
          <cell r="HL279">
            <v>200</v>
          </cell>
          <cell r="HN279">
            <v>200</v>
          </cell>
          <cell r="HO279">
            <v>200</v>
          </cell>
          <cell r="HQ279">
            <v>200</v>
          </cell>
          <cell r="HR279">
            <v>200</v>
          </cell>
          <cell r="HT279">
            <v>200</v>
          </cell>
          <cell r="HU279">
            <v>200</v>
          </cell>
          <cell r="HW279">
            <v>200</v>
          </cell>
          <cell r="HX279">
            <v>200</v>
          </cell>
          <cell r="HZ279">
            <v>200</v>
          </cell>
          <cell r="IA279">
            <v>200</v>
          </cell>
          <cell r="IC279">
            <v>200</v>
          </cell>
          <cell r="ID279">
            <v>200</v>
          </cell>
          <cell r="IF279">
            <v>200</v>
          </cell>
        </row>
        <row r="280">
          <cell r="GP280" t="str">
            <v>480V Non segregated Bus Type 3</v>
          </cell>
          <cell r="GQ280">
            <v>200</v>
          </cell>
          <cell r="GS280">
            <v>200</v>
          </cell>
          <cell r="GT280">
            <v>200</v>
          </cell>
          <cell r="GV280">
            <v>200</v>
          </cell>
          <cell r="GW280">
            <v>200</v>
          </cell>
          <cell r="GY280">
            <v>200</v>
          </cell>
          <cell r="GZ280">
            <v>200</v>
          </cell>
          <cell r="HB280">
            <v>200</v>
          </cell>
          <cell r="HC280">
            <v>200</v>
          </cell>
          <cell r="HE280">
            <v>200</v>
          </cell>
          <cell r="HF280">
            <v>200</v>
          </cell>
          <cell r="HH280">
            <v>200</v>
          </cell>
          <cell r="HI280">
            <v>200</v>
          </cell>
          <cell r="HK280">
            <v>200</v>
          </cell>
          <cell r="HL280">
            <v>200</v>
          </cell>
          <cell r="HN280">
            <v>200</v>
          </cell>
          <cell r="HO280">
            <v>200</v>
          </cell>
          <cell r="HQ280">
            <v>200</v>
          </cell>
          <cell r="HR280">
            <v>200</v>
          </cell>
          <cell r="HT280">
            <v>200</v>
          </cell>
          <cell r="HU280">
            <v>200</v>
          </cell>
          <cell r="HW280">
            <v>200</v>
          </cell>
          <cell r="HX280">
            <v>200</v>
          </cell>
          <cell r="HZ280">
            <v>200</v>
          </cell>
          <cell r="IA280">
            <v>200</v>
          </cell>
          <cell r="IC280">
            <v>200</v>
          </cell>
          <cell r="ID280">
            <v>200</v>
          </cell>
          <cell r="IF280">
            <v>200</v>
          </cell>
        </row>
        <row r="281">
          <cell r="GP281" t="str">
            <v>480V Non segregated Bus Type 4</v>
          </cell>
          <cell r="GQ281">
            <v>200</v>
          </cell>
          <cell r="GS281">
            <v>200</v>
          </cell>
          <cell r="GT281">
            <v>200</v>
          </cell>
          <cell r="GV281">
            <v>200</v>
          </cell>
          <cell r="GW281">
            <v>200</v>
          </cell>
          <cell r="GY281">
            <v>200</v>
          </cell>
          <cell r="GZ281">
            <v>200</v>
          </cell>
          <cell r="HB281">
            <v>200</v>
          </cell>
          <cell r="HC281">
            <v>200</v>
          </cell>
          <cell r="HE281">
            <v>200</v>
          </cell>
          <cell r="HF281">
            <v>200</v>
          </cell>
          <cell r="HH281">
            <v>200</v>
          </cell>
          <cell r="HI281">
            <v>200</v>
          </cell>
          <cell r="HK281">
            <v>200</v>
          </cell>
          <cell r="HL281">
            <v>200</v>
          </cell>
          <cell r="HN281">
            <v>200</v>
          </cell>
          <cell r="HO281">
            <v>200</v>
          </cell>
          <cell r="HQ281">
            <v>200</v>
          </cell>
          <cell r="HR281">
            <v>200</v>
          </cell>
          <cell r="HT281">
            <v>200</v>
          </cell>
          <cell r="HU281">
            <v>200</v>
          </cell>
          <cell r="HW281">
            <v>200</v>
          </cell>
          <cell r="HX281">
            <v>200</v>
          </cell>
          <cell r="HZ281">
            <v>200</v>
          </cell>
          <cell r="IA281">
            <v>200</v>
          </cell>
          <cell r="IC281">
            <v>200</v>
          </cell>
          <cell r="ID281">
            <v>200</v>
          </cell>
          <cell r="IF281">
            <v>200</v>
          </cell>
        </row>
        <row r="282">
          <cell r="GP282" t="str">
            <v>LV Switchgear</v>
          </cell>
          <cell r="GQ282">
            <v>100</v>
          </cell>
          <cell r="GS282">
            <v>100</v>
          </cell>
          <cell r="GT282">
            <v>100</v>
          </cell>
          <cell r="GV282">
            <v>100</v>
          </cell>
          <cell r="GW282">
            <v>100</v>
          </cell>
          <cell r="GY282">
            <v>100</v>
          </cell>
          <cell r="GZ282">
            <v>100</v>
          </cell>
          <cell r="HB282">
            <v>100</v>
          </cell>
          <cell r="HC282">
            <v>100</v>
          </cell>
          <cell r="HE282">
            <v>100</v>
          </cell>
          <cell r="HF282">
            <v>100</v>
          </cell>
          <cell r="HH282">
            <v>100</v>
          </cell>
          <cell r="HI282">
            <v>100</v>
          </cell>
          <cell r="HK282">
            <v>100</v>
          </cell>
          <cell r="HL282">
            <v>100</v>
          </cell>
          <cell r="HN282">
            <v>100</v>
          </cell>
          <cell r="HO282">
            <v>100</v>
          </cell>
          <cell r="HQ282">
            <v>100</v>
          </cell>
          <cell r="HR282">
            <v>100</v>
          </cell>
          <cell r="HT282">
            <v>100</v>
          </cell>
          <cell r="HU282">
            <v>100</v>
          </cell>
          <cell r="HW282">
            <v>100</v>
          </cell>
          <cell r="HX282">
            <v>100</v>
          </cell>
          <cell r="HZ282">
            <v>100</v>
          </cell>
          <cell r="IA282">
            <v>100</v>
          </cell>
          <cell r="IC282">
            <v>100</v>
          </cell>
          <cell r="ID282">
            <v>100</v>
          </cell>
          <cell r="IF282">
            <v>100</v>
          </cell>
        </row>
        <row r="283">
          <cell r="GP283" t="str">
            <v>MCCs - CTG</v>
          </cell>
          <cell r="GQ283">
            <v>100</v>
          </cell>
          <cell r="GS283">
            <v>100</v>
          </cell>
          <cell r="GT283">
            <v>100</v>
          </cell>
          <cell r="GV283">
            <v>100</v>
          </cell>
          <cell r="GW283">
            <v>100</v>
          </cell>
          <cell r="GY283">
            <v>100</v>
          </cell>
          <cell r="GZ283">
            <v>100</v>
          </cell>
          <cell r="HB283">
            <v>100</v>
          </cell>
          <cell r="HC283">
            <v>100</v>
          </cell>
          <cell r="HE283">
            <v>100</v>
          </cell>
          <cell r="HF283">
            <v>100</v>
          </cell>
          <cell r="HH283">
            <v>100</v>
          </cell>
          <cell r="HI283">
            <v>100</v>
          </cell>
          <cell r="HK283">
            <v>100</v>
          </cell>
          <cell r="HL283">
            <v>100</v>
          </cell>
          <cell r="HN283">
            <v>100</v>
          </cell>
          <cell r="HO283">
            <v>100</v>
          </cell>
          <cell r="HQ283">
            <v>100</v>
          </cell>
          <cell r="HR283">
            <v>100</v>
          </cell>
          <cell r="HT283">
            <v>100</v>
          </cell>
          <cell r="HU283">
            <v>100</v>
          </cell>
          <cell r="HW283">
            <v>100</v>
          </cell>
          <cell r="HX283">
            <v>100</v>
          </cell>
          <cell r="HZ283">
            <v>100</v>
          </cell>
          <cell r="IA283">
            <v>100</v>
          </cell>
          <cell r="IC283">
            <v>100</v>
          </cell>
          <cell r="ID283">
            <v>100</v>
          </cell>
          <cell r="IF283">
            <v>100</v>
          </cell>
        </row>
        <row r="284">
          <cell r="GP284" t="str">
            <v>MCCs - HRSG</v>
          </cell>
          <cell r="GQ284">
            <v>100</v>
          </cell>
          <cell r="GS284">
            <v>100</v>
          </cell>
          <cell r="GT284">
            <v>100</v>
          </cell>
          <cell r="GV284">
            <v>100</v>
          </cell>
          <cell r="GW284">
            <v>100</v>
          </cell>
          <cell r="GY284">
            <v>100</v>
          </cell>
          <cell r="GZ284">
            <v>100</v>
          </cell>
          <cell r="HB284">
            <v>100</v>
          </cell>
          <cell r="HC284">
            <v>100</v>
          </cell>
          <cell r="HE284">
            <v>100</v>
          </cell>
          <cell r="HF284">
            <v>100</v>
          </cell>
          <cell r="HH284">
            <v>100</v>
          </cell>
          <cell r="HI284">
            <v>100</v>
          </cell>
          <cell r="HK284">
            <v>100</v>
          </cell>
          <cell r="HL284">
            <v>100</v>
          </cell>
          <cell r="HN284">
            <v>100</v>
          </cell>
          <cell r="HO284">
            <v>100</v>
          </cell>
          <cell r="HQ284">
            <v>100</v>
          </cell>
          <cell r="HR284">
            <v>100</v>
          </cell>
          <cell r="HT284">
            <v>100</v>
          </cell>
          <cell r="HU284">
            <v>100</v>
          </cell>
          <cell r="HW284">
            <v>100</v>
          </cell>
          <cell r="HX284">
            <v>100</v>
          </cell>
          <cell r="HZ284">
            <v>100</v>
          </cell>
          <cell r="IA284">
            <v>100</v>
          </cell>
          <cell r="IC284">
            <v>100</v>
          </cell>
          <cell r="ID284">
            <v>100</v>
          </cell>
          <cell r="IF284">
            <v>100</v>
          </cell>
        </row>
        <row r="285">
          <cell r="GP285" t="str">
            <v>MCCs - STG</v>
          </cell>
          <cell r="GQ285">
            <v>100</v>
          </cell>
          <cell r="GS285">
            <v>100</v>
          </cell>
          <cell r="GT285">
            <v>100</v>
          </cell>
          <cell r="GV285">
            <v>100</v>
          </cell>
          <cell r="GW285">
            <v>100</v>
          </cell>
          <cell r="GY285">
            <v>100</v>
          </cell>
          <cell r="GZ285">
            <v>100</v>
          </cell>
          <cell r="HB285">
            <v>100</v>
          </cell>
          <cell r="HC285">
            <v>100</v>
          </cell>
          <cell r="HE285">
            <v>100</v>
          </cell>
          <cell r="HF285">
            <v>100</v>
          </cell>
          <cell r="HH285">
            <v>100</v>
          </cell>
          <cell r="HI285">
            <v>100</v>
          </cell>
          <cell r="HK285">
            <v>100</v>
          </cell>
          <cell r="HL285">
            <v>100</v>
          </cell>
          <cell r="HN285">
            <v>100</v>
          </cell>
          <cell r="HO285">
            <v>100</v>
          </cell>
          <cell r="HQ285">
            <v>100</v>
          </cell>
          <cell r="HR285">
            <v>100</v>
          </cell>
          <cell r="HT285">
            <v>100</v>
          </cell>
          <cell r="HU285">
            <v>100</v>
          </cell>
          <cell r="HW285">
            <v>100</v>
          </cell>
          <cell r="HX285">
            <v>100</v>
          </cell>
          <cell r="HZ285">
            <v>100</v>
          </cell>
          <cell r="IA285">
            <v>100</v>
          </cell>
          <cell r="IC285">
            <v>100</v>
          </cell>
          <cell r="ID285">
            <v>100</v>
          </cell>
          <cell r="IF285">
            <v>100</v>
          </cell>
        </row>
        <row r="286">
          <cell r="GP286" t="str">
            <v>MCCs</v>
          </cell>
          <cell r="GQ286">
            <v>100</v>
          </cell>
          <cell r="GS286">
            <v>100</v>
          </cell>
          <cell r="GT286">
            <v>100</v>
          </cell>
          <cell r="GV286">
            <v>100</v>
          </cell>
          <cell r="GW286">
            <v>100</v>
          </cell>
          <cell r="GY286">
            <v>100</v>
          </cell>
          <cell r="GZ286">
            <v>100</v>
          </cell>
          <cell r="HB286">
            <v>100</v>
          </cell>
          <cell r="HC286">
            <v>100</v>
          </cell>
          <cell r="HE286">
            <v>100</v>
          </cell>
          <cell r="HF286">
            <v>100</v>
          </cell>
          <cell r="HH286">
            <v>100</v>
          </cell>
          <cell r="HI286">
            <v>100</v>
          </cell>
          <cell r="HK286">
            <v>100</v>
          </cell>
          <cell r="HL286">
            <v>100</v>
          </cell>
          <cell r="HN286">
            <v>100</v>
          </cell>
          <cell r="HO286">
            <v>100</v>
          </cell>
          <cell r="HQ286">
            <v>100</v>
          </cell>
          <cell r="HR286">
            <v>100</v>
          </cell>
          <cell r="HT286">
            <v>100</v>
          </cell>
          <cell r="HU286">
            <v>100</v>
          </cell>
          <cell r="HW286">
            <v>100</v>
          </cell>
          <cell r="HX286">
            <v>100</v>
          </cell>
          <cell r="HZ286">
            <v>100</v>
          </cell>
          <cell r="IA286">
            <v>100</v>
          </cell>
          <cell r="IC286">
            <v>100</v>
          </cell>
          <cell r="ID286">
            <v>100</v>
          </cell>
          <cell r="IF286">
            <v>100</v>
          </cell>
        </row>
        <row r="287">
          <cell r="GP287" t="str">
            <v xml:space="preserve">Plant Dependant MCCs - </v>
          </cell>
          <cell r="GQ287">
            <v>100</v>
          </cell>
          <cell r="GS287">
            <v>100</v>
          </cell>
          <cell r="GT287">
            <v>100</v>
          </cell>
          <cell r="GV287">
            <v>100</v>
          </cell>
          <cell r="GW287">
            <v>100</v>
          </cell>
          <cell r="GY287">
            <v>100</v>
          </cell>
          <cell r="GZ287">
            <v>100</v>
          </cell>
          <cell r="HB287">
            <v>100</v>
          </cell>
          <cell r="HC287">
            <v>100</v>
          </cell>
          <cell r="HE287">
            <v>100</v>
          </cell>
          <cell r="HF287">
            <v>100</v>
          </cell>
          <cell r="HH287">
            <v>100</v>
          </cell>
          <cell r="HI287">
            <v>100</v>
          </cell>
          <cell r="HK287">
            <v>100</v>
          </cell>
          <cell r="HL287">
            <v>100</v>
          </cell>
          <cell r="HN287">
            <v>100</v>
          </cell>
          <cell r="HO287">
            <v>100</v>
          </cell>
          <cell r="HQ287">
            <v>100</v>
          </cell>
          <cell r="HR287">
            <v>100</v>
          </cell>
          <cell r="HT287">
            <v>100</v>
          </cell>
          <cell r="HU287">
            <v>100</v>
          </cell>
          <cell r="HW287">
            <v>100</v>
          </cell>
          <cell r="HX287">
            <v>100</v>
          </cell>
          <cell r="HZ287">
            <v>100</v>
          </cell>
          <cell r="IA287">
            <v>100</v>
          </cell>
          <cell r="IC287">
            <v>100</v>
          </cell>
          <cell r="ID287">
            <v>100</v>
          </cell>
          <cell r="IF287">
            <v>100</v>
          </cell>
        </row>
        <row r="288">
          <cell r="GP288" t="str">
            <v xml:space="preserve">Plant Dependant MCCs - </v>
          </cell>
          <cell r="GQ288">
            <v>100</v>
          </cell>
          <cell r="GS288">
            <v>100</v>
          </cell>
          <cell r="GT288">
            <v>100</v>
          </cell>
          <cell r="GV288">
            <v>100</v>
          </cell>
          <cell r="GW288">
            <v>100</v>
          </cell>
          <cell r="GY288">
            <v>100</v>
          </cell>
          <cell r="GZ288">
            <v>100</v>
          </cell>
          <cell r="HB288">
            <v>100</v>
          </cell>
          <cell r="HC288">
            <v>100</v>
          </cell>
          <cell r="HE288">
            <v>100</v>
          </cell>
          <cell r="HF288">
            <v>100</v>
          </cell>
          <cell r="HH288">
            <v>100</v>
          </cell>
          <cell r="HI288">
            <v>100</v>
          </cell>
          <cell r="HK288">
            <v>100</v>
          </cell>
          <cell r="HL288">
            <v>100</v>
          </cell>
          <cell r="HN288">
            <v>100</v>
          </cell>
          <cell r="HO288">
            <v>100</v>
          </cell>
          <cell r="HQ288">
            <v>100</v>
          </cell>
          <cell r="HR288">
            <v>100</v>
          </cell>
          <cell r="HT288">
            <v>100</v>
          </cell>
          <cell r="HU288">
            <v>100</v>
          </cell>
          <cell r="HW288">
            <v>100</v>
          </cell>
          <cell r="HX288">
            <v>100</v>
          </cell>
          <cell r="HZ288">
            <v>100</v>
          </cell>
          <cell r="IA288">
            <v>100</v>
          </cell>
          <cell r="IC288">
            <v>100</v>
          </cell>
          <cell r="ID288">
            <v>100</v>
          </cell>
          <cell r="IF288">
            <v>100</v>
          </cell>
        </row>
        <row r="289">
          <cell r="GP289" t="str">
            <v>COOLING TOWER MCCs</v>
          </cell>
          <cell r="GQ289">
            <v>100</v>
          </cell>
          <cell r="GS289">
            <v>100</v>
          </cell>
          <cell r="GT289">
            <v>100</v>
          </cell>
          <cell r="GV289">
            <v>100</v>
          </cell>
          <cell r="GW289">
            <v>100</v>
          </cell>
          <cell r="GY289">
            <v>100</v>
          </cell>
          <cell r="GZ289">
            <v>100</v>
          </cell>
          <cell r="HB289">
            <v>100</v>
          </cell>
          <cell r="HC289">
            <v>100</v>
          </cell>
          <cell r="HE289">
            <v>100</v>
          </cell>
          <cell r="HF289">
            <v>100</v>
          </cell>
          <cell r="HH289">
            <v>100</v>
          </cell>
          <cell r="HI289">
            <v>100</v>
          </cell>
          <cell r="HK289">
            <v>100</v>
          </cell>
          <cell r="HL289">
            <v>100</v>
          </cell>
          <cell r="HN289">
            <v>100</v>
          </cell>
          <cell r="HO289">
            <v>100</v>
          </cell>
          <cell r="HQ289">
            <v>100</v>
          </cell>
          <cell r="HR289">
            <v>100</v>
          </cell>
          <cell r="HT289">
            <v>100</v>
          </cell>
          <cell r="HU289">
            <v>100</v>
          </cell>
          <cell r="HW289">
            <v>100</v>
          </cell>
          <cell r="HX289">
            <v>100</v>
          </cell>
          <cell r="HZ289">
            <v>100</v>
          </cell>
          <cell r="IA289">
            <v>100</v>
          </cell>
          <cell r="IC289">
            <v>100</v>
          </cell>
          <cell r="ID289">
            <v>100</v>
          </cell>
          <cell r="IF289">
            <v>100</v>
          </cell>
        </row>
        <row r="290">
          <cell r="GP290" t="str">
            <v xml:space="preserve">Plant Dependant MCCs - </v>
          </cell>
          <cell r="GQ290">
            <v>100</v>
          </cell>
          <cell r="GS290">
            <v>100</v>
          </cell>
          <cell r="GT290">
            <v>100</v>
          </cell>
          <cell r="GV290">
            <v>100</v>
          </cell>
          <cell r="GW290">
            <v>100</v>
          </cell>
          <cell r="GY290">
            <v>100</v>
          </cell>
          <cell r="GZ290">
            <v>100</v>
          </cell>
          <cell r="HB290">
            <v>100</v>
          </cell>
          <cell r="HC290">
            <v>100</v>
          </cell>
          <cell r="HE290">
            <v>100</v>
          </cell>
          <cell r="HF290">
            <v>100</v>
          </cell>
          <cell r="HH290">
            <v>100</v>
          </cell>
          <cell r="HI290">
            <v>100</v>
          </cell>
          <cell r="HK290">
            <v>100</v>
          </cell>
          <cell r="HL290">
            <v>100</v>
          </cell>
          <cell r="HN290">
            <v>100</v>
          </cell>
          <cell r="HO290">
            <v>100</v>
          </cell>
          <cell r="HQ290">
            <v>100</v>
          </cell>
          <cell r="HR290">
            <v>100</v>
          </cell>
          <cell r="HT290">
            <v>100</v>
          </cell>
          <cell r="HU290">
            <v>100</v>
          </cell>
          <cell r="HW290">
            <v>100</v>
          </cell>
          <cell r="HX290">
            <v>100</v>
          </cell>
          <cell r="HZ290">
            <v>100</v>
          </cell>
          <cell r="IA290">
            <v>100</v>
          </cell>
          <cell r="IC290">
            <v>100</v>
          </cell>
          <cell r="ID290">
            <v>100</v>
          </cell>
          <cell r="IF290">
            <v>100</v>
          </cell>
        </row>
        <row r="291">
          <cell r="GP291" t="str">
            <v xml:space="preserve">Plant Dependant MCCs - </v>
          </cell>
          <cell r="GQ291">
            <v>100</v>
          </cell>
          <cell r="GS291">
            <v>100</v>
          </cell>
          <cell r="GT291">
            <v>100</v>
          </cell>
          <cell r="GV291">
            <v>100</v>
          </cell>
          <cell r="GW291">
            <v>100</v>
          </cell>
          <cell r="GY291">
            <v>100</v>
          </cell>
          <cell r="GZ291">
            <v>100</v>
          </cell>
          <cell r="HB291">
            <v>100</v>
          </cell>
          <cell r="HC291">
            <v>100</v>
          </cell>
          <cell r="HE291">
            <v>100</v>
          </cell>
          <cell r="HF291">
            <v>100</v>
          </cell>
          <cell r="HH291">
            <v>100</v>
          </cell>
          <cell r="HI291">
            <v>100</v>
          </cell>
          <cell r="HK291">
            <v>100</v>
          </cell>
          <cell r="HL291">
            <v>100</v>
          </cell>
          <cell r="HN291">
            <v>100</v>
          </cell>
          <cell r="HO291">
            <v>100</v>
          </cell>
          <cell r="HQ291">
            <v>100</v>
          </cell>
          <cell r="HR291">
            <v>100</v>
          </cell>
          <cell r="HT291">
            <v>100</v>
          </cell>
          <cell r="HU291">
            <v>100</v>
          </cell>
          <cell r="HW291">
            <v>100</v>
          </cell>
          <cell r="HX291">
            <v>100</v>
          </cell>
          <cell r="HZ291">
            <v>100</v>
          </cell>
          <cell r="IA291">
            <v>100</v>
          </cell>
          <cell r="IC291">
            <v>100</v>
          </cell>
          <cell r="ID291">
            <v>100</v>
          </cell>
          <cell r="IF291">
            <v>100</v>
          </cell>
        </row>
        <row r="292">
          <cell r="GP292" t="str">
            <v>Station Service Transformers Type 1</v>
          </cell>
          <cell r="GQ292">
            <v>500</v>
          </cell>
          <cell r="GS292">
            <v>500</v>
          </cell>
          <cell r="GT292">
            <v>500</v>
          </cell>
          <cell r="GV292">
            <v>500</v>
          </cell>
          <cell r="GW292">
            <v>500</v>
          </cell>
          <cell r="GY292">
            <v>500</v>
          </cell>
          <cell r="GZ292">
            <v>500</v>
          </cell>
          <cell r="HB292">
            <v>500</v>
          </cell>
          <cell r="HC292">
            <v>500</v>
          </cell>
          <cell r="HE292">
            <v>500</v>
          </cell>
          <cell r="HF292">
            <v>500</v>
          </cell>
          <cell r="HH292">
            <v>500</v>
          </cell>
          <cell r="HI292">
            <v>500</v>
          </cell>
          <cell r="HK292">
            <v>500</v>
          </cell>
          <cell r="HL292">
            <v>500</v>
          </cell>
          <cell r="HN292">
            <v>500</v>
          </cell>
          <cell r="HO292">
            <v>500</v>
          </cell>
          <cell r="HQ292">
            <v>500</v>
          </cell>
          <cell r="HR292">
            <v>500</v>
          </cell>
          <cell r="HT292">
            <v>500</v>
          </cell>
          <cell r="HU292">
            <v>500</v>
          </cell>
          <cell r="HW292">
            <v>500</v>
          </cell>
          <cell r="HX292">
            <v>500</v>
          </cell>
          <cell r="HZ292">
            <v>500</v>
          </cell>
          <cell r="IA292">
            <v>500</v>
          </cell>
          <cell r="IC292">
            <v>500</v>
          </cell>
          <cell r="ID292">
            <v>500</v>
          </cell>
          <cell r="IF292">
            <v>500</v>
          </cell>
        </row>
        <row r="293">
          <cell r="GP293" t="str">
            <v>Station Service Transformers Type 2</v>
          </cell>
          <cell r="GQ293">
            <v>500</v>
          </cell>
          <cell r="GS293">
            <v>500</v>
          </cell>
          <cell r="GT293">
            <v>500</v>
          </cell>
          <cell r="GV293">
            <v>500</v>
          </cell>
          <cell r="GW293">
            <v>500</v>
          </cell>
          <cell r="GY293">
            <v>500</v>
          </cell>
          <cell r="GZ293">
            <v>500</v>
          </cell>
          <cell r="HB293">
            <v>500</v>
          </cell>
          <cell r="HC293">
            <v>500</v>
          </cell>
          <cell r="HE293">
            <v>500</v>
          </cell>
          <cell r="HF293">
            <v>500</v>
          </cell>
          <cell r="HH293">
            <v>500</v>
          </cell>
          <cell r="HI293">
            <v>500</v>
          </cell>
          <cell r="HK293">
            <v>500</v>
          </cell>
          <cell r="HL293">
            <v>500</v>
          </cell>
          <cell r="HN293">
            <v>500</v>
          </cell>
          <cell r="HO293">
            <v>500</v>
          </cell>
          <cell r="HQ293">
            <v>500</v>
          </cell>
          <cell r="HR293">
            <v>500</v>
          </cell>
          <cell r="HT293">
            <v>500</v>
          </cell>
          <cell r="HU293">
            <v>500</v>
          </cell>
          <cell r="HW293">
            <v>500</v>
          </cell>
          <cell r="HX293">
            <v>500</v>
          </cell>
          <cell r="HZ293">
            <v>500</v>
          </cell>
          <cell r="IA293">
            <v>500</v>
          </cell>
          <cell r="IC293">
            <v>500</v>
          </cell>
          <cell r="ID293">
            <v>500</v>
          </cell>
          <cell r="IF293">
            <v>500</v>
          </cell>
        </row>
        <row r="294">
          <cell r="GP294" t="str">
            <v>Station Service Transformers Type 3</v>
          </cell>
          <cell r="GQ294">
            <v>500</v>
          </cell>
          <cell r="GS294">
            <v>500</v>
          </cell>
          <cell r="GT294">
            <v>500</v>
          </cell>
          <cell r="GV294">
            <v>500</v>
          </cell>
          <cell r="GW294">
            <v>500</v>
          </cell>
          <cell r="GY294">
            <v>500</v>
          </cell>
          <cell r="GZ294">
            <v>500</v>
          </cell>
          <cell r="HB294">
            <v>500</v>
          </cell>
          <cell r="HC294">
            <v>500</v>
          </cell>
          <cell r="HE294">
            <v>500</v>
          </cell>
          <cell r="HF294">
            <v>500</v>
          </cell>
          <cell r="HH294">
            <v>500</v>
          </cell>
          <cell r="HI294">
            <v>500</v>
          </cell>
          <cell r="HK294">
            <v>500</v>
          </cell>
          <cell r="HL294">
            <v>500</v>
          </cell>
          <cell r="HN294">
            <v>500</v>
          </cell>
          <cell r="HO294">
            <v>500</v>
          </cell>
          <cell r="HQ294">
            <v>500</v>
          </cell>
          <cell r="HR294">
            <v>500</v>
          </cell>
          <cell r="HT294">
            <v>500</v>
          </cell>
          <cell r="HU294">
            <v>500</v>
          </cell>
          <cell r="HW294">
            <v>500</v>
          </cell>
          <cell r="HX294">
            <v>500</v>
          </cell>
          <cell r="HZ294">
            <v>500</v>
          </cell>
          <cell r="IA294">
            <v>500</v>
          </cell>
          <cell r="IC294">
            <v>500</v>
          </cell>
          <cell r="ID294">
            <v>500</v>
          </cell>
          <cell r="IF294">
            <v>500</v>
          </cell>
        </row>
        <row r="295">
          <cell r="GP295" t="str">
            <v>Station Service Transformers Type 4</v>
          </cell>
          <cell r="GQ295">
            <v>500</v>
          </cell>
          <cell r="GS295">
            <v>500</v>
          </cell>
          <cell r="GT295">
            <v>500</v>
          </cell>
          <cell r="GV295">
            <v>500</v>
          </cell>
          <cell r="GW295">
            <v>500</v>
          </cell>
          <cell r="GY295">
            <v>500</v>
          </cell>
          <cell r="GZ295">
            <v>500</v>
          </cell>
          <cell r="HB295">
            <v>500</v>
          </cell>
          <cell r="HC295">
            <v>500</v>
          </cell>
          <cell r="HE295">
            <v>500</v>
          </cell>
          <cell r="HF295">
            <v>500</v>
          </cell>
          <cell r="HH295">
            <v>500</v>
          </cell>
          <cell r="HI295">
            <v>500</v>
          </cell>
          <cell r="HK295">
            <v>500</v>
          </cell>
          <cell r="HL295">
            <v>500</v>
          </cell>
          <cell r="HN295">
            <v>500</v>
          </cell>
          <cell r="HO295">
            <v>500</v>
          </cell>
          <cell r="HQ295">
            <v>500</v>
          </cell>
          <cell r="HR295">
            <v>500</v>
          </cell>
          <cell r="HT295">
            <v>500</v>
          </cell>
          <cell r="HU295">
            <v>500</v>
          </cell>
          <cell r="HW295">
            <v>500</v>
          </cell>
          <cell r="HX295">
            <v>500</v>
          </cell>
          <cell r="HZ295">
            <v>500</v>
          </cell>
          <cell r="IA295">
            <v>500</v>
          </cell>
          <cell r="IC295">
            <v>500</v>
          </cell>
          <cell r="ID295">
            <v>500</v>
          </cell>
          <cell r="IF295">
            <v>500</v>
          </cell>
        </row>
        <row r="296">
          <cell r="GP296" t="str">
            <v>Emergency 500 kW Diesel Generator</v>
          </cell>
          <cell r="GQ296">
            <v>2500</v>
          </cell>
          <cell r="GR296">
            <v>2500</v>
          </cell>
          <cell r="GS296">
            <v>2500</v>
          </cell>
          <cell r="GT296">
            <v>2500</v>
          </cell>
          <cell r="GU296">
            <v>2500</v>
          </cell>
          <cell r="GV296">
            <v>2500</v>
          </cell>
          <cell r="GW296">
            <v>2500</v>
          </cell>
          <cell r="GX296">
            <v>2500</v>
          </cell>
          <cell r="GY296">
            <v>2500</v>
          </cell>
          <cell r="GZ296">
            <v>2500</v>
          </cell>
          <cell r="HA296">
            <v>2500</v>
          </cell>
          <cell r="HB296">
            <v>2500</v>
          </cell>
          <cell r="HC296">
            <v>2500</v>
          </cell>
          <cell r="HD296">
            <v>2500</v>
          </cell>
          <cell r="HE296">
            <v>2500</v>
          </cell>
          <cell r="HF296">
            <v>2500</v>
          </cell>
          <cell r="HG296">
            <v>2500</v>
          </cell>
          <cell r="HH296">
            <v>2500</v>
          </cell>
          <cell r="HI296">
            <v>2500</v>
          </cell>
          <cell r="HJ296">
            <v>2500</v>
          </cell>
          <cell r="HK296">
            <v>2500</v>
          </cell>
          <cell r="HL296">
            <v>2500</v>
          </cell>
          <cell r="HM296">
            <v>2500</v>
          </cell>
          <cell r="HN296">
            <v>2500</v>
          </cell>
          <cell r="HO296">
            <v>2500</v>
          </cell>
          <cell r="HP296">
            <v>2500</v>
          </cell>
          <cell r="HQ296">
            <v>2500</v>
          </cell>
          <cell r="HR296">
            <v>2500</v>
          </cell>
          <cell r="HS296">
            <v>2500</v>
          </cell>
          <cell r="HT296">
            <v>2500</v>
          </cell>
          <cell r="HU296">
            <v>2500</v>
          </cell>
          <cell r="HV296">
            <v>2500</v>
          </cell>
          <cell r="HW296">
            <v>2500</v>
          </cell>
          <cell r="HX296">
            <v>2500</v>
          </cell>
          <cell r="HY296">
            <v>2500</v>
          </cell>
          <cell r="HZ296">
            <v>2500</v>
          </cell>
          <cell r="IA296">
            <v>2500</v>
          </cell>
          <cell r="IB296">
            <v>2500</v>
          </cell>
          <cell r="IC296">
            <v>2500</v>
          </cell>
          <cell r="ID296">
            <v>2500</v>
          </cell>
          <cell r="IE296">
            <v>2500</v>
          </cell>
          <cell r="IF296">
            <v>2500</v>
          </cell>
        </row>
        <row r="297">
          <cell r="GP297" t="str">
            <v>Emergency 750 kW Diesel Generator</v>
          </cell>
          <cell r="GQ297">
            <v>2500</v>
          </cell>
          <cell r="GR297">
            <v>3750</v>
          </cell>
          <cell r="GS297">
            <v>3750</v>
          </cell>
          <cell r="GT297">
            <v>2500</v>
          </cell>
          <cell r="GU297">
            <v>3750</v>
          </cell>
          <cell r="GV297">
            <v>3750</v>
          </cell>
          <cell r="GW297">
            <v>2500</v>
          </cell>
          <cell r="GX297">
            <v>3750</v>
          </cell>
          <cell r="GY297">
            <v>3750</v>
          </cell>
          <cell r="GZ297">
            <v>2500</v>
          </cell>
          <cell r="HA297">
            <v>3750</v>
          </cell>
          <cell r="HB297">
            <v>3750</v>
          </cell>
          <cell r="HC297">
            <v>2500</v>
          </cell>
          <cell r="HD297">
            <v>3750</v>
          </cell>
          <cell r="HE297">
            <v>3750</v>
          </cell>
          <cell r="HF297">
            <v>2500</v>
          </cell>
          <cell r="HG297">
            <v>3750</v>
          </cell>
          <cell r="HH297">
            <v>3750</v>
          </cell>
          <cell r="HI297">
            <v>2500</v>
          </cell>
          <cell r="HJ297">
            <v>3750</v>
          </cell>
          <cell r="HK297">
            <v>3750</v>
          </cell>
          <cell r="HL297">
            <v>2500</v>
          </cell>
          <cell r="HM297">
            <v>3750</v>
          </cell>
          <cell r="HN297">
            <v>3750</v>
          </cell>
          <cell r="HO297">
            <v>2500</v>
          </cell>
          <cell r="HP297">
            <v>3750</v>
          </cell>
          <cell r="HQ297">
            <v>3750</v>
          </cell>
          <cell r="HR297">
            <v>2500</v>
          </cell>
          <cell r="HS297">
            <v>3750</v>
          </cell>
          <cell r="HT297">
            <v>3750</v>
          </cell>
          <cell r="HU297">
            <v>2500</v>
          </cell>
          <cell r="HV297">
            <v>3750</v>
          </cell>
          <cell r="HW297">
            <v>3750</v>
          </cell>
          <cell r="HX297">
            <v>2500</v>
          </cell>
          <cell r="HY297">
            <v>3750</v>
          </cell>
          <cell r="HZ297">
            <v>3750</v>
          </cell>
          <cell r="IA297">
            <v>2500</v>
          </cell>
          <cell r="IB297">
            <v>3750</v>
          </cell>
          <cell r="IC297">
            <v>3750</v>
          </cell>
          <cell r="ID297">
            <v>2500</v>
          </cell>
          <cell r="IE297">
            <v>3750</v>
          </cell>
          <cell r="IF297">
            <v>3750</v>
          </cell>
        </row>
        <row r="298">
          <cell r="GP298" t="str">
            <v>Emergency 1000 kW Diesel Generator</v>
          </cell>
          <cell r="GQ298">
            <v>2500</v>
          </cell>
          <cell r="GR298">
            <v>5000</v>
          </cell>
          <cell r="GS298">
            <v>5000</v>
          </cell>
          <cell r="GT298">
            <v>2500</v>
          </cell>
          <cell r="GU298">
            <v>5000</v>
          </cell>
          <cell r="GV298">
            <v>5000</v>
          </cell>
          <cell r="GW298">
            <v>2500</v>
          </cell>
          <cell r="GX298">
            <v>5000</v>
          </cell>
          <cell r="GY298">
            <v>5000</v>
          </cell>
          <cell r="GZ298">
            <v>2500</v>
          </cell>
          <cell r="HA298">
            <v>5000</v>
          </cell>
          <cell r="HB298">
            <v>5000</v>
          </cell>
          <cell r="HC298">
            <v>2500</v>
          </cell>
          <cell r="HD298">
            <v>5000</v>
          </cell>
          <cell r="HE298">
            <v>5000</v>
          </cell>
          <cell r="HF298">
            <v>2500</v>
          </cell>
          <cell r="HG298">
            <v>5000</v>
          </cell>
          <cell r="HH298">
            <v>5000</v>
          </cell>
          <cell r="HI298">
            <v>2500</v>
          </cell>
          <cell r="HJ298">
            <v>5000</v>
          </cell>
          <cell r="HK298">
            <v>5000</v>
          </cell>
          <cell r="HL298">
            <v>2500</v>
          </cell>
          <cell r="HM298">
            <v>5000</v>
          </cell>
          <cell r="HN298">
            <v>5000</v>
          </cell>
          <cell r="HO298">
            <v>2500</v>
          </cell>
          <cell r="HP298">
            <v>5000</v>
          </cell>
          <cell r="HQ298">
            <v>5000</v>
          </cell>
          <cell r="HR298">
            <v>2500</v>
          </cell>
          <cell r="HS298">
            <v>5000</v>
          </cell>
          <cell r="HT298">
            <v>5000</v>
          </cell>
          <cell r="HU298">
            <v>2500</v>
          </cell>
          <cell r="HV298">
            <v>5000</v>
          </cell>
          <cell r="HW298">
            <v>5000</v>
          </cell>
          <cell r="HX298">
            <v>2500</v>
          </cell>
          <cell r="HY298">
            <v>5000</v>
          </cell>
          <cell r="HZ298">
            <v>5000</v>
          </cell>
          <cell r="IA298">
            <v>2500</v>
          </cell>
          <cell r="IB298">
            <v>5000</v>
          </cell>
          <cell r="IC298">
            <v>5000</v>
          </cell>
          <cell r="ID298">
            <v>2500</v>
          </cell>
          <cell r="IE298">
            <v>5000</v>
          </cell>
          <cell r="IF298">
            <v>5000</v>
          </cell>
        </row>
        <row r="299">
          <cell r="GP299" t="str">
            <v>Emergency 1250 kW Diesel Generator</v>
          </cell>
          <cell r="GQ299">
            <v>2500</v>
          </cell>
          <cell r="GR299">
            <v>6250</v>
          </cell>
          <cell r="GS299">
            <v>6250</v>
          </cell>
          <cell r="GT299">
            <v>2500</v>
          </cell>
          <cell r="GU299">
            <v>6250</v>
          </cell>
          <cell r="GV299">
            <v>6250</v>
          </cell>
          <cell r="GW299">
            <v>2500</v>
          </cell>
          <cell r="GX299">
            <v>6250</v>
          </cell>
          <cell r="GY299">
            <v>6250</v>
          </cell>
          <cell r="GZ299">
            <v>2500</v>
          </cell>
          <cell r="HA299">
            <v>6250</v>
          </cell>
          <cell r="HB299">
            <v>6250</v>
          </cell>
          <cell r="HC299">
            <v>2500</v>
          </cell>
          <cell r="HD299">
            <v>6250</v>
          </cell>
          <cell r="HE299">
            <v>6250</v>
          </cell>
          <cell r="HF299">
            <v>2500</v>
          </cell>
          <cell r="HG299">
            <v>6250</v>
          </cell>
          <cell r="HH299">
            <v>6250</v>
          </cell>
          <cell r="HI299">
            <v>2500</v>
          </cell>
          <cell r="HJ299">
            <v>6250</v>
          </cell>
          <cell r="HK299">
            <v>6250</v>
          </cell>
          <cell r="HL299">
            <v>2500</v>
          </cell>
          <cell r="HM299">
            <v>6250</v>
          </cell>
          <cell r="HN299">
            <v>6250</v>
          </cell>
          <cell r="HO299">
            <v>2500</v>
          </cell>
          <cell r="HP299">
            <v>6250</v>
          </cell>
          <cell r="HQ299">
            <v>6250</v>
          </cell>
          <cell r="HR299">
            <v>2500</v>
          </cell>
          <cell r="HS299">
            <v>6250</v>
          </cell>
          <cell r="HT299">
            <v>6250</v>
          </cell>
          <cell r="HU299">
            <v>2500</v>
          </cell>
          <cell r="HV299">
            <v>6250</v>
          </cell>
          <cell r="HW299">
            <v>6250</v>
          </cell>
          <cell r="HX299">
            <v>2500</v>
          </cell>
          <cell r="HY299">
            <v>6250</v>
          </cell>
          <cell r="HZ299">
            <v>6250</v>
          </cell>
          <cell r="IA299">
            <v>2500</v>
          </cell>
          <cell r="IB299">
            <v>6250</v>
          </cell>
          <cell r="IC299">
            <v>6250</v>
          </cell>
          <cell r="ID299">
            <v>2500</v>
          </cell>
          <cell r="IE299">
            <v>6250</v>
          </cell>
          <cell r="IF299">
            <v>6250</v>
          </cell>
        </row>
        <row r="300">
          <cell r="GP300" t="str">
            <v>Emergency 1500 kW Diesel Generator</v>
          </cell>
          <cell r="GQ300">
            <v>2500</v>
          </cell>
          <cell r="GR300">
            <v>7500</v>
          </cell>
          <cell r="GS300">
            <v>7500</v>
          </cell>
          <cell r="GT300">
            <v>2500</v>
          </cell>
          <cell r="GU300">
            <v>7500</v>
          </cell>
          <cell r="GV300">
            <v>7500</v>
          </cell>
          <cell r="GW300">
            <v>2500</v>
          </cell>
          <cell r="GX300">
            <v>7500</v>
          </cell>
          <cell r="GY300">
            <v>7500</v>
          </cell>
          <cell r="GZ300">
            <v>2500</v>
          </cell>
          <cell r="HA300">
            <v>7500</v>
          </cell>
          <cell r="HB300">
            <v>7500</v>
          </cell>
          <cell r="HC300">
            <v>2500</v>
          </cell>
          <cell r="HD300">
            <v>7500</v>
          </cell>
          <cell r="HE300">
            <v>7500</v>
          </cell>
          <cell r="HF300">
            <v>2500</v>
          </cell>
          <cell r="HG300">
            <v>7500</v>
          </cell>
          <cell r="HH300">
            <v>7500</v>
          </cell>
          <cell r="HI300">
            <v>2500</v>
          </cell>
          <cell r="HJ300">
            <v>7500</v>
          </cell>
          <cell r="HK300">
            <v>7500</v>
          </cell>
          <cell r="HL300">
            <v>2500</v>
          </cell>
          <cell r="HM300">
            <v>7500</v>
          </cell>
          <cell r="HN300">
            <v>7500</v>
          </cell>
          <cell r="HO300">
            <v>2500</v>
          </cell>
          <cell r="HP300">
            <v>7500</v>
          </cell>
          <cell r="HQ300">
            <v>7500</v>
          </cell>
          <cell r="HR300">
            <v>2500</v>
          </cell>
          <cell r="HS300">
            <v>7500</v>
          </cell>
          <cell r="HT300">
            <v>7500</v>
          </cell>
          <cell r="HU300">
            <v>2500</v>
          </cell>
          <cell r="HV300">
            <v>7500</v>
          </cell>
          <cell r="HW300">
            <v>7500</v>
          </cell>
          <cell r="HX300">
            <v>2500</v>
          </cell>
          <cell r="HY300">
            <v>7500</v>
          </cell>
          <cell r="HZ300">
            <v>7500</v>
          </cell>
          <cell r="IA300">
            <v>2500</v>
          </cell>
          <cell r="IB300">
            <v>7500</v>
          </cell>
          <cell r="IC300">
            <v>7500</v>
          </cell>
          <cell r="ID300">
            <v>2500</v>
          </cell>
          <cell r="IE300">
            <v>7500</v>
          </cell>
          <cell r="IF300">
            <v>7500</v>
          </cell>
        </row>
        <row r="301">
          <cell r="GP301" t="str">
            <v>Emergency 2000 kW Diesel Generator</v>
          </cell>
          <cell r="GQ301">
            <v>2500</v>
          </cell>
          <cell r="GR301">
            <v>10000</v>
          </cell>
          <cell r="GS301">
            <v>10000</v>
          </cell>
          <cell r="GT301">
            <v>2500</v>
          </cell>
          <cell r="GU301">
            <v>10000</v>
          </cell>
          <cell r="GV301">
            <v>10000</v>
          </cell>
          <cell r="GW301">
            <v>2500</v>
          </cell>
          <cell r="GX301">
            <v>10000</v>
          </cell>
          <cell r="GY301">
            <v>10000</v>
          </cell>
          <cell r="GZ301">
            <v>2500</v>
          </cell>
          <cell r="HA301">
            <v>10000</v>
          </cell>
          <cell r="HB301">
            <v>10000</v>
          </cell>
          <cell r="HC301">
            <v>2500</v>
          </cell>
          <cell r="HD301">
            <v>10000</v>
          </cell>
          <cell r="HE301">
            <v>10000</v>
          </cell>
          <cell r="HF301">
            <v>2500</v>
          </cell>
          <cell r="HG301">
            <v>10000</v>
          </cell>
          <cell r="HH301">
            <v>10000</v>
          </cell>
          <cell r="HI301">
            <v>2500</v>
          </cell>
          <cell r="HJ301">
            <v>10000</v>
          </cell>
          <cell r="HK301">
            <v>10000</v>
          </cell>
          <cell r="HL301">
            <v>2500</v>
          </cell>
          <cell r="HM301">
            <v>10000</v>
          </cell>
          <cell r="HN301">
            <v>10000</v>
          </cell>
          <cell r="HO301">
            <v>2500</v>
          </cell>
          <cell r="HP301">
            <v>10000</v>
          </cell>
          <cell r="HQ301">
            <v>10000</v>
          </cell>
          <cell r="HR301">
            <v>2500</v>
          </cell>
          <cell r="HS301">
            <v>10000</v>
          </cell>
          <cell r="HT301">
            <v>10000</v>
          </cell>
          <cell r="HU301">
            <v>2500</v>
          </cell>
          <cell r="HV301">
            <v>10000</v>
          </cell>
          <cell r="HW301">
            <v>10000</v>
          </cell>
          <cell r="HX301">
            <v>2500</v>
          </cell>
          <cell r="HY301">
            <v>10000</v>
          </cell>
          <cell r="HZ301">
            <v>10000</v>
          </cell>
          <cell r="IA301">
            <v>2500</v>
          </cell>
          <cell r="IB301">
            <v>10000</v>
          </cell>
          <cell r="IC301">
            <v>10000</v>
          </cell>
          <cell r="ID301">
            <v>2500</v>
          </cell>
          <cell r="IE301">
            <v>10000</v>
          </cell>
          <cell r="IF301">
            <v>10000</v>
          </cell>
        </row>
        <row r="302">
          <cell r="GP302" t="str">
            <v>Black Start Diesel Generator</v>
          </cell>
          <cell r="GQ302">
            <v>0</v>
          </cell>
          <cell r="GS302">
            <v>0</v>
          </cell>
          <cell r="GT302">
            <v>0</v>
          </cell>
          <cell r="GV302">
            <v>0</v>
          </cell>
          <cell r="GW302">
            <v>0</v>
          </cell>
          <cell r="GY302">
            <v>0</v>
          </cell>
          <cell r="GZ302">
            <v>0</v>
          </cell>
          <cell r="HB302">
            <v>0</v>
          </cell>
          <cell r="HC302">
            <v>0</v>
          </cell>
          <cell r="HE302">
            <v>0</v>
          </cell>
          <cell r="HF302">
            <v>0</v>
          </cell>
          <cell r="HH302">
            <v>0</v>
          </cell>
          <cell r="HI302">
            <v>0</v>
          </cell>
          <cell r="HK302">
            <v>0</v>
          </cell>
          <cell r="HL302">
            <v>0</v>
          </cell>
          <cell r="HN302">
            <v>0</v>
          </cell>
          <cell r="HO302">
            <v>0</v>
          </cell>
          <cell r="HQ302">
            <v>0</v>
          </cell>
          <cell r="HR302">
            <v>0</v>
          </cell>
          <cell r="HT302">
            <v>0</v>
          </cell>
          <cell r="HU302">
            <v>0</v>
          </cell>
          <cell r="HW302">
            <v>0</v>
          </cell>
          <cell r="HX302">
            <v>0</v>
          </cell>
          <cell r="HZ302">
            <v>0</v>
          </cell>
          <cell r="IA302">
            <v>0</v>
          </cell>
          <cell r="IC302">
            <v>0</v>
          </cell>
          <cell r="ID302">
            <v>0</v>
          </cell>
          <cell r="IF302">
            <v>0</v>
          </cell>
        </row>
        <row r="303">
          <cell r="GP303">
            <v>0</v>
          </cell>
          <cell r="GS303">
            <v>0</v>
          </cell>
          <cell r="GV303">
            <v>0</v>
          </cell>
          <cell r="GY303">
            <v>0</v>
          </cell>
          <cell r="HB303">
            <v>0</v>
          </cell>
          <cell r="HE303">
            <v>0</v>
          </cell>
          <cell r="HH303">
            <v>0</v>
          </cell>
          <cell r="HK303">
            <v>0</v>
          </cell>
          <cell r="HN303">
            <v>0</v>
          </cell>
          <cell r="HQ303">
            <v>0</v>
          </cell>
          <cell r="HT303">
            <v>0</v>
          </cell>
          <cell r="HW303">
            <v>0</v>
          </cell>
          <cell r="HZ303">
            <v>0</v>
          </cell>
          <cell r="IC303">
            <v>0</v>
          </cell>
          <cell r="IF303">
            <v>0</v>
          </cell>
        </row>
        <row r="304">
          <cell r="GP304" t="str">
            <v>MV MCC</v>
          </cell>
          <cell r="GQ304">
            <v>100</v>
          </cell>
          <cell r="GS304">
            <v>100</v>
          </cell>
          <cell r="GT304">
            <v>100</v>
          </cell>
          <cell r="GV304">
            <v>100</v>
          </cell>
          <cell r="GW304">
            <v>100</v>
          </cell>
          <cell r="GY304">
            <v>100</v>
          </cell>
          <cell r="GZ304">
            <v>100</v>
          </cell>
          <cell r="HB304">
            <v>100</v>
          </cell>
          <cell r="HC304">
            <v>100</v>
          </cell>
          <cell r="HE304">
            <v>100</v>
          </cell>
          <cell r="HF304">
            <v>100</v>
          </cell>
          <cell r="HH304">
            <v>100</v>
          </cell>
          <cell r="HI304">
            <v>100</v>
          </cell>
          <cell r="HK304">
            <v>100</v>
          </cell>
          <cell r="HL304">
            <v>100</v>
          </cell>
          <cell r="HN304">
            <v>100</v>
          </cell>
          <cell r="HO304">
            <v>100</v>
          </cell>
          <cell r="HQ304">
            <v>100</v>
          </cell>
          <cell r="HR304">
            <v>100</v>
          </cell>
          <cell r="HT304">
            <v>100</v>
          </cell>
          <cell r="HU304">
            <v>100</v>
          </cell>
          <cell r="HW304">
            <v>100</v>
          </cell>
          <cell r="HX304">
            <v>100</v>
          </cell>
          <cell r="HZ304">
            <v>100</v>
          </cell>
          <cell r="IA304">
            <v>100</v>
          </cell>
          <cell r="IC304">
            <v>100</v>
          </cell>
          <cell r="ID304">
            <v>100</v>
          </cell>
          <cell r="IF304">
            <v>100</v>
          </cell>
        </row>
        <row r="305">
          <cell r="GP305" t="str">
            <v>4.16 kV Non segregated Bus Type 1</v>
          </cell>
          <cell r="GQ305">
            <v>200</v>
          </cell>
          <cell r="GS305">
            <v>200</v>
          </cell>
          <cell r="GT305">
            <v>200</v>
          </cell>
          <cell r="GV305">
            <v>200</v>
          </cell>
          <cell r="GW305">
            <v>200</v>
          </cell>
          <cell r="GY305">
            <v>200</v>
          </cell>
          <cell r="GZ305">
            <v>200</v>
          </cell>
          <cell r="HB305">
            <v>200</v>
          </cell>
          <cell r="HC305">
            <v>200</v>
          </cell>
          <cell r="HE305">
            <v>200</v>
          </cell>
          <cell r="HF305">
            <v>200</v>
          </cell>
          <cell r="HH305">
            <v>200</v>
          </cell>
          <cell r="HI305">
            <v>200</v>
          </cell>
          <cell r="HK305">
            <v>200</v>
          </cell>
          <cell r="HL305">
            <v>200</v>
          </cell>
          <cell r="HN305">
            <v>200</v>
          </cell>
          <cell r="HO305">
            <v>200</v>
          </cell>
          <cell r="HQ305">
            <v>200</v>
          </cell>
          <cell r="HR305">
            <v>200</v>
          </cell>
          <cell r="HT305">
            <v>200</v>
          </cell>
          <cell r="HU305">
            <v>200</v>
          </cell>
          <cell r="HW305">
            <v>200</v>
          </cell>
          <cell r="HX305">
            <v>200</v>
          </cell>
          <cell r="HZ305">
            <v>200</v>
          </cell>
          <cell r="IA305">
            <v>200</v>
          </cell>
          <cell r="IC305">
            <v>200</v>
          </cell>
          <cell r="ID305">
            <v>200</v>
          </cell>
          <cell r="IF305">
            <v>200</v>
          </cell>
        </row>
        <row r="306">
          <cell r="GP306" t="str">
            <v>4.16 kV Non segregated Bus Type 2</v>
          </cell>
          <cell r="GQ306">
            <v>200</v>
          </cell>
          <cell r="GS306">
            <v>200</v>
          </cell>
          <cell r="GT306">
            <v>200</v>
          </cell>
          <cell r="GV306">
            <v>200</v>
          </cell>
          <cell r="GW306">
            <v>200</v>
          </cell>
          <cell r="GY306">
            <v>200</v>
          </cell>
          <cell r="GZ306">
            <v>200</v>
          </cell>
          <cell r="HB306">
            <v>200</v>
          </cell>
          <cell r="HC306">
            <v>200</v>
          </cell>
          <cell r="HE306">
            <v>200</v>
          </cell>
          <cell r="HF306">
            <v>200</v>
          </cell>
          <cell r="HH306">
            <v>200</v>
          </cell>
          <cell r="HI306">
            <v>200</v>
          </cell>
          <cell r="HK306">
            <v>200</v>
          </cell>
          <cell r="HL306">
            <v>200</v>
          </cell>
          <cell r="HN306">
            <v>200</v>
          </cell>
          <cell r="HO306">
            <v>200</v>
          </cell>
          <cell r="HQ306">
            <v>200</v>
          </cell>
          <cell r="HR306">
            <v>200</v>
          </cell>
          <cell r="HT306">
            <v>200</v>
          </cell>
          <cell r="HU306">
            <v>200</v>
          </cell>
          <cell r="HW306">
            <v>200</v>
          </cell>
          <cell r="HX306">
            <v>200</v>
          </cell>
          <cell r="HZ306">
            <v>200</v>
          </cell>
          <cell r="IA306">
            <v>200</v>
          </cell>
          <cell r="IC306">
            <v>200</v>
          </cell>
          <cell r="ID306">
            <v>200</v>
          </cell>
          <cell r="IF306">
            <v>200</v>
          </cell>
        </row>
        <row r="307">
          <cell r="GP307" t="str">
            <v>4.16 kV Non segregated Bus Type 3</v>
          </cell>
          <cell r="GQ307">
            <v>200</v>
          </cell>
          <cell r="GS307">
            <v>200</v>
          </cell>
          <cell r="GT307">
            <v>200</v>
          </cell>
          <cell r="GV307">
            <v>200</v>
          </cell>
          <cell r="GW307">
            <v>200</v>
          </cell>
          <cell r="GY307">
            <v>200</v>
          </cell>
          <cell r="GZ307">
            <v>200</v>
          </cell>
          <cell r="HB307">
            <v>200</v>
          </cell>
          <cell r="HC307">
            <v>200</v>
          </cell>
          <cell r="HE307">
            <v>200</v>
          </cell>
          <cell r="HF307">
            <v>200</v>
          </cell>
          <cell r="HH307">
            <v>200</v>
          </cell>
          <cell r="HI307">
            <v>200</v>
          </cell>
          <cell r="HK307">
            <v>200</v>
          </cell>
          <cell r="HL307">
            <v>200</v>
          </cell>
          <cell r="HN307">
            <v>200</v>
          </cell>
          <cell r="HO307">
            <v>200</v>
          </cell>
          <cell r="HQ307">
            <v>200</v>
          </cell>
          <cell r="HR307">
            <v>200</v>
          </cell>
          <cell r="HT307">
            <v>200</v>
          </cell>
          <cell r="HU307">
            <v>200</v>
          </cell>
          <cell r="HW307">
            <v>200</v>
          </cell>
          <cell r="HX307">
            <v>200</v>
          </cell>
          <cell r="HZ307">
            <v>200</v>
          </cell>
          <cell r="IA307">
            <v>200</v>
          </cell>
          <cell r="IC307">
            <v>200</v>
          </cell>
          <cell r="ID307">
            <v>200</v>
          </cell>
          <cell r="IF307">
            <v>200</v>
          </cell>
        </row>
        <row r="308">
          <cell r="GP308" t="str">
            <v>4.16 kV Non segregated Bus Type 4</v>
          </cell>
          <cell r="GQ308">
            <v>200</v>
          </cell>
          <cell r="GS308">
            <v>200</v>
          </cell>
          <cell r="GT308">
            <v>200</v>
          </cell>
          <cell r="GV308">
            <v>200</v>
          </cell>
          <cell r="GW308">
            <v>200</v>
          </cell>
          <cell r="GY308">
            <v>200</v>
          </cell>
          <cell r="GZ308">
            <v>200</v>
          </cell>
          <cell r="HB308">
            <v>200</v>
          </cell>
          <cell r="HC308">
            <v>200</v>
          </cell>
          <cell r="HE308">
            <v>200</v>
          </cell>
          <cell r="HF308">
            <v>200</v>
          </cell>
          <cell r="HH308">
            <v>200</v>
          </cell>
          <cell r="HI308">
            <v>200</v>
          </cell>
          <cell r="HK308">
            <v>200</v>
          </cell>
          <cell r="HL308">
            <v>200</v>
          </cell>
          <cell r="HN308">
            <v>200</v>
          </cell>
          <cell r="HO308">
            <v>200</v>
          </cell>
          <cell r="HQ308">
            <v>200</v>
          </cell>
          <cell r="HR308">
            <v>200</v>
          </cell>
          <cell r="HT308">
            <v>200</v>
          </cell>
          <cell r="HU308">
            <v>200</v>
          </cell>
          <cell r="HW308">
            <v>200</v>
          </cell>
          <cell r="HX308">
            <v>200</v>
          </cell>
          <cell r="HZ308">
            <v>200</v>
          </cell>
          <cell r="IA308">
            <v>200</v>
          </cell>
          <cell r="IC308">
            <v>200</v>
          </cell>
          <cell r="ID308">
            <v>200</v>
          </cell>
          <cell r="IF308">
            <v>200</v>
          </cell>
        </row>
        <row r="309">
          <cell r="GP309" t="str">
            <v>MV Switchgear</v>
          </cell>
          <cell r="GQ309">
            <v>100</v>
          </cell>
          <cell r="GS309">
            <v>100</v>
          </cell>
          <cell r="GT309">
            <v>100</v>
          </cell>
          <cell r="GV309">
            <v>100</v>
          </cell>
          <cell r="GW309">
            <v>100</v>
          </cell>
          <cell r="GY309">
            <v>100</v>
          </cell>
          <cell r="GZ309">
            <v>100</v>
          </cell>
          <cell r="HB309">
            <v>100</v>
          </cell>
          <cell r="HC309">
            <v>100</v>
          </cell>
          <cell r="HE309">
            <v>100</v>
          </cell>
          <cell r="HF309">
            <v>100</v>
          </cell>
          <cell r="HH309">
            <v>100</v>
          </cell>
          <cell r="HI309">
            <v>100</v>
          </cell>
          <cell r="HK309">
            <v>100</v>
          </cell>
          <cell r="HL309">
            <v>10</v>
          </cell>
          <cell r="HN309">
            <v>10</v>
          </cell>
          <cell r="HO309">
            <v>100</v>
          </cell>
          <cell r="HQ309">
            <v>100</v>
          </cell>
          <cell r="HR309">
            <v>100</v>
          </cell>
          <cell r="HT309">
            <v>100</v>
          </cell>
          <cell r="HU309">
            <v>100</v>
          </cell>
          <cell r="HW309">
            <v>100</v>
          </cell>
          <cell r="HX309">
            <v>100</v>
          </cell>
          <cell r="HZ309">
            <v>100</v>
          </cell>
          <cell r="IA309">
            <v>10</v>
          </cell>
          <cell r="IC309">
            <v>10</v>
          </cell>
          <cell r="ID309">
            <v>100</v>
          </cell>
          <cell r="IF309">
            <v>100</v>
          </cell>
        </row>
        <row r="310">
          <cell r="GP310" t="str">
            <v>STG GSU - Four Case, Four Flow</v>
          </cell>
          <cell r="GQ310">
            <v>2000</v>
          </cell>
          <cell r="GS310">
            <v>2000</v>
          </cell>
          <cell r="GT310">
            <v>2000</v>
          </cell>
          <cell r="GV310">
            <v>2000</v>
          </cell>
          <cell r="GW310">
            <v>2000</v>
          </cell>
          <cell r="GY310">
            <v>2000</v>
          </cell>
          <cell r="GZ310">
            <v>2000</v>
          </cell>
          <cell r="HB310">
            <v>2000</v>
          </cell>
          <cell r="HC310">
            <v>2000</v>
          </cell>
          <cell r="HE310">
            <v>2000</v>
          </cell>
          <cell r="HF310">
            <v>2000</v>
          </cell>
          <cell r="HH310">
            <v>2000</v>
          </cell>
          <cell r="HI310">
            <v>2000</v>
          </cell>
          <cell r="HK310">
            <v>2000</v>
          </cell>
          <cell r="HL310">
            <v>100</v>
          </cell>
          <cell r="HN310">
            <v>100</v>
          </cell>
          <cell r="HO310">
            <v>2000</v>
          </cell>
          <cell r="HQ310">
            <v>2000</v>
          </cell>
          <cell r="HR310">
            <v>2000</v>
          </cell>
          <cell r="HT310">
            <v>2000</v>
          </cell>
          <cell r="HU310">
            <v>2000</v>
          </cell>
          <cell r="HW310">
            <v>2000</v>
          </cell>
          <cell r="HX310">
            <v>2000</v>
          </cell>
          <cell r="HZ310">
            <v>2000</v>
          </cell>
          <cell r="IA310">
            <v>100</v>
          </cell>
          <cell r="IC310">
            <v>100</v>
          </cell>
          <cell r="ID310">
            <v>2000</v>
          </cell>
          <cell r="IF310">
            <v>2000</v>
          </cell>
        </row>
        <row r="311">
          <cell r="GP311" t="str">
            <v>STG GSU - GE - A Series</v>
          </cell>
          <cell r="GQ311">
            <v>1000</v>
          </cell>
          <cell r="GS311">
            <v>1000</v>
          </cell>
          <cell r="GT311">
            <v>1000</v>
          </cell>
          <cell r="GV311">
            <v>1000</v>
          </cell>
          <cell r="GW311">
            <v>1000</v>
          </cell>
          <cell r="GY311">
            <v>1000</v>
          </cell>
          <cell r="GZ311">
            <v>1000</v>
          </cell>
          <cell r="HB311">
            <v>1000</v>
          </cell>
          <cell r="HC311">
            <v>1000</v>
          </cell>
          <cell r="HE311">
            <v>1000</v>
          </cell>
          <cell r="HF311">
            <v>1000</v>
          </cell>
          <cell r="HH311">
            <v>1000</v>
          </cell>
          <cell r="HI311">
            <v>1000</v>
          </cell>
          <cell r="HK311">
            <v>1000</v>
          </cell>
          <cell r="HL311">
            <v>1000</v>
          </cell>
          <cell r="HN311">
            <v>1000</v>
          </cell>
          <cell r="HO311">
            <v>1000</v>
          </cell>
          <cell r="HQ311">
            <v>1000</v>
          </cell>
          <cell r="HR311">
            <v>1000</v>
          </cell>
          <cell r="HT311">
            <v>1000</v>
          </cell>
          <cell r="HU311">
            <v>1000</v>
          </cell>
          <cell r="HW311">
            <v>1000</v>
          </cell>
          <cell r="HX311">
            <v>1000</v>
          </cell>
          <cell r="HZ311">
            <v>1000</v>
          </cell>
          <cell r="IA311">
            <v>1000</v>
          </cell>
          <cell r="IC311">
            <v>1000</v>
          </cell>
          <cell r="ID311">
            <v>1000</v>
          </cell>
          <cell r="IF311">
            <v>1000</v>
          </cell>
        </row>
        <row r="312">
          <cell r="GP312" t="str">
            <v>STG GSU - GE - D Series</v>
          </cell>
          <cell r="GQ312">
            <v>2000</v>
          </cell>
          <cell r="GS312">
            <v>2000</v>
          </cell>
          <cell r="GT312">
            <v>2000</v>
          </cell>
          <cell r="GV312">
            <v>2000</v>
          </cell>
          <cell r="GW312">
            <v>2000</v>
          </cell>
          <cell r="GY312">
            <v>2000</v>
          </cell>
          <cell r="GZ312">
            <v>2000</v>
          </cell>
          <cell r="HB312">
            <v>2000</v>
          </cell>
          <cell r="HC312">
            <v>2000</v>
          </cell>
          <cell r="HE312">
            <v>2000</v>
          </cell>
          <cell r="HF312">
            <v>2000</v>
          </cell>
          <cell r="HH312">
            <v>2000</v>
          </cell>
          <cell r="HI312">
            <v>2000</v>
          </cell>
          <cell r="HK312">
            <v>2000</v>
          </cell>
          <cell r="HL312">
            <v>2000</v>
          </cell>
          <cell r="HN312">
            <v>2000</v>
          </cell>
          <cell r="HO312">
            <v>2000</v>
          </cell>
          <cell r="HQ312">
            <v>2000</v>
          </cell>
          <cell r="HR312">
            <v>2000</v>
          </cell>
          <cell r="HT312">
            <v>2000</v>
          </cell>
          <cell r="HU312">
            <v>2000</v>
          </cell>
          <cell r="HW312">
            <v>2000</v>
          </cell>
          <cell r="HX312">
            <v>2000</v>
          </cell>
          <cell r="HZ312">
            <v>2000</v>
          </cell>
          <cell r="IA312">
            <v>2000</v>
          </cell>
          <cell r="IC312">
            <v>2000</v>
          </cell>
          <cell r="ID312">
            <v>2000</v>
          </cell>
          <cell r="IF312">
            <v>2000</v>
          </cell>
        </row>
        <row r="313">
          <cell r="GP313" t="str">
            <v>STG GSU - GE - G Series</v>
          </cell>
          <cell r="GQ313">
            <v>2000</v>
          </cell>
          <cell r="GS313">
            <v>2000</v>
          </cell>
          <cell r="GT313">
            <v>2000</v>
          </cell>
          <cell r="GV313">
            <v>2000</v>
          </cell>
          <cell r="GW313">
            <v>2000</v>
          </cell>
          <cell r="GY313">
            <v>2000</v>
          </cell>
          <cell r="GZ313">
            <v>2000</v>
          </cell>
          <cell r="HB313">
            <v>2000</v>
          </cell>
          <cell r="HC313">
            <v>2000</v>
          </cell>
          <cell r="HE313">
            <v>2000</v>
          </cell>
          <cell r="HF313">
            <v>2000</v>
          </cell>
          <cell r="HH313">
            <v>2000</v>
          </cell>
          <cell r="HI313">
            <v>2000</v>
          </cell>
          <cell r="HK313">
            <v>2000</v>
          </cell>
          <cell r="HL313">
            <v>2000</v>
          </cell>
          <cell r="HN313">
            <v>2000</v>
          </cell>
          <cell r="HO313">
            <v>2000</v>
          </cell>
          <cell r="HQ313">
            <v>2000</v>
          </cell>
          <cell r="HR313">
            <v>2000</v>
          </cell>
          <cell r="HT313">
            <v>2000</v>
          </cell>
          <cell r="HU313">
            <v>2000</v>
          </cell>
          <cell r="HW313">
            <v>2000</v>
          </cell>
          <cell r="HX313">
            <v>2000</v>
          </cell>
          <cell r="HZ313">
            <v>2000</v>
          </cell>
          <cell r="IA313">
            <v>2000</v>
          </cell>
          <cell r="IC313">
            <v>2000</v>
          </cell>
          <cell r="ID313">
            <v>2000</v>
          </cell>
          <cell r="IF313">
            <v>2000</v>
          </cell>
        </row>
        <row r="314">
          <cell r="GP314" t="str">
            <v>STG GSU - Siemens SST-3000</v>
          </cell>
          <cell r="GQ314">
            <v>2000</v>
          </cell>
          <cell r="GS314">
            <v>2000</v>
          </cell>
          <cell r="GT314">
            <v>2000</v>
          </cell>
          <cell r="GV314">
            <v>2000</v>
          </cell>
          <cell r="GW314">
            <v>2000</v>
          </cell>
          <cell r="GY314">
            <v>2000</v>
          </cell>
          <cell r="GZ314">
            <v>2000</v>
          </cell>
          <cell r="HB314">
            <v>2000</v>
          </cell>
          <cell r="HC314">
            <v>2000</v>
          </cell>
          <cell r="HE314">
            <v>2000</v>
          </cell>
          <cell r="HF314">
            <v>2000</v>
          </cell>
          <cell r="HH314">
            <v>2000</v>
          </cell>
          <cell r="HI314">
            <v>2000</v>
          </cell>
          <cell r="HK314">
            <v>2000</v>
          </cell>
          <cell r="HL314">
            <v>2000</v>
          </cell>
          <cell r="HN314">
            <v>2000</v>
          </cell>
          <cell r="HO314">
            <v>2000</v>
          </cell>
          <cell r="HQ314">
            <v>2000</v>
          </cell>
          <cell r="HR314">
            <v>2000</v>
          </cell>
          <cell r="HT314">
            <v>2000</v>
          </cell>
          <cell r="HU314">
            <v>2000</v>
          </cell>
          <cell r="HW314">
            <v>2000</v>
          </cell>
          <cell r="HX314">
            <v>2000</v>
          </cell>
          <cell r="HZ314">
            <v>2000</v>
          </cell>
          <cell r="IA314">
            <v>2000</v>
          </cell>
          <cell r="IC314">
            <v>2000</v>
          </cell>
          <cell r="ID314">
            <v>2000</v>
          </cell>
          <cell r="IF314">
            <v>2000</v>
          </cell>
        </row>
        <row r="315">
          <cell r="GP315" t="str">
            <v>STG GSU - Siemens SST-5000</v>
          </cell>
          <cell r="GQ315">
            <v>2000</v>
          </cell>
          <cell r="GS315">
            <v>2000</v>
          </cell>
          <cell r="GT315">
            <v>2000</v>
          </cell>
          <cell r="GV315">
            <v>2000</v>
          </cell>
          <cell r="GW315">
            <v>2000</v>
          </cell>
          <cell r="GY315">
            <v>2000</v>
          </cell>
          <cell r="GZ315">
            <v>2000</v>
          </cell>
          <cell r="HB315">
            <v>2000</v>
          </cell>
          <cell r="HC315">
            <v>2000</v>
          </cell>
          <cell r="HE315">
            <v>2000</v>
          </cell>
          <cell r="HF315">
            <v>2000</v>
          </cell>
          <cell r="HH315">
            <v>2000</v>
          </cell>
          <cell r="HI315">
            <v>2000</v>
          </cell>
          <cell r="HK315">
            <v>2000</v>
          </cell>
          <cell r="HL315">
            <v>2000</v>
          </cell>
          <cell r="HN315">
            <v>2000</v>
          </cell>
          <cell r="HO315">
            <v>2000</v>
          </cell>
          <cell r="HQ315">
            <v>2000</v>
          </cell>
          <cell r="HR315">
            <v>2000</v>
          </cell>
          <cell r="HT315">
            <v>2000</v>
          </cell>
          <cell r="HU315">
            <v>2000</v>
          </cell>
          <cell r="HW315">
            <v>2000</v>
          </cell>
          <cell r="HX315">
            <v>2000</v>
          </cell>
          <cell r="HZ315">
            <v>2000</v>
          </cell>
          <cell r="IA315">
            <v>2000</v>
          </cell>
          <cell r="IC315">
            <v>2000</v>
          </cell>
          <cell r="ID315">
            <v>2000</v>
          </cell>
          <cell r="IF315">
            <v>2000</v>
          </cell>
        </row>
        <row r="316">
          <cell r="GP316" t="str">
            <v>STG GSU - Siemens SST-6000</v>
          </cell>
          <cell r="GQ316">
            <v>2000</v>
          </cell>
          <cell r="GS316">
            <v>2000</v>
          </cell>
          <cell r="GT316">
            <v>2000</v>
          </cell>
          <cell r="GV316">
            <v>2000</v>
          </cell>
          <cell r="GW316">
            <v>2000</v>
          </cell>
          <cell r="GY316">
            <v>2000</v>
          </cell>
          <cell r="GZ316">
            <v>2000</v>
          </cell>
          <cell r="HB316">
            <v>2000</v>
          </cell>
          <cell r="HC316">
            <v>2000</v>
          </cell>
          <cell r="HE316">
            <v>2000</v>
          </cell>
          <cell r="HF316">
            <v>2000</v>
          </cell>
          <cell r="HH316">
            <v>2000</v>
          </cell>
          <cell r="HI316">
            <v>2000</v>
          </cell>
          <cell r="HK316">
            <v>2000</v>
          </cell>
          <cell r="HL316">
            <v>2000</v>
          </cell>
          <cell r="HN316">
            <v>2000</v>
          </cell>
          <cell r="HO316">
            <v>2000</v>
          </cell>
          <cell r="HQ316">
            <v>2000</v>
          </cell>
          <cell r="HR316">
            <v>2000</v>
          </cell>
          <cell r="HT316">
            <v>2000</v>
          </cell>
          <cell r="HU316">
            <v>2000</v>
          </cell>
          <cell r="HW316">
            <v>2000</v>
          </cell>
          <cell r="HX316">
            <v>2000</v>
          </cell>
          <cell r="HZ316">
            <v>2000</v>
          </cell>
          <cell r="IA316">
            <v>2000</v>
          </cell>
          <cell r="IC316">
            <v>2000</v>
          </cell>
          <cell r="ID316">
            <v>2000</v>
          </cell>
          <cell r="IF316">
            <v>2000</v>
          </cell>
        </row>
        <row r="317">
          <cell r="GP317" t="str">
            <v>STG GSU - Siemens SST-900</v>
          </cell>
          <cell r="GQ317">
            <v>2000</v>
          </cell>
          <cell r="GS317">
            <v>2000</v>
          </cell>
          <cell r="GT317">
            <v>2000</v>
          </cell>
          <cell r="GV317">
            <v>2000</v>
          </cell>
          <cell r="GW317">
            <v>2000</v>
          </cell>
          <cell r="GY317">
            <v>2000</v>
          </cell>
          <cell r="GZ317">
            <v>2000</v>
          </cell>
          <cell r="HB317">
            <v>2000</v>
          </cell>
          <cell r="HC317">
            <v>2000</v>
          </cell>
          <cell r="HE317">
            <v>2000</v>
          </cell>
          <cell r="HF317">
            <v>2000</v>
          </cell>
          <cell r="HH317">
            <v>2000</v>
          </cell>
          <cell r="HI317">
            <v>2000</v>
          </cell>
          <cell r="HK317">
            <v>2000</v>
          </cell>
          <cell r="HL317">
            <v>2000</v>
          </cell>
          <cell r="HN317">
            <v>2000</v>
          </cell>
          <cell r="HO317">
            <v>2000</v>
          </cell>
          <cell r="HQ317">
            <v>2000</v>
          </cell>
          <cell r="HR317">
            <v>2000</v>
          </cell>
          <cell r="HT317">
            <v>2000</v>
          </cell>
          <cell r="HU317">
            <v>2000</v>
          </cell>
          <cell r="HW317">
            <v>2000</v>
          </cell>
          <cell r="HX317">
            <v>2000</v>
          </cell>
          <cell r="HZ317">
            <v>2000</v>
          </cell>
          <cell r="IA317">
            <v>2000</v>
          </cell>
          <cell r="IC317">
            <v>2000</v>
          </cell>
          <cell r="ID317">
            <v>2000</v>
          </cell>
          <cell r="IF317">
            <v>2000</v>
          </cell>
        </row>
        <row r="318">
          <cell r="GP318" t="str">
            <v>STG GSU - Two Case, Double Flow</v>
          </cell>
          <cell r="GQ318">
            <v>2000</v>
          </cell>
          <cell r="GS318">
            <v>2000</v>
          </cell>
          <cell r="GT318">
            <v>2000</v>
          </cell>
          <cell r="GV318">
            <v>2000</v>
          </cell>
          <cell r="GW318">
            <v>2000</v>
          </cell>
          <cell r="GY318">
            <v>2000</v>
          </cell>
          <cell r="GZ318">
            <v>2000</v>
          </cell>
          <cell r="HB318">
            <v>2000</v>
          </cell>
          <cell r="HC318">
            <v>2000</v>
          </cell>
          <cell r="HE318">
            <v>2000</v>
          </cell>
          <cell r="HF318">
            <v>2000</v>
          </cell>
          <cell r="HH318">
            <v>2000</v>
          </cell>
          <cell r="HI318">
            <v>2000</v>
          </cell>
          <cell r="HK318">
            <v>2000</v>
          </cell>
          <cell r="HL318">
            <v>2000</v>
          </cell>
          <cell r="HN318">
            <v>2000</v>
          </cell>
          <cell r="HO318">
            <v>2000</v>
          </cell>
          <cell r="HQ318">
            <v>2000</v>
          </cell>
          <cell r="HR318">
            <v>2000</v>
          </cell>
          <cell r="HT318">
            <v>2000</v>
          </cell>
          <cell r="HU318">
            <v>2000</v>
          </cell>
          <cell r="HW318">
            <v>2000</v>
          </cell>
          <cell r="HX318">
            <v>2000</v>
          </cell>
          <cell r="HZ318">
            <v>2000</v>
          </cell>
          <cell r="IA318">
            <v>2000</v>
          </cell>
          <cell r="IC318">
            <v>2000</v>
          </cell>
          <cell r="ID318">
            <v>2000</v>
          </cell>
          <cell r="IF318">
            <v>2000</v>
          </cell>
        </row>
        <row r="319">
          <cell r="GP319" t="str">
            <v>STG GSU - Two Case, Single Flow</v>
          </cell>
          <cell r="GQ319">
            <v>1000</v>
          </cell>
          <cell r="GS319">
            <v>1000</v>
          </cell>
          <cell r="GT319">
            <v>1000</v>
          </cell>
          <cell r="GV319">
            <v>1000</v>
          </cell>
          <cell r="GW319">
            <v>1000</v>
          </cell>
          <cell r="GY319">
            <v>1000</v>
          </cell>
          <cell r="GZ319">
            <v>1000</v>
          </cell>
          <cell r="HB319">
            <v>1000</v>
          </cell>
          <cell r="HC319">
            <v>1000</v>
          </cell>
          <cell r="HE319">
            <v>1000</v>
          </cell>
          <cell r="HF319">
            <v>1000</v>
          </cell>
          <cell r="HH319">
            <v>1000</v>
          </cell>
          <cell r="HI319">
            <v>1000</v>
          </cell>
          <cell r="HK319">
            <v>1000</v>
          </cell>
          <cell r="HL319">
            <v>1000</v>
          </cell>
          <cell r="HN319">
            <v>1000</v>
          </cell>
          <cell r="HO319">
            <v>1000</v>
          </cell>
          <cell r="HQ319">
            <v>1000</v>
          </cell>
          <cell r="HR319">
            <v>1000</v>
          </cell>
          <cell r="HT319">
            <v>1000</v>
          </cell>
          <cell r="HU319">
            <v>1000</v>
          </cell>
          <cell r="HW319">
            <v>1000</v>
          </cell>
          <cell r="HX319">
            <v>1000</v>
          </cell>
          <cell r="HZ319">
            <v>1000</v>
          </cell>
          <cell r="IA319">
            <v>1000</v>
          </cell>
          <cell r="IC319">
            <v>1000</v>
          </cell>
          <cell r="ID319">
            <v>1000</v>
          </cell>
          <cell r="IF319">
            <v>1000</v>
          </cell>
        </row>
        <row r="320">
          <cell r="GP320" t="str">
            <v xml:space="preserve">STG GSU - </v>
          </cell>
          <cell r="GS320">
            <v>0</v>
          </cell>
          <cell r="GV320">
            <v>0</v>
          </cell>
          <cell r="GY320">
            <v>0</v>
          </cell>
          <cell r="HB320">
            <v>0</v>
          </cell>
          <cell r="HE320">
            <v>0</v>
          </cell>
          <cell r="HH320">
            <v>0</v>
          </cell>
          <cell r="HK320">
            <v>0</v>
          </cell>
          <cell r="HN320">
            <v>0</v>
          </cell>
          <cell r="HQ320">
            <v>0</v>
          </cell>
          <cell r="HT320">
            <v>0</v>
          </cell>
          <cell r="HW320">
            <v>0</v>
          </cell>
          <cell r="HZ320">
            <v>0</v>
          </cell>
          <cell r="IC320">
            <v>0</v>
          </cell>
          <cell r="IF320">
            <v>0</v>
          </cell>
        </row>
        <row r="321">
          <cell r="GP321" t="str">
            <v xml:space="preserve">STG GSU - </v>
          </cell>
          <cell r="GS321">
            <v>0</v>
          </cell>
          <cell r="GV321">
            <v>0</v>
          </cell>
          <cell r="GY321">
            <v>0</v>
          </cell>
          <cell r="HB321">
            <v>0</v>
          </cell>
          <cell r="HE321">
            <v>0</v>
          </cell>
          <cell r="HH321">
            <v>0</v>
          </cell>
          <cell r="HK321">
            <v>0</v>
          </cell>
          <cell r="HN321">
            <v>0</v>
          </cell>
          <cell r="HQ321">
            <v>0</v>
          </cell>
          <cell r="HT321">
            <v>0</v>
          </cell>
          <cell r="HW321">
            <v>0</v>
          </cell>
          <cell r="HZ321">
            <v>0</v>
          </cell>
          <cell r="IC321">
            <v>0</v>
          </cell>
          <cell r="IF321">
            <v>0</v>
          </cell>
        </row>
        <row r="322">
          <cell r="GP322" t="str">
            <v xml:space="preserve">STG GSU - </v>
          </cell>
          <cell r="GS322">
            <v>0</v>
          </cell>
          <cell r="GV322">
            <v>0</v>
          </cell>
          <cell r="GY322">
            <v>0</v>
          </cell>
          <cell r="HB322">
            <v>0</v>
          </cell>
          <cell r="HE322">
            <v>0</v>
          </cell>
          <cell r="HH322">
            <v>0</v>
          </cell>
          <cell r="HK322">
            <v>0</v>
          </cell>
          <cell r="HN322">
            <v>0</v>
          </cell>
          <cell r="HQ322">
            <v>0</v>
          </cell>
          <cell r="HT322">
            <v>0</v>
          </cell>
          <cell r="HW322">
            <v>0</v>
          </cell>
          <cell r="HZ322">
            <v>0</v>
          </cell>
          <cell r="IC322">
            <v>0</v>
          </cell>
          <cell r="IF322">
            <v>0</v>
          </cell>
        </row>
        <row r="323">
          <cell r="GP323" t="str">
            <v xml:space="preserve">STG GSU - </v>
          </cell>
          <cell r="GS323">
            <v>0</v>
          </cell>
          <cell r="GV323">
            <v>0</v>
          </cell>
          <cell r="GY323">
            <v>0</v>
          </cell>
          <cell r="HB323">
            <v>0</v>
          </cell>
          <cell r="HE323">
            <v>0</v>
          </cell>
          <cell r="HH323">
            <v>0</v>
          </cell>
          <cell r="HK323">
            <v>0</v>
          </cell>
          <cell r="HN323">
            <v>0</v>
          </cell>
          <cell r="HQ323">
            <v>0</v>
          </cell>
          <cell r="HT323">
            <v>0</v>
          </cell>
          <cell r="HW323">
            <v>0</v>
          </cell>
          <cell r="HZ323">
            <v>0</v>
          </cell>
          <cell r="IC323">
            <v>0</v>
          </cell>
          <cell r="IF323">
            <v>0</v>
          </cell>
        </row>
        <row r="324">
          <cell r="GP324">
            <v>0</v>
          </cell>
          <cell r="GS324">
            <v>0</v>
          </cell>
          <cell r="GV324">
            <v>0</v>
          </cell>
          <cell r="GY324">
            <v>0</v>
          </cell>
          <cell r="HB324">
            <v>0</v>
          </cell>
          <cell r="HE324">
            <v>0</v>
          </cell>
          <cell r="HH324">
            <v>0</v>
          </cell>
          <cell r="HK324">
            <v>0</v>
          </cell>
          <cell r="HN324">
            <v>0</v>
          </cell>
          <cell r="HQ324">
            <v>0</v>
          </cell>
          <cell r="HT324">
            <v>0</v>
          </cell>
          <cell r="HW324">
            <v>0</v>
          </cell>
          <cell r="HZ324">
            <v>0</v>
          </cell>
          <cell r="IC324">
            <v>0</v>
          </cell>
          <cell r="IF324">
            <v>0</v>
          </cell>
        </row>
        <row r="325">
          <cell r="GP325">
            <v>0</v>
          </cell>
          <cell r="GS325">
            <v>0</v>
          </cell>
          <cell r="GV325">
            <v>0</v>
          </cell>
          <cell r="GY325">
            <v>0</v>
          </cell>
          <cell r="HB325">
            <v>0</v>
          </cell>
          <cell r="HE325">
            <v>0</v>
          </cell>
          <cell r="HH325">
            <v>0</v>
          </cell>
          <cell r="HK325">
            <v>0</v>
          </cell>
          <cell r="HN325">
            <v>0</v>
          </cell>
          <cell r="HQ325">
            <v>0</v>
          </cell>
          <cell r="HT325">
            <v>0</v>
          </cell>
          <cell r="HW325">
            <v>0</v>
          </cell>
          <cell r="HZ325">
            <v>0</v>
          </cell>
          <cell r="IC325">
            <v>0</v>
          </cell>
          <cell r="IF325">
            <v>0</v>
          </cell>
        </row>
        <row r="326">
          <cell r="GP326">
            <v>0</v>
          </cell>
          <cell r="GS326">
            <v>0</v>
          </cell>
          <cell r="GV326">
            <v>0</v>
          </cell>
          <cell r="GY326">
            <v>0</v>
          </cell>
          <cell r="HB326">
            <v>0</v>
          </cell>
          <cell r="HE326">
            <v>0</v>
          </cell>
          <cell r="HH326">
            <v>0</v>
          </cell>
          <cell r="HK326">
            <v>0</v>
          </cell>
          <cell r="HN326">
            <v>0</v>
          </cell>
          <cell r="HQ326">
            <v>0</v>
          </cell>
          <cell r="HT326">
            <v>0</v>
          </cell>
          <cell r="HW326">
            <v>0</v>
          </cell>
          <cell r="HZ326">
            <v>0</v>
          </cell>
          <cell r="IC326">
            <v>0</v>
          </cell>
          <cell r="IF326">
            <v>0</v>
          </cell>
        </row>
        <row r="327">
          <cell r="GP327">
            <v>0</v>
          </cell>
          <cell r="GS327">
            <v>0</v>
          </cell>
          <cell r="GV327">
            <v>0</v>
          </cell>
          <cell r="GY327">
            <v>0</v>
          </cell>
          <cell r="HB327">
            <v>0</v>
          </cell>
          <cell r="HE327">
            <v>0</v>
          </cell>
          <cell r="HH327">
            <v>0</v>
          </cell>
          <cell r="HK327">
            <v>0</v>
          </cell>
          <cell r="HN327">
            <v>0</v>
          </cell>
          <cell r="HQ327">
            <v>0</v>
          </cell>
          <cell r="HT327">
            <v>0</v>
          </cell>
          <cell r="HW327">
            <v>0</v>
          </cell>
          <cell r="HZ327">
            <v>0</v>
          </cell>
          <cell r="IC327">
            <v>0</v>
          </cell>
          <cell r="IF327">
            <v>0</v>
          </cell>
        </row>
        <row r="328">
          <cell r="GP328">
            <v>0</v>
          </cell>
          <cell r="GS328">
            <v>0</v>
          </cell>
          <cell r="GV328">
            <v>0</v>
          </cell>
          <cell r="GY328">
            <v>0</v>
          </cell>
          <cell r="HB328">
            <v>0</v>
          </cell>
          <cell r="HE328">
            <v>0</v>
          </cell>
          <cell r="HH328">
            <v>0</v>
          </cell>
          <cell r="HK328">
            <v>0</v>
          </cell>
          <cell r="HN328">
            <v>0</v>
          </cell>
          <cell r="HQ328">
            <v>0</v>
          </cell>
          <cell r="HT328">
            <v>0</v>
          </cell>
          <cell r="HW328">
            <v>0</v>
          </cell>
          <cell r="HZ328">
            <v>0</v>
          </cell>
          <cell r="IC328">
            <v>0</v>
          </cell>
          <cell r="IF328">
            <v>0</v>
          </cell>
        </row>
        <row r="329">
          <cell r="GP329">
            <v>0</v>
          </cell>
          <cell r="GS329">
            <v>0</v>
          </cell>
          <cell r="GV329">
            <v>0</v>
          </cell>
          <cell r="GY329">
            <v>0</v>
          </cell>
          <cell r="HB329">
            <v>0</v>
          </cell>
          <cell r="HE329">
            <v>0</v>
          </cell>
          <cell r="HH329">
            <v>0</v>
          </cell>
          <cell r="HK329">
            <v>0</v>
          </cell>
          <cell r="HN329">
            <v>0</v>
          </cell>
          <cell r="HQ329">
            <v>0</v>
          </cell>
          <cell r="HT329">
            <v>0</v>
          </cell>
          <cell r="HW329">
            <v>0</v>
          </cell>
          <cell r="HZ329">
            <v>0</v>
          </cell>
          <cell r="IC329">
            <v>0</v>
          </cell>
          <cell r="IF329">
            <v>0</v>
          </cell>
        </row>
        <row r="330">
          <cell r="GP330">
            <v>0</v>
          </cell>
          <cell r="GS330">
            <v>0</v>
          </cell>
          <cell r="GV330">
            <v>0</v>
          </cell>
          <cell r="GY330">
            <v>0</v>
          </cell>
          <cell r="HB330">
            <v>0</v>
          </cell>
          <cell r="HE330">
            <v>0</v>
          </cell>
          <cell r="HH330">
            <v>0</v>
          </cell>
          <cell r="HK330">
            <v>0</v>
          </cell>
          <cell r="HN330">
            <v>0</v>
          </cell>
          <cell r="HQ330">
            <v>0</v>
          </cell>
          <cell r="HT330">
            <v>0</v>
          </cell>
          <cell r="HW330">
            <v>0</v>
          </cell>
          <cell r="HZ330">
            <v>0</v>
          </cell>
          <cell r="IC330">
            <v>0</v>
          </cell>
          <cell r="IF330">
            <v>0</v>
          </cell>
        </row>
        <row r="331">
          <cell r="GP331">
            <v>0</v>
          </cell>
          <cell r="GS331">
            <v>0</v>
          </cell>
          <cell r="GV331">
            <v>0</v>
          </cell>
          <cell r="GY331">
            <v>0</v>
          </cell>
          <cell r="HB331">
            <v>0</v>
          </cell>
          <cell r="HE331">
            <v>0</v>
          </cell>
          <cell r="HH331">
            <v>0</v>
          </cell>
          <cell r="HK331">
            <v>0</v>
          </cell>
          <cell r="HN331">
            <v>0</v>
          </cell>
          <cell r="HQ331">
            <v>0</v>
          </cell>
          <cell r="HT331">
            <v>0</v>
          </cell>
          <cell r="HW331">
            <v>0</v>
          </cell>
          <cell r="HZ331">
            <v>0</v>
          </cell>
          <cell r="IC331">
            <v>0</v>
          </cell>
          <cell r="IF331">
            <v>0</v>
          </cell>
        </row>
        <row r="335">
          <cell r="GP335" t="str">
            <v>Description</v>
          </cell>
          <cell r="GS335">
            <v>1</v>
          </cell>
          <cell r="GV335">
            <v>2</v>
          </cell>
          <cell r="GY335">
            <v>3</v>
          </cell>
          <cell r="HB335">
            <v>4</v>
          </cell>
          <cell r="HE335">
            <v>5</v>
          </cell>
          <cell r="HH335">
            <v>6</v>
          </cell>
          <cell r="HK335">
            <v>7</v>
          </cell>
          <cell r="HN335">
            <v>8</v>
          </cell>
          <cell r="HQ335">
            <v>9</v>
          </cell>
          <cell r="HT335">
            <v>10</v>
          </cell>
          <cell r="HW335">
            <v>11</v>
          </cell>
          <cell r="HZ335">
            <v>12</v>
          </cell>
          <cell r="IC335">
            <v>13</v>
          </cell>
          <cell r="IF335">
            <v>14</v>
          </cell>
          <cell r="IG335">
            <v>15</v>
          </cell>
          <cell r="IH335">
            <v>16</v>
          </cell>
        </row>
        <row r="336">
          <cell r="GP336" t="str">
            <v>DCS - 2x1 7FA</v>
          </cell>
          <cell r="GQ336">
            <v>2000</v>
          </cell>
          <cell r="GS336">
            <v>2000</v>
          </cell>
          <cell r="GT336">
            <v>2000</v>
          </cell>
          <cell r="GV336">
            <v>2000</v>
          </cell>
          <cell r="GW336">
            <v>2000</v>
          </cell>
          <cell r="GY336">
            <v>2000</v>
          </cell>
          <cell r="GZ336">
            <v>2000</v>
          </cell>
          <cell r="HB336">
            <v>2000</v>
          </cell>
          <cell r="HC336">
            <v>2000</v>
          </cell>
          <cell r="HE336">
            <v>2000</v>
          </cell>
          <cell r="HF336">
            <v>2000</v>
          </cell>
          <cell r="HH336">
            <v>2000</v>
          </cell>
          <cell r="HI336">
            <v>2000</v>
          </cell>
          <cell r="HK336">
            <v>2000</v>
          </cell>
          <cell r="HL336">
            <v>2000</v>
          </cell>
          <cell r="HN336">
            <v>2000</v>
          </cell>
          <cell r="HO336">
            <v>2000</v>
          </cell>
          <cell r="HQ336">
            <v>2000</v>
          </cell>
          <cell r="HR336">
            <v>2000</v>
          </cell>
          <cell r="HT336">
            <v>2000</v>
          </cell>
          <cell r="HU336">
            <v>2000</v>
          </cell>
          <cell r="HW336">
            <v>2000</v>
          </cell>
          <cell r="HX336">
            <v>2000</v>
          </cell>
          <cell r="HZ336">
            <v>2000</v>
          </cell>
          <cell r="IA336">
            <v>2000</v>
          </cell>
          <cell r="IC336">
            <v>2000</v>
          </cell>
          <cell r="ID336">
            <v>2000</v>
          </cell>
          <cell r="IF336">
            <v>2000</v>
          </cell>
        </row>
        <row r="337">
          <cell r="GP337" t="str">
            <v>DCS - LMS100 - (4)</v>
          </cell>
          <cell r="GQ337">
            <v>2000</v>
          </cell>
          <cell r="GS337">
            <v>2000</v>
          </cell>
          <cell r="GT337">
            <v>2000</v>
          </cell>
          <cell r="GV337">
            <v>2000</v>
          </cell>
          <cell r="GW337">
            <v>2000</v>
          </cell>
          <cell r="GY337">
            <v>2000</v>
          </cell>
          <cell r="GZ337">
            <v>2000</v>
          </cell>
          <cell r="HB337">
            <v>2000</v>
          </cell>
          <cell r="HC337">
            <v>2000</v>
          </cell>
          <cell r="HE337">
            <v>2000</v>
          </cell>
          <cell r="HF337">
            <v>2000</v>
          </cell>
          <cell r="HH337">
            <v>2000</v>
          </cell>
          <cell r="HI337">
            <v>2000</v>
          </cell>
          <cell r="HK337">
            <v>2000</v>
          </cell>
          <cell r="HL337">
            <v>2000</v>
          </cell>
          <cell r="HN337">
            <v>2000</v>
          </cell>
          <cell r="HO337">
            <v>2000</v>
          </cell>
          <cell r="HQ337">
            <v>2000</v>
          </cell>
          <cell r="HR337">
            <v>2000</v>
          </cell>
          <cell r="HT337">
            <v>2000</v>
          </cell>
          <cell r="HU337">
            <v>2000</v>
          </cell>
          <cell r="HW337">
            <v>2000</v>
          </cell>
          <cell r="HX337">
            <v>2000</v>
          </cell>
          <cell r="HZ337">
            <v>2000</v>
          </cell>
          <cell r="IA337">
            <v>2000</v>
          </cell>
          <cell r="IC337">
            <v>2000</v>
          </cell>
          <cell r="ID337">
            <v>2000</v>
          </cell>
          <cell r="IF337">
            <v>2000</v>
          </cell>
        </row>
        <row r="338">
          <cell r="GP338" t="str">
            <v>DCS - Trent 60</v>
          </cell>
          <cell r="GQ338">
            <v>1000</v>
          </cell>
          <cell r="GS338">
            <v>1000</v>
          </cell>
          <cell r="GT338">
            <v>1000</v>
          </cell>
          <cell r="GV338">
            <v>1000</v>
          </cell>
          <cell r="GW338">
            <v>1000</v>
          </cell>
          <cell r="GY338">
            <v>1000</v>
          </cell>
          <cell r="GZ338">
            <v>1000</v>
          </cell>
          <cell r="HB338">
            <v>1000</v>
          </cell>
          <cell r="HC338">
            <v>1000</v>
          </cell>
          <cell r="HE338">
            <v>1000</v>
          </cell>
          <cell r="HF338">
            <v>1000</v>
          </cell>
          <cell r="HH338">
            <v>1000</v>
          </cell>
          <cell r="HI338">
            <v>1000</v>
          </cell>
          <cell r="HK338">
            <v>1000</v>
          </cell>
          <cell r="HL338">
            <v>1000</v>
          </cell>
          <cell r="HN338">
            <v>1000</v>
          </cell>
          <cell r="HO338">
            <v>1000</v>
          </cell>
          <cell r="HQ338">
            <v>1000</v>
          </cell>
          <cell r="HR338">
            <v>1000</v>
          </cell>
          <cell r="HT338">
            <v>1000</v>
          </cell>
          <cell r="HU338">
            <v>1000</v>
          </cell>
          <cell r="HW338">
            <v>1000</v>
          </cell>
          <cell r="HX338">
            <v>1000</v>
          </cell>
          <cell r="HZ338">
            <v>1000</v>
          </cell>
          <cell r="IA338">
            <v>1000</v>
          </cell>
          <cell r="IC338">
            <v>1000</v>
          </cell>
          <cell r="ID338">
            <v>1000</v>
          </cell>
          <cell r="IF338">
            <v>1000</v>
          </cell>
        </row>
        <row r="339">
          <cell r="GP339" t="str">
            <v>DCS - LM6000</v>
          </cell>
          <cell r="GQ339">
            <v>1000</v>
          </cell>
          <cell r="GS339">
            <v>1000</v>
          </cell>
          <cell r="GT339">
            <v>1000</v>
          </cell>
          <cell r="GV339">
            <v>1000</v>
          </cell>
          <cell r="GW339">
            <v>1000</v>
          </cell>
          <cell r="GY339">
            <v>1000</v>
          </cell>
          <cell r="GZ339">
            <v>1000</v>
          </cell>
          <cell r="HB339">
            <v>1000</v>
          </cell>
          <cell r="HC339">
            <v>1000</v>
          </cell>
          <cell r="HE339">
            <v>1000</v>
          </cell>
          <cell r="HF339">
            <v>1000</v>
          </cell>
          <cell r="HH339">
            <v>1000</v>
          </cell>
          <cell r="HI339">
            <v>1000</v>
          </cell>
          <cell r="HK339">
            <v>1000</v>
          </cell>
          <cell r="HL339">
            <v>1000</v>
          </cell>
          <cell r="HN339">
            <v>1000</v>
          </cell>
          <cell r="HO339">
            <v>1000</v>
          </cell>
          <cell r="HQ339">
            <v>1000</v>
          </cell>
          <cell r="HR339">
            <v>1000</v>
          </cell>
          <cell r="HT339">
            <v>1000</v>
          </cell>
          <cell r="HU339">
            <v>1000</v>
          </cell>
          <cell r="HW339">
            <v>1000</v>
          </cell>
          <cell r="HX339">
            <v>1000</v>
          </cell>
          <cell r="HZ339">
            <v>1000</v>
          </cell>
          <cell r="IA339">
            <v>1000</v>
          </cell>
          <cell r="IC339">
            <v>1000</v>
          </cell>
          <cell r="ID339">
            <v>1000</v>
          </cell>
          <cell r="IF339">
            <v>1000</v>
          </cell>
        </row>
        <row r="340">
          <cell r="GP340" t="str">
            <v>DCS - GE 7EA (7)</v>
          </cell>
          <cell r="GQ340">
            <v>1000</v>
          </cell>
          <cell r="GS340">
            <v>1000</v>
          </cell>
          <cell r="GT340">
            <v>1000</v>
          </cell>
          <cell r="GV340">
            <v>1000</v>
          </cell>
          <cell r="GW340">
            <v>1000</v>
          </cell>
          <cell r="GY340">
            <v>1000</v>
          </cell>
          <cell r="GZ340">
            <v>1000</v>
          </cell>
          <cell r="HB340">
            <v>1000</v>
          </cell>
          <cell r="HC340">
            <v>1000</v>
          </cell>
          <cell r="HE340">
            <v>1000</v>
          </cell>
          <cell r="HF340">
            <v>1000</v>
          </cell>
          <cell r="HH340">
            <v>1000</v>
          </cell>
          <cell r="HI340">
            <v>1000</v>
          </cell>
          <cell r="HK340">
            <v>1000</v>
          </cell>
          <cell r="HL340">
            <v>1000</v>
          </cell>
          <cell r="HN340">
            <v>1000</v>
          </cell>
          <cell r="HO340">
            <v>1000</v>
          </cell>
          <cell r="HQ340">
            <v>1000</v>
          </cell>
          <cell r="HR340">
            <v>1000</v>
          </cell>
          <cell r="HT340">
            <v>1000</v>
          </cell>
          <cell r="HU340">
            <v>1000</v>
          </cell>
          <cell r="HW340">
            <v>1000</v>
          </cell>
          <cell r="HX340">
            <v>1000</v>
          </cell>
          <cell r="HZ340">
            <v>1000</v>
          </cell>
          <cell r="IA340">
            <v>1000</v>
          </cell>
          <cell r="IC340">
            <v>1000</v>
          </cell>
          <cell r="ID340">
            <v>1000</v>
          </cell>
          <cell r="IF340">
            <v>1000</v>
          </cell>
        </row>
        <row r="341">
          <cell r="GP341" t="str">
            <v>DCS - 3x1 7FA</v>
          </cell>
          <cell r="GQ341">
            <v>2000</v>
          </cell>
          <cell r="GS341">
            <v>2000</v>
          </cell>
          <cell r="GT341">
            <v>2000</v>
          </cell>
          <cell r="GV341">
            <v>2000</v>
          </cell>
          <cell r="GW341">
            <v>2000</v>
          </cell>
          <cell r="GY341">
            <v>2000</v>
          </cell>
          <cell r="GZ341">
            <v>2000</v>
          </cell>
          <cell r="HB341">
            <v>2000</v>
          </cell>
          <cell r="HC341">
            <v>2000</v>
          </cell>
          <cell r="HE341">
            <v>2000</v>
          </cell>
          <cell r="HF341">
            <v>2000</v>
          </cell>
          <cell r="HH341">
            <v>2000</v>
          </cell>
          <cell r="HI341">
            <v>2000</v>
          </cell>
          <cell r="HK341">
            <v>2000</v>
          </cell>
          <cell r="HL341">
            <v>2000</v>
          </cell>
          <cell r="HN341">
            <v>2000</v>
          </cell>
          <cell r="HO341">
            <v>2000</v>
          </cell>
          <cell r="HQ341">
            <v>2000</v>
          </cell>
          <cell r="HR341">
            <v>2000</v>
          </cell>
          <cell r="HT341">
            <v>2000</v>
          </cell>
          <cell r="HU341">
            <v>2000</v>
          </cell>
          <cell r="HW341">
            <v>2000</v>
          </cell>
          <cell r="HX341">
            <v>2000</v>
          </cell>
          <cell r="HZ341">
            <v>2000</v>
          </cell>
          <cell r="IA341">
            <v>2000</v>
          </cell>
          <cell r="IC341">
            <v>2000</v>
          </cell>
          <cell r="ID341">
            <v>2000</v>
          </cell>
          <cell r="IF341">
            <v>2000</v>
          </cell>
        </row>
        <row r="342">
          <cell r="GP342" t="str">
            <v>3x0 Mark VI</v>
          </cell>
          <cell r="GQ342">
            <v>2000</v>
          </cell>
          <cell r="GS342">
            <v>2000</v>
          </cell>
          <cell r="GT342">
            <v>2000</v>
          </cell>
          <cell r="GV342">
            <v>2000</v>
          </cell>
          <cell r="GW342">
            <v>2000</v>
          </cell>
          <cell r="GY342">
            <v>2000</v>
          </cell>
          <cell r="GZ342">
            <v>2000</v>
          </cell>
          <cell r="HB342">
            <v>2000</v>
          </cell>
          <cell r="HC342">
            <v>2000</v>
          </cell>
          <cell r="HE342">
            <v>2000</v>
          </cell>
          <cell r="HF342">
            <v>2000</v>
          </cell>
          <cell r="HH342">
            <v>2000</v>
          </cell>
          <cell r="HI342">
            <v>2000</v>
          </cell>
          <cell r="HK342">
            <v>2000</v>
          </cell>
          <cell r="HL342">
            <v>2000</v>
          </cell>
          <cell r="HN342">
            <v>2000</v>
          </cell>
          <cell r="HO342">
            <v>2000</v>
          </cell>
          <cell r="HQ342">
            <v>2000</v>
          </cell>
          <cell r="HR342">
            <v>2000</v>
          </cell>
          <cell r="HT342">
            <v>2000</v>
          </cell>
          <cell r="HU342">
            <v>2000</v>
          </cell>
          <cell r="HW342">
            <v>2000</v>
          </cell>
          <cell r="HX342">
            <v>2000</v>
          </cell>
          <cell r="HZ342">
            <v>2000</v>
          </cell>
          <cell r="IA342">
            <v>2000</v>
          </cell>
          <cell r="IC342">
            <v>2000</v>
          </cell>
          <cell r="ID342">
            <v>2000</v>
          </cell>
          <cell r="IF342">
            <v>2000</v>
          </cell>
        </row>
        <row r="343">
          <cell r="GP343" t="str">
            <v>DCS - 4x2 7FA</v>
          </cell>
          <cell r="GQ343">
            <v>3000</v>
          </cell>
          <cell r="GS343">
            <v>3000</v>
          </cell>
          <cell r="GT343">
            <v>3000</v>
          </cell>
          <cell r="GV343">
            <v>3000</v>
          </cell>
          <cell r="GW343">
            <v>3000</v>
          </cell>
          <cell r="GY343">
            <v>3000</v>
          </cell>
          <cell r="GZ343">
            <v>3000</v>
          </cell>
          <cell r="HB343">
            <v>3000</v>
          </cell>
          <cell r="HC343">
            <v>3000</v>
          </cell>
          <cell r="HE343">
            <v>3000</v>
          </cell>
          <cell r="HF343">
            <v>3000</v>
          </cell>
          <cell r="HH343">
            <v>3000</v>
          </cell>
          <cell r="HI343">
            <v>3000</v>
          </cell>
          <cell r="HK343">
            <v>3000</v>
          </cell>
          <cell r="HL343">
            <v>3000</v>
          </cell>
          <cell r="HN343">
            <v>3000</v>
          </cell>
          <cell r="HO343">
            <v>3000</v>
          </cell>
          <cell r="HQ343">
            <v>3000</v>
          </cell>
          <cell r="HR343">
            <v>3000</v>
          </cell>
          <cell r="HT343">
            <v>3000</v>
          </cell>
          <cell r="HU343">
            <v>3000</v>
          </cell>
          <cell r="HW343">
            <v>3000</v>
          </cell>
          <cell r="HX343">
            <v>3000</v>
          </cell>
          <cell r="HZ343">
            <v>3000</v>
          </cell>
          <cell r="IA343">
            <v>3000</v>
          </cell>
          <cell r="IC343">
            <v>3000</v>
          </cell>
          <cell r="ID343">
            <v>3000</v>
          </cell>
          <cell r="IF343">
            <v>3000</v>
          </cell>
        </row>
        <row r="344">
          <cell r="GP344" t="str">
            <v>DCS - GE 7EA (1)</v>
          </cell>
          <cell r="GQ344">
            <v>1000</v>
          </cell>
          <cell r="GS344">
            <v>1000</v>
          </cell>
          <cell r="GT344">
            <v>1000</v>
          </cell>
          <cell r="GV344">
            <v>1000</v>
          </cell>
          <cell r="GW344">
            <v>1000</v>
          </cell>
          <cell r="GY344">
            <v>1000</v>
          </cell>
          <cell r="GZ344">
            <v>1000</v>
          </cell>
          <cell r="HB344">
            <v>1000</v>
          </cell>
          <cell r="HC344">
            <v>1000</v>
          </cell>
          <cell r="HE344">
            <v>1000</v>
          </cell>
          <cell r="HF344">
            <v>1000</v>
          </cell>
          <cell r="HH344">
            <v>1000</v>
          </cell>
          <cell r="HI344">
            <v>1000</v>
          </cell>
          <cell r="HK344">
            <v>1000</v>
          </cell>
          <cell r="HL344">
            <v>1000</v>
          </cell>
          <cell r="HN344">
            <v>1000</v>
          </cell>
          <cell r="HO344">
            <v>1000</v>
          </cell>
          <cell r="HQ344">
            <v>1000</v>
          </cell>
          <cell r="HR344">
            <v>1000</v>
          </cell>
          <cell r="HT344">
            <v>1000</v>
          </cell>
          <cell r="HU344">
            <v>1000</v>
          </cell>
          <cell r="HW344">
            <v>1000</v>
          </cell>
          <cell r="HX344">
            <v>1000</v>
          </cell>
          <cell r="HZ344">
            <v>1000</v>
          </cell>
          <cell r="IA344">
            <v>1000</v>
          </cell>
          <cell r="IC344">
            <v>1000</v>
          </cell>
          <cell r="ID344">
            <v>1000</v>
          </cell>
          <cell r="IF344">
            <v>1000</v>
          </cell>
        </row>
        <row r="345">
          <cell r="GP345" t="str">
            <v>DCS - 4x0 7FA</v>
          </cell>
          <cell r="GQ345">
            <v>1000</v>
          </cell>
          <cell r="GS345">
            <v>1000</v>
          </cell>
          <cell r="GT345">
            <v>1000</v>
          </cell>
          <cell r="GV345">
            <v>1000</v>
          </cell>
          <cell r="GW345">
            <v>1000</v>
          </cell>
          <cell r="GY345">
            <v>1000</v>
          </cell>
          <cell r="GZ345">
            <v>1000</v>
          </cell>
          <cell r="HB345">
            <v>1000</v>
          </cell>
          <cell r="HC345">
            <v>1000</v>
          </cell>
          <cell r="HE345">
            <v>1000</v>
          </cell>
          <cell r="HF345">
            <v>1000</v>
          </cell>
          <cell r="HH345">
            <v>1000</v>
          </cell>
          <cell r="HI345">
            <v>1000</v>
          </cell>
          <cell r="HK345">
            <v>1000</v>
          </cell>
          <cell r="HL345">
            <v>1000</v>
          </cell>
          <cell r="HN345">
            <v>1000</v>
          </cell>
          <cell r="HO345">
            <v>1000</v>
          </cell>
          <cell r="HQ345">
            <v>1000</v>
          </cell>
          <cell r="HR345">
            <v>1000</v>
          </cell>
          <cell r="HT345">
            <v>1000</v>
          </cell>
          <cell r="HU345">
            <v>1000</v>
          </cell>
          <cell r="HW345">
            <v>1000</v>
          </cell>
          <cell r="HX345">
            <v>1000</v>
          </cell>
          <cell r="HZ345">
            <v>1000</v>
          </cell>
          <cell r="IA345">
            <v>1000</v>
          </cell>
          <cell r="IC345">
            <v>1000</v>
          </cell>
          <cell r="ID345">
            <v>1000</v>
          </cell>
          <cell r="IF345">
            <v>1000</v>
          </cell>
        </row>
        <row r="346">
          <cell r="GP346" t="str">
            <v>DCS - 2x0 7FA</v>
          </cell>
          <cell r="GQ346">
            <v>1000</v>
          </cell>
          <cell r="GS346">
            <v>1000</v>
          </cell>
          <cell r="GT346">
            <v>1000</v>
          </cell>
          <cell r="GV346">
            <v>1000</v>
          </cell>
          <cell r="GW346">
            <v>1000</v>
          </cell>
          <cell r="GY346">
            <v>1000</v>
          </cell>
          <cell r="GZ346">
            <v>1000</v>
          </cell>
          <cell r="HB346">
            <v>1000</v>
          </cell>
          <cell r="HC346">
            <v>1000</v>
          </cell>
          <cell r="HE346">
            <v>1000</v>
          </cell>
          <cell r="HF346">
            <v>1000</v>
          </cell>
          <cell r="HH346">
            <v>1000</v>
          </cell>
          <cell r="HI346">
            <v>1000</v>
          </cell>
          <cell r="HK346">
            <v>1000</v>
          </cell>
          <cell r="HL346">
            <v>1000</v>
          </cell>
          <cell r="HN346">
            <v>1000</v>
          </cell>
          <cell r="HO346">
            <v>1000</v>
          </cell>
          <cell r="HQ346">
            <v>1000</v>
          </cell>
          <cell r="HR346">
            <v>1000</v>
          </cell>
          <cell r="HT346">
            <v>1000</v>
          </cell>
          <cell r="HU346">
            <v>1000</v>
          </cell>
          <cell r="HW346">
            <v>1000</v>
          </cell>
          <cell r="HX346">
            <v>1000</v>
          </cell>
          <cell r="HZ346">
            <v>1000</v>
          </cell>
          <cell r="IA346">
            <v>1000</v>
          </cell>
          <cell r="IC346">
            <v>1000</v>
          </cell>
          <cell r="ID346">
            <v>1000</v>
          </cell>
          <cell r="IF346">
            <v>1000</v>
          </cell>
        </row>
        <row r="347">
          <cell r="GP347" t="str">
            <v>DCS - 3x0 7FA</v>
          </cell>
          <cell r="GQ347">
            <v>1000</v>
          </cell>
          <cell r="GS347">
            <v>1000</v>
          </cell>
          <cell r="GT347">
            <v>1000</v>
          </cell>
          <cell r="GV347">
            <v>1000</v>
          </cell>
          <cell r="GW347">
            <v>1000</v>
          </cell>
          <cell r="GY347">
            <v>1000</v>
          </cell>
          <cell r="GZ347">
            <v>1000</v>
          </cell>
          <cell r="HB347">
            <v>1000</v>
          </cell>
          <cell r="HC347">
            <v>1000</v>
          </cell>
          <cell r="HE347">
            <v>1000</v>
          </cell>
          <cell r="HF347">
            <v>1000</v>
          </cell>
          <cell r="HH347">
            <v>1000</v>
          </cell>
          <cell r="HI347">
            <v>1000</v>
          </cell>
          <cell r="HK347">
            <v>1000</v>
          </cell>
          <cell r="HL347">
            <v>1000</v>
          </cell>
          <cell r="HN347">
            <v>1000</v>
          </cell>
          <cell r="HO347">
            <v>1000</v>
          </cell>
          <cell r="HQ347">
            <v>1000</v>
          </cell>
          <cell r="HR347">
            <v>1000</v>
          </cell>
          <cell r="HT347">
            <v>1000</v>
          </cell>
          <cell r="HU347">
            <v>1000</v>
          </cell>
          <cell r="HW347">
            <v>1000</v>
          </cell>
          <cell r="HX347">
            <v>1000</v>
          </cell>
          <cell r="HZ347">
            <v>1000</v>
          </cell>
          <cell r="IA347">
            <v>1000</v>
          </cell>
          <cell r="IC347">
            <v>1000</v>
          </cell>
          <cell r="ID347">
            <v>1000</v>
          </cell>
          <cell r="IF347">
            <v>1000</v>
          </cell>
        </row>
        <row r="348">
          <cell r="GP348" t="str">
            <v>DCS - LMS100 - (5)</v>
          </cell>
          <cell r="GQ348">
            <v>2000</v>
          </cell>
          <cell r="GS348">
            <v>2000</v>
          </cell>
          <cell r="GT348">
            <v>2000</v>
          </cell>
          <cell r="GV348">
            <v>2000</v>
          </cell>
          <cell r="GW348">
            <v>2000</v>
          </cell>
          <cell r="GY348">
            <v>2000</v>
          </cell>
          <cell r="GZ348">
            <v>2000</v>
          </cell>
          <cell r="HB348">
            <v>2000</v>
          </cell>
          <cell r="HC348">
            <v>2000</v>
          </cell>
          <cell r="HE348">
            <v>2000</v>
          </cell>
          <cell r="HF348">
            <v>2000</v>
          </cell>
          <cell r="HH348">
            <v>2000</v>
          </cell>
          <cell r="HI348">
            <v>2000</v>
          </cell>
          <cell r="HK348">
            <v>2000</v>
          </cell>
          <cell r="HL348">
            <v>2000</v>
          </cell>
          <cell r="HN348">
            <v>2000</v>
          </cell>
          <cell r="HO348">
            <v>2000</v>
          </cell>
          <cell r="HQ348">
            <v>2000</v>
          </cell>
          <cell r="HR348">
            <v>2000</v>
          </cell>
          <cell r="HT348">
            <v>2000</v>
          </cell>
          <cell r="HU348">
            <v>2000</v>
          </cell>
          <cell r="HW348">
            <v>2000</v>
          </cell>
          <cell r="HX348">
            <v>2000</v>
          </cell>
          <cell r="HZ348">
            <v>2000</v>
          </cell>
          <cell r="IA348">
            <v>2000</v>
          </cell>
          <cell r="IC348">
            <v>2000</v>
          </cell>
          <cell r="ID348">
            <v>2000</v>
          </cell>
          <cell r="IF348">
            <v>2000</v>
          </cell>
        </row>
        <row r="349">
          <cell r="GP349" t="str">
            <v>DCS - LMS100 Upgrade Existing</v>
          </cell>
          <cell r="GS349">
            <v>0</v>
          </cell>
          <cell r="GV349">
            <v>0</v>
          </cell>
          <cell r="GY349">
            <v>0</v>
          </cell>
          <cell r="HB349">
            <v>0</v>
          </cell>
          <cell r="HE349">
            <v>0</v>
          </cell>
          <cell r="HH349">
            <v>0</v>
          </cell>
          <cell r="HK349">
            <v>0</v>
          </cell>
          <cell r="HN349">
            <v>0</v>
          </cell>
          <cell r="HQ349">
            <v>0</v>
          </cell>
          <cell r="HT349">
            <v>0</v>
          </cell>
          <cell r="HW349">
            <v>0</v>
          </cell>
          <cell r="HZ349">
            <v>0</v>
          </cell>
          <cell r="IC349">
            <v>0</v>
          </cell>
          <cell r="IF349">
            <v>0</v>
          </cell>
        </row>
        <row r="350">
          <cell r="GP350" t="str">
            <v xml:space="preserve">DCS - 1x1 F </v>
          </cell>
          <cell r="GQ350">
            <v>2000</v>
          </cell>
          <cell r="GS350">
            <v>2000</v>
          </cell>
          <cell r="GT350">
            <v>2000</v>
          </cell>
          <cell r="GV350">
            <v>2000</v>
          </cell>
          <cell r="GW350">
            <v>2000</v>
          </cell>
          <cell r="GY350">
            <v>2000</v>
          </cell>
          <cell r="GZ350">
            <v>2000</v>
          </cell>
          <cell r="HB350">
            <v>2000</v>
          </cell>
          <cell r="HC350">
            <v>2000</v>
          </cell>
          <cell r="HE350">
            <v>2000</v>
          </cell>
          <cell r="HF350">
            <v>2000</v>
          </cell>
          <cell r="HH350">
            <v>2000</v>
          </cell>
          <cell r="HI350">
            <v>2000</v>
          </cell>
          <cell r="HK350">
            <v>2000</v>
          </cell>
          <cell r="HL350">
            <v>2000</v>
          </cell>
          <cell r="HN350">
            <v>2000</v>
          </cell>
          <cell r="HO350">
            <v>2000</v>
          </cell>
          <cell r="HQ350">
            <v>2000</v>
          </cell>
          <cell r="HR350">
            <v>2000</v>
          </cell>
          <cell r="HT350">
            <v>2000</v>
          </cell>
          <cell r="HU350">
            <v>2000</v>
          </cell>
          <cell r="HW350">
            <v>2000</v>
          </cell>
          <cell r="HX350">
            <v>2000</v>
          </cell>
          <cell r="HZ350">
            <v>2000</v>
          </cell>
          <cell r="IA350">
            <v>2000</v>
          </cell>
          <cell r="IC350">
            <v>2000</v>
          </cell>
          <cell r="ID350">
            <v>2000</v>
          </cell>
          <cell r="IF350">
            <v>2000</v>
          </cell>
        </row>
      </sheetData>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theme/theme1.xml><?xml version="1.0" encoding="utf-8"?>
<a:theme xmlns:a="http://schemas.openxmlformats.org/drawingml/2006/main" name="Brattle">
  <a:themeElements>
    <a:clrScheme name="Brattle 2015">
      <a:dk1>
        <a:srgbClr val="000000"/>
      </a:dk1>
      <a:lt1>
        <a:srgbClr val="FFFFFF"/>
      </a:lt1>
      <a:dk2>
        <a:srgbClr val="FFFFFF"/>
      </a:dk2>
      <a:lt2>
        <a:srgbClr val="00467F"/>
      </a:lt2>
      <a:accent1>
        <a:srgbClr val="002B54"/>
      </a:accent1>
      <a:accent2>
        <a:srgbClr val="7FB9C2"/>
      </a:accent2>
      <a:accent3>
        <a:srgbClr val="6A7277"/>
      </a:accent3>
      <a:accent4>
        <a:srgbClr val="EF4623"/>
      </a:accent4>
      <a:accent5>
        <a:srgbClr val="00467F"/>
      </a:accent5>
      <a:accent6>
        <a:srgbClr val="CCCDC3"/>
      </a:accent6>
      <a:hlink>
        <a:srgbClr val="7FB9C2"/>
      </a:hlink>
      <a:folHlink>
        <a:srgbClr val="00467F"/>
      </a:folHlink>
    </a:clrScheme>
    <a:fontScheme name="Brattle 2015">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camdencounty.com/service/board-of-taxation/" TargetMode="External"/></Relationships>
</file>

<file path=xl/worksheets/_rels/sheet2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irs.gov/pub/irs-pdf/p946.pdf" TargetMode="Externa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drawing" Target="../drawings/drawing1.xml"/><Relationship Id="rId7" Type="http://schemas.openxmlformats.org/officeDocument/2006/relationships/ctrlProp" Target="../ctrlProps/ctrlProp2.xml"/><Relationship Id="rId2" Type="http://schemas.openxmlformats.org/officeDocument/2006/relationships/printerSettings" Target="../printerSettings/printerSettings28.bin"/><Relationship Id="rId1" Type="http://schemas.openxmlformats.org/officeDocument/2006/relationships/hyperlink" Target="https://atb.nrel.gov/electricity/2021/utility-scale_battery_storage" TargetMode="External"/><Relationship Id="rId6" Type="http://schemas.openxmlformats.org/officeDocument/2006/relationships/ctrlProp" Target="../ctrlProps/ctrlProp1.xml"/><Relationship Id="rId5" Type="http://schemas.openxmlformats.org/officeDocument/2006/relationships/vmlDrawing" Target="../drawings/vmlDrawing4.vml"/><Relationship Id="rId10" Type="http://schemas.openxmlformats.org/officeDocument/2006/relationships/ctrlProp" Target="../ctrlProps/ctrlProp5.xml"/><Relationship Id="rId4" Type="http://schemas.openxmlformats.org/officeDocument/2006/relationships/vmlDrawing" Target="../drawings/vmlDrawing3.vml"/><Relationship Id="rId9" Type="http://schemas.openxmlformats.org/officeDocument/2006/relationships/ctrlProp" Target="../ctrlProps/ctrlProp4.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
  <sheetViews>
    <sheetView topLeftCell="A1048576" workbookViewId="0">
      <selection sqref="A1:XFD1048576"/>
    </sheetView>
  </sheetViews>
  <sheetFormatPr defaultRowHeight="12.75" zeroHeight="1"/>
  <sheetData>
    <row r="1" hidden="1"/>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2:T36"/>
  <sheetViews>
    <sheetView showGridLines="0" zoomScaleNormal="100" workbookViewId="0"/>
  </sheetViews>
  <sheetFormatPr defaultRowHeight="12.75" outlineLevelCol="1"/>
  <cols>
    <col min="1" max="1" width="4" customWidth="1"/>
    <col min="2" max="2" width="3.5703125" customWidth="1"/>
    <col min="3" max="3" width="20.140625" customWidth="1"/>
    <col min="4" max="4" width="19" style="125" customWidth="1"/>
    <col min="5" max="5" width="11.28515625" style="125" customWidth="1"/>
    <col min="6" max="7" width="9.85546875" bestFit="1" customWidth="1" outlineLevel="1"/>
    <col min="8" max="8" width="11.42578125" bestFit="1" customWidth="1" outlineLevel="1"/>
    <col min="9" max="9" width="9.85546875" bestFit="1" customWidth="1" outlineLevel="1"/>
    <col min="10" max="10" width="0.5703125" customWidth="1" outlineLevel="1"/>
    <col min="11" max="14" width="9.85546875" customWidth="1"/>
    <col min="15" max="15" width="0.5703125" customWidth="1"/>
    <col min="16" max="16" width="12" bestFit="1" customWidth="1"/>
    <col min="17" max="17" width="9" bestFit="1" customWidth="1"/>
  </cols>
  <sheetData>
    <row r="2" spans="2:20" ht="6" customHeight="1" thickBot="1">
      <c r="B2" s="110"/>
      <c r="C2" s="110"/>
      <c r="D2" s="122"/>
      <c r="E2" s="122"/>
      <c r="F2" s="1051"/>
      <c r="G2" s="1051"/>
      <c r="H2" s="1051"/>
      <c r="I2" s="1051"/>
      <c r="J2" s="1051"/>
      <c r="K2" s="1051"/>
      <c r="L2" s="1051"/>
      <c r="M2" s="1051"/>
      <c r="N2" s="1051"/>
      <c r="O2" s="1051"/>
    </row>
    <row r="3" spans="2:20" ht="6" customHeight="1" thickTop="1">
      <c r="B3" s="111"/>
      <c r="C3" s="111"/>
      <c r="D3" s="123"/>
      <c r="E3" s="123"/>
      <c r="F3" s="1052"/>
      <c r="G3" s="1052"/>
      <c r="H3" s="1052"/>
      <c r="I3" s="1052"/>
      <c r="J3" s="1052"/>
      <c r="K3" s="1052"/>
      <c r="L3" s="1052"/>
      <c r="M3" s="1052"/>
      <c r="N3" s="1052"/>
      <c r="O3" s="1052"/>
    </row>
    <row r="4" spans="2:20" ht="15">
      <c r="B4" s="1027"/>
      <c r="C4" s="1027"/>
      <c r="D4" s="1027"/>
      <c r="E4" s="1027"/>
      <c r="F4" s="105" t="s">
        <v>169</v>
      </c>
      <c r="G4" s="105"/>
      <c r="H4" s="105"/>
      <c r="I4" s="105"/>
      <c r="J4" s="1027"/>
      <c r="K4" s="105" t="s">
        <v>819</v>
      </c>
      <c r="L4" s="105"/>
      <c r="M4" s="105"/>
      <c r="N4" s="105"/>
      <c r="O4" s="1027"/>
    </row>
    <row r="5" spans="2:20" ht="15">
      <c r="B5" s="124"/>
      <c r="C5" s="124"/>
      <c r="D5" s="124"/>
      <c r="E5" s="124"/>
      <c r="F5" s="1000" t="s">
        <v>120</v>
      </c>
      <c r="G5" s="1000" t="s">
        <v>121</v>
      </c>
      <c r="H5" s="1000" t="s">
        <v>111</v>
      </c>
      <c r="I5" s="1000" t="s">
        <v>122</v>
      </c>
      <c r="J5" s="1054"/>
      <c r="K5" s="1000" t="s">
        <v>120</v>
      </c>
      <c r="L5" s="1000" t="s">
        <v>121</v>
      </c>
      <c r="M5" s="1000" t="s">
        <v>111</v>
      </c>
      <c r="N5" s="1000" t="s">
        <v>122</v>
      </c>
      <c r="O5" s="1054"/>
    </row>
    <row r="6" spans="2:20" ht="5.45" customHeight="1">
      <c r="B6" s="1028"/>
      <c r="C6" s="1028"/>
      <c r="D6" s="107"/>
      <c r="E6" s="107"/>
      <c r="F6" s="1053"/>
      <c r="G6" s="1053"/>
      <c r="H6" s="1053"/>
      <c r="I6" s="1053"/>
      <c r="J6" s="1053"/>
      <c r="K6" s="1053"/>
      <c r="L6" s="1053"/>
      <c r="M6" s="1053"/>
      <c r="N6" s="1053"/>
      <c r="O6" s="1053"/>
    </row>
    <row r="7" spans="2:20" ht="13.9" customHeight="1">
      <c r="B7" s="1030">
        <v>1</v>
      </c>
      <c r="C7" s="112" t="s">
        <v>109</v>
      </c>
      <c r="D7" s="873" t="s">
        <v>162</v>
      </c>
      <c r="E7" s="1043"/>
      <c r="F7" s="1058">
        <f>'Summary Table (kW-yr)'!D14</f>
        <v>360.589</v>
      </c>
      <c r="G7" s="1058">
        <f>'Summary Table (kW-yr)'!E14</f>
        <v>362.83800000000002</v>
      </c>
      <c r="H7" s="1058">
        <f>'Summary Table (kW-yr)'!F14</f>
        <v>352.92700000000002</v>
      </c>
      <c r="I7" s="1058">
        <f>'Summary Table (kW-yr)'!G14</f>
        <v>349.94</v>
      </c>
      <c r="J7" s="1058"/>
      <c r="K7" s="1058">
        <f>'Summary Table (kW-yr)'!I14</f>
        <v>1170.73</v>
      </c>
      <c r="L7" s="1058">
        <f>'Summary Table (kW-yr)'!J14</f>
        <v>1173.6579999999999</v>
      </c>
      <c r="M7" s="1058">
        <f>'Summary Table (kW-yr)'!K14</f>
        <v>1144.0940000000001</v>
      </c>
      <c r="N7" s="1058">
        <f>'Summary Table (kW-yr)'!L14</f>
        <v>1133.424</v>
      </c>
      <c r="O7" s="1058"/>
      <c r="P7" s="144"/>
      <c r="Q7" s="144"/>
      <c r="R7" s="144"/>
      <c r="S7" s="144"/>
      <c r="T7" s="1020"/>
    </row>
    <row r="8" spans="2:20" ht="6" customHeight="1">
      <c r="B8" s="1028"/>
      <c r="C8" s="1028"/>
      <c r="D8" s="107"/>
      <c r="E8" s="107"/>
      <c r="F8" s="1053"/>
      <c r="G8" s="1053"/>
      <c r="H8" s="1053"/>
      <c r="I8" s="1053"/>
      <c r="J8" s="1053"/>
      <c r="K8" s="1053"/>
      <c r="L8" s="1053"/>
      <c r="M8" s="1053"/>
      <c r="N8" s="1053"/>
      <c r="O8" s="1053"/>
    </row>
    <row r="9" spans="2:20" ht="15">
      <c r="B9" s="108"/>
      <c r="C9" s="108" t="s">
        <v>190</v>
      </c>
      <c r="D9" s="120"/>
      <c r="E9" s="1040"/>
      <c r="F9" s="224"/>
      <c r="G9" s="224"/>
      <c r="H9" s="224"/>
      <c r="I9" s="224"/>
      <c r="J9" s="224"/>
      <c r="K9" s="224"/>
      <c r="L9" s="224"/>
      <c r="M9" s="224"/>
      <c r="N9" s="224"/>
      <c r="O9" s="224"/>
    </row>
    <row r="10" spans="2:20" ht="15">
      <c r="B10" s="1029">
        <f>MAX($B$7:B7)+1</f>
        <v>2</v>
      </c>
      <c r="C10" s="1055" t="s">
        <v>209</v>
      </c>
      <c r="D10" s="877" t="s">
        <v>811</v>
      </c>
      <c r="E10" s="1041"/>
      <c r="F10" s="878">
        <f>'Summary Table (kW-yr)'!D10</f>
        <v>325.29899999999998</v>
      </c>
      <c r="G10" s="878">
        <f>'Summary Table (kW-yr)'!E10</f>
        <v>307.08899999999994</v>
      </c>
      <c r="H10" s="878">
        <f>'Summary Table (kW-yr)'!F10</f>
        <v>311.42500000000001</v>
      </c>
      <c r="I10" s="878">
        <f>'Summary Table (kW-yr)'!G10</f>
        <v>317.00700000000001</v>
      </c>
      <c r="J10" s="878"/>
      <c r="K10" s="878">
        <f>'Summary Table (kW-yr)'!I10</f>
        <v>1358.5466073980294</v>
      </c>
      <c r="L10" s="878">
        <f>'Summary Table (kW-yr)'!J10</f>
        <v>1240.4946073980293</v>
      </c>
      <c r="M10" s="878">
        <f>'Summary Table (kW-yr)'!K10</f>
        <v>1263.2786073980292</v>
      </c>
      <c r="N10" s="878">
        <f>'Summary Table (kW-yr)'!L10</f>
        <v>1307.6186073980291</v>
      </c>
      <c r="O10" s="878"/>
      <c r="P10" s="996"/>
      <c r="Q10" s="996"/>
      <c r="R10" s="996"/>
      <c r="S10" s="996"/>
    </row>
    <row r="11" spans="2:20" ht="15">
      <c r="B11" s="1030">
        <f>MAX($B$7:B10)+1</f>
        <v>3</v>
      </c>
      <c r="C11" s="1056" t="s">
        <v>561</v>
      </c>
      <c r="D11" s="872" t="s">
        <v>811</v>
      </c>
      <c r="E11" s="1042"/>
      <c r="F11" s="852">
        <f>'Summary Table (kW-yr)'!D11</f>
        <v>340.83951959639126</v>
      </c>
      <c r="G11" s="852">
        <f>'Summary Table (kW-yr)'!E11</f>
        <v>321.8813094027596</v>
      </c>
      <c r="H11" s="852">
        <f>'Summary Table (kW-yr)'!F11</f>
        <v>326.36007810844524</v>
      </c>
      <c r="I11" s="852">
        <f>'Summary Table (kW-yr)'!G11</f>
        <v>332.20977532607816</v>
      </c>
      <c r="J11" s="852"/>
      <c r="K11" s="852">
        <f>'Summary Table (kW-yr)'!I11</f>
        <v>1469.6235075709719</v>
      </c>
      <c r="L11" s="852">
        <f>'Summary Table (kW-yr)'!J11</f>
        <v>1342.7774756814895</v>
      </c>
      <c r="M11" s="852">
        <f>'Summary Table (kW-yr)'!K11</f>
        <v>1366.9722295114716</v>
      </c>
      <c r="N11" s="852">
        <f>'Summary Table (kW-yr)'!L11</f>
        <v>1414.9517870703387</v>
      </c>
      <c r="O11" s="852"/>
    </row>
    <row r="12" spans="2:20" ht="15">
      <c r="B12" s="1029">
        <f>MAX($B$7:B11)+1</f>
        <v>4</v>
      </c>
      <c r="C12" s="1055" t="s">
        <v>212</v>
      </c>
      <c r="D12" s="877" t="s">
        <v>812</v>
      </c>
      <c r="E12" s="1041"/>
      <c r="F12" s="878">
        <f>'Summary Table (kW-yr)'!D12</f>
        <v>9.4960957959905308</v>
      </c>
      <c r="G12" s="878">
        <f>'Summary Table (kW-yr)'!E12</f>
        <v>14.360195864012841</v>
      </c>
      <c r="H12" s="878">
        <f>'Summary Table (kW-yr)'!F12</f>
        <v>13.533984772797258</v>
      </c>
      <c r="I12" s="878">
        <f>'Summary Table (kW-yr)'!G12</f>
        <v>10.943505307396579</v>
      </c>
      <c r="J12" s="878"/>
      <c r="K12" s="878">
        <f>'Summary Table (kW-yr)'!I12</f>
        <v>36.826367326893418</v>
      </c>
      <c r="L12" s="878">
        <f>'Summary Table (kW-yr)'!J12</f>
        <v>52.643680580230658</v>
      </c>
      <c r="M12" s="878">
        <f>'Summary Table (kW-yr)'!K12</f>
        <v>46.75445923015608</v>
      </c>
      <c r="N12" s="878">
        <f>'Summary Table (kW-yr)'!L12</f>
        <v>38.77833954256463</v>
      </c>
      <c r="O12" s="878"/>
      <c r="P12" s="997"/>
      <c r="Q12" s="997"/>
      <c r="R12" s="997"/>
      <c r="S12" s="997"/>
    </row>
    <row r="13" spans="2:20" ht="6" customHeight="1">
      <c r="B13" s="1031"/>
      <c r="C13" s="1057"/>
      <c r="D13" s="872"/>
      <c r="E13" s="1042"/>
      <c r="F13" s="206"/>
      <c r="G13" s="206"/>
      <c r="H13" s="206"/>
      <c r="I13" s="206"/>
      <c r="J13" s="206"/>
      <c r="K13" s="206"/>
      <c r="L13" s="206"/>
      <c r="M13" s="206"/>
      <c r="N13" s="206"/>
      <c r="O13" s="206"/>
      <c r="P13" s="450"/>
      <c r="Q13" s="450"/>
      <c r="R13" s="450"/>
      <c r="S13" s="450"/>
      <c r="T13" s="1020"/>
    </row>
    <row r="15" spans="2:20" ht="6" customHeight="1">
      <c r="B15" s="1031"/>
      <c r="C15" s="1059"/>
      <c r="D15" s="872"/>
      <c r="E15" s="1042"/>
      <c r="F15" s="206"/>
      <c r="G15" s="206"/>
      <c r="H15" s="206"/>
      <c r="I15" s="206"/>
      <c r="J15" s="206"/>
      <c r="K15" s="206"/>
      <c r="L15" s="206"/>
      <c r="M15" s="206"/>
      <c r="N15" s="206"/>
      <c r="O15" s="206"/>
      <c r="P15" s="1020"/>
      <c r="Q15" s="1020"/>
      <c r="R15" s="1020"/>
      <c r="S15" s="1020"/>
      <c r="T15" s="1020"/>
    </row>
    <row r="16" spans="2:20" ht="15">
      <c r="B16" s="1032"/>
      <c r="C16" s="112" t="s">
        <v>194</v>
      </c>
      <c r="D16" s="872"/>
      <c r="E16" s="1042"/>
      <c r="F16" s="852"/>
      <c r="G16" s="852"/>
      <c r="H16" s="852"/>
      <c r="I16" s="852"/>
      <c r="J16" s="206"/>
      <c r="K16" s="852"/>
      <c r="L16" s="852"/>
      <c r="M16" s="852"/>
      <c r="N16" s="852"/>
      <c r="O16" s="206"/>
      <c r="P16" s="1096"/>
      <c r="Q16" s="1096"/>
      <c r="R16" s="1096"/>
      <c r="S16" s="1096"/>
      <c r="T16" s="1020"/>
    </row>
    <row r="17" spans="2:20" ht="15">
      <c r="B17" s="1029">
        <f>MAX($B$7:B16)+1</f>
        <v>5</v>
      </c>
      <c r="C17" s="1055" t="s">
        <v>209</v>
      </c>
      <c r="D17" s="877" t="s">
        <v>813</v>
      </c>
      <c r="E17" s="1044" t="s">
        <v>817</v>
      </c>
      <c r="F17" s="879">
        <f>'Summary Table (kW-yr)'!D17</f>
        <v>902.13234458067222</v>
      </c>
      <c r="G17" s="879">
        <f>'Summary Table (kW-yr)'!E17</f>
        <v>846.35291783109801</v>
      </c>
      <c r="H17" s="879">
        <f>'Summary Table (kW-yr)'!F17</f>
        <v>882.40627665211218</v>
      </c>
      <c r="I17" s="879">
        <f>'Summary Table (kW-yr)'!G17</f>
        <v>905.88958107104077</v>
      </c>
      <c r="J17" s="878"/>
      <c r="K17" s="879">
        <f>'Summary Table (kW-yr)'!I17</f>
        <v>1160.4269194417409</v>
      </c>
      <c r="L17" s="879">
        <f>'Summary Table (kW-yr)'!J17</f>
        <v>1056.9472601030534</v>
      </c>
      <c r="M17" s="879">
        <f>'Summary Table (kW-yr)'!K17</f>
        <v>1104.1737893897084</v>
      </c>
      <c r="N17" s="879">
        <f>'Summary Table (kW-yr)'!L17</f>
        <v>1153.6888290684062</v>
      </c>
      <c r="O17" s="878"/>
      <c r="P17" s="1097"/>
      <c r="Q17" s="1097"/>
      <c r="R17" s="1097"/>
      <c r="S17" s="1097"/>
      <c r="T17" s="1020"/>
    </row>
    <row r="18" spans="2:20" ht="15">
      <c r="B18" s="1030">
        <f>MAX($B$7:B17)+1</f>
        <v>6</v>
      </c>
      <c r="C18" s="1056" t="s">
        <v>561</v>
      </c>
      <c r="D18" s="872" t="s">
        <v>813</v>
      </c>
      <c r="E18" s="1045" t="s">
        <v>818</v>
      </c>
      <c r="F18" s="851">
        <f>'Summary Table (kW-yr)'!D18</f>
        <v>945.22994211246385</v>
      </c>
      <c r="G18" s="851">
        <f>'Summary Table (kW-yr)'!E18</f>
        <v>887.12127561820864</v>
      </c>
      <c r="H18" s="851">
        <f>'Summary Table (kW-yr)'!F18</f>
        <v>924.72403105584215</v>
      </c>
      <c r="I18" s="851">
        <f>'Summary Table (kW-yr)'!G18</f>
        <v>949.33352953671533</v>
      </c>
      <c r="J18" s="852"/>
      <c r="K18" s="851">
        <f>'Summary Table (kW-yr)'!I18</f>
        <v>1255.3052433703517</v>
      </c>
      <c r="L18" s="851">
        <f>'Summary Table (kW-yr)'!J18</f>
        <v>1144.0960447434343</v>
      </c>
      <c r="M18" s="851">
        <f>'Summary Table (kW-yr)'!K18</f>
        <v>1194.8076202754946</v>
      </c>
      <c r="N18" s="851">
        <f>'Summary Table (kW-yr)'!L18</f>
        <v>1248.3869999844178</v>
      </c>
      <c r="O18" s="852"/>
    </row>
    <row r="19" spans="2:20" ht="15">
      <c r="B19" s="1029">
        <f>MAX($B$7:B18)+1</f>
        <v>7</v>
      </c>
      <c r="C19" s="1055" t="s">
        <v>297</v>
      </c>
      <c r="D19" s="880" t="s">
        <v>814</v>
      </c>
      <c r="E19" s="1046"/>
      <c r="F19" s="879">
        <f>ROUND('Summary Table (kW-yr)'!D19,1)</f>
        <v>32.700000000000003</v>
      </c>
      <c r="G19" s="879">
        <f>ROUND('Summary Table (kW-yr)'!E19,1)</f>
        <v>43.8</v>
      </c>
      <c r="H19" s="879">
        <f>ROUND('Summary Table (kW-yr)'!F19,1)</f>
        <v>44.6</v>
      </c>
      <c r="I19" s="879">
        <f>ROUND('Summary Table (kW-yr)'!G19,1)</f>
        <v>38.799999999999997</v>
      </c>
      <c r="J19" s="1092"/>
      <c r="K19" s="879">
        <f>ROUND('Summary Table (kW-yr)'!I19,1)</f>
        <v>39</v>
      </c>
      <c r="L19" s="879">
        <f>ROUND('Summary Table (kW-yr)'!J19,1)</f>
        <v>49.3</v>
      </c>
      <c r="M19" s="879">
        <f>ROUND('Summary Table (kW-yr)'!K19,1)</f>
        <v>47.1</v>
      </c>
      <c r="N19" s="879">
        <f>ROUND('Summary Table (kW-yr)'!L19,1)</f>
        <v>42.4</v>
      </c>
      <c r="O19" s="1092"/>
    </row>
    <row r="20" spans="2:20" ht="6" customHeight="1">
      <c r="B20" s="1033"/>
      <c r="C20" s="108"/>
      <c r="D20" s="872"/>
      <c r="E20" s="1047"/>
      <c r="F20" s="207"/>
      <c r="G20" s="207"/>
      <c r="H20" s="207"/>
      <c r="I20" s="207"/>
      <c r="J20" s="206"/>
      <c r="K20" s="207"/>
      <c r="L20" s="207"/>
      <c r="M20" s="207"/>
      <c r="N20" s="207"/>
      <c r="O20" s="206"/>
    </row>
    <row r="21" spans="2:20" s="173" customFormat="1" ht="15">
      <c r="B21" s="1030">
        <f>MAX($B$7:B20)+1</f>
        <v>8</v>
      </c>
      <c r="C21" s="108" t="s">
        <v>195</v>
      </c>
      <c r="D21" s="874" t="s">
        <v>163</v>
      </c>
      <c r="E21" s="1038"/>
      <c r="F21" s="853">
        <f>'Summary Table (kW-yr)'!D21</f>
        <v>7.9273027499999996E-2</v>
      </c>
      <c r="G21" s="853">
        <f>'Summary Table (kW-yr)'!E21</f>
        <v>7.9936726250000006E-2</v>
      </c>
      <c r="H21" s="853">
        <f>'Summary Table (kW-yr)'!F21</f>
        <v>7.9581392149999999E-2</v>
      </c>
      <c r="I21" s="853">
        <f>'Summary Table (kW-yr)'!G21</f>
        <v>7.9581392149999999E-2</v>
      </c>
      <c r="J21" s="854"/>
      <c r="K21" s="853">
        <f>'Summary Table (kW-yr)'!I21</f>
        <v>7.9273027499999996E-2</v>
      </c>
      <c r="L21" s="853">
        <f>'Summary Table (kW-yr)'!J21</f>
        <v>7.9936726250000006E-2</v>
      </c>
      <c r="M21" s="853">
        <f>'Summary Table (kW-yr)'!K21</f>
        <v>7.9581392149999999E-2</v>
      </c>
      <c r="N21" s="853">
        <f>'Summary Table (kW-yr)'!L21</f>
        <v>7.9581392149999999E-2</v>
      </c>
      <c r="O21" s="854"/>
    </row>
    <row r="22" spans="2:20" s="173" customFormat="1" ht="15">
      <c r="B22" s="1030">
        <f>MAX($B$7:B21)+1</f>
        <v>9</v>
      </c>
      <c r="C22" s="1028" t="s">
        <v>559</v>
      </c>
      <c r="D22" s="1037" t="s">
        <v>163</v>
      </c>
      <c r="E22" s="1038"/>
      <c r="F22" s="1039">
        <f>(F25/10^3-F19) / F17</f>
        <v>0.11672345042560843</v>
      </c>
      <c r="G22" s="1039">
        <f>(G25/10^3-G19) / G17</f>
        <v>0.11567278606527751</v>
      </c>
      <c r="H22" s="1039">
        <f>(H25/10^3-H19) / H17</f>
        <v>0.1161596451794172</v>
      </c>
      <c r="I22" s="1039">
        <f>(I25/10^3-I19) / I17</f>
        <v>0.11612894352490639</v>
      </c>
      <c r="J22" s="1039"/>
      <c r="K22" s="1039">
        <f>(K25/10^3-K19) / K17</f>
        <v>0.12383373531969707</v>
      </c>
      <c r="L22" s="1039">
        <f>(L25/10^3-L19) / L17</f>
        <v>0.1224280575620995</v>
      </c>
      <c r="M22" s="1039">
        <f>(M25/10^3-M19) / M17</f>
        <v>0.12316901678599798</v>
      </c>
      <c r="N22" s="1039">
        <f>(N25/10^3-N19) / N17</f>
        <v>0.12317012735118925</v>
      </c>
      <c r="O22" s="1039"/>
    </row>
    <row r="23" spans="2:20" ht="6" customHeight="1">
      <c r="B23" s="1034"/>
      <c r="C23" s="1060"/>
      <c r="D23" s="875"/>
      <c r="E23" s="1048"/>
      <c r="F23" s="857"/>
      <c r="G23" s="857"/>
      <c r="H23" s="857"/>
      <c r="I23" s="857"/>
      <c r="J23" s="858"/>
      <c r="K23" s="857"/>
      <c r="L23" s="857"/>
      <c r="M23" s="857"/>
      <c r="N23" s="857"/>
      <c r="O23" s="858"/>
    </row>
    <row r="24" spans="2:20" ht="6" customHeight="1">
      <c r="B24" s="1030"/>
      <c r="C24" s="1028"/>
      <c r="D24" s="872"/>
      <c r="E24" s="1047"/>
      <c r="F24" s="207"/>
      <c r="G24" s="207"/>
      <c r="H24" s="207"/>
      <c r="I24" s="207"/>
      <c r="J24" s="206"/>
      <c r="K24" s="207"/>
      <c r="L24" s="207"/>
      <c r="M24" s="207"/>
      <c r="N24" s="207"/>
      <c r="O24" s="206"/>
    </row>
    <row r="25" spans="2:20" ht="15">
      <c r="B25" s="1035">
        <f>MAX($B$7:B24)+1</f>
        <v>10</v>
      </c>
      <c r="C25" s="1022" t="s">
        <v>492</v>
      </c>
      <c r="D25" s="876" t="s">
        <v>815</v>
      </c>
      <c r="E25" s="1049" t="s">
        <v>560</v>
      </c>
      <c r="F25" s="856">
        <f>ROUND('Summary Table (kW-yr)'!D24*10^3,-2)</f>
        <v>138000</v>
      </c>
      <c r="G25" s="856">
        <f>ROUND('Summary Table (kW-yr)'!E24*10^3,-2)</f>
        <v>141700</v>
      </c>
      <c r="H25" s="856">
        <f>ROUND('Summary Table (kW-yr)'!F24*10^3,-2)</f>
        <v>147100</v>
      </c>
      <c r="I25" s="856">
        <f>ROUND('Summary Table (kW-yr)'!G24*10^3,-2)</f>
        <v>144000</v>
      </c>
      <c r="J25" s="856"/>
      <c r="K25" s="856">
        <f>ROUND('Summary Table (kW-yr)'!I24*10^3,-2)</f>
        <v>182700</v>
      </c>
      <c r="L25" s="856">
        <f>ROUND('Summary Table (kW-yr)'!J24*10^3,-2)</f>
        <v>178700</v>
      </c>
      <c r="M25" s="856">
        <f>ROUND('Summary Table (kW-yr)'!K24*10^3,-2)</f>
        <v>183100</v>
      </c>
      <c r="N25" s="856">
        <f>ROUND('Summary Table (kW-yr)'!L24*10^3,-2)</f>
        <v>184500</v>
      </c>
      <c r="O25" s="856"/>
      <c r="S25" s="851"/>
    </row>
    <row r="26" spans="2:20" ht="15">
      <c r="B26" s="1035">
        <f>MAX($B$7:B25)+1</f>
        <v>11</v>
      </c>
      <c r="C26" s="1022" t="s">
        <v>492</v>
      </c>
      <c r="D26" s="876" t="s">
        <v>816</v>
      </c>
      <c r="E26" s="1049" t="s">
        <v>750</v>
      </c>
      <c r="F26" s="856">
        <f>('Summary Table (kW-yr)'!D24*10^3/365)</f>
        <v>377.95726501370103</v>
      </c>
      <c r="G26" s="856">
        <f>('Summary Table (kW-yr)'!E24*10^3/365)</f>
        <v>388.30359481210957</v>
      </c>
      <c r="H26" s="856">
        <f>('Summary Table (kW-yr)'!F24*10^3/365)</f>
        <v>403.12010664695129</v>
      </c>
      <c r="I26" s="856">
        <f>('Summary Table (kW-yr)'!G24*10^3/365)</f>
        <v>394.65645015680218</v>
      </c>
      <c r="J26" s="856"/>
      <c r="K26" s="856">
        <f>'Summary Table (kW-yr)'!I24*10^3/365</f>
        <v>500.61854193739072</v>
      </c>
      <c r="L26" s="856">
        <f>'Summary Table (kW-yr)'!J24*10^3/365</f>
        <v>489.57332068526262</v>
      </c>
      <c r="M26" s="856">
        <f>'Summary Table (kW-yr)'!K24*10^3/365</f>
        <v>501.65749626707492</v>
      </c>
      <c r="N26" s="856">
        <f>'Summary Table (kW-yr)'!L24*10^3/365</f>
        <v>505.5226984907913</v>
      </c>
      <c r="O26" s="856"/>
    </row>
    <row r="27" spans="2:20" ht="6" customHeight="1" thickBot="1">
      <c r="B27" s="1036"/>
      <c r="C27" s="1036"/>
      <c r="D27" s="113"/>
      <c r="E27" s="1050"/>
      <c r="F27" s="1036"/>
      <c r="G27" s="1036"/>
      <c r="H27" s="1036"/>
      <c r="I27" s="1036"/>
      <c r="J27" s="1036"/>
      <c r="K27" s="1036"/>
      <c r="L27" s="1036"/>
      <c r="M27" s="1036"/>
      <c r="N27" s="1036"/>
      <c r="O27" s="1036"/>
    </row>
    <row r="28" spans="2:20" ht="6" customHeight="1" thickTop="1">
      <c r="B28" s="1027"/>
      <c r="C28" s="1027"/>
      <c r="D28" s="114"/>
      <c r="E28" s="114"/>
      <c r="F28" s="1027"/>
      <c r="G28" s="1027"/>
      <c r="H28" s="1027"/>
      <c r="I28" s="1027"/>
      <c r="J28" s="1027"/>
      <c r="K28" s="1027"/>
      <c r="L28" s="1027"/>
      <c r="M28" s="1027"/>
      <c r="N28" s="1027"/>
    </row>
    <row r="29" spans="2:20" ht="15">
      <c r="C29" s="104"/>
      <c r="D29" s="114"/>
      <c r="E29" s="114"/>
      <c r="F29" s="172"/>
      <c r="G29" s="172"/>
      <c r="H29" s="172"/>
      <c r="I29" s="172"/>
      <c r="J29" s="172"/>
      <c r="K29" s="172"/>
      <c r="L29" s="172"/>
      <c r="M29" s="172"/>
      <c r="N29" s="172"/>
    </row>
    <row r="30" spans="2:20" ht="15">
      <c r="C30" s="119"/>
      <c r="D30" s="106"/>
      <c r="E30" s="106"/>
      <c r="F30" s="871"/>
      <c r="G30" s="871"/>
      <c r="H30" s="871"/>
      <c r="I30" s="871"/>
      <c r="J30" s="104"/>
      <c r="K30" s="871"/>
      <c r="L30" s="871"/>
      <c r="M30" s="871"/>
      <c r="N30" s="871"/>
    </row>
    <row r="31" spans="2:20" ht="15">
      <c r="C31" s="121"/>
      <c r="E31" s="1106"/>
      <c r="F31" s="851"/>
      <c r="H31" s="1613"/>
      <c r="K31" s="855"/>
      <c r="L31" s="855"/>
      <c r="M31" s="1607"/>
      <c r="N31" s="855"/>
    </row>
    <row r="32" spans="2:20" ht="15">
      <c r="C32" s="121"/>
      <c r="E32" s="1106"/>
      <c r="F32" s="851"/>
      <c r="M32" s="1607"/>
    </row>
    <row r="33" spans="3:14" ht="15">
      <c r="C33" s="121"/>
      <c r="E33" s="1106"/>
      <c r="F33" s="851"/>
    </row>
    <row r="34" spans="3:14" ht="15">
      <c r="C34" s="121"/>
      <c r="E34" s="1106"/>
      <c r="F34" s="851"/>
      <c r="G34" s="1061"/>
      <c r="H34" s="1061"/>
      <c r="I34" s="1061"/>
      <c r="K34" s="996"/>
      <c r="L34" s="1061"/>
      <c r="M34" s="996"/>
      <c r="N34" s="1061"/>
    </row>
    <row r="35" spans="3:14" ht="15">
      <c r="C35" s="121"/>
      <c r="E35" s="1106"/>
      <c r="F35" s="851"/>
    </row>
    <row r="36" spans="3:14">
      <c r="C36" s="121"/>
    </row>
  </sheetData>
  <pageMargins left="0.7" right="0.7" top="0.75" bottom="0.75" header="0.3" footer="0.3"/>
  <pageSetup orientation="portrait" draft="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X57"/>
  <sheetViews>
    <sheetView zoomScaleNormal="100" workbookViewId="0"/>
  </sheetViews>
  <sheetFormatPr defaultColWidth="9.140625" defaultRowHeight="15" outlineLevelRow="1" outlineLevelCol="1"/>
  <cols>
    <col min="1" max="1" width="5.28515625" style="361" customWidth="1"/>
    <col min="2" max="2" width="32" style="337" bestFit="1" customWidth="1"/>
    <col min="3" max="3" width="1.7109375" style="337" customWidth="1"/>
    <col min="4" max="6" width="11.28515625" style="337" customWidth="1" outlineLevel="1"/>
    <col min="7" max="7" width="8.5703125" style="337" customWidth="1" outlineLevel="1"/>
    <col min="8" max="8" width="1.7109375" style="337" customWidth="1" outlineLevel="1"/>
    <col min="9" max="9" width="10.42578125" style="337" bestFit="1" customWidth="1"/>
    <col min="10" max="10" width="9.5703125" style="337" bestFit="1" customWidth="1"/>
    <col min="11" max="11" width="10.85546875" style="337" bestFit="1" customWidth="1"/>
    <col min="12" max="12" width="9.5703125" style="337" bestFit="1" customWidth="1"/>
    <col min="13" max="13" width="1.7109375" style="337" customWidth="1"/>
    <col min="14" max="16384" width="9.140625" style="337"/>
  </cols>
  <sheetData>
    <row r="1" spans="1:24">
      <c r="A1" s="334"/>
      <c r="B1" s="335"/>
      <c r="C1" s="335"/>
      <c r="D1" s="335"/>
      <c r="E1" s="335"/>
      <c r="F1" s="335"/>
      <c r="G1" s="335"/>
      <c r="H1" s="335"/>
      <c r="I1" s="336"/>
      <c r="J1" s="335"/>
      <c r="K1" s="335"/>
      <c r="L1" s="335"/>
    </row>
    <row r="2" spans="1:24" ht="6" customHeight="1" thickBot="1">
      <c r="A2" s="334"/>
      <c r="B2" s="338"/>
      <c r="C2" s="338"/>
      <c r="D2" s="338"/>
      <c r="E2" s="338"/>
      <c r="F2" s="338"/>
      <c r="G2" s="338"/>
      <c r="H2" s="338"/>
      <c r="I2" s="338"/>
      <c r="J2" s="338"/>
      <c r="K2" s="338"/>
      <c r="L2" s="338"/>
    </row>
    <row r="3" spans="1:24" ht="6" customHeight="1" thickTop="1">
      <c r="A3" s="334"/>
      <c r="B3" s="339"/>
      <c r="C3" s="339"/>
      <c r="D3" s="340"/>
      <c r="E3" s="340"/>
      <c r="F3" s="340"/>
      <c r="G3" s="340"/>
      <c r="H3" s="340"/>
      <c r="I3" s="339"/>
      <c r="J3" s="339"/>
      <c r="K3" s="339"/>
      <c r="L3" s="339"/>
    </row>
    <row r="4" spans="1:24" ht="12.75" customHeight="1">
      <c r="A4" s="334"/>
      <c r="B4" s="341"/>
      <c r="C4" s="342"/>
      <c r="D4" s="343" t="s">
        <v>189</v>
      </c>
      <c r="E4" s="343"/>
      <c r="F4" s="343"/>
      <c r="G4" s="343"/>
      <c r="H4" s="335"/>
      <c r="I4" s="343" t="s">
        <v>189</v>
      </c>
      <c r="J4" s="343"/>
      <c r="K4" s="343"/>
      <c r="L4" s="343"/>
    </row>
    <row r="5" spans="1:24" ht="12.75" customHeight="1">
      <c r="A5" s="334"/>
      <c r="B5" s="341"/>
      <c r="C5" s="342"/>
      <c r="D5" s="344">
        <v>1</v>
      </c>
      <c r="E5" s="344">
        <v>2</v>
      </c>
      <c r="F5" s="344">
        <v>3</v>
      </c>
      <c r="G5" s="344">
        <v>4</v>
      </c>
      <c r="H5" s="335"/>
      <c r="I5" s="344">
        <v>1</v>
      </c>
      <c r="J5" s="344">
        <v>2</v>
      </c>
      <c r="K5" s="344">
        <v>3</v>
      </c>
      <c r="L5" s="344">
        <v>4</v>
      </c>
    </row>
    <row r="6" spans="1:24" ht="15" customHeight="1">
      <c r="A6" s="334"/>
      <c r="C6" s="342"/>
      <c r="D6" s="345" t="str">
        <f>'O&amp;M Costs - Gas'!D6</f>
        <v>EMAAC</v>
      </c>
      <c r="E6" s="345" t="str">
        <f>'O&amp;M Costs - Gas'!E6</f>
        <v>SWMAAC</v>
      </c>
      <c r="F6" s="345" t="str">
        <f>'O&amp;M Costs - Gas'!F6</f>
        <v>Rest of RTO</v>
      </c>
      <c r="G6" s="345" t="str">
        <f>'O&amp;M Costs - Gas'!G6</f>
        <v>WMAAC</v>
      </c>
      <c r="I6" s="345" t="str">
        <f>'O&amp;M Costs - Gas'!I6</f>
        <v>EMAAC</v>
      </c>
      <c r="J6" s="345" t="str">
        <f>'O&amp;M Costs - Gas'!J6</f>
        <v>SWMAAC</v>
      </c>
      <c r="K6" s="345" t="str">
        <f>'O&amp;M Costs - Gas'!K6</f>
        <v>Rest of RTO</v>
      </c>
      <c r="L6" s="345" t="str">
        <f>'O&amp;M Costs - Gas'!L6</f>
        <v>WMAAC</v>
      </c>
    </row>
    <row r="7" spans="1:24">
      <c r="A7" s="334"/>
      <c r="B7" s="341" t="s">
        <v>296</v>
      </c>
      <c r="C7" s="346"/>
      <c r="D7" s="932" t="str">
        <f>ROUND('Cost Assumptions'!D$13,0)&amp;" MW"</f>
        <v>361 MW</v>
      </c>
      <c r="E7" s="932" t="str">
        <f>ROUND('Cost Assumptions'!E$13,0)&amp;" MW"</f>
        <v>363 MW</v>
      </c>
      <c r="F7" s="932" t="str">
        <f>ROUND('Cost Assumptions'!F$13,0)&amp;" MW"</f>
        <v>353 MW</v>
      </c>
      <c r="G7" s="932" t="str">
        <f>ROUND('Cost Assumptions'!G$13,0)&amp;" MW"</f>
        <v>350 MW</v>
      </c>
      <c r="H7" s="347"/>
      <c r="I7" s="932" t="str">
        <f>ROUND('Cost Assumptions'!H$17,0)&amp;" MW"</f>
        <v>1171 MW</v>
      </c>
      <c r="J7" s="932" t="str">
        <f>ROUND('Cost Assumptions'!I$17,0)&amp;" MW"</f>
        <v>1174 MW</v>
      </c>
      <c r="K7" s="932" t="str">
        <f>ROUND('Cost Assumptions'!J$17,0)&amp;" MW"</f>
        <v>1144 MW</v>
      </c>
      <c r="L7" s="932" t="str">
        <f>ROUND('Cost Assumptions'!K$17,0)&amp;" MW"</f>
        <v>1133 MW</v>
      </c>
      <c r="O7" s="1723"/>
      <c r="P7" s="1723"/>
      <c r="Q7" s="1723"/>
      <c r="R7" s="1723"/>
      <c r="T7" s="1723"/>
      <c r="U7" s="1723"/>
      <c r="V7" s="1723"/>
      <c r="W7" s="1723"/>
      <c r="X7" s="1723"/>
    </row>
    <row r="8" spans="1:24" ht="6" customHeight="1">
      <c r="A8" s="334"/>
      <c r="B8" s="348"/>
      <c r="C8" s="348"/>
      <c r="D8" s="349"/>
      <c r="E8" s="349"/>
      <c r="F8" s="349"/>
      <c r="G8" s="349"/>
      <c r="H8" s="349"/>
      <c r="I8" s="349"/>
      <c r="J8" s="349"/>
      <c r="K8" s="349"/>
      <c r="L8" s="349"/>
    </row>
    <row r="9" spans="1:24" ht="6" customHeight="1">
      <c r="A9" s="334"/>
      <c r="B9" s="346"/>
      <c r="C9" s="346"/>
      <c r="D9" s="345"/>
      <c r="E9" s="345"/>
      <c r="F9" s="345"/>
      <c r="G9" s="345"/>
      <c r="H9" s="345"/>
      <c r="I9" s="345"/>
      <c r="J9" s="345"/>
      <c r="K9" s="345"/>
      <c r="L9" s="345"/>
    </row>
    <row r="10" spans="1:24">
      <c r="A10" s="334"/>
      <c r="B10" s="1064" t="s">
        <v>128</v>
      </c>
      <c r="C10" s="1062"/>
      <c r="D10" s="1063"/>
      <c r="E10" s="1063"/>
      <c r="F10" s="1063"/>
      <c r="G10" s="1063"/>
      <c r="H10" s="1063"/>
      <c r="I10" s="1063"/>
      <c r="J10" s="1063"/>
      <c r="K10" s="1063"/>
      <c r="L10" s="1063"/>
    </row>
    <row r="11" spans="1:24" ht="14.45" customHeight="1">
      <c r="A11" s="334"/>
      <c r="B11" s="352" t="s">
        <v>129</v>
      </c>
      <c r="C11" s="352"/>
      <c r="D11" s="1003">
        <f>'Capital Costs_Nominal$'!H19/1000000</f>
        <v>78.555000000000007</v>
      </c>
      <c r="E11" s="1003">
        <f>'Capital Costs_Nominal$'!I19/1000000</f>
        <v>78.555000000000007</v>
      </c>
      <c r="F11" s="1003">
        <f>'Capital Costs_Nominal$'!J19/1000000</f>
        <v>78.555000000000007</v>
      </c>
      <c r="G11" s="357">
        <f>'Capital Costs_Nominal$'!K19/1000000</f>
        <v>78.555000000000007</v>
      </c>
      <c r="H11" s="351"/>
      <c r="I11" s="357">
        <f>'Capital Costs_Nominal$'!L19/1000000</f>
        <v>155.27099999999999</v>
      </c>
      <c r="J11" s="357">
        <f>'Capital Costs_Nominal$'!M19/1000000</f>
        <v>155.27099999999999</v>
      </c>
      <c r="K11" s="357">
        <f>'Capital Costs_Nominal$'!N19/1000000</f>
        <v>155.27099999999999</v>
      </c>
      <c r="L11" s="357">
        <f>'Capital Costs_Nominal$'!O19/1000000</f>
        <v>155.27099999999999</v>
      </c>
      <c r="O11" s="1724"/>
      <c r="P11" s="1724"/>
      <c r="Q11" s="1724"/>
      <c r="R11" s="1724"/>
      <c r="U11" s="1724"/>
      <c r="V11" s="1724"/>
      <c r="W11" s="1724"/>
      <c r="X11" s="1724"/>
    </row>
    <row r="12" spans="1:24" ht="14.45" customHeight="1">
      <c r="A12" s="334"/>
      <c r="B12" s="987" t="s">
        <v>130</v>
      </c>
      <c r="C12" s="987"/>
      <c r="D12" s="1002">
        <f>'Capital Costs_Nominal$'!H20/1000000</f>
        <v>33.530999999999999</v>
      </c>
      <c r="E12" s="1002">
        <f>'Capital Costs_Nominal$'!I20/1000000</f>
        <v>33.530999999999999</v>
      </c>
      <c r="F12" s="1002">
        <f>'Capital Costs_Nominal$'!J20/1000000</f>
        <v>33.530999999999999</v>
      </c>
      <c r="G12" s="998">
        <f>'Capital Costs_Nominal$'!K20/1000000</f>
        <v>33.530999999999999</v>
      </c>
      <c r="H12" s="988"/>
      <c r="I12" s="998">
        <f>'Capital Costs_Nominal$'!L20/1000000</f>
        <v>80.718999999999994</v>
      </c>
      <c r="J12" s="998">
        <f>'Capital Costs_Nominal$'!M20/1000000</f>
        <v>80.718999999999994</v>
      </c>
      <c r="K12" s="998">
        <f>'Capital Costs_Nominal$'!N20/1000000</f>
        <v>80.718999999999994</v>
      </c>
      <c r="L12" s="998">
        <f>'Capital Costs_Nominal$'!O20/1000000</f>
        <v>80.718999999999994</v>
      </c>
      <c r="O12" s="1724"/>
      <c r="P12" s="1724"/>
      <c r="Q12" s="1724"/>
      <c r="R12" s="1724"/>
      <c r="U12" s="1724"/>
      <c r="V12" s="1724"/>
      <c r="W12" s="1724"/>
      <c r="X12" s="1724"/>
    </row>
    <row r="13" spans="1:24" ht="14.45" hidden="1" customHeight="1" outlineLevel="1">
      <c r="A13" s="334"/>
      <c r="B13" s="352" t="s">
        <v>135</v>
      </c>
      <c r="C13" s="352"/>
      <c r="D13" s="1003">
        <f>'Capital Costs_Nominal$'!H21/1000000</f>
        <v>0</v>
      </c>
      <c r="E13" s="1003">
        <f>'Capital Costs_Nominal$'!I21/1000000</f>
        <v>0</v>
      </c>
      <c r="F13" s="1003">
        <f>'Capital Costs_Nominal$'!J21/1000000</f>
        <v>0</v>
      </c>
      <c r="G13" s="357">
        <f>'Capital Costs_Nominal$'!K21/1000000</f>
        <v>0</v>
      </c>
      <c r="H13" s="351"/>
      <c r="I13" s="357">
        <f>'Capital Costs_Nominal$'!L21/1000000</f>
        <v>84.754999999999995</v>
      </c>
      <c r="J13" s="357">
        <f>'Capital Costs_Nominal$'!M21/1000000</f>
        <v>84.754999999999995</v>
      </c>
      <c r="K13" s="357">
        <f>'Capital Costs_Nominal$'!N21/1000000</f>
        <v>84.754999999999995</v>
      </c>
      <c r="L13" s="357">
        <f>'Capital Costs_Nominal$'!O21/1000000</f>
        <v>84.754999999999995</v>
      </c>
      <c r="O13" s="1724"/>
      <c r="P13" s="1724"/>
      <c r="Q13" s="1724"/>
      <c r="R13" s="1724"/>
      <c r="U13" s="1724"/>
      <c r="V13" s="1724"/>
      <c r="W13" s="1724"/>
      <c r="X13" s="1724"/>
    </row>
    <row r="14" spans="1:24" ht="14.45" customHeight="1" collapsed="1">
      <c r="A14" s="334"/>
      <c r="B14" s="987" t="s">
        <v>131</v>
      </c>
      <c r="C14" s="987"/>
      <c r="D14" s="1002">
        <f>'Capital Costs_Nominal$'!H22/1000000</f>
        <v>0</v>
      </c>
      <c r="E14" s="1002">
        <f>'Capital Costs_Nominal$'!I22/1000000</f>
        <v>0</v>
      </c>
      <c r="F14" s="1002">
        <f>'Capital Costs_Nominal$'!J22/1000000</f>
        <v>0</v>
      </c>
      <c r="G14" s="998">
        <f>'Capital Costs_Nominal$'!K22/1000000</f>
        <v>0</v>
      </c>
      <c r="H14" s="988"/>
      <c r="I14" s="998">
        <f>'Capital Costs_Nominal$'!L22/1000000</f>
        <v>0</v>
      </c>
      <c r="J14" s="998">
        <f>'Capital Costs_Nominal$'!M22/1000000</f>
        <v>0</v>
      </c>
      <c r="K14" s="998">
        <f>'Capital Costs_Nominal$'!N22/1000000</f>
        <v>0</v>
      </c>
      <c r="L14" s="998">
        <f>'Capital Costs_Nominal$'!O22/1000000</f>
        <v>0</v>
      </c>
    </row>
    <row r="15" spans="1:24" s="356" customFormat="1">
      <c r="A15" s="353"/>
      <c r="B15" s="350" t="s">
        <v>132</v>
      </c>
      <c r="C15" s="354"/>
      <c r="D15" s="1004">
        <f>'Capital Costs_Nominal$'!H23/1000000</f>
        <v>112.086</v>
      </c>
      <c r="E15" s="1004">
        <f>'Capital Costs_Nominal$'!I23/1000000</f>
        <v>112.086</v>
      </c>
      <c r="F15" s="1004">
        <f>'Capital Costs_Nominal$'!J23/1000000</f>
        <v>112.086</v>
      </c>
      <c r="G15" s="999">
        <f>'Capital Costs_Nominal$'!K23/1000000</f>
        <v>112.086</v>
      </c>
      <c r="H15" s="355"/>
      <c r="I15" s="999">
        <f>'Capital Costs_Nominal$'!L23/1000000</f>
        <v>320.745</v>
      </c>
      <c r="J15" s="999">
        <f>'Capital Costs_Nominal$'!M23/1000000</f>
        <v>320.745</v>
      </c>
      <c r="K15" s="999">
        <f>'Capital Costs_Nominal$'!N23/1000000</f>
        <v>320.745</v>
      </c>
      <c r="L15" s="999">
        <f>'Capital Costs_Nominal$'!O23/1000000</f>
        <v>320.745</v>
      </c>
    </row>
    <row r="16" spans="1:24" ht="6" customHeight="1">
      <c r="A16" s="334"/>
      <c r="B16" s="352"/>
      <c r="C16" s="352"/>
      <c r="D16" s="1003"/>
      <c r="E16" s="1003"/>
      <c r="F16" s="1003"/>
      <c r="G16" s="357"/>
      <c r="H16" s="351"/>
      <c r="I16" s="357"/>
      <c r="J16" s="357"/>
      <c r="K16" s="357"/>
      <c r="L16" s="357"/>
    </row>
    <row r="17" spans="1:24" ht="14.45" customHeight="1">
      <c r="A17" s="334"/>
      <c r="B17" s="1064" t="s">
        <v>104</v>
      </c>
      <c r="C17" s="1065"/>
      <c r="D17" s="1066"/>
      <c r="E17" s="1066"/>
      <c r="F17" s="1066"/>
      <c r="G17" s="1067"/>
      <c r="H17" s="1068"/>
      <c r="I17" s="1067"/>
      <c r="J17" s="1067"/>
      <c r="K17" s="1067"/>
      <c r="L17" s="1067"/>
    </row>
    <row r="18" spans="1:24" ht="14.45" customHeight="1">
      <c r="A18" s="334"/>
      <c r="B18" s="991" t="s">
        <v>133</v>
      </c>
      <c r="C18" s="989"/>
      <c r="D18" s="1002"/>
      <c r="E18" s="1002"/>
      <c r="F18" s="1002"/>
      <c r="G18" s="998"/>
      <c r="H18" s="988"/>
      <c r="I18" s="998"/>
      <c r="J18" s="998"/>
      <c r="K18" s="998"/>
      <c r="L18" s="998"/>
    </row>
    <row r="19" spans="1:24" ht="14.45" hidden="1" customHeight="1" outlineLevel="1">
      <c r="A19" s="334"/>
      <c r="B19" s="352" t="s">
        <v>134</v>
      </c>
      <c r="C19" s="352"/>
      <c r="D19" s="1003">
        <f>'Capital Costs_Nominal$'!H27/1000000</f>
        <v>0</v>
      </c>
      <c r="E19" s="1003">
        <f>'Capital Costs_Nominal$'!I27/1000000</f>
        <v>0</v>
      </c>
      <c r="F19" s="1003">
        <f>'Capital Costs_Nominal$'!J27/1000000</f>
        <v>0</v>
      </c>
      <c r="G19" s="357">
        <f>'Capital Costs_Nominal$'!K27/1000000</f>
        <v>0</v>
      </c>
      <c r="H19" s="351"/>
      <c r="I19" s="357">
        <f>'Capital Costs_Nominal$'!L27/1000000</f>
        <v>61.66</v>
      </c>
      <c r="J19" s="357">
        <f>'Capital Costs_Nominal$'!M27/1000000</f>
        <v>61.66</v>
      </c>
      <c r="K19" s="357">
        <f>'Capital Costs_Nominal$'!N27/1000000</f>
        <v>61.66</v>
      </c>
      <c r="L19" s="357">
        <f>'Capital Costs_Nominal$'!O27/1000000</f>
        <v>61.66</v>
      </c>
      <c r="O19" s="1724"/>
      <c r="P19" s="1724"/>
      <c r="Q19" s="1724"/>
      <c r="R19" s="1724"/>
      <c r="U19" s="1724"/>
      <c r="V19" s="1724"/>
      <c r="W19" s="1724"/>
      <c r="X19" s="1724"/>
    </row>
    <row r="20" spans="1:24" ht="14.45" customHeight="1" collapsed="1">
      <c r="A20" s="334"/>
      <c r="B20" s="987" t="s">
        <v>136</v>
      </c>
      <c r="C20" s="989"/>
      <c r="D20" s="1002">
        <f>'Capital Costs_Nominal$'!H28/1000000</f>
        <v>24.140999999999998</v>
      </c>
      <c r="E20" s="1002">
        <f>'Capital Costs_Nominal$'!I28/1000000</f>
        <v>24.140999999999998</v>
      </c>
      <c r="F20" s="1002">
        <f>'Capital Costs_Nominal$'!J28/1000000</f>
        <v>24.140999999999998</v>
      </c>
      <c r="G20" s="998">
        <f>'Capital Costs_Nominal$'!K28/1000000</f>
        <v>24.140999999999998</v>
      </c>
      <c r="H20" s="988"/>
      <c r="I20" s="998">
        <f>'Capital Costs_Nominal$'!L28/1000000</f>
        <v>86.34</v>
      </c>
      <c r="J20" s="998">
        <f>'Capital Costs_Nominal$'!M28/1000000</f>
        <v>86.34</v>
      </c>
      <c r="K20" s="998">
        <f>'Capital Costs_Nominal$'!N28/1000000</f>
        <v>86.34</v>
      </c>
      <c r="L20" s="998">
        <f>'Capital Costs_Nominal$'!O28/1000000</f>
        <v>86.34</v>
      </c>
      <c r="O20" s="1724"/>
      <c r="P20" s="1724"/>
      <c r="Q20" s="1724"/>
      <c r="R20" s="1724"/>
      <c r="U20" s="1724"/>
      <c r="V20" s="1724"/>
      <c r="W20" s="1724"/>
      <c r="X20" s="1724"/>
    </row>
    <row r="21" spans="1:24" ht="14.45" customHeight="1">
      <c r="A21" s="334"/>
      <c r="B21" s="336" t="s">
        <v>138</v>
      </c>
      <c r="C21" s="358"/>
      <c r="D21" s="1003">
        <f>'Capital Costs_Nominal$'!H30/1000000</f>
        <v>50.570999999999998</v>
      </c>
      <c r="E21" s="1003">
        <f>'Capital Costs_Nominal$'!I30/1000000</f>
        <v>37.848999999999997</v>
      </c>
      <c r="F21" s="1003">
        <f>'Capital Costs_Nominal$'!J30/1000000</f>
        <v>40.627000000000002</v>
      </c>
      <c r="G21" s="357">
        <f>'Capital Costs_Nominal$'!K30/1000000</f>
        <v>44.978999999999999</v>
      </c>
      <c r="H21" s="351"/>
      <c r="I21" s="357">
        <f>'Capital Costs_Nominal$'!L30/1000000</f>
        <v>365.52800000000002</v>
      </c>
      <c r="J21" s="357">
        <f>'Capital Costs_Nominal$'!M30/1000000</f>
        <v>283.274</v>
      </c>
      <c r="K21" s="357">
        <f>'Capital Costs_Nominal$'!N30/1000000</f>
        <v>297.06400000000002</v>
      </c>
      <c r="L21" s="357">
        <f>'Capital Costs_Nominal$'!O30/1000000</f>
        <v>330.46699999999998</v>
      </c>
      <c r="O21" s="1724"/>
      <c r="P21" s="1724"/>
      <c r="Q21" s="1724"/>
      <c r="R21" s="1724"/>
      <c r="U21" s="1724"/>
      <c r="V21" s="1724"/>
      <c r="W21" s="1724"/>
      <c r="X21" s="1724"/>
    </row>
    <row r="22" spans="1:24" ht="14.45" customHeight="1">
      <c r="A22" s="334"/>
      <c r="B22" s="990" t="s">
        <v>139</v>
      </c>
      <c r="C22" s="989"/>
      <c r="D22" s="1002">
        <f>'Capital Costs_Nominal$'!H31/1000000</f>
        <v>16.402999999999999</v>
      </c>
      <c r="E22" s="1002">
        <f>'Capital Costs_Nominal$'!I31/1000000</f>
        <v>15.385</v>
      </c>
      <c r="F22" s="1002">
        <f>'Capital Costs_Nominal$'!J31/1000000</f>
        <v>15.606999999999999</v>
      </c>
      <c r="G22" s="998">
        <f>'Capital Costs_Nominal$'!K31/1000000</f>
        <v>15.955</v>
      </c>
      <c r="H22" s="988"/>
      <c r="I22" s="998">
        <f>'Capital Costs_Nominal$'!L31/1000000</f>
        <v>75.542000000000002</v>
      </c>
      <c r="J22" s="998">
        <f>'Capital Costs_Nominal$'!M31/1000000</f>
        <v>68.960999999999999</v>
      </c>
      <c r="K22" s="998">
        <f>'Capital Costs_Nominal$'!N31/1000000</f>
        <v>70.063999999999993</v>
      </c>
      <c r="L22" s="998">
        <f>'Capital Costs_Nominal$'!O31/1000000</f>
        <v>72.736999999999995</v>
      </c>
      <c r="O22" s="1724"/>
      <c r="P22" s="1724"/>
      <c r="Q22" s="1724"/>
      <c r="R22" s="1724"/>
      <c r="U22" s="1724"/>
      <c r="V22" s="1724"/>
      <c r="W22" s="1724"/>
      <c r="X22" s="1724"/>
    </row>
    <row r="23" spans="1:24" ht="14.45" customHeight="1">
      <c r="A23" s="334"/>
      <c r="B23" s="336" t="s">
        <v>140</v>
      </c>
      <c r="C23" s="358"/>
      <c r="D23" s="1003">
        <f>'Capital Costs_Nominal$'!H32/1000000</f>
        <v>8.1069999999999993</v>
      </c>
      <c r="E23" s="1003">
        <f>'Capital Costs_Nominal$'!I32/1000000</f>
        <v>8.1069999999999993</v>
      </c>
      <c r="F23" s="1003">
        <f>'Capital Costs_Nominal$'!J32/1000000</f>
        <v>8.1069999999999993</v>
      </c>
      <c r="G23" s="357">
        <f>'Capital Costs_Nominal$'!K32/1000000</f>
        <v>8.1069999999999993</v>
      </c>
      <c r="H23" s="351"/>
      <c r="I23" s="357">
        <f>'Capital Costs_Nominal$'!L32/1000000</f>
        <v>75.460999999999999</v>
      </c>
      <c r="J23" s="357">
        <f>'Capital Costs_Nominal$'!M32/1000000</f>
        <v>75.460999999999999</v>
      </c>
      <c r="K23" s="357">
        <f>'Capital Costs_Nominal$'!N32/1000000</f>
        <v>75.460999999999999</v>
      </c>
      <c r="L23" s="357">
        <f>'Capital Costs_Nominal$'!O32/1000000</f>
        <v>75.460999999999999</v>
      </c>
      <c r="O23" s="1724"/>
      <c r="P23" s="1724"/>
      <c r="Q23" s="1724"/>
      <c r="R23" s="1724"/>
      <c r="U23" s="1724"/>
      <c r="V23" s="1724"/>
      <c r="W23" s="1724"/>
      <c r="X23" s="1724"/>
    </row>
    <row r="24" spans="1:24" ht="14.45" customHeight="1">
      <c r="A24" s="334"/>
      <c r="B24" s="991" t="s">
        <v>131</v>
      </c>
      <c r="C24" s="989"/>
      <c r="D24" s="1002">
        <f>'Capital Costs_Nominal$'!H33/1000000</f>
        <v>0</v>
      </c>
      <c r="E24" s="1002">
        <f>'Capital Costs_Nominal$'!I33/1000000</f>
        <v>0</v>
      </c>
      <c r="F24" s="1002">
        <f>'Capital Costs_Nominal$'!J33/1000000</f>
        <v>0</v>
      </c>
      <c r="G24" s="998">
        <f>'Capital Costs_Nominal$'!K33/1000000</f>
        <v>0</v>
      </c>
      <c r="H24" s="988"/>
      <c r="I24" s="998">
        <f>'Capital Costs_Nominal$'!L33/1000000</f>
        <v>0</v>
      </c>
      <c r="J24" s="998">
        <f>'Capital Costs_Nominal$'!M33/1000000</f>
        <v>0</v>
      </c>
      <c r="K24" s="998">
        <f>'Capital Costs_Nominal$'!N33/1000000</f>
        <v>0</v>
      </c>
      <c r="L24" s="998">
        <f>'Capital Costs_Nominal$'!O33/1000000</f>
        <v>0</v>
      </c>
      <c r="O24" s="1724"/>
      <c r="P24" s="1724"/>
      <c r="Q24" s="1724"/>
      <c r="R24" s="1724"/>
      <c r="U24" s="1724"/>
      <c r="V24" s="1724"/>
      <c r="W24" s="1724"/>
      <c r="X24" s="1724"/>
    </row>
    <row r="25" spans="1:24" ht="14.45" customHeight="1">
      <c r="A25" s="334"/>
      <c r="B25" s="336" t="s">
        <v>141</v>
      </c>
      <c r="C25" s="358"/>
      <c r="D25" s="1003">
        <f>'Capital Costs_Nominal$'!H34/1000000</f>
        <v>21.131</v>
      </c>
      <c r="E25" s="1003">
        <f>'Capital Costs_Nominal$'!I34/1000000</f>
        <v>19.757000000000001</v>
      </c>
      <c r="F25" s="1003">
        <f>'Capital Costs_Nominal$'!J34/1000000</f>
        <v>20.056999999999999</v>
      </c>
      <c r="G25" s="357">
        <f>'Capital Costs_Nominal$'!K34/1000000</f>
        <v>20.527000000000001</v>
      </c>
      <c r="H25" s="351"/>
      <c r="I25" s="357">
        <f>'Capital Costs_Nominal$'!L34/1000000</f>
        <v>98.528000000000006</v>
      </c>
      <c r="J25" s="357">
        <f>'Capital Costs_Nominal$'!M34/1000000</f>
        <v>89.644000000000005</v>
      </c>
      <c r="K25" s="357">
        <f>'Capital Costs_Nominal$'!N34/1000000</f>
        <v>91.132999999999996</v>
      </c>
      <c r="L25" s="357">
        <f>'Capital Costs_Nominal$'!O34/1000000</f>
        <v>94.741</v>
      </c>
      <c r="O25" s="1724"/>
      <c r="P25" s="1724"/>
      <c r="Q25" s="1724"/>
      <c r="R25" s="1724"/>
      <c r="U25" s="1724"/>
      <c r="V25" s="1724"/>
      <c r="W25" s="1724"/>
      <c r="X25" s="1724"/>
    </row>
    <row r="26" spans="1:24" ht="14.45" customHeight="1">
      <c r="A26" s="334"/>
      <c r="B26" s="991" t="s">
        <v>142</v>
      </c>
      <c r="C26" s="989"/>
      <c r="D26" s="1002">
        <f>'Capital Costs_Nominal$'!H35/1000000</f>
        <v>23.244</v>
      </c>
      <c r="E26" s="1002">
        <f>'Capital Costs_Nominal$'!I35/1000000</f>
        <v>21.733000000000001</v>
      </c>
      <c r="F26" s="1002">
        <f>'Capital Costs_Nominal$'!J35/1000000</f>
        <v>22.062999999999999</v>
      </c>
      <c r="G26" s="998">
        <f>'Capital Costs_Nominal$'!K35/1000000</f>
        <v>22.58</v>
      </c>
      <c r="H26" s="988"/>
      <c r="I26" s="998">
        <f>'Capital Costs_Nominal$'!L35/1000000</f>
        <v>108.38</v>
      </c>
      <c r="J26" s="998">
        <f>'Capital Costs_Nominal$'!M35/1000000</f>
        <v>98.608999999999995</v>
      </c>
      <c r="K26" s="998">
        <f>'Capital Costs_Nominal$'!N35/1000000</f>
        <v>100.247</v>
      </c>
      <c r="L26" s="998">
        <f>'Capital Costs_Nominal$'!O35/1000000</f>
        <v>104.215</v>
      </c>
      <c r="O26" s="1724"/>
      <c r="P26" s="1724"/>
      <c r="Q26" s="1724"/>
      <c r="R26" s="1724"/>
      <c r="U26" s="1724"/>
      <c r="V26" s="1724"/>
      <c r="W26" s="1724"/>
      <c r="X26" s="1724"/>
    </row>
    <row r="27" spans="1:24" s="356" customFormat="1" ht="14.45" customHeight="1">
      <c r="A27" s="353"/>
      <c r="B27" s="350" t="s">
        <v>143</v>
      </c>
      <c r="C27" s="359"/>
      <c r="D27" s="1004">
        <f>'Capital Costs_Nominal$'!H36/1000000</f>
        <v>143.59700000000001</v>
      </c>
      <c r="E27" s="1004">
        <f>'Capital Costs_Nominal$'!I36/1000000</f>
        <v>126.97199999999999</v>
      </c>
      <c r="F27" s="1004">
        <f>'Capital Costs_Nominal$'!J36/1000000</f>
        <v>130.602</v>
      </c>
      <c r="G27" s="999">
        <f>'Capital Costs_Nominal$'!K36/1000000</f>
        <v>136.28899999999999</v>
      </c>
      <c r="H27" s="355"/>
      <c r="I27" s="999">
        <f>'Capital Costs_Nominal$'!L36/1000000</f>
        <v>871.43899999999996</v>
      </c>
      <c r="J27" s="999">
        <f>'Capital Costs_Nominal$'!M36/1000000</f>
        <v>763.94899999999996</v>
      </c>
      <c r="K27" s="999">
        <f>'Capital Costs_Nominal$'!N36/1000000</f>
        <v>781.96900000000005</v>
      </c>
      <c r="L27" s="999">
        <f>'Capital Costs_Nominal$'!O36/1000000</f>
        <v>825.62099999999998</v>
      </c>
      <c r="O27" s="1724"/>
      <c r="P27" s="1724"/>
      <c r="Q27" s="1724"/>
      <c r="R27" s="1724"/>
      <c r="U27" s="1724"/>
      <c r="V27" s="1724"/>
      <c r="W27" s="1724"/>
      <c r="X27" s="1724"/>
    </row>
    <row r="28" spans="1:24" ht="6" customHeight="1">
      <c r="A28" s="334"/>
      <c r="B28" s="336"/>
      <c r="C28" s="358"/>
      <c r="D28" s="1003"/>
      <c r="E28" s="1003"/>
      <c r="F28" s="1003"/>
      <c r="G28" s="357"/>
      <c r="H28" s="351"/>
      <c r="I28" s="357"/>
      <c r="J28" s="357"/>
      <c r="K28" s="357"/>
      <c r="L28" s="357"/>
    </row>
    <row r="29" spans="1:24">
      <c r="A29" s="334"/>
      <c r="B29" s="1064" t="s">
        <v>145</v>
      </c>
      <c r="C29" s="1064"/>
      <c r="D29" s="1066"/>
      <c r="E29" s="1066"/>
      <c r="F29" s="1066"/>
      <c r="G29" s="1067"/>
      <c r="H29" s="1069"/>
      <c r="I29" s="1067"/>
      <c r="J29" s="1067"/>
      <c r="K29" s="1067"/>
      <c r="L29" s="1067"/>
    </row>
    <row r="30" spans="1:24" ht="14.45" customHeight="1">
      <c r="A30" s="334"/>
      <c r="B30" s="991" t="s">
        <v>146</v>
      </c>
      <c r="C30" s="989"/>
      <c r="D30" s="1002">
        <f>'Capital Costs_Nominal$'!H42/1000000</f>
        <v>12.784000000000001</v>
      </c>
      <c r="E30" s="1002">
        <f>'Capital Costs_Nominal$'!I42/1000000</f>
        <v>11.952999999999999</v>
      </c>
      <c r="F30" s="1002">
        <f>'Capital Costs_Nominal$'!J42/1000000</f>
        <v>12.134</v>
      </c>
      <c r="G30" s="998">
        <f>'Capital Costs_Nominal$'!K42/1000000</f>
        <v>12.419</v>
      </c>
      <c r="H30" s="988"/>
      <c r="I30" s="998">
        <f>'Capital Costs_Nominal$'!L42/1000000</f>
        <v>59.609000000000002</v>
      </c>
      <c r="J30" s="998">
        <f>'Capital Costs_Nominal$'!M42/1000000</f>
        <v>54.234999999999999</v>
      </c>
      <c r="K30" s="998">
        <f>'Capital Costs_Nominal$'!N42/1000000</f>
        <v>55.136000000000003</v>
      </c>
      <c r="L30" s="998">
        <f>'Capital Costs_Nominal$'!O42/1000000</f>
        <v>57.317999999999998</v>
      </c>
      <c r="O30" s="1724"/>
      <c r="P30" s="1724"/>
      <c r="Q30" s="1724"/>
      <c r="R30" s="1724"/>
      <c r="U30" s="1724"/>
      <c r="V30" s="1724"/>
      <c r="W30" s="1724"/>
      <c r="X30" s="1724"/>
    </row>
    <row r="31" spans="1:24" ht="14.45" customHeight="1">
      <c r="A31" s="334"/>
      <c r="B31" s="336" t="s">
        <v>147</v>
      </c>
      <c r="C31" s="358"/>
      <c r="D31" s="1003">
        <f>'Capital Costs_Nominal$'!H43/1000000</f>
        <v>2.5569999999999999</v>
      </c>
      <c r="E31" s="1003">
        <f>'Capital Costs_Nominal$'!I43/1000000</f>
        <v>2.391</v>
      </c>
      <c r="F31" s="1003">
        <f>'Capital Costs_Nominal$'!J43/1000000</f>
        <v>2.427</v>
      </c>
      <c r="G31" s="357">
        <f>'Capital Costs_Nominal$'!K43/1000000</f>
        <v>2.484</v>
      </c>
      <c r="H31" s="351"/>
      <c r="I31" s="357">
        <f>'Capital Costs_Nominal$'!L43/1000000</f>
        <v>11.922000000000001</v>
      </c>
      <c r="J31" s="357">
        <f>'Capital Costs_Nominal$'!M43/1000000</f>
        <v>10.847</v>
      </c>
      <c r="K31" s="357">
        <f>'Capital Costs_Nominal$'!N43/1000000</f>
        <v>11.026999999999999</v>
      </c>
      <c r="L31" s="357">
        <f>'Capital Costs_Nominal$'!O43/1000000</f>
        <v>11.464</v>
      </c>
      <c r="O31" s="1724"/>
      <c r="P31" s="1724"/>
      <c r="Q31" s="1724"/>
      <c r="R31" s="1724"/>
      <c r="U31" s="1724"/>
      <c r="V31" s="1724"/>
      <c r="W31" s="1724"/>
      <c r="X31" s="1724"/>
    </row>
    <row r="32" spans="1:24" ht="14.45" customHeight="1">
      <c r="B32" s="991" t="s">
        <v>148</v>
      </c>
      <c r="C32" s="989"/>
      <c r="D32" s="1002">
        <f>'Capital Costs_Nominal$'!H44/1000000</f>
        <v>-0.55100000000000005</v>
      </c>
      <c r="E32" s="1002">
        <f>'Capital Costs_Nominal$'!I44/1000000</f>
        <v>-0.55500000000000005</v>
      </c>
      <c r="F32" s="1002">
        <f>'Capital Costs_Nominal$'!J44/1000000</f>
        <v>0.123</v>
      </c>
      <c r="G32" s="998">
        <f>'Capital Costs_Nominal$'!K44/1000000</f>
        <v>-0.53200000000000003</v>
      </c>
      <c r="H32" s="988"/>
      <c r="I32" s="998">
        <f>'Capital Costs_Nominal$'!L44/1000000</f>
        <v>-13.917999999999999</v>
      </c>
      <c r="J32" s="998">
        <f>'Capital Costs_Nominal$'!M44/1000000</f>
        <v>-13.994</v>
      </c>
      <c r="K32" s="998">
        <f>'Capital Costs_Nominal$'!N44/1000000</f>
        <v>-9.7840000000000007</v>
      </c>
      <c r="L32" s="998">
        <f>'Capital Costs_Nominal$'!O44/1000000</f>
        <v>-13.49</v>
      </c>
      <c r="O32" s="1724"/>
      <c r="P32" s="1724"/>
      <c r="Q32" s="1724"/>
      <c r="R32" s="1724"/>
      <c r="U32" s="1724"/>
      <c r="V32" s="1724"/>
      <c r="W32" s="1724"/>
      <c r="X32" s="1724"/>
    </row>
    <row r="33" spans="1:24" ht="14.45" customHeight="1">
      <c r="B33" s="336" t="s">
        <v>149</v>
      </c>
      <c r="C33" s="358"/>
      <c r="D33" s="1003">
        <f>'Capital Costs_Nominal$'!H45/1000000</f>
        <v>7.7930000000000001</v>
      </c>
      <c r="E33" s="1003">
        <f>'Capital Costs_Nominal$'!I45/1000000</f>
        <v>7.843</v>
      </c>
      <c r="F33" s="1003">
        <f>'Capital Costs_Nominal$'!J45/1000000</f>
        <v>7.6289999999999996</v>
      </c>
      <c r="G33" s="357">
        <f>'Capital Costs_Nominal$'!K45/1000000</f>
        <v>7.5629999999999997</v>
      </c>
      <c r="H33" s="351"/>
      <c r="I33" s="357">
        <f>'Capital Costs_Nominal$'!L45/1000000</f>
        <v>25.305</v>
      </c>
      <c r="J33" s="357">
        <f>'Capital Costs_Nominal$'!M45/1000000</f>
        <v>25.367999999999999</v>
      </c>
      <c r="K33" s="357">
        <f>'Capital Costs_Nominal$'!N45/1000000</f>
        <v>24.728999999999999</v>
      </c>
      <c r="L33" s="357">
        <f>'Capital Costs_Nominal$'!O45/1000000</f>
        <v>24.498999999999999</v>
      </c>
      <c r="O33" s="1724"/>
      <c r="P33" s="1724"/>
      <c r="Q33" s="1724"/>
      <c r="R33" s="1724"/>
      <c r="U33" s="1724"/>
      <c r="V33" s="1724"/>
      <c r="W33" s="1724"/>
      <c r="X33" s="1724"/>
    </row>
    <row r="34" spans="1:24" ht="14.45" customHeight="1">
      <c r="B34" s="991" t="s">
        <v>98</v>
      </c>
      <c r="C34" s="989"/>
      <c r="D34" s="1002">
        <f>'Capital Costs_Nominal$'!H46/1000000</f>
        <v>33.747999999999998</v>
      </c>
      <c r="E34" s="1002">
        <f>'Capital Costs_Nominal$'!I46/1000000</f>
        <v>33.747999999999998</v>
      </c>
      <c r="F34" s="1002">
        <f>'Capital Costs_Nominal$'!J46/1000000</f>
        <v>33.747999999999998</v>
      </c>
      <c r="G34" s="998">
        <f>'Capital Costs_Nominal$'!K46/1000000</f>
        <v>33.747999999999998</v>
      </c>
      <c r="H34" s="988"/>
      <c r="I34" s="998">
        <f>'Capital Costs_Nominal$'!L46/1000000</f>
        <v>33.747999999999998</v>
      </c>
      <c r="J34" s="998">
        <f>'Capital Costs_Nominal$'!M46/1000000</f>
        <v>33.747999999999998</v>
      </c>
      <c r="K34" s="998">
        <f>'Capital Costs_Nominal$'!N46/1000000</f>
        <v>33.747999999999998</v>
      </c>
      <c r="L34" s="998">
        <f>'Capital Costs_Nominal$'!O46/1000000</f>
        <v>33.747999999999998</v>
      </c>
      <c r="O34" s="1724"/>
      <c r="P34" s="1724"/>
      <c r="Q34" s="1724"/>
      <c r="R34" s="1724"/>
      <c r="U34" s="1724"/>
      <c r="V34" s="1724"/>
      <c r="W34" s="1724"/>
      <c r="X34" s="1724"/>
    </row>
    <row r="35" spans="1:24" ht="14.45" customHeight="1">
      <c r="B35" s="336" t="s">
        <v>150</v>
      </c>
      <c r="C35" s="358"/>
      <c r="D35" s="1003">
        <f>'Capital Costs_Nominal$'!H47/1000000</f>
        <v>0.36599999999999999</v>
      </c>
      <c r="E35" s="1003">
        <f>'Capital Costs_Nominal$'!I47/1000000</f>
        <v>0.29499999999999998</v>
      </c>
      <c r="F35" s="1003">
        <f>'Capital Costs_Nominal$'!J47/1000000</f>
        <v>0.16400000000000001</v>
      </c>
      <c r="G35" s="357">
        <f>'Capital Costs_Nominal$'!K47/1000000</f>
        <v>0.30599999999999999</v>
      </c>
      <c r="H35" s="351"/>
      <c r="I35" s="357">
        <f>'Capital Costs_Nominal$'!L47/1000000</f>
        <v>2.1960000000000002</v>
      </c>
      <c r="J35" s="357">
        <f>'Capital Costs_Nominal$'!M47/1000000</f>
        <v>1.77</v>
      </c>
      <c r="K35" s="357">
        <f>'Capital Costs_Nominal$'!N47/1000000</f>
        <v>0.98399999999999999</v>
      </c>
      <c r="L35" s="357">
        <f>'Capital Costs_Nominal$'!O47/1000000</f>
        <v>1.8360000000000001</v>
      </c>
      <c r="O35" s="1724"/>
      <c r="P35" s="1724"/>
      <c r="Q35" s="1724"/>
      <c r="R35" s="1724"/>
      <c r="U35" s="1724"/>
      <c r="V35" s="1724"/>
      <c r="W35" s="1724"/>
      <c r="X35" s="1724"/>
    </row>
    <row r="36" spans="1:24" ht="14.45" customHeight="1">
      <c r="B36" s="991" t="s">
        <v>151</v>
      </c>
      <c r="C36" s="989"/>
      <c r="D36" s="1002">
        <f>'Capital Costs_Nominal$'!H48/1000000</f>
        <v>0</v>
      </c>
      <c r="E36" s="1002">
        <f>'Capital Costs_Nominal$'!I48/1000000</f>
        <v>0</v>
      </c>
      <c r="F36" s="1002">
        <f>'Capital Costs_Nominal$'!J48/1000000</f>
        <v>0</v>
      </c>
      <c r="G36" s="998">
        <f>'Capital Costs_Nominal$'!K48/1000000</f>
        <v>0</v>
      </c>
      <c r="H36" s="988"/>
      <c r="I36" s="998">
        <f>'Capital Costs_Nominal$'!L48/1000000</f>
        <v>0</v>
      </c>
      <c r="J36" s="998">
        <f>'Capital Costs_Nominal$'!M48/1000000</f>
        <v>0</v>
      </c>
      <c r="K36" s="998">
        <f>'Capital Costs_Nominal$'!N48/1000000</f>
        <v>0</v>
      </c>
      <c r="L36" s="998">
        <f>'Capital Costs_Nominal$'!O48/1000000</f>
        <v>0</v>
      </c>
      <c r="O36" s="1724"/>
      <c r="P36" s="1724"/>
      <c r="Q36" s="1724"/>
      <c r="R36" s="1724"/>
      <c r="U36" s="1724"/>
      <c r="V36" s="1724"/>
      <c r="W36" s="1724"/>
      <c r="X36" s="1724"/>
    </row>
    <row r="37" spans="1:24" ht="14.45" customHeight="1">
      <c r="A37" s="334"/>
      <c r="B37" s="336" t="s">
        <v>152</v>
      </c>
      <c r="C37" s="358"/>
      <c r="D37" s="1003">
        <f>'Capital Costs_Nominal$'!H49/1000000</f>
        <v>1.278</v>
      </c>
      <c r="E37" s="1003">
        <f>'Capital Costs_Nominal$'!I49/1000000</f>
        <v>1.1950000000000001</v>
      </c>
      <c r="F37" s="1003">
        <f>'Capital Costs_Nominal$'!J49/1000000</f>
        <v>1.2130000000000001</v>
      </c>
      <c r="G37" s="357">
        <f>'Capital Costs_Nominal$'!K49/1000000</f>
        <v>1.242</v>
      </c>
      <c r="H37" s="351"/>
      <c r="I37" s="357">
        <f>'Capital Costs_Nominal$'!L49/1000000</f>
        <v>5.9610000000000003</v>
      </c>
      <c r="J37" s="357">
        <f>'Capital Costs_Nominal$'!M49/1000000</f>
        <v>5.423</v>
      </c>
      <c r="K37" s="357">
        <f>'Capital Costs_Nominal$'!N49/1000000</f>
        <v>5.5140000000000002</v>
      </c>
      <c r="L37" s="357">
        <f>'Capital Costs_Nominal$'!O49/1000000</f>
        <v>5.7320000000000002</v>
      </c>
      <c r="O37" s="1724"/>
      <c r="P37" s="1724"/>
      <c r="Q37" s="1724"/>
      <c r="R37" s="1724"/>
      <c r="U37" s="1724"/>
      <c r="V37" s="1724"/>
      <c r="W37" s="1724"/>
      <c r="X37" s="1724"/>
    </row>
    <row r="38" spans="1:24" ht="14.45" customHeight="1">
      <c r="A38" s="334"/>
      <c r="B38" s="991" t="s">
        <v>114</v>
      </c>
      <c r="C38" s="989"/>
      <c r="D38" s="1002">
        <f>'Capital Costs_Nominal$'!H50/1000000</f>
        <v>4.6379999999999999</v>
      </c>
      <c r="E38" s="1002">
        <f>'Capital Costs_Nominal$'!I50/1000000</f>
        <v>4.55</v>
      </c>
      <c r="F38" s="1002">
        <f>'Capital Costs_Nominal$'!J50/1000000</f>
        <v>4.5949999999999998</v>
      </c>
      <c r="G38" s="998">
        <f>'Capital Costs_Nominal$'!K50/1000000</f>
        <v>4.5780000000000003</v>
      </c>
      <c r="H38" s="988"/>
      <c r="I38" s="998">
        <f>'Capital Costs_Nominal$'!L50/1000000</f>
        <v>9.9860000000000007</v>
      </c>
      <c r="J38" s="998">
        <f>'Capital Costs_Nominal$'!M50/1000000</f>
        <v>9.3919999999999995</v>
      </c>
      <c r="K38" s="998">
        <f>'Capital Costs_Nominal$'!N50/1000000</f>
        <v>9.7080000000000002</v>
      </c>
      <c r="L38" s="998">
        <f>'Capital Costs_Nominal$'!O50/1000000</f>
        <v>9.6890000000000001</v>
      </c>
      <c r="O38" s="1724"/>
      <c r="P38" s="1724"/>
      <c r="Q38" s="1724"/>
      <c r="R38" s="1724"/>
      <c r="U38" s="1724"/>
      <c r="V38" s="1724"/>
      <c r="W38" s="1724"/>
      <c r="X38" s="1724"/>
    </row>
    <row r="39" spans="1:24" outlineLevel="1">
      <c r="A39" s="334"/>
      <c r="B39" s="336" t="s">
        <v>490</v>
      </c>
      <c r="C39" s="358"/>
      <c r="D39" s="1003">
        <f>'Capital Costs_Nominal$'!H51/1000000</f>
        <v>0</v>
      </c>
      <c r="E39" s="1003">
        <f>'Capital Costs_Nominal$'!I51/1000000</f>
        <v>0</v>
      </c>
      <c r="F39" s="1003">
        <f>'Capital Costs_Nominal$'!J51/1000000</f>
        <v>0</v>
      </c>
      <c r="G39" s="357">
        <f>'Capital Costs_Nominal$'!K51/1000000</f>
        <v>0</v>
      </c>
      <c r="H39" s="351"/>
      <c r="I39" s="357">
        <f>'Capital Costs_Nominal$'!L51/1000000</f>
        <v>2.3086073980292015</v>
      </c>
      <c r="J39" s="357">
        <f>'Capital Costs_Nominal$'!M51/1000000</f>
        <v>2.3086073980292015</v>
      </c>
      <c r="K39" s="357">
        <f>'Capital Costs_Nominal$'!N51/1000000</f>
        <v>2.3086073980292015</v>
      </c>
      <c r="L39" s="357">
        <f>'Capital Costs_Nominal$'!O51/1000000</f>
        <v>2.3086073980292015</v>
      </c>
      <c r="O39" s="1724"/>
      <c r="P39" s="1724"/>
      <c r="Q39" s="1724"/>
      <c r="R39" s="1724"/>
      <c r="U39" s="1724"/>
      <c r="V39" s="1724"/>
      <c r="W39" s="1724"/>
      <c r="X39" s="1724"/>
    </row>
    <row r="40" spans="1:24">
      <c r="A40" s="334"/>
      <c r="B40" s="1175" t="s">
        <v>115</v>
      </c>
      <c r="C40" s="1176"/>
      <c r="D40" s="1713">
        <f>'Capital Costs_Nominal$'!H53/1000000</f>
        <v>7.0030000000000001</v>
      </c>
      <c r="E40" s="1714">
        <f>'Capital Costs_Nominal$'!I53/1000000</f>
        <v>6.6109999999999998</v>
      </c>
      <c r="F40" s="1714">
        <f>'Capital Costs_Nominal$'!J53/1000000</f>
        <v>6.7039999999999997</v>
      </c>
      <c r="G40" s="1714">
        <f>'Capital Costs_Nominal$'!K53/1000000</f>
        <v>6.8239999999999998</v>
      </c>
      <c r="H40" s="1178"/>
      <c r="I40" s="1177">
        <f>'Capital Costs_Nominal$'!L53/1000000</f>
        <v>29.245000000000001</v>
      </c>
      <c r="J40" s="998">
        <f>'Capital Costs_Nominal$'!M53/1000000</f>
        <v>26.702999999999999</v>
      </c>
      <c r="K40" s="998">
        <f>'Capital Costs_Nominal$'!N53/1000000</f>
        <v>27.193999999999999</v>
      </c>
      <c r="L40" s="998">
        <f>'Capital Costs_Nominal$'!O53/1000000</f>
        <v>28.148</v>
      </c>
      <c r="O40" s="1724"/>
      <c r="P40" s="1724"/>
      <c r="Q40" s="1724"/>
      <c r="R40" s="1724"/>
      <c r="U40" s="1724"/>
      <c r="V40" s="1724"/>
      <c r="W40" s="1724"/>
      <c r="X40" s="1724"/>
    </row>
    <row r="41" spans="1:24" s="356" customFormat="1">
      <c r="A41" s="353"/>
      <c r="B41" s="350" t="s">
        <v>155</v>
      </c>
      <c r="C41" s="359"/>
      <c r="D41" s="1004">
        <f>'Capital Costs_Nominal$'!H54/1000000</f>
        <v>69.616</v>
      </c>
      <c r="E41" s="1004">
        <f>'Capital Costs_Nominal$'!I54/1000000</f>
        <v>68.031000000000006</v>
      </c>
      <c r="F41" s="1004">
        <f>'Capital Costs_Nominal$'!J54/1000000</f>
        <v>68.736999999999995</v>
      </c>
      <c r="G41" s="999">
        <f>'Capital Costs_Nominal$'!K54/1000000</f>
        <v>68.632000000000005</v>
      </c>
      <c r="H41" s="355"/>
      <c r="I41" s="999">
        <f>'Capital Costs_Nominal$'!L54/1000000</f>
        <v>166.36260739802921</v>
      </c>
      <c r="J41" s="999">
        <f>'Capital Costs_Nominal$'!M54/1000000</f>
        <v>155.8006073980292</v>
      </c>
      <c r="K41" s="999">
        <f>'Capital Costs_Nominal$'!N54/1000000</f>
        <v>160.56460739802921</v>
      </c>
      <c r="L41" s="999">
        <f>'Capital Costs_Nominal$'!O54/1000000</f>
        <v>161.2526073980292</v>
      </c>
    </row>
    <row r="42" spans="1:24" s="356" customFormat="1" ht="6" customHeight="1">
      <c r="A42" s="353"/>
      <c r="B42" s="350"/>
      <c r="C42" s="359"/>
      <c r="D42" s="1003"/>
      <c r="E42" s="1003"/>
      <c r="F42" s="1003"/>
      <c r="G42" s="357"/>
      <c r="H42" s="355"/>
      <c r="I42" s="357"/>
      <c r="J42" s="357"/>
      <c r="K42" s="357"/>
      <c r="L42" s="357"/>
    </row>
    <row r="43" spans="1:24" s="356" customFormat="1">
      <c r="A43" s="353"/>
      <c r="B43" s="1064" t="s">
        <v>116</v>
      </c>
      <c r="C43" s="1070"/>
      <c r="D43" s="1071">
        <f>'Capital Costs_Nominal$'!H56/1000000</f>
        <v>325.29899999999998</v>
      </c>
      <c r="E43" s="1071">
        <f>'Capital Costs_Nominal$'!I56/1000000</f>
        <v>307.089</v>
      </c>
      <c r="F43" s="1071">
        <f>'Capital Costs_Nominal$'!J56/1000000</f>
        <v>311.42500000000001</v>
      </c>
      <c r="G43" s="1072">
        <f>'Capital Costs_Nominal$'!K56/1000000</f>
        <v>317.00700000000001</v>
      </c>
      <c r="H43" s="1073"/>
      <c r="I43" s="1072">
        <f>'Capital Costs_Nominal$'!L56/1000000</f>
        <v>1358.5466073980294</v>
      </c>
      <c r="J43" s="1072">
        <f>'Capital Costs_Nominal$'!M56/1000000</f>
        <v>1240.4946073980293</v>
      </c>
      <c r="K43" s="1072">
        <f>'Capital Costs_Nominal$'!N56/1000000</f>
        <v>1263.2786073980294</v>
      </c>
      <c r="L43" s="1072">
        <f>'Capital Costs_Nominal$'!O56/1000000</f>
        <v>1307.6186073980293</v>
      </c>
    </row>
    <row r="44" spans="1:24" ht="6" customHeight="1">
      <c r="A44" s="334"/>
      <c r="B44" s="362"/>
      <c r="C44" s="362"/>
      <c r="D44" s="1005"/>
      <c r="E44" s="1005"/>
      <c r="F44" s="1005"/>
      <c r="G44" s="363"/>
      <c r="H44" s="363"/>
      <c r="I44" s="363"/>
      <c r="J44" s="363"/>
      <c r="K44" s="363"/>
      <c r="L44" s="363"/>
    </row>
    <row r="45" spans="1:24" ht="6" customHeight="1">
      <c r="A45" s="334"/>
      <c r="B45" s="364"/>
      <c r="C45" s="364"/>
      <c r="D45" s="1006"/>
      <c r="E45" s="1006"/>
      <c r="F45" s="1006"/>
      <c r="G45" s="360"/>
      <c r="H45" s="360"/>
      <c r="I45" s="360"/>
      <c r="J45" s="360"/>
      <c r="K45" s="360"/>
      <c r="L45" s="360"/>
    </row>
    <row r="46" spans="1:24" s="356" customFormat="1">
      <c r="A46" s="353"/>
      <c r="B46" s="350" t="s">
        <v>295</v>
      </c>
      <c r="C46" s="359"/>
      <c r="D46" s="1007">
        <f>'Capital Costs_Nominal$'!H59/1000000</f>
        <v>325.29899999999998</v>
      </c>
      <c r="E46" s="1007">
        <f>'Capital Costs_Nominal$'!I59/1000000</f>
        <v>307.089</v>
      </c>
      <c r="F46" s="1007">
        <f>'Capital Costs_Nominal$'!J59/1000000</f>
        <v>311.42500000000001</v>
      </c>
      <c r="G46" s="365">
        <f>'Capital Costs_Nominal$'!K59/1000000</f>
        <v>317.00700000000001</v>
      </c>
      <c r="H46" s="365"/>
      <c r="I46" s="365">
        <f>'Capital Costs_Nominal$'!L59/1000000</f>
        <v>1358.5466073980294</v>
      </c>
      <c r="J46" s="365">
        <f>'Capital Costs_Nominal$'!M59/1000000</f>
        <v>1240.4946073980293</v>
      </c>
      <c r="K46" s="365">
        <f>'Capital Costs_Nominal$'!N59/1000000</f>
        <v>1263.2786073980294</v>
      </c>
      <c r="L46" s="365">
        <f>'Capital Costs_Nominal$'!O59/1000000</f>
        <v>1307.6186073980293</v>
      </c>
    </row>
    <row r="47" spans="1:24">
      <c r="A47" s="334"/>
      <c r="B47" s="350" t="s">
        <v>157</v>
      </c>
      <c r="C47" s="350"/>
      <c r="D47" s="1007">
        <f>'Capital Costs_Nominal$'!H60</f>
        <v>902.13234458067222</v>
      </c>
      <c r="E47" s="1007">
        <f>'Capital Costs_Nominal$'!I60</f>
        <v>846.35291783109813</v>
      </c>
      <c r="F47" s="1007">
        <f>'Capital Costs_Nominal$'!J60</f>
        <v>882.40627665211218</v>
      </c>
      <c r="G47" s="365">
        <f>'Capital Costs_Nominal$'!K60</f>
        <v>905.88958107104077</v>
      </c>
      <c r="H47" s="365"/>
      <c r="I47" s="365">
        <f>'Capital Costs_Nominal$'!L60</f>
        <v>1160.4269194417409</v>
      </c>
      <c r="J47" s="365">
        <f>'Capital Costs_Nominal$'!M60</f>
        <v>1056.9472601030534</v>
      </c>
      <c r="K47" s="365">
        <f>'Capital Costs_Nominal$'!N60</f>
        <v>1104.1737893897086</v>
      </c>
      <c r="L47" s="365">
        <f>'Capital Costs_Nominal$'!O60</f>
        <v>1153.6888290684062</v>
      </c>
    </row>
    <row r="48" spans="1:24">
      <c r="A48" s="334"/>
      <c r="B48" s="350" t="s">
        <v>68</v>
      </c>
      <c r="C48" s="350"/>
      <c r="D48" s="1007">
        <f>'Capital Costs_Nominal$'!H61</f>
        <v>945.22994211246385</v>
      </c>
      <c r="E48" s="1007">
        <f>'Capital Costs_Nominal$'!I61</f>
        <v>887.12127561820864</v>
      </c>
      <c r="F48" s="1007">
        <f>'Capital Costs_Nominal$'!J61</f>
        <v>924.72403105584215</v>
      </c>
      <c r="G48" s="365">
        <f>'Capital Costs_Nominal$'!K61</f>
        <v>949.33352953671533</v>
      </c>
      <c r="H48" s="365"/>
      <c r="I48" s="365">
        <f>'Capital Costs_Nominal$'!L61</f>
        <v>1255.3052433703517</v>
      </c>
      <c r="J48" s="365">
        <f>'Capital Costs_Nominal$'!M61</f>
        <v>1144.0960447434343</v>
      </c>
      <c r="K48" s="365">
        <f>'Capital Costs_Nominal$'!N61</f>
        <v>1194.8076202754946</v>
      </c>
      <c r="L48" s="365">
        <f>'Capital Costs_Nominal$'!O61</f>
        <v>1248.3869999844178</v>
      </c>
      <c r="M48" s="1095" t="s">
        <v>310</v>
      </c>
    </row>
    <row r="49" spans="2:12" ht="6" customHeight="1" thickBot="1">
      <c r="B49" s="366"/>
      <c r="C49" s="366"/>
      <c r="D49" s="367"/>
      <c r="E49" s="367"/>
      <c r="F49" s="367"/>
      <c r="G49" s="367"/>
      <c r="H49" s="367"/>
      <c r="I49" s="367"/>
      <c r="J49" s="367"/>
      <c r="K49" s="367"/>
      <c r="L49" s="367"/>
    </row>
    <row r="50" spans="2:12" ht="6" customHeight="1" thickTop="1">
      <c r="B50" s="350" t="s">
        <v>123</v>
      </c>
      <c r="C50" s="350"/>
      <c r="D50" s="368"/>
      <c r="E50" s="368"/>
      <c r="F50" s="368"/>
      <c r="G50" s="368"/>
      <c r="H50" s="368"/>
      <c r="I50" s="368"/>
      <c r="J50" s="368"/>
      <c r="K50" s="368"/>
      <c r="L50" s="368"/>
    </row>
    <row r="51" spans="2:12">
      <c r="B51" s="369"/>
      <c r="C51" s="369"/>
      <c r="D51" s="370"/>
      <c r="E51" s="370"/>
      <c r="F51" s="370"/>
      <c r="G51" s="370"/>
      <c r="H51" s="370"/>
      <c r="I51" s="370"/>
      <c r="J51" s="370"/>
      <c r="K51" s="370"/>
      <c r="L51" s="370"/>
    </row>
    <row r="52" spans="2:12">
      <c r="B52" s="371"/>
      <c r="C52" s="371"/>
      <c r="E52" s="370"/>
      <c r="F52" s="370"/>
      <c r="G52" s="370"/>
      <c r="H52" s="370"/>
      <c r="J52" s="370"/>
      <c r="K52" s="370"/>
      <c r="L52" s="370"/>
    </row>
    <row r="53" spans="2:12">
      <c r="B53" s="350"/>
      <c r="C53" s="371"/>
      <c r="D53" s="1719"/>
      <c r="E53" s="1719"/>
      <c r="F53" s="370"/>
      <c r="G53" s="370"/>
      <c r="H53" s="370"/>
      <c r="I53" s="1719"/>
      <c r="J53" s="1719"/>
      <c r="K53" s="370"/>
      <c r="L53" s="370"/>
    </row>
    <row r="54" spans="2:12">
      <c r="B54" s="350"/>
      <c r="C54" s="371"/>
      <c r="D54" s="1719"/>
      <c r="E54" s="1719"/>
      <c r="F54" s="370"/>
      <c r="G54" s="371"/>
      <c r="H54" s="371"/>
      <c r="I54" s="1719"/>
      <c r="J54" s="1719"/>
      <c r="K54" s="370"/>
      <c r="L54" s="371"/>
    </row>
    <row r="55" spans="2:12">
      <c r="B55" s="371"/>
      <c r="C55" s="371"/>
      <c r="D55" s="371"/>
      <c r="E55" s="371"/>
      <c r="F55" s="371"/>
      <c r="G55" s="371"/>
      <c r="H55" s="371"/>
      <c r="I55" s="371"/>
      <c r="J55" s="371"/>
      <c r="K55" s="371"/>
      <c r="L55" s="371"/>
    </row>
    <row r="56" spans="2:12">
      <c r="B56" s="371"/>
      <c r="C56" s="371"/>
      <c r="D56" s="371"/>
      <c r="E56" s="371"/>
      <c r="F56" s="371"/>
      <c r="G56" s="371"/>
      <c r="H56" s="371"/>
      <c r="I56" s="371"/>
      <c r="J56" s="371"/>
      <c r="K56" s="371"/>
      <c r="L56" s="371"/>
    </row>
    <row r="57" spans="2:12">
      <c r="B57" s="371"/>
      <c r="C57" s="371"/>
      <c r="D57" s="371"/>
      <c r="E57" s="371"/>
      <c r="F57" s="371"/>
      <c r="G57" s="371"/>
      <c r="H57" s="371"/>
      <c r="I57" s="371"/>
      <c r="J57" s="371"/>
      <c r="K57" s="371"/>
      <c r="L57" s="371"/>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CO97"/>
  <sheetViews>
    <sheetView zoomScaleNormal="100" workbookViewId="0">
      <selection activeCell="F34" sqref="F34"/>
    </sheetView>
  </sheetViews>
  <sheetFormatPr defaultRowHeight="15" outlineLevelRow="1" outlineLevelCol="1"/>
  <cols>
    <col min="1" max="1" width="6.85546875" style="372" customWidth="1"/>
    <col min="2" max="2" width="36.85546875" style="372" customWidth="1"/>
    <col min="3" max="3" width="1.7109375" style="372" customWidth="1"/>
    <col min="4" max="4" width="10.7109375" style="374" customWidth="1" outlineLevel="1" collapsed="1"/>
    <col min="5" max="5" width="10.7109375" style="374" customWidth="1" outlineLevel="1"/>
    <col min="6" max="6" width="11.7109375" style="374" customWidth="1" outlineLevel="1"/>
    <col min="7" max="7" width="10.7109375" style="374" customWidth="1" outlineLevel="1"/>
    <col min="8" max="8" width="1.7109375" style="374" customWidth="1" outlineLevel="1"/>
    <col min="9" max="10" width="10.7109375" style="374" customWidth="1"/>
    <col min="11" max="11" width="11.5703125" style="374" bestFit="1" customWidth="1"/>
    <col min="12" max="12" width="10.7109375" style="374" customWidth="1"/>
    <col min="13" max="13" width="1.7109375" style="372" customWidth="1"/>
    <col min="14" max="16" width="13.7109375" style="372" customWidth="1"/>
    <col min="17" max="17" width="1.7109375" style="372" customWidth="1"/>
    <col min="18" max="20" width="13.7109375" style="372" customWidth="1"/>
    <col min="21" max="255" width="9.140625" style="372"/>
    <col min="256" max="256" width="35" style="372" customWidth="1"/>
    <col min="257" max="260" width="14.42578125" style="372" customWidth="1"/>
    <col min="261" max="261" width="2.42578125" style="372" customWidth="1"/>
    <col min="262" max="265" width="14.42578125" style="372" customWidth="1"/>
    <col min="266" max="266" width="2.42578125" style="372" customWidth="1"/>
    <col min="267" max="267" width="52.140625" style="372" customWidth="1"/>
    <col min="268" max="511" width="9.140625" style="372"/>
    <col min="512" max="512" width="35" style="372" customWidth="1"/>
    <col min="513" max="516" width="14.42578125" style="372" customWidth="1"/>
    <col min="517" max="517" width="2.42578125" style="372" customWidth="1"/>
    <col min="518" max="521" width="14.42578125" style="372" customWidth="1"/>
    <col min="522" max="522" width="2.42578125" style="372" customWidth="1"/>
    <col min="523" max="523" width="52.140625" style="372" customWidth="1"/>
    <col min="524" max="767" width="9.140625" style="372"/>
    <col min="768" max="768" width="35" style="372" customWidth="1"/>
    <col min="769" max="772" width="14.42578125" style="372" customWidth="1"/>
    <col min="773" max="773" width="2.42578125" style="372" customWidth="1"/>
    <col min="774" max="777" width="14.42578125" style="372" customWidth="1"/>
    <col min="778" max="778" width="2.42578125" style="372" customWidth="1"/>
    <col min="779" max="779" width="52.140625" style="372" customWidth="1"/>
    <col min="780" max="1023" width="9.140625" style="372"/>
    <col min="1024" max="1024" width="35" style="372" customWidth="1"/>
    <col min="1025" max="1028" width="14.42578125" style="372" customWidth="1"/>
    <col min="1029" max="1029" width="2.42578125" style="372" customWidth="1"/>
    <col min="1030" max="1033" width="14.42578125" style="372" customWidth="1"/>
    <col min="1034" max="1034" width="2.42578125" style="372" customWidth="1"/>
    <col min="1035" max="1035" width="52.140625" style="372" customWidth="1"/>
    <col min="1036" max="1279" width="9.140625" style="372"/>
    <col min="1280" max="1280" width="35" style="372" customWidth="1"/>
    <col min="1281" max="1284" width="14.42578125" style="372" customWidth="1"/>
    <col min="1285" max="1285" width="2.42578125" style="372" customWidth="1"/>
    <col min="1286" max="1289" width="14.42578125" style="372" customWidth="1"/>
    <col min="1290" max="1290" width="2.42578125" style="372" customWidth="1"/>
    <col min="1291" max="1291" width="52.140625" style="372" customWidth="1"/>
    <col min="1292" max="1535" width="9.140625" style="372"/>
    <col min="1536" max="1536" width="35" style="372" customWidth="1"/>
    <col min="1537" max="1540" width="14.42578125" style="372" customWidth="1"/>
    <col min="1541" max="1541" width="2.42578125" style="372" customWidth="1"/>
    <col min="1542" max="1545" width="14.42578125" style="372" customWidth="1"/>
    <col min="1546" max="1546" width="2.42578125" style="372" customWidth="1"/>
    <col min="1547" max="1547" width="52.140625" style="372" customWidth="1"/>
    <col min="1548" max="1791" width="9.140625" style="372"/>
    <col min="1792" max="1792" width="35" style="372" customWidth="1"/>
    <col min="1793" max="1796" width="14.42578125" style="372" customWidth="1"/>
    <col min="1797" max="1797" width="2.42578125" style="372" customWidth="1"/>
    <col min="1798" max="1801" width="14.42578125" style="372" customWidth="1"/>
    <col min="1802" max="1802" width="2.42578125" style="372" customWidth="1"/>
    <col min="1803" max="1803" width="52.140625" style="372" customWidth="1"/>
    <col min="1804" max="2047" width="9.140625" style="372"/>
    <col min="2048" max="2048" width="35" style="372" customWidth="1"/>
    <col min="2049" max="2052" width="14.42578125" style="372" customWidth="1"/>
    <col min="2053" max="2053" width="2.42578125" style="372" customWidth="1"/>
    <col min="2054" max="2057" width="14.42578125" style="372" customWidth="1"/>
    <col min="2058" max="2058" width="2.42578125" style="372" customWidth="1"/>
    <col min="2059" max="2059" width="52.140625" style="372" customWidth="1"/>
    <col min="2060" max="2303" width="9.140625" style="372"/>
    <col min="2304" max="2304" width="35" style="372" customWidth="1"/>
    <col min="2305" max="2308" width="14.42578125" style="372" customWidth="1"/>
    <col min="2309" max="2309" width="2.42578125" style="372" customWidth="1"/>
    <col min="2310" max="2313" width="14.42578125" style="372" customWidth="1"/>
    <col min="2314" max="2314" width="2.42578125" style="372" customWidth="1"/>
    <col min="2315" max="2315" width="52.140625" style="372" customWidth="1"/>
    <col min="2316" max="2559" width="9.140625" style="372"/>
    <col min="2560" max="2560" width="35" style="372" customWidth="1"/>
    <col min="2561" max="2564" width="14.42578125" style="372" customWidth="1"/>
    <col min="2565" max="2565" width="2.42578125" style="372" customWidth="1"/>
    <col min="2566" max="2569" width="14.42578125" style="372" customWidth="1"/>
    <col min="2570" max="2570" width="2.42578125" style="372" customWidth="1"/>
    <col min="2571" max="2571" width="52.140625" style="372" customWidth="1"/>
    <col min="2572" max="2815" width="9.140625" style="372"/>
    <col min="2816" max="2816" width="35" style="372" customWidth="1"/>
    <col min="2817" max="2820" width="14.42578125" style="372" customWidth="1"/>
    <col min="2821" max="2821" width="2.42578125" style="372" customWidth="1"/>
    <col min="2822" max="2825" width="14.42578125" style="372" customWidth="1"/>
    <col min="2826" max="2826" width="2.42578125" style="372" customWidth="1"/>
    <col min="2827" max="2827" width="52.140625" style="372" customWidth="1"/>
    <col min="2828" max="3071" width="9.140625" style="372"/>
    <col min="3072" max="3072" width="35" style="372" customWidth="1"/>
    <col min="3073" max="3076" width="14.42578125" style="372" customWidth="1"/>
    <col min="3077" max="3077" width="2.42578125" style="372" customWidth="1"/>
    <col min="3078" max="3081" width="14.42578125" style="372" customWidth="1"/>
    <col min="3082" max="3082" width="2.42578125" style="372" customWidth="1"/>
    <col min="3083" max="3083" width="52.140625" style="372" customWidth="1"/>
    <col min="3084" max="3327" width="9.140625" style="372"/>
    <col min="3328" max="3328" width="35" style="372" customWidth="1"/>
    <col min="3329" max="3332" width="14.42578125" style="372" customWidth="1"/>
    <col min="3333" max="3333" width="2.42578125" style="372" customWidth="1"/>
    <col min="3334" max="3337" width="14.42578125" style="372" customWidth="1"/>
    <col min="3338" max="3338" width="2.42578125" style="372" customWidth="1"/>
    <col min="3339" max="3339" width="52.140625" style="372" customWidth="1"/>
    <col min="3340" max="3583" width="9.140625" style="372"/>
    <col min="3584" max="3584" width="35" style="372" customWidth="1"/>
    <col min="3585" max="3588" width="14.42578125" style="372" customWidth="1"/>
    <col min="3589" max="3589" width="2.42578125" style="372" customWidth="1"/>
    <col min="3590" max="3593" width="14.42578125" style="372" customWidth="1"/>
    <col min="3594" max="3594" width="2.42578125" style="372" customWidth="1"/>
    <col min="3595" max="3595" width="52.140625" style="372" customWidth="1"/>
    <col min="3596" max="3839" width="9.140625" style="372"/>
    <col min="3840" max="3840" width="35" style="372" customWidth="1"/>
    <col min="3841" max="3844" width="14.42578125" style="372" customWidth="1"/>
    <col min="3845" max="3845" width="2.42578125" style="372" customWidth="1"/>
    <col min="3846" max="3849" width="14.42578125" style="372" customWidth="1"/>
    <col min="3850" max="3850" width="2.42578125" style="372" customWidth="1"/>
    <col min="3851" max="3851" width="52.140625" style="372" customWidth="1"/>
    <col min="3852" max="4095" width="9.140625" style="372"/>
    <col min="4096" max="4096" width="35" style="372" customWidth="1"/>
    <col min="4097" max="4100" width="14.42578125" style="372" customWidth="1"/>
    <col min="4101" max="4101" width="2.42578125" style="372" customWidth="1"/>
    <col min="4102" max="4105" width="14.42578125" style="372" customWidth="1"/>
    <col min="4106" max="4106" width="2.42578125" style="372" customWidth="1"/>
    <col min="4107" max="4107" width="52.140625" style="372" customWidth="1"/>
    <col min="4108" max="4351" width="9.140625" style="372"/>
    <col min="4352" max="4352" width="35" style="372" customWidth="1"/>
    <col min="4353" max="4356" width="14.42578125" style="372" customWidth="1"/>
    <col min="4357" max="4357" width="2.42578125" style="372" customWidth="1"/>
    <col min="4358" max="4361" width="14.42578125" style="372" customWidth="1"/>
    <col min="4362" max="4362" width="2.42578125" style="372" customWidth="1"/>
    <col min="4363" max="4363" width="52.140625" style="372" customWidth="1"/>
    <col min="4364" max="4607" width="9.140625" style="372"/>
    <col min="4608" max="4608" width="35" style="372" customWidth="1"/>
    <col min="4609" max="4612" width="14.42578125" style="372" customWidth="1"/>
    <col min="4613" max="4613" width="2.42578125" style="372" customWidth="1"/>
    <col min="4614" max="4617" width="14.42578125" style="372" customWidth="1"/>
    <col min="4618" max="4618" width="2.42578125" style="372" customWidth="1"/>
    <col min="4619" max="4619" width="52.140625" style="372" customWidth="1"/>
    <col min="4620" max="4863" width="9.140625" style="372"/>
    <col min="4864" max="4864" width="35" style="372" customWidth="1"/>
    <col min="4865" max="4868" width="14.42578125" style="372" customWidth="1"/>
    <col min="4869" max="4869" width="2.42578125" style="372" customWidth="1"/>
    <col min="4870" max="4873" width="14.42578125" style="372" customWidth="1"/>
    <col min="4874" max="4874" width="2.42578125" style="372" customWidth="1"/>
    <col min="4875" max="4875" width="52.140625" style="372" customWidth="1"/>
    <col min="4876" max="5119" width="9.140625" style="372"/>
    <col min="5120" max="5120" width="35" style="372" customWidth="1"/>
    <col min="5121" max="5124" width="14.42578125" style="372" customWidth="1"/>
    <col min="5125" max="5125" width="2.42578125" style="372" customWidth="1"/>
    <col min="5126" max="5129" width="14.42578125" style="372" customWidth="1"/>
    <col min="5130" max="5130" width="2.42578125" style="372" customWidth="1"/>
    <col min="5131" max="5131" width="52.140625" style="372" customWidth="1"/>
    <col min="5132" max="5375" width="9.140625" style="372"/>
    <col min="5376" max="5376" width="35" style="372" customWidth="1"/>
    <col min="5377" max="5380" width="14.42578125" style="372" customWidth="1"/>
    <col min="5381" max="5381" width="2.42578125" style="372" customWidth="1"/>
    <col min="5382" max="5385" width="14.42578125" style="372" customWidth="1"/>
    <col min="5386" max="5386" width="2.42578125" style="372" customWidth="1"/>
    <col min="5387" max="5387" width="52.140625" style="372" customWidth="1"/>
    <col min="5388" max="5631" width="9.140625" style="372"/>
    <col min="5632" max="5632" width="35" style="372" customWidth="1"/>
    <col min="5633" max="5636" width="14.42578125" style="372" customWidth="1"/>
    <col min="5637" max="5637" width="2.42578125" style="372" customWidth="1"/>
    <col min="5638" max="5641" width="14.42578125" style="372" customWidth="1"/>
    <col min="5642" max="5642" width="2.42578125" style="372" customWidth="1"/>
    <col min="5643" max="5643" width="52.140625" style="372" customWidth="1"/>
    <col min="5644" max="5887" width="9.140625" style="372"/>
    <col min="5888" max="5888" width="35" style="372" customWidth="1"/>
    <col min="5889" max="5892" width="14.42578125" style="372" customWidth="1"/>
    <col min="5893" max="5893" width="2.42578125" style="372" customWidth="1"/>
    <col min="5894" max="5897" width="14.42578125" style="372" customWidth="1"/>
    <col min="5898" max="5898" width="2.42578125" style="372" customWidth="1"/>
    <col min="5899" max="5899" width="52.140625" style="372" customWidth="1"/>
    <col min="5900" max="6143" width="9.140625" style="372"/>
    <col min="6144" max="6144" width="35" style="372" customWidth="1"/>
    <col min="6145" max="6148" width="14.42578125" style="372" customWidth="1"/>
    <col min="6149" max="6149" width="2.42578125" style="372" customWidth="1"/>
    <col min="6150" max="6153" width="14.42578125" style="372" customWidth="1"/>
    <col min="6154" max="6154" width="2.42578125" style="372" customWidth="1"/>
    <col min="6155" max="6155" width="52.140625" style="372" customWidth="1"/>
    <col min="6156" max="6399" width="9.140625" style="372"/>
    <col min="6400" max="6400" width="35" style="372" customWidth="1"/>
    <col min="6401" max="6404" width="14.42578125" style="372" customWidth="1"/>
    <col min="6405" max="6405" width="2.42578125" style="372" customWidth="1"/>
    <col min="6406" max="6409" width="14.42578125" style="372" customWidth="1"/>
    <col min="6410" max="6410" width="2.42578125" style="372" customWidth="1"/>
    <col min="6411" max="6411" width="52.140625" style="372" customWidth="1"/>
    <col min="6412" max="6655" width="9.140625" style="372"/>
    <col min="6656" max="6656" width="35" style="372" customWidth="1"/>
    <col min="6657" max="6660" width="14.42578125" style="372" customWidth="1"/>
    <col min="6661" max="6661" width="2.42578125" style="372" customWidth="1"/>
    <col min="6662" max="6665" width="14.42578125" style="372" customWidth="1"/>
    <col min="6666" max="6666" width="2.42578125" style="372" customWidth="1"/>
    <col min="6667" max="6667" width="52.140625" style="372" customWidth="1"/>
    <col min="6668" max="6911" width="9.140625" style="372"/>
    <col min="6912" max="6912" width="35" style="372" customWidth="1"/>
    <col min="6913" max="6916" width="14.42578125" style="372" customWidth="1"/>
    <col min="6917" max="6917" width="2.42578125" style="372" customWidth="1"/>
    <col min="6918" max="6921" width="14.42578125" style="372" customWidth="1"/>
    <col min="6922" max="6922" width="2.42578125" style="372" customWidth="1"/>
    <col min="6923" max="6923" width="52.140625" style="372" customWidth="1"/>
    <col min="6924" max="7167" width="9.140625" style="372"/>
    <col min="7168" max="7168" width="35" style="372" customWidth="1"/>
    <col min="7169" max="7172" width="14.42578125" style="372" customWidth="1"/>
    <col min="7173" max="7173" width="2.42578125" style="372" customWidth="1"/>
    <col min="7174" max="7177" width="14.42578125" style="372" customWidth="1"/>
    <col min="7178" max="7178" width="2.42578125" style="372" customWidth="1"/>
    <col min="7179" max="7179" width="52.140625" style="372" customWidth="1"/>
    <col min="7180" max="7423" width="9.140625" style="372"/>
    <col min="7424" max="7424" width="35" style="372" customWidth="1"/>
    <col min="7425" max="7428" width="14.42578125" style="372" customWidth="1"/>
    <col min="7429" max="7429" width="2.42578125" style="372" customWidth="1"/>
    <col min="7430" max="7433" width="14.42578125" style="372" customWidth="1"/>
    <col min="7434" max="7434" width="2.42578125" style="372" customWidth="1"/>
    <col min="7435" max="7435" width="52.140625" style="372" customWidth="1"/>
    <col min="7436" max="7679" width="9.140625" style="372"/>
    <col min="7680" max="7680" width="35" style="372" customWidth="1"/>
    <col min="7681" max="7684" width="14.42578125" style="372" customWidth="1"/>
    <col min="7685" max="7685" width="2.42578125" style="372" customWidth="1"/>
    <col min="7686" max="7689" width="14.42578125" style="372" customWidth="1"/>
    <col min="7690" max="7690" width="2.42578125" style="372" customWidth="1"/>
    <col min="7691" max="7691" width="52.140625" style="372" customWidth="1"/>
    <col min="7692" max="7935" width="9.140625" style="372"/>
    <col min="7936" max="7936" width="35" style="372" customWidth="1"/>
    <col min="7937" max="7940" width="14.42578125" style="372" customWidth="1"/>
    <col min="7941" max="7941" width="2.42578125" style="372" customWidth="1"/>
    <col min="7942" max="7945" width="14.42578125" style="372" customWidth="1"/>
    <col min="7946" max="7946" width="2.42578125" style="372" customWidth="1"/>
    <col min="7947" max="7947" width="52.140625" style="372" customWidth="1"/>
    <col min="7948" max="8191" width="9.140625" style="372"/>
    <col min="8192" max="8192" width="35" style="372" customWidth="1"/>
    <col min="8193" max="8196" width="14.42578125" style="372" customWidth="1"/>
    <col min="8197" max="8197" width="2.42578125" style="372" customWidth="1"/>
    <col min="8198" max="8201" width="14.42578125" style="372" customWidth="1"/>
    <col min="8202" max="8202" width="2.42578125" style="372" customWidth="1"/>
    <col min="8203" max="8203" width="52.140625" style="372" customWidth="1"/>
    <col min="8204" max="8447" width="9.140625" style="372"/>
    <col min="8448" max="8448" width="35" style="372" customWidth="1"/>
    <col min="8449" max="8452" width="14.42578125" style="372" customWidth="1"/>
    <col min="8453" max="8453" width="2.42578125" style="372" customWidth="1"/>
    <col min="8454" max="8457" width="14.42578125" style="372" customWidth="1"/>
    <col min="8458" max="8458" width="2.42578125" style="372" customWidth="1"/>
    <col min="8459" max="8459" width="52.140625" style="372" customWidth="1"/>
    <col min="8460" max="8703" width="9.140625" style="372"/>
    <col min="8704" max="8704" width="35" style="372" customWidth="1"/>
    <col min="8705" max="8708" width="14.42578125" style="372" customWidth="1"/>
    <col min="8709" max="8709" width="2.42578125" style="372" customWidth="1"/>
    <col min="8710" max="8713" width="14.42578125" style="372" customWidth="1"/>
    <col min="8714" max="8714" width="2.42578125" style="372" customWidth="1"/>
    <col min="8715" max="8715" width="52.140625" style="372" customWidth="1"/>
    <col min="8716" max="8959" width="9.140625" style="372"/>
    <col min="8960" max="8960" width="35" style="372" customWidth="1"/>
    <col min="8961" max="8964" width="14.42578125" style="372" customWidth="1"/>
    <col min="8965" max="8965" width="2.42578125" style="372" customWidth="1"/>
    <col min="8966" max="8969" width="14.42578125" style="372" customWidth="1"/>
    <col min="8970" max="8970" width="2.42578125" style="372" customWidth="1"/>
    <col min="8971" max="8971" width="52.140625" style="372" customWidth="1"/>
    <col min="8972" max="9215" width="9.140625" style="372"/>
    <col min="9216" max="9216" width="35" style="372" customWidth="1"/>
    <col min="9217" max="9220" width="14.42578125" style="372" customWidth="1"/>
    <col min="9221" max="9221" width="2.42578125" style="372" customWidth="1"/>
    <col min="9222" max="9225" width="14.42578125" style="372" customWidth="1"/>
    <col min="9226" max="9226" width="2.42578125" style="372" customWidth="1"/>
    <col min="9227" max="9227" width="52.140625" style="372" customWidth="1"/>
    <col min="9228" max="9471" width="9.140625" style="372"/>
    <col min="9472" max="9472" width="35" style="372" customWidth="1"/>
    <col min="9473" max="9476" width="14.42578125" style="372" customWidth="1"/>
    <col min="9477" max="9477" width="2.42578125" style="372" customWidth="1"/>
    <col min="9478" max="9481" width="14.42578125" style="372" customWidth="1"/>
    <col min="9482" max="9482" width="2.42578125" style="372" customWidth="1"/>
    <col min="9483" max="9483" width="52.140625" style="372" customWidth="1"/>
    <col min="9484" max="9727" width="9.140625" style="372"/>
    <col min="9728" max="9728" width="35" style="372" customWidth="1"/>
    <col min="9729" max="9732" width="14.42578125" style="372" customWidth="1"/>
    <col min="9733" max="9733" width="2.42578125" style="372" customWidth="1"/>
    <col min="9734" max="9737" width="14.42578125" style="372" customWidth="1"/>
    <col min="9738" max="9738" width="2.42578125" style="372" customWidth="1"/>
    <col min="9739" max="9739" width="52.140625" style="372" customWidth="1"/>
    <col min="9740" max="9983" width="9.140625" style="372"/>
    <col min="9984" max="9984" width="35" style="372" customWidth="1"/>
    <col min="9985" max="9988" width="14.42578125" style="372" customWidth="1"/>
    <col min="9989" max="9989" width="2.42578125" style="372" customWidth="1"/>
    <col min="9990" max="9993" width="14.42578125" style="372" customWidth="1"/>
    <col min="9994" max="9994" width="2.42578125" style="372" customWidth="1"/>
    <col min="9995" max="9995" width="52.140625" style="372" customWidth="1"/>
    <col min="9996" max="10239" width="9.140625" style="372"/>
    <col min="10240" max="10240" width="35" style="372" customWidth="1"/>
    <col min="10241" max="10244" width="14.42578125" style="372" customWidth="1"/>
    <col min="10245" max="10245" width="2.42578125" style="372" customWidth="1"/>
    <col min="10246" max="10249" width="14.42578125" style="372" customWidth="1"/>
    <col min="10250" max="10250" width="2.42578125" style="372" customWidth="1"/>
    <col min="10251" max="10251" width="52.140625" style="372" customWidth="1"/>
    <col min="10252" max="10495" width="9.140625" style="372"/>
    <col min="10496" max="10496" width="35" style="372" customWidth="1"/>
    <col min="10497" max="10500" width="14.42578125" style="372" customWidth="1"/>
    <col min="10501" max="10501" width="2.42578125" style="372" customWidth="1"/>
    <col min="10502" max="10505" width="14.42578125" style="372" customWidth="1"/>
    <col min="10506" max="10506" width="2.42578125" style="372" customWidth="1"/>
    <col min="10507" max="10507" width="52.140625" style="372" customWidth="1"/>
    <col min="10508" max="10751" width="9.140625" style="372"/>
    <col min="10752" max="10752" width="35" style="372" customWidth="1"/>
    <col min="10753" max="10756" width="14.42578125" style="372" customWidth="1"/>
    <col min="10757" max="10757" width="2.42578125" style="372" customWidth="1"/>
    <col min="10758" max="10761" width="14.42578125" style="372" customWidth="1"/>
    <col min="10762" max="10762" width="2.42578125" style="372" customWidth="1"/>
    <col min="10763" max="10763" width="52.140625" style="372" customWidth="1"/>
    <col min="10764" max="11007" width="9.140625" style="372"/>
    <col min="11008" max="11008" width="35" style="372" customWidth="1"/>
    <col min="11009" max="11012" width="14.42578125" style="372" customWidth="1"/>
    <col min="11013" max="11013" width="2.42578125" style="372" customWidth="1"/>
    <col min="11014" max="11017" width="14.42578125" style="372" customWidth="1"/>
    <col min="11018" max="11018" width="2.42578125" style="372" customWidth="1"/>
    <col min="11019" max="11019" width="52.140625" style="372" customWidth="1"/>
    <col min="11020" max="11263" width="9.140625" style="372"/>
    <col min="11264" max="11264" width="35" style="372" customWidth="1"/>
    <col min="11265" max="11268" width="14.42578125" style="372" customWidth="1"/>
    <col min="11269" max="11269" width="2.42578125" style="372" customWidth="1"/>
    <col min="11270" max="11273" width="14.42578125" style="372" customWidth="1"/>
    <col min="11274" max="11274" width="2.42578125" style="372" customWidth="1"/>
    <col min="11275" max="11275" width="52.140625" style="372" customWidth="1"/>
    <col min="11276" max="11519" width="9.140625" style="372"/>
    <col min="11520" max="11520" width="35" style="372" customWidth="1"/>
    <col min="11521" max="11524" width="14.42578125" style="372" customWidth="1"/>
    <col min="11525" max="11525" width="2.42578125" style="372" customWidth="1"/>
    <col min="11526" max="11529" width="14.42578125" style="372" customWidth="1"/>
    <col min="11530" max="11530" width="2.42578125" style="372" customWidth="1"/>
    <col min="11531" max="11531" width="52.140625" style="372" customWidth="1"/>
    <col min="11532" max="11775" width="9.140625" style="372"/>
    <col min="11776" max="11776" width="35" style="372" customWidth="1"/>
    <col min="11777" max="11780" width="14.42578125" style="372" customWidth="1"/>
    <col min="11781" max="11781" width="2.42578125" style="372" customWidth="1"/>
    <col min="11782" max="11785" width="14.42578125" style="372" customWidth="1"/>
    <col min="11786" max="11786" width="2.42578125" style="372" customWidth="1"/>
    <col min="11787" max="11787" width="52.140625" style="372" customWidth="1"/>
    <col min="11788" max="12031" width="9.140625" style="372"/>
    <col min="12032" max="12032" width="35" style="372" customWidth="1"/>
    <col min="12033" max="12036" width="14.42578125" style="372" customWidth="1"/>
    <col min="12037" max="12037" width="2.42578125" style="372" customWidth="1"/>
    <col min="12038" max="12041" width="14.42578125" style="372" customWidth="1"/>
    <col min="12042" max="12042" width="2.42578125" style="372" customWidth="1"/>
    <col min="12043" max="12043" width="52.140625" style="372" customWidth="1"/>
    <col min="12044" max="12287" width="9.140625" style="372"/>
    <col min="12288" max="12288" width="35" style="372" customWidth="1"/>
    <col min="12289" max="12292" width="14.42578125" style="372" customWidth="1"/>
    <col min="12293" max="12293" width="2.42578125" style="372" customWidth="1"/>
    <col min="12294" max="12297" width="14.42578125" style="372" customWidth="1"/>
    <col min="12298" max="12298" width="2.42578125" style="372" customWidth="1"/>
    <col min="12299" max="12299" width="52.140625" style="372" customWidth="1"/>
    <col min="12300" max="12543" width="9.140625" style="372"/>
    <col min="12544" max="12544" width="35" style="372" customWidth="1"/>
    <col min="12545" max="12548" width="14.42578125" style="372" customWidth="1"/>
    <col min="12549" max="12549" width="2.42578125" style="372" customWidth="1"/>
    <col min="12550" max="12553" width="14.42578125" style="372" customWidth="1"/>
    <col min="12554" max="12554" width="2.42578125" style="372" customWidth="1"/>
    <col min="12555" max="12555" width="52.140625" style="372" customWidth="1"/>
    <col min="12556" max="12799" width="9.140625" style="372"/>
    <col min="12800" max="12800" width="35" style="372" customWidth="1"/>
    <col min="12801" max="12804" width="14.42578125" style="372" customWidth="1"/>
    <col min="12805" max="12805" width="2.42578125" style="372" customWidth="1"/>
    <col min="12806" max="12809" width="14.42578125" style="372" customWidth="1"/>
    <col min="12810" max="12810" width="2.42578125" style="372" customWidth="1"/>
    <col min="12811" max="12811" width="52.140625" style="372" customWidth="1"/>
    <col min="12812" max="13055" width="9.140625" style="372"/>
    <col min="13056" max="13056" width="35" style="372" customWidth="1"/>
    <col min="13057" max="13060" width="14.42578125" style="372" customWidth="1"/>
    <col min="13061" max="13061" width="2.42578125" style="372" customWidth="1"/>
    <col min="13062" max="13065" width="14.42578125" style="372" customWidth="1"/>
    <col min="13066" max="13066" width="2.42578125" style="372" customWidth="1"/>
    <col min="13067" max="13067" width="52.140625" style="372" customWidth="1"/>
    <col min="13068" max="13311" width="9.140625" style="372"/>
    <col min="13312" max="13312" width="35" style="372" customWidth="1"/>
    <col min="13313" max="13316" width="14.42578125" style="372" customWidth="1"/>
    <col min="13317" max="13317" width="2.42578125" style="372" customWidth="1"/>
    <col min="13318" max="13321" width="14.42578125" style="372" customWidth="1"/>
    <col min="13322" max="13322" width="2.42578125" style="372" customWidth="1"/>
    <col min="13323" max="13323" width="52.140625" style="372" customWidth="1"/>
    <col min="13324" max="13567" width="9.140625" style="372"/>
    <col min="13568" max="13568" width="35" style="372" customWidth="1"/>
    <col min="13569" max="13572" width="14.42578125" style="372" customWidth="1"/>
    <col min="13573" max="13573" width="2.42578125" style="372" customWidth="1"/>
    <col min="13574" max="13577" width="14.42578125" style="372" customWidth="1"/>
    <col min="13578" max="13578" width="2.42578125" style="372" customWidth="1"/>
    <col min="13579" max="13579" width="52.140625" style="372" customWidth="1"/>
    <col min="13580" max="13823" width="9.140625" style="372"/>
    <col min="13824" max="13824" width="35" style="372" customWidth="1"/>
    <col min="13825" max="13828" width="14.42578125" style="372" customWidth="1"/>
    <col min="13829" max="13829" width="2.42578125" style="372" customWidth="1"/>
    <col min="13830" max="13833" width="14.42578125" style="372" customWidth="1"/>
    <col min="13834" max="13834" width="2.42578125" style="372" customWidth="1"/>
    <col min="13835" max="13835" width="52.140625" style="372" customWidth="1"/>
    <col min="13836" max="14079" width="9.140625" style="372"/>
    <col min="14080" max="14080" width="35" style="372" customWidth="1"/>
    <col min="14081" max="14084" width="14.42578125" style="372" customWidth="1"/>
    <col min="14085" max="14085" width="2.42578125" style="372" customWidth="1"/>
    <col min="14086" max="14089" width="14.42578125" style="372" customWidth="1"/>
    <col min="14090" max="14090" width="2.42578125" style="372" customWidth="1"/>
    <col min="14091" max="14091" width="52.140625" style="372" customWidth="1"/>
    <col min="14092" max="14335" width="9.140625" style="372"/>
    <col min="14336" max="14336" width="35" style="372" customWidth="1"/>
    <col min="14337" max="14340" width="14.42578125" style="372" customWidth="1"/>
    <col min="14341" max="14341" width="2.42578125" style="372" customWidth="1"/>
    <col min="14342" max="14345" width="14.42578125" style="372" customWidth="1"/>
    <col min="14346" max="14346" width="2.42578125" style="372" customWidth="1"/>
    <col min="14347" max="14347" width="52.140625" style="372" customWidth="1"/>
    <col min="14348" max="14591" width="9.140625" style="372"/>
    <col min="14592" max="14592" width="35" style="372" customWidth="1"/>
    <col min="14593" max="14596" width="14.42578125" style="372" customWidth="1"/>
    <col min="14597" max="14597" width="2.42578125" style="372" customWidth="1"/>
    <col min="14598" max="14601" width="14.42578125" style="372" customWidth="1"/>
    <col min="14602" max="14602" width="2.42578125" style="372" customWidth="1"/>
    <col min="14603" max="14603" width="52.140625" style="372" customWidth="1"/>
    <col min="14604" max="14847" width="9.140625" style="372"/>
    <col min="14848" max="14848" width="35" style="372" customWidth="1"/>
    <col min="14849" max="14852" width="14.42578125" style="372" customWidth="1"/>
    <col min="14853" max="14853" width="2.42578125" style="372" customWidth="1"/>
    <col min="14854" max="14857" width="14.42578125" style="372" customWidth="1"/>
    <col min="14858" max="14858" width="2.42578125" style="372" customWidth="1"/>
    <col min="14859" max="14859" width="52.140625" style="372" customWidth="1"/>
    <col min="14860" max="15103" width="9.140625" style="372"/>
    <col min="15104" max="15104" width="35" style="372" customWidth="1"/>
    <col min="15105" max="15108" width="14.42578125" style="372" customWidth="1"/>
    <col min="15109" max="15109" width="2.42578125" style="372" customWidth="1"/>
    <col min="15110" max="15113" width="14.42578125" style="372" customWidth="1"/>
    <col min="15114" max="15114" width="2.42578125" style="372" customWidth="1"/>
    <col min="15115" max="15115" width="52.140625" style="372" customWidth="1"/>
    <col min="15116" max="15359" width="9.140625" style="372"/>
    <col min="15360" max="15360" width="35" style="372" customWidth="1"/>
    <col min="15361" max="15364" width="14.42578125" style="372" customWidth="1"/>
    <col min="15365" max="15365" width="2.42578125" style="372" customWidth="1"/>
    <col min="15366" max="15369" width="14.42578125" style="372" customWidth="1"/>
    <col min="15370" max="15370" width="2.42578125" style="372" customWidth="1"/>
    <col min="15371" max="15371" width="52.140625" style="372" customWidth="1"/>
    <col min="15372" max="15615" width="9.140625" style="372"/>
    <col min="15616" max="15616" width="35" style="372" customWidth="1"/>
    <col min="15617" max="15620" width="14.42578125" style="372" customWidth="1"/>
    <col min="15621" max="15621" width="2.42578125" style="372" customWidth="1"/>
    <col min="15622" max="15625" width="14.42578125" style="372" customWidth="1"/>
    <col min="15626" max="15626" width="2.42578125" style="372" customWidth="1"/>
    <col min="15627" max="15627" width="52.140625" style="372" customWidth="1"/>
    <col min="15628" max="15871" width="9.140625" style="372"/>
    <col min="15872" max="15872" width="35" style="372" customWidth="1"/>
    <col min="15873" max="15876" width="14.42578125" style="372" customWidth="1"/>
    <col min="15877" max="15877" width="2.42578125" style="372" customWidth="1"/>
    <col min="15878" max="15881" width="14.42578125" style="372" customWidth="1"/>
    <col min="15882" max="15882" width="2.42578125" style="372" customWidth="1"/>
    <col min="15883" max="15883" width="52.140625" style="372" customWidth="1"/>
    <col min="15884" max="16127" width="9.140625" style="372"/>
    <col min="16128" max="16128" width="35" style="372" customWidth="1"/>
    <col min="16129" max="16132" width="14.42578125" style="372" customWidth="1"/>
    <col min="16133" max="16133" width="2.42578125" style="372" customWidth="1"/>
    <col min="16134" max="16137" width="14.42578125" style="372" customWidth="1"/>
    <col min="16138" max="16138" width="2.42578125" style="372" customWidth="1"/>
    <col min="16139" max="16139" width="52.140625" style="372" customWidth="1"/>
    <col min="16140" max="16384" width="9.140625" style="372"/>
  </cols>
  <sheetData>
    <row r="1" spans="2:93">
      <c r="D1" s="373"/>
      <c r="P1" s="383"/>
    </row>
    <row r="2" spans="2:93" ht="6" customHeight="1" thickBot="1">
      <c r="B2" s="375"/>
      <c r="C2" s="375"/>
      <c r="D2" s="376"/>
      <c r="E2" s="376"/>
      <c r="F2" s="376"/>
      <c r="G2" s="376"/>
      <c r="H2" s="376"/>
      <c r="I2" s="376"/>
      <c r="J2" s="376"/>
      <c r="K2" s="376"/>
      <c r="L2" s="376"/>
    </row>
    <row r="3" spans="2:93" ht="6" customHeight="1" thickTop="1">
      <c r="D3" s="377"/>
      <c r="E3" s="377"/>
      <c r="F3" s="377"/>
      <c r="G3" s="377"/>
      <c r="H3" s="377"/>
      <c r="I3" s="377"/>
      <c r="J3" s="377"/>
      <c r="K3" s="377"/>
      <c r="L3" s="377"/>
    </row>
    <row r="4" spans="2:93" ht="12.75" customHeight="1">
      <c r="B4" s="379"/>
      <c r="C4" s="379"/>
      <c r="D4" s="343" t="s">
        <v>189</v>
      </c>
      <c r="E4" s="343"/>
      <c r="F4" s="343"/>
      <c r="G4" s="343"/>
      <c r="H4" s="380"/>
      <c r="I4" s="343" t="s">
        <v>189</v>
      </c>
      <c r="J4" s="343"/>
      <c r="K4" s="343"/>
      <c r="L4" s="343"/>
      <c r="M4" s="381"/>
      <c r="N4" s="382"/>
      <c r="O4" s="382"/>
      <c r="P4" s="382"/>
      <c r="Q4" s="382"/>
    </row>
    <row r="5" spans="2:93" ht="12.75" customHeight="1">
      <c r="B5" s="379"/>
      <c r="C5" s="379"/>
      <c r="D5" s="344">
        <v>1</v>
      </c>
      <c r="E5" s="344">
        <v>2</v>
      </c>
      <c r="F5" s="344">
        <v>3</v>
      </c>
      <c r="G5" s="344">
        <v>4</v>
      </c>
      <c r="H5" s="344"/>
      <c r="I5" s="344">
        <v>1</v>
      </c>
      <c r="J5" s="344">
        <v>2</v>
      </c>
      <c r="K5" s="344">
        <v>3</v>
      </c>
      <c r="L5" s="344">
        <v>4</v>
      </c>
      <c r="M5" s="381"/>
      <c r="N5" s="382"/>
      <c r="O5" s="382"/>
      <c r="P5" s="382"/>
      <c r="Q5" s="382"/>
    </row>
    <row r="6" spans="2:93" ht="12.75" customHeight="1">
      <c r="B6" s="379" t="s">
        <v>158</v>
      </c>
      <c r="C6" s="379"/>
      <c r="D6" s="345" t="str">
        <f>'O&amp;M Costs_2026$'!G15</f>
        <v>EMAAC</v>
      </c>
      <c r="E6" s="345" t="str">
        <f>'O&amp;M Costs_2026$'!H15</f>
        <v>SWMAAC</v>
      </c>
      <c r="F6" s="345" t="str">
        <f>'O&amp;M Costs_2026$'!I15</f>
        <v>Rest of RTO</v>
      </c>
      <c r="G6" s="345" t="str">
        <f>'O&amp;M Costs_2026$'!J15</f>
        <v>WMAAC</v>
      </c>
      <c r="I6" s="345" t="str">
        <f>'O&amp;M Costs_2026$'!K15</f>
        <v>EMAAC</v>
      </c>
      <c r="J6" s="345" t="str">
        <f>'O&amp;M Costs_2026$'!L15</f>
        <v>SWMAAC</v>
      </c>
      <c r="K6" s="345" t="str">
        <f>'O&amp;M Costs_2026$'!M15</f>
        <v>Rest of RTO</v>
      </c>
      <c r="L6" s="345" t="str">
        <f>'O&amp;M Costs_2026$'!N15</f>
        <v>WMAAC</v>
      </c>
      <c r="M6" s="381"/>
      <c r="N6" s="382"/>
      <c r="O6" s="382"/>
      <c r="P6" s="382"/>
      <c r="Q6" s="382"/>
      <c r="R6" s="383"/>
      <c r="S6" s="383"/>
      <c r="T6" s="383"/>
    </row>
    <row r="7" spans="2:93" s="383" customFormat="1">
      <c r="B7" s="384"/>
      <c r="C7" s="385"/>
      <c r="D7" s="386" t="str">
        <f>'Capital Costs - Gas'!D7</f>
        <v>361 MW</v>
      </c>
      <c r="E7" s="386" t="str">
        <f>'Capital Costs - Gas'!E7</f>
        <v>363 MW</v>
      </c>
      <c r="F7" s="386" t="str">
        <f>'Capital Costs - Gas'!F7</f>
        <v>353 MW</v>
      </c>
      <c r="G7" s="386" t="str">
        <f>'Capital Costs - Gas'!G7</f>
        <v>350 MW</v>
      </c>
      <c r="H7" s="386"/>
      <c r="I7" s="386" t="str">
        <f>'Capital Costs - Gas'!I7</f>
        <v>1171 MW</v>
      </c>
      <c r="J7" s="386" t="str">
        <f>'Capital Costs - Gas'!J7</f>
        <v>1174 MW</v>
      </c>
      <c r="K7" s="386" t="str">
        <f>'Capital Costs - Gas'!K7</f>
        <v>1144 MW</v>
      </c>
      <c r="L7" s="386" t="str">
        <f>'Capital Costs - Gas'!L7</f>
        <v>1133 MW</v>
      </c>
    </row>
    <row r="8" spans="2:93" ht="6" customHeight="1">
      <c r="B8" s="387"/>
      <c r="C8" s="387"/>
      <c r="D8" s="388"/>
      <c r="E8" s="388"/>
      <c r="F8" s="388"/>
      <c r="G8" s="388"/>
      <c r="H8" s="388"/>
      <c r="I8" s="388"/>
      <c r="J8" s="388"/>
      <c r="K8" s="388"/>
      <c r="L8" s="388"/>
    </row>
    <row r="9" spans="2:93" ht="6" customHeight="1">
      <c r="B9" s="389"/>
      <c r="C9" s="389"/>
      <c r="D9" s="390"/>
      <c r="E9" s="390"/>
      <c r="F9" s="390"/>
      <c r="G9" s="390"/>
      <c r="H9" s="390"/>
      <c r="I9" s="391"/>
      <c r="J9" s="391"/>
      <c r="K9" s="391"/>
      <c r="L9" s="391"/>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row>
    <row r="10" spans="2:93">
      <c r="B10" s="385" t="s">
        <v>623</v>
      </c>
      <c r="C10" s="385"/>
      <c r="D10" s="392"/>
      <c r="E10" s="392"/>
      <c r="F10" s="392"/>
      <c r="G10" s="392"/>
      <c r="H10" s="392"/>
      <c r="I10" s="392"/>
      <c r="J10" s="392"/>
      <c r="K10" s="392"/>
      <c r="L10" s="392"/>
    </row>
    <row r="11" spans="2:93">
      <c r="B11" s="992" t="s">
        <v>826</v>
      </c>
      <c r="C11" s="993"/>
      <c r="D11" s="994">
        <f>'O&amp;M Costs_2026$'!G21/1000000</f>
        <v>0.34599999999999997</v>
      </c>
      <c r="E11" s="994">
        <f>'O&amp;M Costs_2026$'!H21/1000000</f>
        <v>0.34599999999999997</v>
      </c>
      <c r="F11" s="994">
        <f>'O&amp;M Costs_2026$'!I21/1000000</f>
        <v>0.34599999999999997</v>
      </c>
      <c r="G11" s="994">
        <f>'O&amp;M Costs_2026$'!J21/1000000</f>
        <v>0.34599999999999997</v>
      </c>
      <c r="H11" s="994"/>
      <c r="I11" s="994">
        <f>'O&amp;M Costs_2026$'!K21/1000000</f>
        <v>0.82399999999999995</v>
      </c>
      <c r="J11" s="994">
        <f>'O&amp;M Costs_2026$'!L21/1000000</f>
        <v>0.82399999999999995</v>
      </c>
      <c r="K11" s="994">
        <f>'O&amp;M Costs_2026$'!M21/1000000</f>
        <v>0.82399999999999995</v>
      </c>
      <c r="L11" s="994">
        <f>'O&amp;M Costs_2026$'!N21/1000000</f>
        <v>0.82399999999999995</v>
      </c>
      <c r="N11" s="1021"/>
      <c r="O11" s="1021"/>
      <c r="P11" s="1021"/>
      <c r="R11" s="1021"/>
      <c r="S11" s="1021"/>
      <c r="T11" s="1021"/>
    </row>
    <row r="12" spans="2:93">
      <c r="B12" s="393" t="s">
        <v>205</v>
      </c>
      <c r="C12" s="389"/>
      <c r="D12" s="394">
        <f>'O&amp;M Costs_2026$'!G22/1000000</f>
        <v>1.1559999999999999</v>
      </c>
      <c r="E12" s="394">
        <f>'O&amp;M Costs_2026$'!H22/1000000</f>
        <v>1.2410000000000001</v>
      </c>
      <c r="F12" s="394">
        <f>'O&amp;M Costs_2026$'!I22/1000000</f>
        <v>0.88300000000000001</v>
      </c>
      <c r="G12" s="394">
        <f>'O&amp;M Costs_2026$'!J22/1000000</f>
        <v>0.91</v>
      </c>
      <c r="H12" s="394"/>
      <c r="I12" s="394">
        <f>'O&amp;M Costs_2026$'!K22/1000000</f>
        <v>5.202</v>
      </c>
      <c r="J12" s="394">
        <f>'O&amp;M Costs_2026$'!L22/1000000</f>
        <v>5.5810000000000004</v>
      </c>
      <c r="K12" s="394">
        <f>'O&amp;M Costs_2026$'!M22/1000000</f>
        <v>3.9740000000000002</v>
      </c>
      <c r="L12" s="394">
        <f>'O&amp;M Costs_2026$'!N22/1000000</f>
        <v>4.0949999999999998</v>
      </c>
      <c r="N12" s="1021"/>
      <c r="O12" s="1021"/>
      <c r="P12" s="1021"/>
      <c r="R12" s="1021"/>
      <c r="S12" s="1021"/>
      <c r="T12" s="1021"/>
    </row>
    <row r="13" spans="2:93">
      <c r="B13" s="992" t="s">
        <v>207</v>
      </c>
      <c r="C13" s="995"/>
      <c r="D13" s="994">
        <f>'O&amp;M Costs_2026$'!G23/1000000</f>
        <v>0.53</v>
      </c>
      <c r="E13" s="994">
        <f>'O&amp;M Costs_2026$'!H23/1000000</f>
        <v>0.54300000000000004</v>
      </c>
      <c r="F13" s="994">
        <f>'O&amp;M Costs_2026$'!I23/1000000</f>
        <v>0.48499999999999999</v>
      </c>
      <c r="G13" s="994">
        <f>'O&amp;M Costs_2026$'!J23/1000000</f>
        <v>0.48899999999999999</v>
      </c>
      <c r="H13" s="994"/>
      <c r="I13" s="994">
        <f>'O&amp;M Costs_2026$'!K23/1000000</f>
        <v>6.5609999999999999</v>
      </c>
      <c r="J13" s="994">
        <f>'O&amp;M Costs_2026$'!L23/1000000</f>
        <v>6.7169999999999996</v>
      </c>
      <c r="K13" s="994">
        <f>'O&amp;M Costs_2026$'!M23/1000000</f>
        <v>5.9980000000000002</v>
      </c>
      <c r="L13" s="994">
        <f>'O&amp;M Costs_2026$'!N23/1000000</f>
        <v>6.0579999999999998</v>
      </c>
      <c r="N13" s="1021"/>
      <c r="O13" s="1021"/>
      <c r="P13" s="1021"/>
      <c r="R13" s="1021"/>
      <c r="S13" s="1021"/>
      <c r="T13" s="1021"/>
    </row>
    <row r="14" spans="2:93" s="389" customFormat="1">
      <c r="B14" s="393" t="s">
        <v>208</v>
      </c>
      <c r="D14" s="394">
        <f>'O&amp;M Costs_2026$'!G24/1000000</f>
        <v>0.249</v>
      </c>
      <c r="E14" s="394">
        <f>'O&amp;M Costs_2026$'!H24/1000000</f>
        <v>0.26300000000000001</v>
      </c>
      <c r="F14" s="394">
        <f>'O&amp;M Costs_2026$'!I24/1000000</f>
        <v>0.20499999999999999</v>
      </c>
      <c r="G14" s="394">
        <f>'O&amp;M Costs_2026$'!J24/1000000</f>
        <v>0.21</v>
      </c>
      <c r="H14" s="394"/>
      <c r="I14" s="394">
        <f>'O&amp;M Costs_2026$'!K24/1000000</f>
        <v>1.3779999999999999</v>
      </c>
      <c r="J14" s="394">
        <f>'O&amp;M Costs_2026$'!L24/1000000</f>
        <v>1.4410000000000001</v>
      </c>
      <c r="K14" s="394">
        <f>'O&amp;M Costs_2026$'!M24/1000000</f>
        <v>1.1679999999999999</v>
      </c>
      <c r="L14" s="394">
        <f>'O&amp;M Costs_2026$'!N24/1000000</f>
        <v>1.1879999999999999</v>
      </c>
      <c r="N14" s="1021"/>
      <c r="O14" s="1021"/>
      <c r="P14" s="1021"/>
      <c r="R14" s="1021"/>
      <c r="S14" s="1021"/>
      <c r="T14" s="1021"/>
    </row>
    <row r="15" spans="2:93" s="389" customFormat="1" ht="14.45" customHeight="1">
      <c r="B15" s="992" t="s">
        <v>113</v>
      </c>
      <c r="C15" s="993"/>
      <c r="D15" s="994">
        <f>'O&amp;M Costs_2026$'!G25/1000000</f>
        <v>0.54500000000000004</v>
      </c>
      <c r="E15" s="994">
        <f>'O&amp;M Costs_2026$'!H25/1000000</f>
        <v>0.58899999999999997</v>
      </c>
      <c r="F15" s="994">
        <f>'O&amp;M Costs_2026$'!I25/1000000</f>
        <v>0.40699999999999997</v>
      </c>
      <c r="G15" s="994">
        <f>'O&amp;M Costs_2026$'!J25/1000000</f>
        <v>0.41699999999999998</v>
      </c>
      <c r="H15" s="994"/>
      <c r="I15" s="994">
        <f>'O&amp;M Costs_2026$'!K25/1000000</f>
        <v>1.577</v>
      </c>
      <c r="J15" s="994">
        <f>'O&amp;M Costs_2026$'!L25/1000000</f>
        <v>1.6970000000000001</v>
      </c>
      <c r="K15" s="994">
        <f>'O&amp;M Costs_2026$'!M25/1000000</f>
        <v>1.177</v>
      </c>
      <c r="L15" s="994">
        <f>'O&amp;M Costs_2026$'!N25/1000000</f>
        <v>1.2030000000000001</v>
      </c>
      <c r="N15" s="1021"/>
      <c r="O15" s="1021"/>
      <c r="P15" s="1021"/>
      <c r="R15" s="1021"/>
      <c r="S15" s="1021"/>
      <c r="T15" s="1021"/>
    </row>
    <row r="16" spans="2:93" ht="14.45" customHeight="1">
      <c r="B16" s="393" t="s">
        <v>97</v>
      </c>
      <c r="C16" s="389"/>
      <c r="D16" s="394">
        <f ca="1">'O&amp;M Costs_2026$'!G26/1000000</f>
        <v>0.32300000000000001</v>
      </c>
      <c r="E16" s="394">
        <f ca="1">'O&amp;M Costs_2026$'!H26/1000000</f>
        <v>4.0869999999999997</v>
      </c>
      <c r="F16" s="394">
        <f ca="1">'O&amp;M Costs_2026$'!I26/1000000</f>
        <v>2.169</v>
      </c>
      <c r="G16" s="394">
        <f ca="1">'O&amp;M Costs_2026$'!J26/1000000</f>
        <v>0.317</v>
      </c>
      <c r="H16" s="394"/>
      <c r="I16" s="394">
        <f ca="1">'O&amp;M Costs_2026$'!K26/1000000</f>
        <v>2.9580000000000002</v>
      </c>
      <c r="J16" s="394">
        <f ca="1">'O&amp;M Costs_2026$'!L26/1000000</f>
        <v>16.361999999999998</v>
      </c>
      <c r="K16" s="394">
        <f ca="1">'O&amp;M Costs_2026$'!M26/1000000</f>
        <v>9.5009999999999994</v>
      </c>
      <c r="L16" s="394">
        <f ca="1">'O&amp;M Costs_2026$'!N26/1000000</f>
        <v>2.9129999999999998</v>
      </c>
      <c r="N16" s="1021"/>
      <c r="O16" s="1021"/>
      <c r="P16" s="1021"/>
      <c r="R16" s="1021"/>
      <c r="S16" s="1021"/>
      <c r="T16" s="1021"/>
    </row>
    <row r="17" spans="1:20">
      <c r="B17" s="992" t="s">
        <v>188</v>
      </c>
      <c r="C17" s="995"/>
      <c r="D17" s="994">
        <f>'O&amp;M Costs_2026$'!G27/1000000</f>
        <v>1.952</v>
      </c>
      <c r="E17" s="994">
        <f>'O&amp;M Costs_2026$'!H27/1000000</f>
        <v>1.843</v>
      </c>
      <c r="F17" s="994">
        <f>'O&amp;M Costs_2026$'!I27/1000000</f>
        <v>1.869</v>
      </c>
      <c r="G17" s="994">
        <f>'O&amp;M Costs_2026$'!J27/1000000</f>
        <v>1.9019999999999999</v>
      </c>
      <c r="H17" s="994"/>
      <c r="I17" s="994">
        <f>'O&amp;M Costs_2026$'!K27/1000000</f>
        <v>8.1509999999999998</v>
      </c>
      <c r="J17" s="994">
        <f>'O&amp;M Costs_2026$'!L27/1000000</f>
        <v>7.4429999999999996</v>
      </c>
      <c r="K17" s="994">
        <f>'O&amp;M Costs_2026$'!M27/1000000</f>
        <v>7.58</v>
      </c>
      <c r="L17" s="994">
        <f>'O&amp;M Costs_2026$'!N27/1000000</f>
        <v>7.8460000000000001</v>
      </c>
      <c r="N17" s="1021"/>
      <c r="O17" s="1021"/>
      <c r="P17" s="1021"/>
      <c r="R17" s="1021"/>
      <c r="S17" s="1021"/>
      <c r="T17" s="1021"/>
    </row>
    <row r="18" spans="1:20" outlineLevel="1">
      <c r="A18" s="337"/>
      <c r="B18" s="336" t="s">
        <v>159</v>
      </c>
      <c r="C18" s="389"/>
      <c r="D18" s="394">
        <f>'O&amp;M Costs_2026$'!G28/1000000</f>
        <v>4.3590957959905294</v>
      </c>
      <c r="E18" s="394">
        <f>'O&amp;M Costs_2026$'!H28/1000000</f>
        <v>5.414195864012842</v>
      </c>
      <c r="F18" s="394">
        <f>'O&amp;M Costs_2026$'!I28/1000000</f>
        <v>7.1359847727972561</v>
      </c>
      <c r="G18" s="394">
        <f>'O&amp;M Costs_2026$'!J28/1000000</f>
        <v>6.3175053073965808</v>
      </c>
      <c r="H18" s="394"/>
      <c r="I18" s="394">
        <f>'O&amp;M Costs_2026$'!K28/1000000</f>
        <v>10.025367326893416</v>
      </c>
      <c r="J18" s="394">
        <f>'O&amp;M Costs_2026$'!L28/1000000</f>
        <v>12.441680580230658</v>
      </c>
      <c r="K18" s="394">
        <f>'O&amp;M Costs_2026$'!M28/1000000</f>
        <v>16.392459230156074</v>
      </c>
      <c r="L18" s="394">
        <f>'O&amp;M Costs_2026$'!N28/1000000</f>
        <v>14.50633954256463</v>
      </c>
      <c r="N18" s="1021"/>
      <c r="O18" s="1021"/>
      <c r="P18" s="1021"/>
      <c r="R18" s="1021"/>
      <c r="S18" s="1021"/>
      <c r="T18" s="1021"/>
    </row>
    <row r="19" spans="1:20">
      <c r="A19" s="337"/>
      <c r="B19" s="992" t="s">
        <v>153</v>
      </c>
      <c r="C19" s="992"/>
      <c r="D19" s="1179">
        <f>'O&amp;M Costs_2026$'!G29/1000000</f>
        <v>3.5999999999999997E-2</v>
      </c>
      <c r="E19" s="1179">
        <f>'O&amp;M Costs_2026$'!H29/1000000</f>
        <v>3.4000000000000002E-2</v>
      </c>
      <c r="F19" s="1179">
        <f>'O&amp;M Costs_2026$'!I29/1000000</f>
        <v>3.4000000000000002E-2</v>
      </c>
      <c r="G19" s="1179">
        <f>'O&amp;M Costs_2026$'!J29/1000000</f>
        <v>3.5000000000000003E-2</v>
      </c>
      <c r="H19" s="1179"/>
      <c r="I19" s="1179">
        <f>'O&amp;M Costs_2026$'!K29/1000000</f>
        <v>0.15</v>
      </c>
      <c r="J19" s="994">
        <f>'O&amp;M Costs_2026$'!L29/1000000</f>
        <v>0.13700000000000001</v>
      </c>
      <c r="K19" s="994">
        <f>'O&amp;M Costs_2026$'!M29/1000000</f>
        <v>0.14000000000000001</v>
      </c>
      <c r="L19" s="994">
        <f>'O&amp;M Costs_2026$'!N29/1000000</f>
        <v>0.14499999999999999</v>
      </c>
      <c r="N19" s="1021"/>
      <c r="O19" s="1021"/>
      <c r="P19" s="1021"/>
      <c r="R19" s="1021"/>
      <c r="S19" s="1021"/>
      <c r="T19" s="1021"/>
    </row>
    <row r="20" spans="1:20" ht="6" customHeight="1">
      <c r="A20" s="337"/>
      <c r="B20" s="336"/>
      <c r="C20" s="389"/>
      <c r="D20" s="394"/>
      <c r="E20" s="394"/>
      <c r="F20" s="394"/>
      <c r="G20" s="394"/>
      <c r="H20" s="394"/>
      <c r="I20" s="394"/>
      <c r="J20" s="394"/>
      <c r="K20" s="394"/>
      <c r="L20" s="394"/>
      <c r="N20" s="1021"/>
      <c r="O20" s="1021"/>
      <c r="P20" s="1021"/>
      <c r="R20" s="1021"/>
      <c r="S20" s="1021"/>
      <c r="T20" s="1021"/>
    </row>
    <row r="21" spans="1:20" s="383" customFormat="1">
      <c r="B21" s="385" t="s">
        <v>624</v>
      </c>
      <c r="C21" s="385"/>
      <c r="D21" s="395">
        <f ca="1">'O&amp;M Costs_2026$'!G30/1000000</f>
        <v>9.4960957959905308</v>
      </c>
      <c r="E21" s="395">
        <f ca="1">'O&amp;M Costs_2026$'!H30/1000000</f>
        <v>14.360195864012841</v>
      </c>
      <c r="F21" s="395">
        <f ca="1">'O&amp;M Costs_2026$'!I30/1000000</f>
        <v>13.533984772797258</v>
      </c>
      <c r="G21" s="395">
        <f ca="1">'O&amp;M Costs_2026$'!J30/1000000</f>
        <v>10.943505307396579</v>
      </c>
      <c r="H21" s="395"/>
      <c r="I21" s="395">
        <f ca="1">'O&amp;M Costs_2026$'!K30/1000000</f>
        <v>36.826367326893418</v>
      </c>
      <c r="J21" s="395">
        <f ca="1">'O&amp;M Costs_2026$'!L30/1000000</f>
        <v>52.643680580230658</v>
      </c>
      <c r="K21" s="395">
        <f ca="1">'O&amp;M Costs_2026$'!M30/1000000</f>
        <v>46.75445923015608</v>
      </c>
      <c r="L21" s="395">
        <f ca="1">'O&amp;M Costs_2026$'!N30/1000000</f>
        <v>38.77833954256463</v>
      </c>
      <c r="N21" s="1021"/>
      <c r="O21" s="1021"/>
      <c r="P21" s="1021"/>
      <c r="R21" s="1021"/>
      <c r="S21" s="1021"/>
      <c r="T21" s="1021"/>
    </row>
    <row r="22" spans="1:20" s="383" customFormat="1">
      <c r="B22" s="385" t="s">
        <v>626</v>
      </c>
      <c r="C22" s="385"/>
      <c r="D22" s="396">
        <f ca="1">ROUND(D21*10^6/'Cost Assumptions'!D$13,-2)</f>
        <v>26300</v>
      </c>
      <c r="E22" s="396">
        <f ca="1">ROUND(E21*10^6/'Cost Assumptions'!E$13,-2)</f>
        <v>39600</v>
      </c>
      <c r="F22" s="396">
        <f ca="1">ROUND(F21*10^6/'Cost Assumptions'!F$13,-2)</f>
        <v>38300</v>
      </c>
      <c r="G22" s="396">
        <f ca="1">ROUND(G21*10^6/'Cost Assumptions'!G$13,-2)</f>
        <v>31300</v>
      </c>
      <c r="H22" s="396"/>
      <c r="I22" s="396">
        <f ca="1">ROUND(I21*10^6/'Cost Assumptions'!H$17,-2)</f>
        <v>31500</v>
      </c>
      <c r="J22" s="396">
        <f ca="1">ROUND(J21*10^6/'Cost Assumptions'!I$17,-2)</f>
        <v>44900</v>
      </c>
      <c r="K22" s="396">
        <f ca="1">ROUND(K21*10^6/'Cost Assumptions'!J$17,-2)</f>
        <v>40900</v>
      </c>
      <c r="L22" s="396">
        <f ca="1">ROUND(L21*10^6/'Cost Assumptions'!K$17,-2)</f>
        <v>34200</v>
      </c>
      <c r="N22" s="1021"/>
      <c r="O22" s="1021"/>
      <c r="P22" s="1021"/>
      <c r="R22" s="1021"/>
      <c r="S22" s="1021"/>
      <c r="T22" s="1021"/>
    </row>
    <row r="23" spans="1:20" ht="6" customHeight="1">
      <c r="B23" s="397"/>
      <c r="C23" s="397"/>
      <c r="D23" s="398"/>
      <c r="E23" s="398"/>
      <c r="F23" s="398"/>
      <c r="G23" s="398"/>
      <c r="H23" s="398"/>
      <c r="I23" s="399"/>
      <c r="J23" s="399"/>
      <c r="K23" s="399"/>
      <c r="L23" s="399"/>
    </row>
    <row r="24" spans="1:20" ht="6" customHeight="1">
      <c r="B24" s="389"/>
      <c r="C24" s="389"/>
      <c r="D24" s="400"/>
      <c r="E24" s="400"/>
      <c r="F24" s="400"/>
      <c r="G24" s="400"/>
      <c r="H24" s="400"/>
      <c r="I24" s="401"/>
      <c r="J24" s="401"/>
      <c r="K24" s="401"/>
      <c r="L24" s="401"/>
    </row>
    <row r="25" spans="1:20">
      <c r="B25" s="385" t="s">
        <v>620</v>
      </c>
      <c r="C25" s="385"/>
      <c r="D25" s="400"/>
      <c r="E25" s="400"/>
      <c r="F25" s="400"/>
      <c r="G25" s="400"/>
      <c r="H25" s="400"/>
      <c r="I25" s="401"/>
      <c r="J25" s="401"/>
      <c r="K25" s="401"/>
      <c r="L25" s="401"/>
    </row>
    <row r="26" spans="1:20" outlineLevel="1">
      <c r="B26" s="995" t="s">
        <v>160</v>
      </c>
      <c r="C26" s="995"/>
      <c r="D26" s="1885">
        <f>'O&amp;M Costs_2026$'!G35</f>
        <v>0</v>
      </c>
      <c r="E26" s="1885">
        <f>'O&amp;M Costs_2026$'!H35</f>
        <v>0</v>
      </c>
      <c r="F26" s="1885">
        <f>'O&amp;M Costs_2026$'!I35</f>
        <v>0</v>
      </c>
      <c r="G26" s="1885">
        <f>'O&amp;M Costs_2026$'!J35</f>
        <v>0</v>
      </c>
      <c r="H26" s="1885"/>
      <c r="I26" s="1885">
        <f>'O&amp;M Costs_2026$'!K35</f>
        <v>1.3231697196307535</v>
      </c>
      <c r="J26" s="1885">
        <f>'O&amp;M Costs_2026$'!L35</f>
        <v>1.3188643485496692</v>
      </c>
      <c r="K26" s="1885">
        <f>'O&amp;M Costs_2026$'!M35</f>
        <v>1.3529357056011515</v>
      </c>
      <c r="L26" s="1885">
        <f>'O&amp;M Costs_2026$'!N35</f>
        <v>1.3654189780728085</v>
      </c>
    </row>
    <row r="27" spans="1:20">
      <c r="B27" s="389" t="s">
        <v>294</v>
      </c>
      <c r="C27" s="389"/>
      <c r="D27" s="1881">
        <f>'O&amp;M Costs_2026$'!G36</f>
        <v>1.1894348829875212</v>
      </c>
      <c r="E27" s="1881">
        <f>'O&amp;M Costs_2026$'!H36</f>
        <v>1.1839984823701615</v>
      </c>
      <c r="F27" s="1881">
        <f>'O&amp;M Costs_2026$'!I36</f>
        <v>1.1460032102982811</v>
      </c>
      <c r="G27" s="1881">
        <f>'O&amp;M Costs_2026$'!J36</f>
        <v>1.2161249707375184</v>
      </c>
      <c r="H27" s="1881"/>
      <c r="I27" s="1881">
        <f>'O&amp;M Costs_2026$'!K36</f>
        <v>0.75679138915946687</v>
      </c>
      <c r="J27" s="1881">
        <f>'O&amp;M Costs_2026$'!L36</f>
        <v>0.75534529694877151</v>
      </c>
      <c r="K27" s="1881">
        <f>'O&amp;M Costs_2026$'!M36</f>
        <v>0.76678921737096961</v>
      </c>
      <c r="L27" s="1881">
        <f>'O&amp;M Costs_2026$'!N36</f>
        <v>0.77098211102526104</v>
      </c>
    </row>
    <row r="28" spans="1:20" s="383" customFormat="1">
      <c r="B28" s="402" t="s">
        <v>621</v>
      </c>
      <c r="C28" s="403"/>
      <c r="D28" s="1882">
        <f>SUM(D26:D27)</f>
        <v>1.1894348829875212</v>
      </c>
      <c r="E28" s="1882">
        <f>SUM(E26:E27)</f>
        <v>1.1839984823701615</v>
      </c>
      <c r="F28" s="1882">
        <f>SUM(F26:F27)</f>
        <v>1.1460032102982811</v>
      </c>
      <c r="G28" s="1882">
        <f>SUM(G26:G27)</f>
        <v>1.2161249707375184</v>
      </c>
      <c r="H28" s="1882"/>
      <c r="I28" s="1882">
        <f>SUM(I26:I27)</f>
        <v>2.0799611087902203</v>
      </c>
      <c r="J28" s="1882">
        <f>SUM(J26:J27)</f>
        <v>2.0742096454984407</v>
      </c>
      <c r="K28" s="1882">
        <f>SUM(K26:K27)</f>
        <v>2.1197249229721211</v>
      </c>
      <c r="L28" s="1882">
        <f>SUM(L26:L27)</f>
        <v>2.1364010890980696</v>
      </c>
    </row>
    <row r="29" spans="1:20" s="383" customFormat="1" ht="30" outlineLevel="1">
      <c r="B29" s="979" t="s">
        <v>567</v>
      </c>
      <c r="C29" s="403"/>
      <c r="D29" s="1883">
        <f>'O&amp;M Costs_2026$'!G38</f>
        <v>21169.929839927776</v>
      </c>
      <c r="E29" s="1883">
        <f>'O&amp;M Costs_2026$'!H38</f>
        <v>21169.929839927776</v>
      </c>
      <c r="F29" s="1883">
        <f>'O&amp;M Costs_2026$'!I38</f>
        <v>21169.929839927776</v>
      </c>
      <c r="G29" s="1883">
        <f>'O&amp;M Costs_2026$'!J38</f>
        <v>21169.929839927776</v>
      </c>
      <c r="H29" s="1884"/>
      <c r="I29" s="1883">
        <f>'O&amp;M Costs_2026$'!L38</f>
        <v>0</v>
      </c>
      <c r="J29" s="1883">
        <f>'O&amp;M Costs_2026$'!M38</f>
        <v>0</v>
      </c>
      <c r="K29" s="1883">
        <f>'O&amp;M Costs_2026$'!N38</f>
        <v>0</v>
      </c>
      <c r="L29" s="1883">
        <f>'O&amp;M Costs_2026$'!K38</f>
        <v>0</v>
      </c>
    </row>
    <row r="30" spans="1:20" ht="6" customHeight="1" thickBot="1">
      <c r="B30" s="375"/>
      <c r="C30" s="375"/>
      <c r="D30" s="404"/>
      <c r="E30" s="404"/>
      <c r="F30" s="404"/>
      <c r="G30" s="404"/>
      <c r="H30" s="404"/>
      <c r="I30" s="404"/>
      <c r="J30" s="404"/>
      <c r="K30" s="404"/>
      <c r="L30" s="404"/>
    </row>
    <row r="31" spans="1:20" ht="6" customHeight="1" thickTop="1">
      <c r="B31" s="389"/>
      <c r="C31" s="389"/>
      <c r="D31" s="391"/>
      <c r="E31" s="391"/>
      <c r="F31" s="391"/>
      <c r="G31" s="391"/>
      <c r="H31" s="391"/>
      <c r="I31" s="391"/>
      <c r="J31" s="391"/>
      <c r="K31" s="391"/>
      <c r="L31" s="391"/>
    </row>
    <row r="32" spans="1:20">
      <c r="B32" s="385"/>
      <c r="C32" s="385"/>
      <c r="D32" s="391"/>
      <c r="E32" s="391"/>
      <c r="F32" s="391"/>
      <c r="G32" s="391"/>
      <c r="H32" s="391"/>
      <c r="I32" s="405"/>
      <c r="J32" s="405"/>
      <c r="K32" s="405"/>
      <c r="L32" s="405"/>
    </row>
    <row r="33" spans="2:93">
      <c r="B33" s="406"/>
      <c r="C33" s="389"/>
      <c r="D33" s="378"/>
      <c r="E33" s="378"/>
      <c r="F33" s="378"/>
      <c r="G33" s="378"/>
      <c r="H33" s="378"/>
      <c r="I33" s="378"/>
      <c r="J33" s="378"/>
      <c r="K33" s="378"/>
      <c r="L33" s="378"/>
      <c r="O33" s="1076"/>
    </row>
    <row r="34" spans="2:93">
      <c r="B34" s="337"/>
      <c r="C34" s="389"/>
      <c r="D34" s="407"/>
      <c r="E34" s="407"/>
      <c r="F34" s="407"/>
      <c r="G34" s="407"/>
      <c r="H34" s="407"/>
      <c r="I34" s="1101"/>
      <c r="J34" s="1101"/>
      <c r="K34" s="1101"/>
      <c r="L34" s="1101"/>
    </row>
    <row r="35" spans="2:93">
      <c r="B35" s="408"/>
      <c r="C35" s="389"/>
      <c r="D35" s="407"/>
      <c r="E35" s="407"/>
      <c r="F35" s="407"/>
      <c r="G35" s="407"/>
      <c r="H35" s="407"/>
      <c r="I35" s="407"/>
      <c r="J35" s="407"/>
      <c r="K35" s="407"/>
      <c r="L35" s="407"/>
    </row>
    <row r="36" spans="2:93">
      <c r="B36" s="408"/>
      <c r="C36" s="389"/>
      <c r="D36" s="1101"/>
      <c r="E36" s="1101"/>
      <c r="F36" s="1101"/>
      <c r="G36" s="1101"/>
      <c r="H36" s="1101"/>
      <c r="I36" s="1101"/>
      <c r="J36" s="1101"/>
      <c r="K36" s="1101"/>
      <c r="L36" s="1101"/>
    </row>
    <row r="37" spans="2:93">
      <c r="B37" s="409"/>
    </row>
    <row r="41" spans="2:93">
      <c r="B41" s="410"/>
    </row>
    <row r="42" spans="2:93">
      <c r="B42" s="410"/>
    </row>
    <row r="47" spans="2:93" s="374" customFormat="1">
      <c r="B47" s="372"/>
      <c r="C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372"/>
      <c r="AM47" s="372"/>
      <c r="AN47" s="372"/>
      <c r="AO47" s="372"/>
      <c r="AP47" s="372"/>
      <c r="AQ47" s="372"/>
      <c r="AR47" s="372"/>
      <c r="AS47" s="372"/>
      <c r="AT47" s="372"/>
      <c r="AU47" s="372"/>
      <c r="AV47" s="372"/>
      <c r="AW47" s="372"/>
      <c r="AX47" s="372"/>
      <c r="AY47" s="372"/>
      <c r="AZ47" s="372"/>
      <c r="BA47" s="372"/>
      <c r="BB47" s="372"/>
      <c r="BC47" s="372"/>
      <c r="BD47" s="372"/>
      <c r="BE47" s="372"/>
      <c r="BF47" s="372"/>
      <c r="BG47" s="372"/>
      <c r="BH47" s="372"/>
      <c r="BI47" s="372"/>
      <c r="BJ47" s="372"/>
      <c r="BK47" s="372"/>
      <c r="BL47" s="372"/>
      <c r="BM47" s="372"/>
      <c r="BN47" s="372"/>
      <c r="BO47" s="372"/>
      <c r="BP47" s="372"/>
      <c r="BQ47" s="372"/>
      <c r="BR47" s="372"/>
      <c r="BS47" s="372"/>
      <c r="BT47" s="372"/>
      <c r="BU47" s="372"/>
      <c r="BV47" s="372"/>
      <c r="BW47" s="372"/>
      <c r="BX47" s="372"/>
      <c r="BY47" s="372"/>
      <c r="BZ47" s="372"/>
      <c r="CA47" s="372"/>
      <c r="CB47" s="372"/>
      <c r="CC47" s="372"/>
      <c r="CD47" s="372"/>
      <c r="CE47" s="372"/>
      <c r="CF47" s="372"/>
      <c r="CG47" s="372"/>
      <c r="CH47" s="372"/>
      <c r="CI47" s="372"/>
      <c r="CJ47" s="372"/>
      <c r="CK47" s="372"/>
      <c r="CL47" s="372"/>
      <c r="CM47" s="372"/>
      <c r="CN47" s="372"/>
      <c r="CO47" s="372"/>
    </row>
    <row r="48" spans="2:93" s="374" customFormat="1">
      <c r="B48" s="372"/>
      <c r="C48" s="372"/>
      <c r="M48" s="372"/>
      <c r="N48" s="372"/>
      <c r="O48" s="372"/>
      <c r="P48" s="372"/>
      <c r="Q48" s="372"/>
      <c r="R48" s="372"/>
      <c r="S48" s="372"/>
      <c r="T48" s="372"/>
      <c r="U48" s="372"/>
      <c r="V48" s="372"/>
      <c r="W48" s="372"/>
      <c r="X48" s="372"/>
      <c r="Y48" s="372"/>
      <c r="Z48" s="372"/>
      <c r="AA48" s="372"/>
      <c r="AB48" s="372"/>
      <c r="AC48" s="372"/>
      <c r="AD48" s="372"/>
      <c r="AE48" s="372"/>
      <c r="AF48" s="372"/>
      <c r="AG48" s="372"/>
      <c r="AH48" s="372"/>
      <c r="AI48" s="372"/>
      <c r="AJ48" s="372"/>
      <c r="AK48" s="372"/>
      <c r="AL48" s="372"/>
      <c r="AM48" s="372"/>
      <c r="AN48" s="372"/>
      <c r="AO48" s="372"/>
      <c r="AP48" s="372"/>
      <c r="AQ48" s="372"/>
      <c r="AR48" s="372"/>
      <c r="AS48" s="372"/>
      <c r="AT48" s="372"/>
      <c r="AU48" s="372"/>
      <c r="AV48" s="372"/>
      <c r="AW48" s="372"/>
      <c r="AX48" s="372"/>
      <c r="AY48" s="372"/>
      <c r="AZ48" s="372"/>
      <c r="BA48" s="372"/>
      <c r="BB48" s="372"/>
      <c r="BC48" s="372"/>
      <c r="BD48" s="372"/>
      <c r="BE48" s="372"/>
      <c r="BF48" s="372"/>
      <c r="BG48" s="372"/>
      <c r="BH48" s="372"/>
      <c r="BI48" s="372"/>
      <c r="BJ48" s="372"/>
      <c r="BK48" s="372"/>
      <c r="BL48" s="372"/>
      <c r="BM48" s="372"/>
      <c r="BN48" s="372"/>
      <c r="BO48" s="372"/>
      <c r="BP48" s="372"/>
      <c r="BQ48" s="372"/>
      <c r="BR48" s="372"/>
      <c r="BS48" s="372"/>
      <c r="BT48" s="372"/>
      <c r="BU48" s="372"/>
      <c r="BV48" s="372"/>
      <c r="BW48" s="372"/>
      <c r="BX48" s="372"/>
      <c r="BY48" s="372"/>
      <c r="BZ48" s="372"/>
      <c r="CA48" s="372"/>
      <c r="CB48" s="372"/>
      <c r="CC48" s="372"/>
      <c r="CD48" s="372"/>
      <c r="CE48" s="372"/>
      <c r="CF48" s="372"/>
      <c r="CG48" s="372"/>
      <c r="CH48" s="372"/>
      <c r="CI48" s="372"/>
      <c r="CJ48" s="372"/>
      <c r="CK48" s="372"/>
      <c r="CL48" s="372"/>
      <c r="CM48" s="372"/>
      <c r="CN48" s="372"/>
      <c r="CO48" s="372"/>
    </row>
    <row r="49" spans="2:93" s="374" customFormat="1">
      <c r="B49" s="372"/>
      <c r="C49" s="372"/>
      <c r="M49" s="372"/>
      <c r="N49" s="372"/>
      <c r="O49" s="372"/>
      <c r="P49" s="372"/>
      <c r="Q49" s="372"/>
      <c r="R49" s="372"/>
      <c r="S49" s="372"/>
      <c r="T49" s="372"/>
      <c r="U49" s="372"/>
      <c r="V49" s="372"/>
      <c r="W49" s="372"/>
      <c r="X49" s="372"/>
      <c r="Y49" s="372"/>
      <c r="Z49" s="372"/>
      <c r="AA49" s="372"/>
      <c r="AB49" s="372"/>
      <c r="AC49" s="372"/>
      <c r="AD49" s="372"/>
      <c r="AE49" s="372"/>
      <c r="AF49" s="372"/>
      <c r="AG49" s="372"/>
      <c r="AH49" s="372"/>
      <c r="AI49" s="372"/>
      <c r="AJ49" s="372"/>
      <c r="AK49" s="372"/>
      <c r="AL49" s="372"/>
      <c r="AM49" s="372"/>
      <c r="AN49" s="372"/>
      <c r="AO49" s="372"/>
      <c r="AP49" s="372"/>
      <c r="AQ49" s="372"/>
      <c r="AR49" s="372"/>
      <c r="AS49" s="372"/>
      <c r="AT49" s="372"/>
      <c r="AU49" s="372"/>
      <c r="AV49" s="372"/>
      <c r="AW49" s="372"/>
      <c r="AX49" s="372"/>
      <c r="AY49" s="372"/>
      <c r="AZ49" s="372"/>
      <c r="BA49" s="372"/>
      <c r="BB49" s="372"/>
      <c r="BC49" s="372"/>
      <c r="BD49" s="372"/>
      <c r="BE49" s="372"/>
      <c r="BF49" s="372"/>
      <c r="BG49" s="372"/>
      <c r="BH49" s="372"/>
      <c r="BI49" s="372"/>
      <c r="BJ49" s="372"/>
      <c r="BK49" s="372"/>
      <c r="BL49" s="372"/>
      <c r="BM49" s="372"/>
      <c r="BN49" s="372"/>
      <c r="BO49" s="372"/>
      <c r="BP49" s="372"/>
      <c r="BQ49" s="372"/>
      <c r="BR49" s="372"/>
      <c r="BS49" s="372"/>
      <c r="BT49" s="372"/>
      <c r="BU49" s="372"/>
      <c r="BV49" s="372"/>
      <c r="BW49" s="372"/>
      <c r="BX49" s="372"/>
      <c r="BY49" s="372"/>
      <c r="BZ49" s="372"/>
      <c r="CA49" s="372"/>
      <c r="CB49" s="372"/>
      <c r="CC49" s="372"/>
      <c r="CD49" s="372"/>
      <c r="CE49" s="372"/>
      <c r="CF49" s="372"/>
      <c r="CG49" s="372"/>
      <c r="CH49" s="372"/>
      <c r="CI49" s="372"/>
      <c r="CJ49" s="372"/>
      <c r="CK49" s="372"/>
      <c r="CL49" s="372"/>
      <c r="CM49" s="372"/>
      <c r="CN49" s="372"/>
      <c r="CO49" s="372"/>
    </row>
    <row r="50" spans="2:93" s="374" customFormat="1">
      <c r="B50" s="372"/>
      <c r="C50" s="372"/>
      <c r="M50" s="372"/>
      <c r="N50" s="372"/>
      <c r="O50" s="372"/>
      <c r="P50" s="372"/>
      <c r="Q50" s="372"/>
      <c r="R50" s="372"/>
      <c r="S50" s="372"/>
      <c r="T50" s="372"/>
      <c r="U50" s="372"/>
      <c r="V50" s="372"/>
      <c r="W50" s="372"/>
      <c r="X50" s="372"/>
      <c r="Y50" s="372"/>
      <c r="Z50" s="372"/>
      <c r="AA50" s="372"/>
      <c r="AB50" s="372"/>
      <c r="AC50" s="372"/>
      <c r="AD50" s="372"/>
      <c r="AE50" s="372"/>
      <c r="AF50" s="372"/>
      <c r="AG50" s="372"/>
      <c r="AH50" s="372"/>
      <c r="AI50" s="372"/>
      <c r="AJ50" s="372"/>
      <c r="AK50" s="372"/>
      <c r="AL50" s="372"/>
      <c r="AM50" s="372"/>
      <c r="AN50" s="372"/>
      <c r="AO50" s="372"/>
      <c r="AP50" s="372"/>
      <c r="AQ50" s="372"/>
      <c r="AR50" s="372"/>
      <c r="AS50" s="372"/>
      <c r="AT50" s="372"/>
      <c r="AU50" s="372"/>
      <c r="AV50" s="372"/>
      <c r="AW50" s="372"/>
      <c r="AX50" s="372"/>
      <c r="AY50" s="372"/>
      <c r="AZ50" s="372"/>
      <c r="BA50" s="372"/>
      <c r="BB50" s="372"/>
      <c r="BC50" s="372"/>
      <c r="BD50" s="372"/>
      <c r="BE50" s="372"/>
      <c r="BF50" s="372"/>
      <c r="BG50" s="372"/>
      <c r="BH50" s="372"/>
      <c r="BI50" s="372"/>
      <c r="BJ50" s="372"/>
      <c r="BK50" s="372"/>
      <c r="BL50" s="372"/>
      <c r="BM50" s="372"/>
      <c r="BN50" s="372"/>
      <c r="BO50" s="372"/>
      <c r="BP50" s="372"/>
      <c r="BQ50" s="372"/>
      <c r="BR50" s="372"/>
      <c r="BS50" s="372"/>
      <c r="BT50" s="372"/>
      <c r="BU50" s="372"/>
      <c r="BV50" s="372"/>
      <c r="BW50" s="372"/>
      <c r="BX50" s="372"/>
      <c r="BY50" s="372"/>
      <c r="BZ50" s="372"/>
      <c r="CA50" s="372"/>
      <c r="CB50" s="372"/>
      <c r="CC50" s="372"/>
      <c r="CD50" s="372"/>
      <c r="CE50" s="372"/>
      <c r="CF50" s="372"/>
      <c r="CG50" s="372"/>
      <c r="CH50" s="372"/>
      <c r="CI50" s="372"/>
      <c r="CJ50" s="372"/>
      <c r="CK50" s="372"/>
      <c r="CL50" s="372"/>
      <c r="CM50" s="372"/>
      <c r="CN50" s="372"/>
      <c r="CO50" s="372"/>
    </row>
    <row r="51" spans="2:93" s="374" customFormat="1">
      <c r="B51" s="372"/>
      <c r="C51" s="372"/>
      <c r="M51" s="372"/>
      <c r="N51" s="372"/>
      <c r="O51" s="372"/>
      <c r="P51" s="372"/>
      <c r="Q51" s="372"/>
      <c r="R51" s="372"/>
      <c r="S51" s="372"/>
      <c r="T51" s="372"/>
      <c r="U51" s="372"/>
      <c r="V51" s="372"/>
      <c r="W51" s="372"/>
      <c r="X51" s="372"/>
      <c r="Y51" s="372"/>
      <c r="Z51" s="372"/>
      <c r="AA51" s="372"/>
      <c r="AB51" s="372"/>
      <c r="AC51" s="372"/>
      <c r="AD51" s="372"/>
      <c r="AE51" s="372"/>
      <c r="AF51" s="372"/>
      <c r="AG51" s="372"/>
      <c r="AH51" s="372"/>
      <c r="AI51" s="372"/>
      <c r="AJ51" s="372"/>
      <c r="AK51" s="372"/>
      <c r="AL51" s="372"/>
      <c r="AM51" s="372"/>
      <c r="AN51" s="372"/>
      <c r="AO51" s="372"/>
      <c r="AP51" s="372"/>
      <c r="AQ51" s="372"/>
      <c r="AR51" s="372"/>
      <c r="AS51" s="372"/>
      <c r="AT51" s="372"/>
      <c r="AU51" s="372"/>
      <c r="AV51" s="372"/>
      <c r="AW51" s="372"/>
      <c r="AX51" s="372"/>
      <c r="AY51" s="372"/>
      <c r="AZ51" s="372"/>
      <c r="BA51" s="372"/>
      <c r="BB51" s="372"/>
      <c r="BC51" s="372"/>
      <c r="BD51" s="372"/>
      <c r="BE51" s="372"/>
      <c r="BF51" s="372"/>
      <c r="BG51" s="372"/>
      <c r="BH51" s="372"/>
      <c r="BI51" s="372"/>
      <c r="BJ51" s="372"/>
      <c r="BK51" s="372"/>
      <c r="BL51" s="372"/>
      <c r="BM51" s="372"/>
      <c r="BN51" s="372"/>
      <c r="BO51" s="372"/>
      <c r="BP51" s="372"/>
      <c r="BQ51" s="372"/>
      <c r="BR51" s="372"/>
      <c r="BS51" s="372"/>
      <c r="BT51" s="372"/>
      <c r="BU51" s="372"/>
      <c r="BV51" s="372"/>
      <c r="BW51" s="372"/>
      <c r="BX51" s="372"/>
      <c r="BY51" s="372"/>
      <c r="BZ51" s="372"/>
      <c r="CA51" s="372"/>
      <c r="CB51" s="372"/>
      <c r="CC51" s="372"/>
      <c r="CD51" s="372"/>
      <c r="CE51" s="372"/>
      <c r="CF51" s="372"/>
      <c r="CG51" s="372"/>
      <c r="CH51" s="372"/>
      <c r="CI51" s="372"/>
      <c r="CJ51" s="372"/>
      <c r="CK51" s="372"/>
      <c r="CL51" s="372"/>
      <c r="CM51" s="372"/>
      <c r="CN51" s="372"/>
      <c r="CO51" s="372"/>
    </row>
    <row r="52" spans="2:93" s="374" customFormat="1">
      <c r="B52" s="372"/>
      <c r="C52" s="372"/>
      <c r="M52" s="372"/>
      <c r="N52" s="372"/>
      <c r="O52" s="372"/>
      <c r="P52" s="372"/>
      <c r="Q52" s="372"/>
      <c r="R52" s="372"/>
      <c r="S52" s="372"/>
      <c r="T52" s="372"/>
      <c r="U52" s="372"/>
      <c r="V52" s="372"/>
      <c r="W52" s="372"/>
      <c r="X52" s="372"/>
      <c r="Y52" s="372"/>
      <c r="Z52" s="372"/>
      <c r="AA52" s="372"/>
      <c r="AB52" s="372"/>
      <c r="AC52" s="372"/>
      <c r="AD52" s="372"/>
      <c r="AE52" s="372"/>
      <c r="AF52" s="372"/>
      <c r="AG52" s="372"/>
      <c r="AH52" s="372"/>
      <c r="AI52" s="372"/>
      <c r="AJ52" s="372"/>
      <c r="AK52" s="372"/>
      <c r="AL52" s="372"/>
      <c r="AM52" s="372"/>
      <c r="AN52" s="372"/>
      <c r="AO52" s="372"/>
      <c r="AP52" s="372"/>
      <c r="AQ52" s="372"/>
      <c r="AR52" s="372"/>
      <c r="AS52" s="372"/>
      <c r="AT52" s="372"/>
      <c r="AU52" s="372"/>
      <c r="AV52" s="372"/>
      <c r="AW52" s="372"/>
      <c r="AX52" s="372"/>
      <c r="AY52" s="372"/>
      <c r="AZ52" s="372"/>
      <c r="BA52" s="372"/>
      <c r="BB52" s="372"/>
      <c r="BC52" s="372"/>
      <c r="BD52" s="372"/>
      <c r="BE52" s="372"/>
      <c r="BF52" s="372"/>
      <c r="BG52" s="372"/>
      <c r="BH52" s="372"/>
      <c r="BI52" s="372"/>
      <c r="BJ52" s="372"/>
      <c r="BK52" s="372"/>
      <c r="BL52" s="372"/>
      <c r="BM52" s="372"/>
      <c r="BN52" s="372"/>
      <c r="BO52" s="372"/>
      <c r="BP52" s="372"/>
      <c r="BQ52" s="372"/>
      <c r="BR52" s="372"/>
      <c r="BS52" s="372"/>
      <c r="BT52" s="372"/>
      <c r="BU52" s="372"/>
      <c r="BV52" s="372"/>
      <c r="BW52" s="372"/>
      <c r="BX52" s="372"/>
      <c r="BY52" s="372"/>
      <c r="BZ52" s="372"/>
      <c r="CA52" s="372"/>
      <c r="CB52" s="372"/>
      <c r="CC52" s="372"/>
      <c r="CD52" s="372"/>
      <c r="CE52" s="372"/>
      <c r="CF52" s="372"/>
      <c r="CG52" s="372"/>
      <c r="CH52" s="372"/>
      <c r="CI52" s="372"/>
      <c r="CJ52" s="372"/>
      <c r="CK52" s="372"/>
      <c r="CL52" s="372"/>
      <c r="CM52" s="372"/>
      <c r="CN52" s="372"/>
      <c r="CO52" s="372"/>
    </row>
    <row r="53" spans="2:93" s="374" customFormat="1">
      <c r="B53" s="372"/>
      <c r="C53" s="372"/>
      <c r="M53" s="372"/>
      <c r="N53" s="372"/>
      <c r="O53" s="372"/>
      <c r="P53" s="372"/>
      <c r="Q53" s="372"/>
      <c r="R53" s="372"/>
      <c r="S53" s="372"/>
      <c r="T53" s="372"/>
      <c r="U53" s="372"/>
      <c r="V53" s="372"/>
      <c r="W53" s="372"/>
      <c r="X53" s="372"/>
      <c r="Y53" s="372"/>
      <c r="Z53" s="372"/>
      <c r="AA53" s="372"/>
      <c r="AB53" s="372"/>
      <c r="AC53" s="372"/>
      <c r="AD53" s="372"/>
      <c r="AE53" s="372"/>
      <c r="AF53" s="372"/>
      <c r="AG53" s="372"/>
      <c r="AH53" s="372"/>
      <c r="AI53" s="372"/>
      <c r="AJ53" s="372"/>
      <c r="AK53" s="372"/>
      <c r="AL53" s="372"/>
      <c r="AM53" s="372"/>
      <c r="AN53" s="372"/>
      <c r="AO53" s="372"/>
      <c r="AP53" s="372"/>
      <c r="AQ53" s="372"/>
      <c r="AR53" s="372"/>
      <c r="AS53" s="372"/>
      <c r="AT53" s="372"/>
      <c r="AU53" s="372"/>
      <c r="AV53" s="372"/>
      <c r="AW53" s="372"/>
      <c r="AX53" s="372"/>
      <c r="AY53" s="372"/>
      <c r="AZ53" s="372"/>
      <c r="BA53" s="372"/>
      <c r="BB53" s="372"/>
      <c r="BC53" s="372"/>
      <c r="BD53" s="372"/>
      <c r="BE53" s="372"/>
      <c r="BF53" s="372"/>
      <c r="BG53" s="372"/>
      <c r="BH53" s="372"/>
      <c r="BI53" s="372"/>
      <c r="BJ53" s="372"/>
      <c r="BK53" s="372"/>
      <c r="BL53" s="372"/>
      <c r="BM53" s="372"/>
      <c r="BN53" s="372"/>
      <c r="BO53" s="372"/>
      <c r="BP53" s="372"/>
      <c r="BQ53" s="372"/>
      <c r="BR53" s="372"/>
      <c r="BS53" s="372"/>
      <c r="BT53" s="372"/>
      <c r="BU53" s="372"/>
      <c r="BV53" s="372"/>
      <c r="BW53" s="372"/>
      <c r="BX53" s="372"/>
      <c r="BY53" s="372"/>
      <c r="BZ53" s="372"/>
      <c r="CA53" s="372"/>
      <c r="CB53" s="372"/>
      <c r="CC53" s="372"/>
      <c r="CD53" s="372"/>
      <c r="CE53" s="372"/>
      <c r="CF53" s="372"/>
      <c r="CG53" s="372"/>
      <c r="CH53" s="372"/>
      <c r="CI53" s="372"/>
      <c r="CJ53" s="372"/>
      <c r="CK53" s="372"/>
      <c r="CL53" s="372"/>
      <c r="CM53" s="372"/>
      <c r="CN53" s="372"/>
      <c r="CO53" s="372"/>
    </row>
    <row r="54" spans="2:93" s="374" customFormat="1">
      <c r="B54" s="372"/>
      <c r="C54" s="372"/>
      <c r="M54" s="372"/>
      <c r="N54" s="372"/>
      <c r="O54" s="372"/>
      <c r="P54" s="372"/>
      <c r="Q54" s="372"/>
      <c r="R54" s="372"/>
      <c r="S54" s="372"/>
      <c r="T54" s="372"/>
      <c r="U54" s="372"/>
      <c r="V54" s="372"/>
      <c r="W54" s="372"/>
      <c r="X54" s="372"/>
      <c r="Y54" s="372"/>
      <c r="Z54" s="372"/>
      <c r="AA54" s="372"/>
      <c r="AB54" s="372"/>
      <c r="AC54" s="372"/>
      <c r="AD54" s="372"/>
      <c r="AE54" s="372"/>
      <c r="AF54" s="372"/>
      <c r="AG54" s="372"/>
      <c r="AH54" s="372"/>
      <c r="AI54" s="372"/>
      <c r="AJ54" s="372"/>
      <c r="AK54" s="372"/>
      <c r="AL54" s="372"/>
      <c r="AM54" s="372"/>
      <c r="AN54" s="372"/>
      <c r="AO54" s="372"/>
      <c r="AP54" s="372"/>
      <c r="AQ54" s="372"/>
      <c r="AR54" s="372"/>
      <c r="AS54" s="372"/>
      <c r="AT54" s="372"/>
      <c r="AU54" s="372"/>
      <c r="AV54" s="372"/>
      <c r="AW54" s="372"/>
      <c r="AX54" s="372"/>
      <c r="AY54" s="372"/>
      <c r="AZ54" s="372"/>
      <c r="BA54" s="372"/>
      <c r="BB54" s="372"/>
      <c r="BC54" s="372"/>
      <c r="BD54" s="372"/>
      <c r="BE54" s="372"/>
      <c r="BF54" s="372"/>
      <c r="BG54" s="372"/>
      <c r="BH54" s="372"/>
      <c r="BI54" s="372"/>
      <c r="BJ54" s="372"/>
      <c r="BK54" s="372"/>
      <c r="BL54" s="372"/>
      <c r="BM54" s="372"/>
      <c r="BN54" s="372"/>
      <c r="BO54" s="372"/>
      <c r="BP54" s="372"/>
      <c r="BQ54" s="372"/>
      <c r="BR54" s="372"/>
      <c r="BS54" s="372"/>
      <c r="BT54" s="372"/>
      <c r="BU54" s="372"/>
      <c r="BV54" s="372"/>
      <c r="BW54" s="372"/>
      <c r="BX54" s="372"/>
      <c r="BY54" s="372"/>
      <c r="BZ54" s="372"/>
      <c r="CA54" s="372"/>
      <c r="CB54" s="372"/>
      <c r="CC54" s="372"/>
      <c r="CD54" s="372"/>
      <c r="CE54" s="372"/>
      <c r="CF54" s="372"/>
      <c r="CG54" s="372"/>
      <c r="CH54" s="372"/>
      <c r="CI54" s="372"/>
      <c r="CJ54" s="372"/>
      <c r="CK54" s="372"/>
      <c r="CL54" s="372"/>
      <c r="CM54" s="372"/>
      <c r="CN54" s="372"/>
      <c r="CO54" s="372"/>
    </row>
    <row r="55" spans="2:93" s="374" customFormat="1">
      <c r="B55" s="372"/>
      <c r="C55" s="372"/>
      <c r="M55" s="372"/>
      <c r="N55" s="372"/>
      <c r="O55" s="372"/>
      <c r="P55" s="372"/>
      <c r="Q55" s="372"/>
      <c r="R55" s="372"/>
      <c r="S55" s="372"/>
      <c r="T55" s="372"/>
      <c r="U55" s="372"/>
      <c r="V55" s="372"/>
      <c r="W55" s="372"/>
      <c r="X55" s="372"/>
      <c r="Y55" s="372"/>
      <c r="Z55" s="372"/>
      <c r="AA55" s="372"/>
      <c r="AB55" s="372"/>
      <c r="AC55" s="372"/>
      <c r="AD55" s="372"/>
      <c r="AE55" s="372"/>
      <c r="AF55" s="372"/>
      <c r="AG55" s="372"/>
      <c r="AH55" s="372"/>
      <c r="AI55" s="372"/>
      <c r="AJ55" s="372"/>
      <c r="AK55" s="372"/>
      <c r="AL55" s="372"/>
      <c r="AM55" s="372"/>
      <c r="AN55" s="372"/>
      <c r="AO55" s="372"/>
      <c r="AP55" s="372"/>
      <c r="AQ55" s="372"/>
      <c r="AR55" s="372"/>
      <c r="AS55" s="372"/>
      <c r="AT55" s="372"/>
      <c r="AU55" s="372"/>
      <c r="AV55" s="372"/>
      <c r="AW55" s="372"/>
      <c r="AX55" s="372"/>
      <c r="AY55" s="372"/>
      <c r="AZ55" s="372"/>
      <c r="BA55" s="372"/>
      <c r="BB55" s="372"/>
      <c r="BC55" s="372"/>
      <c r="BD55" s="372"/>
      <c r="BE55" s="372"/>
      <c r="BF55" s="372"/>
      <c r="BG55" s="372"/>
      <c r="BH55" s="372"/>
      <c r="BI55" s="372"/>
      <c r="BJ55" s="372"/>
      <c r="BK55" s="372"/>
      <c r="BL55" s="372"/>
      <c r="BM55" s="372"/>
      <c r="BN55" s="372"/>
      <c r="BO55" s="372"/>
      <c r="BP55" s="372"/>
      <c r="BQ55" s="372"/>
      <c r="BR55" s="372"/>
      <c r="BS55" s="372"/>
      <c r="BT55" s="372"/>
      <c r="BU55" s="372"/>
      <c r="BV55" s="372"/>
      <c r="BW55" s="372"/>
      <c r="BX55" s="372"/>
      <c r="BY55" s="372"/>
      <c r="BZ55" s="372"/>
      <c r="CA55" s="372"/>
      <c r="CB55" s="372"/>
      <c r="CC55" s="372"/>
      <c r="CD55" s="372"/>
      <c r="CE55" s="372"/>
      <c r="CF55" s="372"/>
      <c r="CG55" s="372"/>
      <c r="CH55" s="372"/>
      <c r="CI55" s="372"/>
      <c r="CJ55" s="372"/>
      <c r="CK55" s="372"/>
      <c r="CL55" s="372"/>
      <c r="CM55" s="372"/>
      <c r="CN55" s="372"/>
      <c r="CO55" s="372"/>
    </row>
    <row r="56" spans="2:93" s="374" customFormat="1">
      <c r="B56" s="372"/>
      <c r="C56" s="372"/>
      <c r="M56" s="372"/>
      <c r="N56" s="372"/>
      <c r="O56" s="372"/>
      <c r="P56" s="372"/>
      <c r="Q56" s="372"/>
      <c r="R56" s="372"/>
      <c r="S56" s="372"/>
      <c r="T56" s="372"/>
      <c r="U56" s="372"/>
      <c r="V56" s="372"/>
      <c r="W56" s="372"/>
      <c r="X56" s="372"/>
      <c r="Y56" s="372"/>
      <c r="Z56" s="372"/>
      <c r="AA56" s="372"/>
      <c r="AB56" s="372"/>
      <c r="AC56" s="372"/>
      <c r="AD56" s="372"/>
      <c r="AE56" s="372"/>
      <c r="AF56" s="372"/>
      <c r="AG56" s="372"/>
      <c r="AH56" s="372"/>
      <c r="AI56" s="372"/>
      <c r="AJ56" s="372"/>
      <c r="AK56" s="372"/>
      <c r="AL56" s="372"/>
      <c r="AM56" s="372"/>
      <c r="AN56" s="372"/>
      <c r="AO56" s="372"/>
      <c r="AP56" s="372"/>
      <c r="AQ56" s="372"/>
      <c r="AR56" s="372"/>
      <c r="AS56" s="372"/>
      <c r="AT56" s="372"/>
      <c r="AU56" s="372"/>
      <c r="AV56" s="372"/>
      <c r="AW56" s="372"/>
      <c r="AX56" s="372"/>
      <c r="AY56" s="372"/>
      <c r="AZ56" s="372"/>
      <c r="BA56" s="372"/>
      <c r="BB56" s="372"/>
      <c r="BC56" s="372"/>
      <c r="BD56" s="372"/>
      <c r="BE56" s="372"/>
      <c r="BF56" s="372"/>
      <c r="BG56" s="372"/>
      <c r="BH56" s="372"/>
      <c r="BI56" s="372"/>
      <c r="BJ56" s="372"/>
      <c r="BK56" s="372"/>
      <c r="BL56" s="372"/>
      <c r="BM56" s="372"/>
      <c r="BN56" s="372"/>
      <c r="BO56" s="372"/>
      <c r="BP56" s="372"/>
      <c r="BQ56" s="372"/>
      <c r="BR56" s="372"/>
      <c r="BS56" s="372"/>
      <c r="BT56" s="372"/>
      <c r="BU56" s="372"/>
      <c r="BV56" s="372"/>
      <c r="BW56" s="372"/>
      <c r="BX56" s="372"/>
      <c r="BY56" s="372"/>
      <c r="BZ56" s="372"/>
      <c r="CA56" s="372"/>
      <c r="CB56" s="372"/>
      <c r="CC56" s="372"/>
      <c r="CD56" s="372"/>
      <c r="CE56" s="372"/>
      <c r="CF56" s="372"/>
      <c r="CG56" s="372"/>
      <c r="CH56" s="372"/>
      <c r="CI56" s="372"/>
      <c r="CJ56" s="372"/>
      <c r="CK56" s="372"/>
      <c r="CL56" s="372"/>
      <c r="CM56" s="372"/>
      <c r="CN56" s="372"/>
      <c r="CO56" s="372"/>
    </row>
    <row r="57" spans="2:93" s="374" customFormat="1">
      <c r="B57" s="372"/>
      <c r="C57" s="372"/>
      <c r="M57" s="372"/>
      <c r="N57" s="372"/>
      <c r="O57" s="372"/>
      <c r="P57" s="372"/>
      <c r="Q57" s="372"/>
      <c r="R57" s="372"/>
      <c r="S57" s="372"/>
      <c r="T57" s="372"/>
      <c r="U57" s="372"/>
      <c r="V57" s="372"/>
      <c r="W57" s="372"/>
      <c r="X57" s="372"/>
      <c r="Y57" s="372"/>
      <c r="Z57" s="372"/>
      <c r="AA57" s="372"/>
      <c r="AB57" s="372"/>
      <c r="AC57" s="372"/>
      <c r="AD57" s="372"/>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72"/>
      <c r="BC57" s="372"/>
      <c r="BD57" s="372"/>
      <c r="BE57" s="372"/>
      <c r="BF57" s="372"/>
      <c r="BG57" s="372"/>
      <c r="BH57" s="372"/>
      <c r="BI57" s="372"/>
      <c r="BJ57" s="372"/>
      <c r="BK57" s="372"/>
      <c r="BL57" s="372"/>
      <c r="BM57" s="372"/>
      <c r="BN57" s="372"/>
      <c r="BO57" s="372"/>
      <c r="BP57" s="372"/>
      <c r="BQ57" s="372"/>
      <c r="BR57" s="372"/>
      <c r="BS57" s="372"/>
      <c r="BT57" s="372"/>
      <c r="BU57" s="372"/>
      <c r="BV57" s="372"/>
      <c r="BW57" s="372"/>
      <c r="BX57" s="372"/>
      <c r="BY57" s="372"/>
      <c r="BZ57" s="372"/>
      <c r="CA57" s="372"/>
      <c r="CB57" s="372"/>
      <c r="CC57" s="372"/>
      <c r="CD57" s="372"/>
      <c r="CE57" s="372"/>
      <c r="CF57" s="372"/>
      <c r="CG57" s="372"/>
      <c r="CH57" s="372"/>
      <c r="CI57" s="372"/>
      <c r="CJ57" s="372"/>
      <c r="CK57" s="372"/>
      <c r="CL57" s="372"/>
      <c r="CM57" s="372"/>
      <c r="CN57" s="372"/>
      <c r="CO57" s="372"/>
    </row>
    <row r="58" spans="2:93" s="374" customFormat="1">
      <c r="B58" s="372"/>
      <c r="C58" s="372"/>
      <c r="M58" s="372"/>
      <c r="N58" s="372"/>
      <c r="O58" s="372"/>
      <c r="P58" s="372"/>
      <c r="Q58" s="372"/>
      <c r="R58" s="372"/>
      <c r="S58" s="372"/>
      <c r="T58" s="372"/>
      <c r="U58" s="372"/>
      <c r="V58" s="372"/>
      <c r="W58" s="372"/>
      <c r="X58" s="372"/>
      <c r="Y58" s="372"/>
      <c r="Z58" s="372"/>
      <c r="AA58" s="372"/>
      <c r="AB58" s="372"/>
      <c r="AC58" s="372"/>
      <c r="AD58" s="372"/>
      <c r="AE58" s="372"/>
      <c r="AF58" s="372"/>
      <c r="AG58" s="372"/>
      <c r="AH58" s="372"/>
      <c r="AI58" s="372"/>
      <c r="AJ58" s="372"/>
      <c r="AK58" s="372"/>
      <c r="AL58" s="372"/>
      <c r="AM58" s="372"/>
      <c r="AN58" s="372"/>
      <c r="AO58" s="372"/>
      <c r="AP58" s="372"/>
      <c r="AQ58" s="372"/>
      <c r="AR58" s="372"/>
      <c r="AS58" s="372"/>
      <c r="AT58" s="372"/>
      <c r="AU58" s="372"/>
      <c r="AV58" s="372"/>
      <c r="AW58" s="372"/>
      <c r="AX58" s="372"/>
      <c r="AY58" s="372"/>
      <c r="AZ58" s="372"/>
      <c r="BA58" s="372"/>
      <c r="BB58" s="372"/>
      <c r="BC58" s="372"/>
      <c r="BD58" s="372"/>
      <c r="BE58" s="372"/>
      <c r="BF58" s="372"/>
      <c r="BG58" s="372"/>
      <c r="BH58" s="372"/>
      <c r="BI58" s="372"/>
      <c r="BJ58" s="372"/>
      <c r="BK58" s="372"/>
      <c r="BL58" s="372"/>
      <c r="BM58" s="372"/>
      <c r="BN58" s="372"/>
      <c r="BO58" s="372"/>
      <c r="BP58" s="372"/>
      <c r="BQ58" s="372"/>
      <c r="BR58" s="372"/>
      <c r="BS58" s="372"/>
      <c r="BT58" s="372"/>
      <c r="BU58" s="372"/>
      <c r="BV58" s="372"/>
      <c r="BW58" s="372"/>
      <c r="BX58" s="372"/>
      <c r="BY58" s="372"/>
      <c r="BZ58" s="372"/>
      <c r="CA58" s="372"/>
      <c r="CB58" s="372"/>
      <c r="CC58" s="372"/>
      <c r="CD58" s="372"/>
      <c r="CE58" s="372"/>
      <c r="CF58" s="372"/>
      <c r="CG58" s="372"/>
      <c r="CH58" s="372"/>
      <c r="CI58" s="372"/>
      <c r="CJ58" s="372"/>
      <c r="CK58" s="372"/>
      <c r="CL58" s="372"/>
      <c r="CM58" s="372"/>
      <c r="CN58" s="372"/>
      <c r="CO58" s="372"/>
    </row>
    <row r="59" spans="2:93" s="374" customFormat="1">
      <c r="B59" s="372"/>
      <c r="C59" s="372"/>
      <c r="M59" s="372"/>
      <c r="N59" s="372"/>
      <c r="O59" s="372"/>
      <c r="P59" s="372"/>
      <c r="Q59" s="372"/>
      <c r="R59" s="372"/>
      <c r="S59" s="372"/>
      <c r="T59" s="372"/>
      <c r="U59" s="372"/>
      <c r="V59" s="372"/>
      <c r="W59" s="372"/>
      <c r="X59" s="372"/>
      <c r="Y59" s="372"/>
      <c r="Z59" s="372"/>
      <c r="AA59" s="372"/>
      <c r="AB59" s="372"/>
      <c r="AC59" s="372"/>
      <c r="AD59" s="372"/>
      <c r="AE59" s="372"/>
      <c r="AF59" s="372"/>
      <c r="AG59" s="372"/>
      <c r="AH59" s="372"/>
      <c r="AI59" s="372"/>
      <c r="AJ59" s="372"/>
      <c r="AK59" s="372"/>
      <c r="AL59" s="372"/>
      <c r="AM59" s="372"/>
      <c r="AN59" s="372"/>
      <c r="AO59" s="372"/>
      <c r="AP59" s="372"/>
      <c r="AQ59" s="372"/>
      <c r="AR59" s="372"/>
      <c r="AS59" s="372"/>
      <c r="AT59" s="372"/>
      <c r="AU59" s="372"/>
      <c r="AV59" s="372"/>
      <c r="AW59" s="372"/>
      <c r="AX59" s="372"/>
      <c r="AY59" s="372"/>
      <c r="AZ59" s="372"/>
      <c r="BA59" s="372"/>
      <c r="BB59" s="372"/>
      <c r="BC59" s="372"/>
      <c r="BD59" s="372"/>
      <c r="BE59" s="372"/>
      <c r="BF59" s="372"/>
      <c r="BG59" s="372"/>
      <c r="BH59" s="372"/>
      <c r="BI59" s="372"/>
      <c r="BJ59" s="372"/>
      <c r="BK59" s="372"/>
      <c r="BL59" s="372"/>
      <c r="BM59" s="372"/>
      <c r="BN59" s="372"/>
      <c r="BO59" s="372"/>
      <c r="BP59" s="372"/>
      <c r="BQ59" s="372"/>
      <c r="BR59" s="372"/>
      <c r="BS59" s="372"/>
      <c r="BT59" s="372"/>
      <c r="BU59" s="372"/>
      <c r="BV59" s="372"/>
      <c r="BW59" s="372"/>
      <c r="BX59" s="372"/>
      <c r="BY59" s="372"/>
      <c r="BZ59" s="372"/>
      <c r="CA59" s="372"/>
      <c r="CB59" s="372"/>
      <c r="CC59" s="372"/>
      <c r="CD59" s="372"/>
      <c r="CE59" s="372"/>
      <c r="CF59" s="372"/>
      <c r="CG59" s="372"/>
      <c r="CH59" s="372"/>
      <c r="CI59" s="372"/>
      <c r="CJ59" s="372"/>
      <c r="CK59" s="372"/>
      <c r="CL59" s="372"/>
      <c r="CM59" s="372"/>
      <c r="CN59" s="372"/>
      <c r="CO59" s="372"/>
    </row>
    <row r="60" spans="2:93" s="374" customFormat="1">
      <c r="B60" s="372"/>
      <c r="C60" s="372"/>
      <c r="M60" s="372"/>
      <c r="N60" s="372"/>
      <c r="O60" s="372"/>
      <c r="P60" s="372"/>
      <c r="Q60" s="372"/>
      <c r="R60" s="372"/>
      <c r="S60" s="372"/>
      <c r="T60" s="372"/>
      <c r="U60" s="372"/>
      <c r="V60" s="372"/>
      <c r="W60" s="372"/>
      <c r="X60" s="372"/>
      <c r="Y60" s="372"/>
      <c r="Z60" s="372"/>
      <c r="AA60" s="372"/>
      <c r="AB60" s="372"/>
      <c r="AC60" s="372"/>
      <c r="AD60" s="372"/>
      <c r="AE60" s="372"/>
      <c r="AF60" s="372"/>
      <c r="AG60" s="372"/>
      <c r="AH60" s="372"/>
      <c r="AI60" s="372"/>
      <c r="AJ60" s="372"/>
      <c r="AK60" s="372"/>
      <c r="AL60" s="372"/>
      <c r="AM60" s="372"/>
      <c r="AN60" s="372"/>
      <c r="AO60" s="372"/>
      <c r="AP60" s="372"/>
      <c r="AQ60" s="372"/>
      <c r="AR60" s="372"/>
      <c r="AS60" s="372"/>
      <c r="AT60" s="372"/>
      <c r="AU60" s="372"/>
      <c r="AV60" s="372"/>
      <c r="AW60" s="372"/>
      <c r="AX60" s="372"/>
      <c r="AY60" s="372"/>
      <c r="AZ60" s="372"/>
      <c r="BA60" s="372"/>
      <c r="BB60" s="372"/>
      <c r="BC60" s="372"/>
      <c r="BD60" s="372"/>
      <c r="BE60" s="372"/>
      <c r="BF60" s="372"/>
      <c r="BG60" s="372"/>
      <c r="BH60" s="372"/>
      <c r="BI60" s="372"/>
      <c r="BJ60" s="372"/>
      <c r="BK60" s="372"/>
      <c r="BL60" s="372"/>
      <c r="BM60" s="372"/>
      <c r="BN60" s="372"/>
      <c r="BO60" s="372"/>
      <c r="BP60" s="372"/>
      <c r="BQ60" s="372"/>
      <c r="BR60" s="372"/>
      <c r="BS60" s="372"/>
      <c r="BT60" s="372"/>
      <c r="BU60" s="372"/>
      <c r="BV60" s="372"/>
      <c r="BW60" s="372"/>
      <c r="BX60" s="372"/>
      <c r="BY60" s="372"/>
      <c r="BZ60" s="372"/>
      <c r="CA60" s="372"/>
      <c r="CB60" s="372"/>
      <c r="CC60" s="372"/>
      <c r="CD60" s="372"/>
      <c r="CE60" s="372"/>
      <c r="CF60" s="372"/>
      <c r="CG60" s="372"/>
      <c r="CH60" s="372"/>
      <c r="CI60" s="372"/>
      <c r="CJ60" s="372"/>
      <c r="CK60" s="372"/>
      <c r="CL60" s="372"/>
      <c r="CM60" s="372"/>
      <c r="CN60" s="372"/>
      <c r="CO60" s="372"/>
    </row>
    <row r="61" spans="2:93" s="374" customFormat="1">
      <c r="B61" s="372"/>
      <c r="C61" s="372"/>
      <c r="M61" s="372"/>
      <c r="N61" s="372"/>
      <c r="O61" s="372"/>
      <c r="P61" s="372"/>
      <c r="Q61" s="372"/>
      <c r="R61" s="372"/>
      <c r="S61" s="372"/>
      <c r="T61" s="372"/>
      <c r="U61" s="372"/>
      <c r="V61" s="372"/>
      <c r="W61" s="372"/>
      <c r="X61" s="372"/>
      <c r="Y61" s="372"/>
      <c r="Z61" s="372"/>
      <c r="AA61" s="372"/>
      <c r="AB61" s="372"/>
      <c r="AC61" s="372"/>
      <c r="AD61" s="372"/>
      <c r="AE61" s="372"/>
      <c r="AF61" s="372"/>
      <c r="AG61" s="372"/>
      <c r="AH61" s="372"/>
      <c r="AI61" s="372"/>
      <c r="AJ61" s="372"/>
      <c r="AK61" s="372"/>
      <c r="AL61" s="372"/>
      <c r="AM61" s="372"/>
      <c r="AN61" s="372"/>
      <c r="AO61" s="372"/>
      <c r="AP61" s="372"/>
      <c r="AQ61" s="372"/>
      <c r="AR61" s="372"/>
      <c r="AS61" s="372"/>
      <c r="AT61" s="372"/>
      <c r="AU61" s="372"/>
      <c r="AV61" s="372"/>
      <c r="AW61" s="372"/>
      <c r="AX61" s="372"/>
      <c r="AY61" s="372"/>
      <c r="AZ61" s="372"/>
      <c r="BA61" s="372"/>
      <c r="BB61" s="372"/>
      <c r="BC61" s="372"/>
      <c r="BD61" s="372"/>
      <c r="BE61" s="372"/>
      <c r="BF61" s="372"/>
      <c r="BG61" s="372"/>
      <c r="BH61" s="372"/>
      <c r="BI61" s="372"/>
      <c r="BJ61" s="372"/>
      <c r="BK61" s="372"/>
      <c r="BL61" s="372"/>
      <c r="BM61" s="372"/>
      <c r="BN61" s="372"/>
      <c r="BO61" s="372"/>
      <c r="BP61" s="372"/>
      <c r="BQ61" s="372"/>
      <c r="BR61" s="372"/>
      <c r="BS61" s="372"/>
      <c r="BT61" s="372"/>
      <c r="BU61" s="372"/>
      <c r="BV61" s="372"/>
      <c r="BW61" s="372"/>
      <c r="BX61" s="372"/>
      <c r="BY61" s="372"/>
      <c r="BZ61" s="372"/>
      <c r="CA61" s="372"/>
      <c r="CB61" s="372"/>
      <c r="CC61" s="372"/>
      <c r="CD61" s="372"/>
      <c r="CE61" s="372"/>
      <c r="CF61" s="372"/>
      <c r="CG61" s="372"/>
      <c r="CH61" s="372"/>
      <c r="CI61" s="372"/>
      <c r="CJ61" s="372"/>
      <c r="CK61" s="372"/>
      <c r="CL61" s="372"/>
      <c r="CM61" s="372"/>
      <c r="CN61" s="372"/>
      <c r="CO61" s="372"/>
    </row>
    <row r="62" spans="2:93" s="374" customFormat="1">
      <c r="B62" s="372"/>
      <c r="C62" s="372"/>
      <c r="M62" s="372"/>
      <c r="N62" s="372"/>
      <c r="O62" s="372"/>
      <c r="P62" s="372"/>
      <c r="Q62" s="372"/>
      <c r="R62" s="372"/>
      <c r="S62" s="372"/>
      <c r="T62" s="372"/>
      <c r="U62" s="372"/>
      <c r="V62" s="372"/>
      <c r="W62" s="372"/>
      <c r="X62" s="372"/>
      <c r="Y62" s="372"/>
      <c r="Z62" s="372"/>
      <c r="AA62" s="372"/>
      <c r="AB62" s="372"/>
      <c r="AC62" s="372"/>
      <c r="AD62" s="372"/>
      <c r="AE62" s="372"/>
      <c r="AF62" s="372"/>
      <c r="AG62" s="372"/>
      <c r="AH62" s="372"/>
      <c r="AI62" s="372"/>
      <c r="AJ62" s="372"/>
      <c r="AK62" s="372"/>
      <c r="AL62" s="372"/>
      <c r="AM62" s="372"/>
      <c r="AN62" s="372"/>
      <c r="AO62" s="372"/>
      <c r="AP62" s="372"/>
      <c r="AQ62" s="372"/>
      <c r="AR62" s="372"/>
      <c r="AS62" s="372"/>
      <c r="AT62" s="372"/>
      <c r="AU62" s="372"/>
      <c r="AV62" s="372"/>
      <c r="AW62" s="372"/>
      <c r="AX62" s="372"/>
      <c r="AY62" s="372"/>
      <c r="AZ62" s="372"/>
      <c r="BA62" s="372"/>
      <c r="BB62" s="372"/>
      <c r="BC62" s="372"/>
      <c r="BD62" s="372"/>
      <c r="BE62" s="372"/>
      <c r="BF62" s="372"/>
      <c r="BG62" s="372"/>
      <c r="BH62" s="372"/>
      <c r="BI62" s="372"/>
      <c r="BJ62" s="372"/>
      <c r="BK62" s="372"/>
      <c r="BL62" s="372"/>
      <c r="BM62" s="372"/>
      <c r="BN62" s="372"/>
      <c r="BO62" s="372"/>
      <c r="BP62" s="372"/>
      <c r="BQ62" s="372"/>
      <c r="BR62" s="372"/>
      <c r="BS62" s="372"/>
      <c r="BT62" s="372"/>
      <c r="BU62" s="372"/>
      <c r="BV62" s="372"/>
      <c r="BW62" s="372"/>
      <c r="BX62" s="372"/>
      <c r="BY62" s="372"/>
      <c r="BZ62" s="372"/>
      <c r="CA62" s="372"/>
      <c r="CB62" s="372"/>
      <c r="CC62" s="372"/>
      <c r="CD62" s="372"/>
      <c r="CE62" s="372"/>
      <c r="CF62" s="372"/>
      <c r="CG62" s="372"/>
      <c r="CH62" s="372"/>
      <c r="CI62" s="372"/>
      <c r="CJ62" s="372"/>
      <c r="CK62" s="372"/>
      <c r="CL62" s="372"/>
      <c r="CM62" s="372"/>
      <c r="CN62" s="372"/>
      <c r="CO62" s="372"/>
    </row>
    <row r="63" spans="2:93" s="374" customFormat="1">
      <c r="B63" s="372"/>
      <c r="C63" s="372"/>
      <c r="M63" s="372"/>
      <c r="N63" s="372"/>
      <c r="O63" s="372"/>
      <c r="P63" s="372"/>
      <c r="Q63" s="372"/>
      <c r="R63" s="372"/>
      <c r="S63" s="372"/>
      <c r="T63" s="372"/>
      <c r="U63" s="372"/>
      <c r="V63" s="372"/>
      <c r="W63" s="372"/>
      <c r="X63" s="372"/>
      <c r="Y63" s="372"/>
      <c r="Z63" s="372"/>
      <c r="AA63" s="372"/>
      <c r="AB63" s="372"/>
      <c r="AC63" s="372"/>
      <c r="AD63" s="372"/>
      <c r="AE63" s="372"/>
      <c r="AF63" s="372"/>
      <c r="AG63" s="372"/>
      <c r="AH63" s="372"/>
      <c r="AI63" s="372"/>
      <c r="AJ63" s="372"/>
      <c r="AK63" s="372"/>
      <c r="AL63" s="372"/>
      <c r="AM63" s="372"/>
      <c r="AN63" s="372"/>
      <c r="AO63" s="372"/>
      <c r="AP63" s="372"/>
      <c r="AQ63" s="372"/>
      <c r="AR63" s="372"/>
      <c r="AS63" s="372"/>
      <c r="AT63" s="372"/>
      <c r="AU63" s="372"/>
      <c r="AV63" s="372"/>
      <c r="AW63" s="372"/>
      <c r="AX63" s="372"/>
      <c r="AY63" s="372"/>
      <c r="AZ63" s="372"/>
      <c r="BA63" s="372"/>
      <c r="BB63" s="372"/>
      <c r="BC63" s="372"/>
      <c r="BD63" s="372"/>
      <c r="BE63" s="372"/>
      <c r="BF63" s="372"/>
      <c r="BG63" s="372"/>
      <c r="BH63" s="372"/>
      <c r="BI63" s="372"/>
      <c r="BJ63" s="372"/>
      <c r="BK63" s="372"/>
      <c r="BL63" s="372"/>
      <c r="BM63" s="372"/>
      <c r="BN63" s="372"/>
      <c r="BO63" s="372"/>
      <c r="BP63" s="372"/>
      <c r="BQ63" s="372"/>
      <c r="BR63" s="372"/>
      <c r="BS63" s="372"/>
      <c r="BT63" s="372"/>
      <c r="BU63" s="372"/>
      <c r="BV63" s="372"/>
      <c r="BW63" s="372"/>
      <c r="BX63" s="372"/>
      <c r="BY63" s="372"/>
      <c r="BZ63" s="372"/>
      <c r="CA63" s="372"/>
      <c r="CB63" s="372"/>
      <c r="CC63" s="372"/>
      <c r="CD63" s="372"/>
      <c r="CE63" s="372"/>
      <c r="CF63" s="372"/>
      <c r="CG63" s="372"/>
      <c r="CH63" s="372"/>
      <c r="CI63" s="372"/>
      <c r="CJ63" s="372"/>
      <c r="CK63" s="372"/>
      <c r="CL63" s="372"/>
      <c r="CM63" s="372"/>
      <c r="CN63" s="372"/>
      <c r="CO63" s="372"/>
    </row>
    <row r="64" spans="2:93" s="374" customFormat="1">
      <c r="B64" s="372"/>
      <c r="C64" s="372"/>
      <c r="M64" s="372"/>
      <c r="N64" s="372"/>
      <c r="O64" s="372"/>
      <c r="P64" s="372"/>
      <c r="Q64" s="372"/>
      <c r="R64" s="372"/>
      <c r="S64" s="372"/>
      <c r="T64" s="372"/>
      <c r="U64" s="372"/>
      <c r="V64" s="372"/>
      <c r="W64" s="372"/>
      <c r="X64" s="372"/>
      <c r="Y64" s="372"/>
      <c r="Z64" s="372"/>
      <c r="AA64" s="372"/>
      <c r="AB64" s="372"/>
      <c r="AC64" s="372"/>
      <c r="AD64" s="372"/>
      <c r="AE64" s="372"/>
      <c r="AF64" s="372"/>
      <c r="AG64" s="372"/>
      <c r="AH64" s="372"/>
      <c r="AI64" s="372"/>
      <c r="AJ64" s="372"/>
      <c r="AK64" s="372"/>
      <c r="AL64" s="372"/>
      <c r="AM64" s="372"/>
      <c r="AN64" s="372"/>
      <c r="AO64" s="372"/>
      <c r="AP64" s="372"/>
      <c r="AQ64" s="372"/>
      <c r="AR64" s="372"/>
      <c r="AS64" s="372"/>
      <c r="AT64" s="372"/>
      <c r="AU64" s="372"/>
      <c r="AV64" s="372"/>
      <c r="AW64" s="372"/>
      <c r="AX64" s="372"/>
      <c r="AY64" s="372"/>
      <c r="AZ64" s="372"/>
      <c r="BA64" s="372"/>
      <c r="BB64" s="372"/>
      <c r="BC64" s="372"/>
      <c r="BD64" s="372"/>
      <c r="BE64" s="372"/>
      <c r="BF64" s="372"/>
      <c r="BG64" s="372"/>
      <c r="BH64" s="372"/>
      <c r="BI64" s="372"/>
      <c r="BJ64" s="372"/>
      <c r="BK64" s="372"/>
      <c r="BL64" s="372"/>
      <c r="BM64" s="372"/>
      <c r="BN64" s="372"/>
      <c r="BO64" s="372"/>
      <c r="BP64" s="372"/>
      <c r="BQ64" s="372"/>
      <c r="BR64" s="372"/>
      <c r="BS64" s="372"/>
      <c r="BT64" s="372"/>
      <c r="BU64" s="372"/>
      <c r="BV64" s="372"/>
      <c r="BW64" s="372"/>
      <c r="BX64" s="372"/>
      <c r="BY64" s="372"/>
      <c r="BZ64" s="372"/>
      <c r="CA64" s="372"/>
      <c r="CB64" s="372"/>
      <c r="CC64" s="372"/>
      <c r="CD64" s="372"/>
      <c r="CE64" s="372"/>
      <c r="CF64" s="372"/>
      <c r="CG64" s="372"/>
      <c r="CH64" s="372"/>
      <c r="CI64" s="372"/>
      <c r="CJ64" s="372"/>
      <c r="CK64" s="372"/>
      <c r="CL64" s="372"/>
      <c r="CM64" s="372"/>
      <c r="CN64" s="372"/>
      <c r="CO64" s="372"/>
    </row>
    <row r="65" spans="2:93" s="374" customFormat="1">
      <c r="B65" s="372"/>
      <c r="C65" s="372"/>
      <c r="M65" s="372"/>
      <c r="N65" s="372"/>
      <c r="O65" s="372"/>
      <c r="P65" s="372"/>
      <c r="Q65" s="372"/>
      <c r="R65" s="372"/>
      <c r="S65" s="372"/>
      <c r="T65" s="372"/>
      <c r="U65" s="372"/>
      <c r="V65" s="372"/>
      <c r="W65" s="372"/>
      <c r="X65" s="372"/>
      <c r="Y65" s="372"/>
      <c r="Z65" s="372"/>
      <c r="AA65" s="372"/>
      <c r="AB65" s="372"/>
      <c r="AC65" s="372"/>
      <c r="AD65" s="372"/>
      <c r="AE65" s="372"/>
      <c r="AF65" s="372"/>
      <c r="AG65" s="372"/>
      <c r="AH65" s="372"/>
      <c r="AI65" s="372"/>
      <c r="AJ65" s="372"/>
      <c r="AK65" s="372"/>
      <c r="AL65" s="372"/>
      <c r="AM65" s="372"/>
      <c r="AN65" s="372"/>
      <c r="AO65" s="372"/>
      <c r="AP65" s="372"/>
      <c r="AQ65" s="372"/>
      <c r="AR65" s="372"/>
      <c r="AS65" s="372"/>
      <c r="AT65" s="372"/>
      <c r="AU65" s="372"/>
      <c r="AV65" s="372"/>
      <c r="AW65" s="372"/>
      <c r="AX65" s="372"/>
      <c r="AY65" s="372"/>
      <c r="AZ65" s="372"/>
      <c r="BA65" s="372"/>
      <c r="BB65" s="372"/>
      <c r="BC65" s="372"/>
      <c r="BD65" s="372"/>
      <c r="BE65" s="372"/>
      <c r="BF65" s="372"/>
      <c r="BG65" s="372"/>
      <c r="BH65" s="372"/>
      <c r="BI65" s="372"/>
      <c r="BJ65" s="372"/>
      <c r="BK65" s="372"/>
      <c r="BL65" s="372"/>
      <c r="BM65" s="372"/>
      <c r="BN65" s="372"/>
      <c r="BO65" s="372"/>
      <c r="BP65" s="372"/>
      <c r="BQ65" s="372"/>
      <c r="BR65" s="372"/>
      <c r="BS65" s="372"/>
      <c r="BT65" s="372"/>
      <c r="BU65" s="372"/>
      <c r="BV65" s="372"/>
      <c r="BW65" s="372"/>
      <c r="BX65" s="372"/>
      <c r="BY65" s="372"/>
      <c r="BZ65" s="372"/>
      <c r="CA65" s="372"/>
      <c r="CB65" s="372"/>
      <c r="CC65" s="372"/>
      <c r="CD65" s="372"/>
      <c r="CE65" s="372"/>
      <c r="CF65" s="372"/>
      <c r="CG65" s="372"/>
      <c r="CH65" s="372"/>
      <c r="CI65" s="372"/>
      <c r="CJ65" s="372"/>
      <c r="CK65" s="372"/>
      <c r="CL65" s="372"/>
      <c r="CM65" s="372"/>
      <c r="CN65" s="372"/>
      <c r="CO65" s="372"/>
    </row>
    <row r="66" spans="2:93" s="374" customFormat="1">
      <c r="B66" s="372"/>
      <c r="C66" s="372"/>
      <c r="M66" s="372"/>
      <c r="N66" s="372"/>
      <c r="O66" s="372"/>
      <c r="P66" s="372"/>
      <c r="Q66" s="372"/>
      <c r="R66" s="372"/>
      <c r="S66" s="37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D66" s="372"/>
      <c r="BE66" s="372"/>
      <c r="BF66" s="372"/>
      <c r="BG66" s="372"/>
      <c r="BH66" s="372"/>
      <c r="BI66" s="372"/>
      <c r="BJ66" s="372"/>
      <c r="BK66" s="372"/>
      <c r="BL66" s="372"/>
      <c r="BM66" s="372"/>
      <c r="BN66" s="372"/>
      <c r="BO66" s="372"/>
      <c r="BP66" s="372"/>
      <c r="BQ66" s="372"/>
      <c r="BR66" s="372"/>
      <c r="BS66" s="372"/>
      <c r="BT66" s="372"/>
      <c r="BU66" s="372"/>
      <c r="BV66" s="372"/>
      <c r="BW66" s="372"/>
      <c r="BX66" s="372"/>
      <c r="BY66" s="372"/>
      <c r="BZ66" s="372"/>
      <c r="CA66" s="372"/>
      <c r="CB66" s="372"/>
      <c r="CC66" s="372"/>
      <c r="CD66" s="372"/>
      <c r="CE66" s="372"/>
      <c r="CF66" s="372"/>
      <c r="CG66" s="372"/>
      <c r="CH66" s="372"/>
      <c r="CI66" s="372"/>
      <c r="CJ66" s="372"/>
      <c r="CK66" s="372"/>
      <c r="CL66" s="372"/>
      <c r="CM66" s="372"/>
      <c r="CN66" s="372"/>
      <c r="CO66" s="372"/>
    </row>
    <row r="67" spans="2:93" s="374" customFormat="1">
      <c r="B67" s="372"/>
      <c r="C67" s="372"/>
      <c r="M67" s="372"/>
      <c r="N67" s="372"/>
      <c r="O67" s="372"/>
      <c r="P67" s="372"/>
      <c r="Q67" s="372"/>
      <c r="R67" s="372"/>
      <c r="S67" s="372"/>
      <c r="T67" s="372"/>
      <c r="U67" s="372"/>
      <c r="V67" s="372"/>
      <c r="W67" s="372"/>
      <c r="X67" s="372"/>
      <c r="Y67" s="372"/>
      <c r="Z67" s="372"/>
      <c r="AA67" s="372"/>
      <c r="AB67" s="372"/>
      <c r="AC67" s="372"/>
      <c r="AD67" s="372"/>
      <c r="AE67" s="372"/>
      <c r="AF67" s="372"/>
      <c r="AG67" s="372"/>
      <c r="AH67" s="372"/>
      <c r="AI67" s="372"/>
      <c r="AJ67" s="372"/>
      <c r="AK67" s="372"/>
      <c r="AL67" s="372"/>
      <c r="AM67" s="372"/>
      <c r="AN67" s="372"/>
      <c r="AO67" s="372"/>
      <c r="AP67" s="372"/>
      <c r="AQ67" s="372"/>
      <c r="AR67" s="372"/>
      <c r="AS67" s="372"/>
      <c r="AT67" s="372"/>
      <c r="AU67" s="372"/>
      <c r="AV67" s="372"/>
      <c r="AW67" s="372"/>
      <c r="AX67" s="372"/>
      <c r="AY67" s="372"/>
      <c r="AZ67" s="372"/>
      <c r="BA67" s="372"/>
      <c r="BB67" s="372"/>
      <c r="BC67" s="372"/>
      <c r="BD67" s="372"/>
      <c r="BE67" s="372"/>
      <c r="BF67" s="372"/>
      <c r="BG67" s="372"/>
      <c r="BH67" s="372"/>
      <c r="BI67" s="372"/>
      <c r="BJ67" s="372"/>
      <c r="BK67" s="372"/>
      <c r="BL67" s="372"/>
      <c r="BM67" s="372"/>
      <c r="BN67" s="372"/>
      <c r="BO67" s="372"/>
      <c r="BP67" s="372"/>
      <c r="BQ67" s="372"/>
      <c r="BR67" s="372"/>
      <c r="BS67" s="372"/>
      <c r="BT67" s="372"/>
      <c r="BU67" s="372"/>
      <c r="BV67" s="372"/>
      <c r="BW67" s="372"/>
      <c r="BX67" s="372"/>
      <c r="BY67" s="372"/>
      <c r="BZ67" s="372"/>
      <c r="CA67" s="372"/>
      <c r="CB67" s="372"/>
      <c r="CC67" s="372"/>
      <c r="CD67" s="372"/>
      <c r="CE67" s="372"/>
      <c r="CF67" s="372"/>
      <c r="CG67" s="372"/>
      <c r="CH67" s="372"/>
      <c r="CI67" s="372"/>
      <c r="CJ67" s="372"/>
      <c r="CK67" s="372"/>
      <c r="CL67" s="372"/>
      <c r="CM67" s="372"/>
      <c r="CN67" s="372"/>
      <c r="CO67" s="372"/>
    </row>
    <row r="68" spans="2:93" s="374" customFormat="1">
      <c r="B68" s="372"/>
      <c r="C68" s="372"/>
      <c r="M68" s="372"/>
      <c r="N68" s="372"/>
      <c r="O68" s="372"/>
      <c r="P68" s="372"/>
      <c r="Q68" s="372"/>
      <c r="R68" s="372"/>
      <c r="S68" s="372"/>
      <c r="T68" s="372"/>
      <c r="U68" s="372"/>
      <c r="V68" s="372"/>
      <c r="W68" s="372"/>
      <c r="X68" s="372"/>
      <c r="Y68" s="372"/>
      <c r="Z68" s="372"/>
      <c r="AA68" s="372"/>
      <c r="AB68" s="372"/>
      <c r="AC68" s="372"/>
      <c r="AD68" s="372"/>
      <c r="AE68" s="372"/>
      <c r="AF68" s="372"/>
      <c r="AG68" s="372"/>
      <c r="AH68" s="372"/>
      <c r="AI68" s="372"/>
      <c r="AJ68" s="372"/>
      <c r="AK68" s="372"/>
      <c r="AL68" s="372"/>
      <c r="AM68" s="372"/>
      <c r="AN68" s="372"/>
      <c r="AO68" s="372"/>
      <c r="AP68" s="372"/>
      <c r="AQ68" s="372"/>
      <c r="AR68" s="372"/>
      <c r="AS68" s="372"/>
      <c r="AT68" s="372"/>
      <c r="AU68" s="372"/>
      <c r="AV68" s="372"/>
      <c r="AW68" s="372"/>
      <c r="AX68" s="372"/>
      <c r="AY68" s="372"/>
      <c r="AZ68" s="372"/>
      <c r="BA68" s="372"/>
      <c r="BB68" s="372"/>
      <c r="BC68" s="372"/>
      <c r="BD68" s="372"/>
      <c r="BE68" s="372"/>
      <c r="BF68" s="372"/>
      <c r="BG68" s="372"/>
      <c r="BH68" s="372"/>
      <c r="BI68" s="372"/>
      <c r="BJ68" s="372"/>
      <c r="BK68" s="372"/>
      <c r="BL68" s="372"/>
      <c r="BM68" s="372"/>
      <c r="BN68" s="372"/>
      <c r="BO68" s="372"/>
      <c r="BP68" s="372"/>
      <c r="BQ68" s="372"/>
      <c r="BR68" s="372"/>
      <c r="BS68" s="372"/>
      <c r="BT68" s="372"/>
      <c r="BU68" s="372"/>
      <c r="BV68" s="372"/>
      <c r="BW68" s="372"/>
      <c r="BX68" s="372"/>
      <c r="BY68" s="372"/>
      <c r="BZ68" s="372"/>
      <c r="CA68" s="372"/>
      <c r="CB68" s="372"/>
      <c r="CC68" s="372"/>
      <c r="CD68" s="372"/>
      <c r="CE68" s="372"/>
      <c r="CF68" s="372"/>
      <c r="CG68" s="372"/>
      <c r="CH68" s="372"/>
      <c r="CI68" s="372"/>
      <c r="CJ68" s="372"/>
      <c r="CK68" s="372"/>
      <c r="CL68" s="372"/>
      <c r="CM68" s="372"/>
      <c r="CN68" s="372"/>
      <c r="CO68" s="372"/>
    </row>
    <row r="69" spans="2:93" s="374" customFormat="1">
      <c r="B69" s="372"/>
      <c r="C69" s="372"/>
      <c r="M69" s="372"/>
      <c r="N69" s="372"/>
      <c r="O69" s="372"/>
      <c r="P69" s="372"/>
      <c r="Q69" s="372"/>
      <c r="R69" s="372"/>
      <c r="S69" s="372"/>
      <c r="T69" s="372"/>
      <c r="U69" s="372"/>
      <c r="V69" s="372"/>
      <c r="W69" s="372"/>
      <c r="X69" s="372"/>
      <c r="Y69" s="372"/>
      <c r="Z69" s="372"/>
      <c r="AA69" s="372"/>
      <c r="AB69" s="372"/>
      <c r="AC69" s="372"/>
      <c r="AD69" s="372"/>
      <c r="AE69" s="372"/>
      <c r="AF69" s="372"/>
      <c r="AG69" s="372"/>
      <c r="AH69" s="372"/>
      <c r="AI69" s="372"/>
      <c r="AJ69" s="372"/>
      <c r="AK69" s="372"/>
      <c r="AL69" s="372"/>
      <c r="AM69" s="372"/>
      <c r="AN69" s="372"/>
      <c r="AO69" s="372"/>
      <c r="AP69" s="372"/>
      <c r="AQ69" s="372"/>
      <c r="AR69" s="372"/>
      <c r="AS69" s="372"/>
      <c r="AT69" s="372"/>
      <c r="AU69" s="372"/>
      <c r="AV69" s="372"/>
      <c r="AW69" s="372"/>
      <c r="AX69" s="372"/>
      <c r="AY69" s="372"/>
      <c r="AZ69" s="372"/>
      <c r="BA69" s="372"/>
      <c r="BB69" s="372"/>
      <c r="BC69" s="372"/>
      <c r="BD69" s="372"/>
      <c r="BE69" s="372"/>
      <c r="BF69" s="372"/>
      <c r="BG69" s="372"/>
      <c r="BH69" s="372"/>
      <c r="BI69" s="372"/>
      <c r="BJ69" s="372"/>
      <c r="BK69" s="372"/>
      <c r="BL69" s="372"/>
      <c r="BM69" s="372"/>
      <c r="BN69" s="372"/>
      <c r="BO69" s="372"/>
      <c r="BP69" s="372"/>
      <c r="BQ69" s="372"/>
      <c r="BR69" s="372"/>
      <c r="BS69" s="372"/>
      <c r="BT69" s="372"/>
      <c r="BU69" s="372"/>
      <c r="BV69" s="372"/>
      <c r="BW69" s="372"/>
      <c r="BX69" s="372"/>
      <c r="BY69" s="372"/>
      <c r="BZ69" s="372"/>
      <c r="CA69" s="372"/>
      <c r="CB69" s="372"/>
      <c r="CC69" s="372"/>
      <c r="CD69" s="372"/>
      <c r="CE69" s="372"/>
      <c r="CF69" s="372"/>
      <c r="CG69" s="372"/>
      <c r="CH69" s="372"/>
      <c r="CI69" s="372"/>
      <c r="CJ69" s="372"/>
      <c r="CK69" s="372"/>
      <c r="CL69" s="372"/>
      <c r="CM69" s="372"/>
      <c r="CN69" s="372"/>
      <c r="CO69" s="372"/>
    </row>
    <row r="70" spans="2:93" s="374" customFormat="1">
      <c r="B70" s="372"/>
      <c r="C70" s="372"/>
      <c r="M70" s="372"/>
      <c r="N70" s="372"/>
      <c r="O70" s="372"/>
      <c r="P70" s="372"/>
      <c r="Q70" s="372"/>
      <c r="R70" s="372"/>
      <c r="S70" s="372"/>
      <c r="T70" s="372"/>
      <c r="U70" s="372"/>
      <c r="V70" s="372"/>
      <c r="W70" s="372"/>
      <c r="X70" s="372"/>
      <c r="Y70" s="372"/>
      <c r="Z70" s="372"/>
      <c r="AA70" s="372"/>
      <c r="AB70" s="372"/>
      <c r="AC70" s="372"/>
      <c r="AD70" s="372"/>
      <c r="AE70" s="372"/>
      <c r="AF70" s="372"/>
      <c r="AG70" s="372"/>
      <c r="AH70" s="372"/>
      <c r="AI70" s="372"/>
      <c r="AJ70" s="372"/>
      <c r="AK70" s="372"/>
      <c r="AL70" s="372"/>
      <c r="AM70" s="372"/>
      <c r="AN70" s="372"/>
      <c r="AO70" s="372"/>
      <c r="AP70" s="372"/>
      <c r="AQ70" s="372"/>
      <c r="AR70" s="372"/>
      <c r="AS70" s="372"/>
      <c r="AT70" s="372"/>
      <c r="AU70" s="372"/>
      <c r="AV70" s="372"/>
      <c r="AW70" s="372"/>
      <c r="AX70" s="372"/>
      <c r="AY70" s="372"/>
      <c r="AZ70" s="372"/>
      <c r="BA70" s="372"/>
      <c r="BB70" s="372"/>
      <c r="BC70" s="372"/>
      <c r="BD70" s="372"/>
      <c r="BE70" s="372"/>
      <c r="BF70" s="372"/>
      <c r="BG70" s="372"/>
      <c r="BH70" s="372"/>
      <c r="BI70" s="372"/>
      <c r="BJ70" s="372"/>
      <c r="BK70" s="372"/>
      <c r="BL70" s="372"/>
      <c r="BM70" s="372"/>
      <c r="BN70" s="372"/>
      <c r="BO70" s="372"/>
      <c r="BP70" s="372"/>
      <c r="BQ70" s="372"/>
      <c r="BR70" s="372"/>
      <c r="BS70" s="372"/>
      <c r="BT70" s="372"/>
      <c r="BU70" s="372"/>
      <c r="BV70" s="372"/>
      <c r="BW70" s="372"/>
      <c r="BX70" s="372"/>
      <c r="BY70" s="372"/>
      <c r="BZ70" s="372"/>
      <c r="CA70" s="372"/>
      <c r="CB70" s="372"/>
      <c r="CC70" s="372"/>
      <c r="CD70" s="372"/>
      <c r="CE70" s="372"/>
      <c r="CF70" s="372"/>
      <c r="CG70" s="372"/>
      <c r="CH70" s="372"/>
      <c r="CI70" s="372"/>
      <c r="CJ70" s="372"/>
      <c r="CK70" s="372"/>
      <c r="CL70" s="372"/>
      <c r="CM70" s="372"/>
      <c r="CN70" s="372"/>
      <c r="CO70" s="372"/>
    </row>
    <row r="71" spans="2:93" s="374" customFormat="1">
      <c r="B71" s="372"/>
      <c r="C71" s="372"/>
      <c r="M71" s="372"/>
      <c r="N71" s="372"/>
      <c r="O71" s="372"/>
      <c r="P71" s="372"/>
      <c r="Q71" s="372"/>
      <c r="R71" s="372"/>
      <c r="S71" s="372"/>
      <c r="T71" s="372"/>
      <c r="U71" s="372"/>
      <c r="V71" s="372"/>
      <c r="W71" s="372"/>
      <c r="X71" s="372"/>
      <c r="Y71" s="372"/>
      <c r="Z71" s="372"/>
      <c r="AA71" s="372"/>
      <c r="AB71" s="372"/>
      <c r="AC71" s="372"/>
      <c r="AD71" s="372"/>
      <c r="AE71" s="372"/>
      <c r="AF71" s="372"/>
      <c r="AG71" s="372"/>
      <c r="AH71" s="372"/>
      <c r="AI71" s="372"/>
      <c r="AJ71" s="372"/>
      <c r="AK71" s="372"/>
      <c r="AL71" s="372"/>
      <c r="AM71" s="372"/>
      <c r="AN71" s="372"/>
      <c r="AO71" s="372"/>
      <c r="AP71" s="372"/>
      <c r="AQ71" s="372"/>
      <c r="AR71" s="372"/>
      <c r="AS71" s="372"/>
      <c r="AT71" s="372"/>
      <c r="AU71" s="372"/>
      <c r="AV71" s="372"/>
      <c r="AW71" s="372"/>
      <c r="AX71" s="372"/>
      <c r="AY71" s="372"/>
      <c r="AZ71" s="372"/>
      <c r="BA71" s="372"/>
      <c r="BB71" s="372"/>
      <c r="BC71" s="372"/>
      <c r="BD71" s="372"/>
      <c r="BE71" s="372"/>
      <c r="BF71" s="372"/>
      <c r="BG71" s="372"/>
      <c r="BH71" s="372"/>
      <c r="BI71" s="372"/>
      <c r="BJ71" s="372"/>
      <c r="BK71" s="372"/>
      <c r="BL71" s="372"/>
      <c r="BM71" s="372"/>
      <c r="BN71" s="372"/>
      <c r="BO71" s="372"/>
      <c r="BP71" s="372"/>
      <c r="BQ71" s="372"/>
      <c r="BR71" s="372"/>
      <c r="BS71" s="372"/>
      <c r="BT71" s="372"/>
      <c r="BU71" s="372"/>
      <c r="BV71" s="372"/>
      <c r="BW71" s="372"/>
      <c r="BX71" s="372"/>
      <c r="BY71" s="372"/>
      <c r="BZ71" s="372"/>
      <c r="CA71" s="372"/>
      <c r="CB71" s="372"/>
      <c r="CC71" s="372"/>
      <c r="CD71" s="372"/>
      <c r="CE71" s="372"/>
      <c r="CF71" s="372"/>
      <c r="CG71" s="372"/>
      <c r="CH71" s="372"/>
      <c r="CI71" s="372"/>
      <c r="CJ71" s="372"/>
      <c r="CK71" s="372"/>
      <c r="CL71" s="372"/>
      <c r="CM71" s="372"/>
      <c r="CN71" s="372"/>
      <c r="CO71" s="372"/>
    </row>
    <row r="72" spans="2:93" s="374" customFormat="1">
      <c r="B72" s="372"/>
      <c r="C72" s="372"/>
      <c r="M72" s="372"/>
      <c r="N72" s="372"/>
      <c r="O72" s="372"/>
      <c r="P72" s="372"/>
      <c r="Q72" s="372"/>
      <c r="R72" s="372"/>
      <c r="S72" s="372"/>
      <c r="T72" s="372"/>
      <c r="U72" s="372"/>
      <c r="V72" s="372"/>
      <c r="W72" s="372"/>
      <c r="X72" s="372"/>
      <c r="Y72" s="372"/>
      <c r="Z72" s="372"/>
      <c r="AA72" s="372"/>
      <c r="AB72" s="372"/>
      <c r="AC72" s="372"/>
      <c r="AD72" s="372"/>
      <c r="AE72" s="372"/>
      <c r="AF72" s="372"/>
      <c r="AG72" s="372"/>
      <c r="AH72" s="372"/>
      <c r="AI72" s="372"/>
      <c r="AJ72" s="372"/>
      <c r="AK72" s="372"/>
      <c r="AL72" s="372"/>
      <c r="AM72" s="372"/>
      <c r="AN72" s="372"/>
      <c r="AO72" s="372"/>
      <c r="AP72" s="372"/>
      <c r="AQ72" s="372"/>
      <c r="AR72" s="372"/>
      <c r="AS72" s="372"/>
      <c r="AT72" s="372"/>
      <c r="AU72" s="372"/>
      <c r="AV72" s="372"/>
      <c r="AW72" s="372"/>
      <c r="AX72" s="372"/>
      <c r="AY72" s="372"/>
      <c r="AZ72" s="372"/>
      <c r="BA72" s="372"/>
      <c r="BB72" s="372"/>
      <c r="BC72" s="372"/>
      <c r="BD72" s="372"/>
      <c r="BE72" s="372"/>
      <c r="BF72" s="372"/>
      <c r="BG72" s="372"/>
      <c r="BH72" s="372"/>
      <c r="BI72" s="372"/>
      <c r="BJ72" s="372"/>
      <c r="BK72" s="372"/>
      <c r="BL72" s="372"/>
      <c r="BM72" s="372"/>
      <c r="BN72" s="372"/>
      <c r="BO72" s="372"/>
      <c r="BP72" s="372"/>
      <c r="BQ72" s="372"/>
      <c r="BR72" s="372"/>
      <c r="BS72" s="372"/>
      <c r="BT72" s="372"/>
      <c r="BU72" s="372"/>
      <c r="BV72" s="372"/>
      <c r="BW72" s="372"/>
      <c r="BX72" s="372"/>
      <c r="BY72" s="372"/>
      <c r="BZ72" s="372"/>
      <c r="CA72" s="372"/>
      <c r="CB72" s="372"/>
      <c r="CC72" s="372"/>
      <c r="CD72" s="372"/>
      <c r="CE72" s="372"/>
      <c r="CF72" s="372"/>
      <c r="CG72" s="372"/>
      <c r="CH72" s="372"/>
      <c r="CI72" s="372"/>
      <c r="CJ72" s="372"/>
      <c r="CK72" s="372"/>
      <c r="CL72" s="372"/>
      <c r="CM72" s="372"/>
      <c r="CN72" s="372"/>
      <c r="CO72" s="372"/>
    </row>
    <row r="73" spans="2:93" s="374" customFormat="1">
      <c r="B73" s="372"/>
      <c r="C73" s="372"/>
      <c r="M73" s="372"/>
      <c r="N73" s="372"/>
      <c r="O73" s="372"/>
      <c r="P73" s="372"/>
      <c r="Q73" s="372"/>
      <c r="R73" s="372"/>
      <c r="S73" s="372"/>
      <c r="T73" s="372"/>
      <c r="U73" s="372"/>
      <c r="V73" s="372"/>
      <c r="W73" s="372"/>
      <c r="X73" s="372"/>
      <c r="Y73" s="372"/>
      <c r="Z73" s="372"/>
      <c r="AA73" s="372"/>
      <c r="AB73" s="372"/>
      <c r="AC73" s="372"/>
      <c r="AD73" s="372"/>
      <c r="AE73" s="372"/>
      <c r="AF73" s="372"/>
      <c r="AG73" s="372"/>
      <c r="AH73" s="372"/>
      <c r="AI73" s="372"/>
      <c r="AJ73" s="372"/>
      <c r="AK73" s="372"/>
      <c r="AL73" s="372"/>
      <c r="AM73" s="372"/>
      <c r="AN73" s="372"/>
      <c r="AO73" s="372"/>
      <c r="AP73" s="372"/>
      <c r="AQ73" s="372"/>
      <c r="AR73" s="372"/>
      <c r="AS73" s="372"/>
      <c r="AT73" s="372"/>
      <c r="AU73" s="372"/>
      <c r="AV73" s="372"/>
      <c r="AW73" s="372"/>
      <c r="AX73" s="372"/>
      <c r="AY73" s="372"/>
      <c r="AZ73" s="372"/>
      <c r="BA73" s="372"/>
      <c r="BB73" s="372"/>
      <c r="BC73" s="372"/>
      <c r="BD73" s="372"/>
      <c r="BE73" s="372"/>
      <c r="BF73" s="372"/>
      <c r="BG73" s="372"/>
      <c r="BH73" s="372"/>
      <c r="BI73" s="372"/>
      <c r="BJ73" s="372"/>
      <c r="BK73" s="372"/>
      <c r="BL73" s="372"/>
      <c r="BM73" s="372"/>
      <c r="BN73" s="372"/>
      <c r="BO73" s="372"/>
      <c r="BP73" s="372"/>
      <c r="BQ73" s="372"/>
      <c r="BR73" s="372"/>
      <c r="BS73" s="372"/>
      <c r="BT73" s="372"/>
      <c r="BU73" s="372"/>
      <c r="BV73" s="372"/>
      <c r="BW73" s="372"/>
      <c r="BX73" s="372"/>
      <c r="BY73" s="372"/>
      <c r="BZ73" s="372"/>
      <c r="CA73" s="372"/>
      <c r="CB73" s="372"/>
      <c r="CC73" s="372"/>
      <c r="CD73" s="372"/>
      <c r="CE73" s="372"/>
      <c r="CF73" s="372"/>
      <c r="CG73" s="372"/>
      <c r="CH73" s="372"/>
      <c r="CI73" s="372"/>
      <c r="CJ73" s="372"/>
      <c r="CK73" s="372"/>
      <c r="CL73" s="372"/>
      <c r="CM73" s="372"/>
      <c r="CN73" s="372"/>
      <c r="CO73" s="372"/>
    </row>
    <row r="74" spans="2:93" s="374" customFormat="1">
      <c r="B74" s="372"/>
      <c r="C74" s="372"/>
      <c r="M74" s="372"/>
      <c r="N74" s="372"/>
      <c r="O74" s="372"/>
      <c r="P74" s="372"/>
      <c r="Q74" s="372"/>
      <c r="R74" s="372"/>
      <c r="S74" s="372"/>
      <c r="T74" s="372"/>
      <c r="U74" s="372"/>
      <c r="V74" s="372"/>
      <c r="W74" s="372"/>
      <c r="X74" s="372"/>
      <c r="Y74" s="372"/>
      <c r="Z74" s="372"/>
      <c r="AA74" s="372"/>
      <c r="AB74" s="372"/>
      <c r="AC74" s="372"/>
      <c r="AD74" s="372"/>
      <c r="AE74" s="372"/>
      <c r="AF74" s="372"/>
      <c r="AG74" s="372"/>
      <c r="AH74" s="372"/>
      <c r="AI74" s="372"/>
      <c r="AJ74" s="372"/>
      <c r="AK74" s="372"/>
      <c r="AL74" s="372"/>
      <c r="AM74" s="372"/>
      <c r="AN74" s="372"/>
      <c r="AO74" s="372"/>
      <c r="AP74" s="372"/>
      <c r="AQ74" s="372"/>
      <c r="AR74" s="372"/>
      <c r="AS74" s="372"/>
      <c r="AT74" s="372"/>
      <c r="AU74" s="372"/>
      <c r="AV74" s="372"/>
      <c r="AW74" s="372"/>
      <c r="AX74" s="372"/>
      <c r="AY74" s="372"/>
      <c r="AZ74" s="372"/>
      <c r="BA74" s="372"/>
      <c r="BB74" s="372"/>
      <c r="BC74" s="372"/>
      <c r="BD74" s="372"/>
      <c r="BE74" s="372"/>
      <c r="BF74" s="372"/>
      <c r="BG74" s="372"/>
      <c r="BH74" s="372"/>
      <c r="BI74" s="372"/>
      <c r="BJ74" s="372"/>
      <c r="BK74" s="372"/>
      <c r="BL74" s="372"/>
      <c r="BM74" s="372"/>
      <c r="BN74" s="372"/>
      <c r="BO74" s="372"/>
      <c r="BP74" s="372"/>
      <c r="BQ74" s="372"/>
      <c r="BR74" s="372"/>
      <c r="BS74" s="372"/>
      <c r="BT74" s="372"/>
      <c r="BU74" s="372"/>
      <c r="BV74" s="372"/>
      <c r="BW74" s="372"/>
      <c r="BX74" s="372"/>
      <c r="BY74" s="372"/>
      <c r="BZ74" s="372"/>
      <c r="CA74" s="372"/>
      <c r="CB74" s="372"/>
      <c r="CC74" s="372"/>
      <c r="CD74" s="372"/>
      <c r="CE74" s="372"/>
      <c r="CF74" s="372"/>
      <c r="CG74" s="372"/>
      <c r="CH74" s="372"/>
      <c r="CI74" s="372"/>
      <c r="CJ74" s="372"/>
      <c r="CK74" s="372"/>
      <c r="CL74" s="372"/>
      <c r="CM74" s="372"/>
      <c r="CN74" s="372"/>
      <c r="CO74" s="372"/>
    </row>
    <row r="75" spans="2:93" s="374" customFormat="1">
      <c r="B75" s="372"/>
      <c r="C75" s="372"/>
      <c r="M75" s="372"/>
      <c r="N75" s="372"/>
      <c r="O75" s="372"/>
      <c r="P75" s="372"/>
      <c r="Q75" s="372"/>
      <c r="R75" s="372"/>
      <c r="S75" s="372"/>
      <c r="T75" s="372"/>
      <c r="U75" s="372"/>
      <c r="V75" s="372"/>
      <c r="W75" s="372"/>
      <c r="X75" s="372"/>
      <c r="Y75" s="372"/>
      <c r="Z75" s="372"/>
      <c r="AA75" s="372"/>
      <c r="AB75" s="372"/>
      <c r="AC75" s="372"/>
      <c r="AD75" s="372"/>
      <c r="AE75" s="372"/>
      <c r="AF75" s="372"/>
      <c r="AG75" s="372"/>
      <c r="AH75" s="372"/>
      <c r="AI75" s="372"/>
      <c r="AJ75" s="372"/>
      <c r="AK75" s="372"/>
      <c r="AL75" s="372"/>
      <c r="AM75" s="372"/>
      <c r="AN75" s="372"/>
      <c r="AO75" s="372"/>
      <c r="AP75" s="372"/>
      <c r="AQ75" s="372"/>
      <c r="AR75" s="372"/>
      <c r="AS75" s="372"/>
      <c r="AT75" s="372"/>
      <c r="AU75" s="372"/>
      <c r="AV75" s="372"/>
      <c r="AW75" s="372"/>
      <c r="AX75" s="372"/>
      <c r="AY75" s="372"/>
      <c r="AZ75" s="372"/>
      <c r="BA75" s="372"/>
      <c r="BB75" s="372"/>
      <c r="BC75" s="372"/>
      <c r="BD75" s="372"/>
      <c r="BE75" s="372"/>
      <c r="BF75" s="372"/>
      <c r="BG75" s="372"/>
      <c r="BH75" s="372"/>
      <c r="BI75" s="372"/>
      <c r="BJ75" s="372"/>
      <c r="BK75" s="372"/>
      <c r="BL75" s="372"/>
      <c r="BM75" s="372"/>
      <c r="BN75" s="372"/>
      <c r="BO75" s="372"/>
      <c r="BP75" s="372"/>
      <c r="BQ75" s="372"/>
      <c r="BR75" s="372"/>
      <c r="BS75" s="372"/>
      <c r="BT75" s="372"/>
      <c r="BU75" s="372"/>
      <c r="BV75" s="372"/>
      <c r="BW75" s="372"/>
      <c r="BX75" s="372"/>
      <c r="BY75" s="372"/>
      <c r="BZ75" s="372"/>
      <c r="CA75" s="372"/>
      <c r="CB75" s="372"/>
      <c r="CC75" s="372"/>
      <c r="CD75" s="372"/>
      <c r="CE75" s="372"/>
      <c r="CF75" s="372"/>
      <c r="CG75" s="372"/>
      <c r="CH75" s="372"/>
      <c r="CI75" s="372"/>
      <c r="CJ75" s="372"/>
      <c r="CK75" s="372"/>
      <c r="CL75" s="372"/>
      <c r="CM75" s="372"/>
      <c r="CN75" s="372"/>
      <c r="CO75" s="372"/>
    </row>
    <row r="76" spans="2:93" s="374" customFormat="1">
      <c r="B76" s="372"/>
      <c r="C76" s="372"/>
      <c r="M76" s="372"/>
      <c r="N76" s="372"/>
      <c r="O76" s="372"/>
      <c r="P76" s="372"/>
      <c r="Q76" s="372"/>
      <c r="R76" s="372"/>
      <c r="S76" s="372"/>
      <c r="T76" s="372"/>
      <c r="U76" s="372"/>
      <c r="V76" s="372"/>
      <c r="W76" s="372"/>
      <c r="X76" s="372"/>
      <c r="Y76" s="372"/>
      <c r="Z76" s="372"/>
      <c r="AA76" s="372"/>
      <c r="AB76" s="372"/>
      <c r="AC76" s="372"/>
      <c r="AD76" s="372"/>
      <c r="AE76" s="372"/>
      <c r="AF76" s="372"/>
      <c r="AG76" s="372"/>
      <c r="AH76" s="372"/>
      <c r="AI76" s="372"/>
      <c r="AJ76" s="372"/>
      <c r="AK76" s="372"/>
      <c r="AL76" s="372"/>
      <c r="AM76" s="372"/>
      <c r="AN76" s="372"/>
      <c r="AO76" s="372"/>
      <c r="AP76" s="372"/>
      <c r="AQ76" s="372"/>
      <c r="AR76" s="372"/>
      <c r="AS76" s="372"/>
      <c r="AT76" s="372"/>
      <c r="AU76" s="372"/>
      <c r="AV76" s="372"/>
      <c r="AW76" s="372"/>
      <c r="AX76" s="372"/>
      <c r="AY76" s="372"/>
      <c r="AZ76" s="372"/>
      <c r="BA76" s="372"/>
      <c r="BB76" s="372"/>
      <c r="BC76" s="372"/>
      <c r="BD76" s="372"/>
      <c r="BE76" s="372"/>
      <c r="BF76" s="372"/>
      <c r="BG76" s="372"/>
      <c r="BH76" s="372"/>
      <c r="BI76" s="372"/>
      <c r="BJ76" s="372"/>
      <c r="BK76" s="372"/>
      <c r="BL76" s="372"/>
      <c r="BM76" s="372"/>
      <c r="BN76" s="372"/>
      <c r="BO76" s="372"/>
      <c r="BP76" s="372"/>
      <c r="BQ76" s="372"/>
      <c r="BR76" s="372"/>
      <c r="BS76" s="372"/>
      <c r="BT76" s="372"/>
      <c r="BU76" s="372"/>
      <c r="BV76" s="372"/>
      <c r="BW76" s="372"/>
      <c r="BX76" s="372"/>
      <c r="BY76" s="372"/>
      <c r="BZ76" s="372"/>
      <c r="CA76" s="372"/>
      <c r="CB76" s="372"/>
      <c r="CC76" s="372"/>
      <c r="CD76" s="372"/>
      <c r="CE76" s="372"/>
      <c r="CF76" s="372"/>
      <c r="CG76" s="372"/>
      <c r="CH76" s="372"/>
      <c r="CI76" s="372"/>
      <c r="CJ76" s="372"/>
      <c r="CK76" s="372"/>
      <c r="CL76" s="372"/>
      <c r="CM76" s="372"/>
      <c r="CN76" s="372"/>
      <c r="CO76" s="372"/>
    </row>
    <row r="77" spans="2:93" s="374" customFormat="1">
      <c r="B77" s="372"/>
      <c r="C77" s="372"/>
      <c r="M77" s="372"/>
      <c r="N77" s="372"/>
      <c r="O77" s="372"/>
      <c r="P77" s="372"/>
      <c r="Q77" s="372"/>
      <c r="R77" s="372"/>
      <c r="S77" s="372"/>
      <c r="T77" s="372"/>
      <c r="U77" s="372"/>
      <c r="V77" s="372"/>
      <c r="W77" s="372"/>
      <c r="X77" s="372"/>
      <c r="Y77" s="372"/>
      <c r="Z77" s="372"/>
      <c r="AA77" s="372"/>
      <c r="AB77" s="372"/>
      <c r="AC77" s="372"/>
      <c r="AD77" s="372"/>
      <c r="AE77" s="372"/>
      <c r="AF77" s="372"/>
      <c r="AG77" s="372"/>
      <c r="AH77" s="372"/>
      <c r="AI77" s="372"/>
      <c r="AJ77" s="372"/>
      <c r="AK77" s="372"/>
      <c r="AL77" s="372"/>
      <c r="AM77" s="372"/>
      <c r="AN77" s="372"/>
      <c r="AO77" s="372"/>
      <c r="AP77" s="372"/>
      <c r="AQ77" s="372"/>
      <c r="AR77" s="372"/>
      <c r="AS77" s="372"/>
      <c r="AT77" s="372"/>
      <c r="AU77" s="372"/>
      <c r="AV77" s="372"/>
      <c r="AW77" s="372"/>
      <c r="AX77" s="372"/>
      <c r="AY77" s="372"/>
      <c r="AZ77" s="372"/>
      <c r="BA77" s="372"/>
      <c r="BB77" s="372"/>
      <c r="BC77" s="372"/>
      <c r="BD77" s="372"/>
      <c r="BE77" s="372"/>
      <c r="BF77" s="372"/>
      <c r="BG77" s="372"/>
      <c r="BH77" s="372"/>
      <c r="BI77" s="372"/>
      <c r="BJ77" s="372"/>
      <c r="BK77" s="372"/>
      <c r="BL77" s="372"/>
      <c r="BM77" s="372"/>
      <c r="BN77" s="372"/>
      <c r="BO77" s="372"/>
      <c r="BP77" s="372"/>
      <c r="BQ77" s="372"/>
      <c r="BR77" s="372"/>
      <c r="BS77" s="372"/>
      <c r="BT77" s="372"/>
      <c r="BU77" s="372"/>
      <c r="BV77" s="372"/>
      <c r="BW77" s="372"/>
      <c r="BX77" s="372"/>
      <c r="BY77" s="372"/>
      <c r="BZ77" s="372"/>
      <c r="CA77" s="372"/>
      <c r="CB77" s="372"/>
      <c r="CC77" s="372"/>
      <c r="CD77" s="372"/>
      <c r="CE77" s="372"/>
      <c r="CF77" s="372"/>
      <c r="CG77" s="372"/>
      <c r="CH77" s="372"/>
      <c r="CI77" s="372"/>
      <c r="CJ77" s="372"/>
      <c r="CK77" s="372"/>
      <c r="CL77" s="372"/>
      <c r="CM77" s="372"/>
      <c r="CN77" s="372"/>
      <c r="CO77" s="372"/>
    </row>
    <row r="78" spans="2:93" s="374" customFormat="1">
      <c r="B78" s="372"/>
      <c r="C78" s="372"/>
      <c r="M78" s="372"/>
      <c r="N78" s="372"/>
      <c r="O78" s="372"/>
      <c r="P78" s="372"/>
      <c r="Q78" s="372"/>
      <c r="R78" s="372"/>
      <c r="S78" s="372"/>
      <c r="T78" s="372"/>
      <c r="U78" s="372"/>
      <c r="V78" s="372"/>
      <c r="W78" s="372"/>
      <c r="X78" s="372"/>
      <c r="Y78" s="372"/>
      <c r="Z78" s="372"/>
      <c r="AA78" s="372"/>
      <c r="AB78" s="372"/>
      <c r="AC78" s="372"/>
      <c r="AD78" s="372"/>
      <c r="AE78" s="372"/>
      <c r="AF78" s="372"/>
      <c r="AG78" s="372"/>
      <c r="AH78" s="372"/>
      <c r="AI78" s="372"/>
      <c r="AJ78" s="372"/>
      <c r="AK78" s="372"/>
      <c r="AL78" s="372"/>
      <c r="AM78" s="372"/>
      <c r="AN78" s="372"/>
      <c r="AO78" s="372"/>
      <c r="AP78" s="372"/>
      <c r="AQ78" s="372"/>
      <c r="AR78" s="372"/>
      <c r="AS78" s="372"/>
      <c r="AT78" s="372"/>
      <c r="AU78" s="372"/>
      <c r="AV78" s="372"/>
      <c r="AW78" s="372"/>
      <c r="AX78" s="372"/>
      <c r="AY78" s="372"/>
      <c r="AZ78" s="372"/>
      <c r="BA78" s="372"/>
      <c r="BB78" s="372"/>
      <c r="BC78" s="372"/>
      <c r="BD78" s="372"/>
      <c r="BE78" s="372"/>
      <c r="BF78" s="372"/>
      <c r="BG78" s="372"/>
      <c r="BH78" s="372"/>
      <c r="BI78" s="372"/>
      <c r="BJ78" s="372"/>
      <c r="BK78" s="372"/>
      <c r="BL78" s="372"/>
      <c r="BM78" s="372"/>
      <c r="BN78" s="372"/>
      <c r="BO78" s="372"/>
      <c r="BP78" s="372"/>
      <c r="BQ78" s="372"/>
      <c r="BR78" s="372"/>
      <c r="BS78" s="372"/>
      <c r="BT78" s="372"/>
      <c r="BU78" s="372"/>
      <c r="BV78" s="372"/>
      <c r="BW78" s="372"/>
      <c r="BX78" s="372"/>
      <c r="BY78" s="372"/>
      <c r="BZ78" s="372"/>
      <c r="CA78" s="372"/>
      <c r="CB78" s="372"/>
      <c r="CC78" s="372"/>
      <c r="CD78" s="372"/>
      <c r="CE78" s="372"/>
      <c r="CF78" s="372"/>
      <c r="CG78" s="372"/>
      <c r="CH78" s="372"/>
      <c r="CI78" s="372"/>
      <c r="CJ78" s="372"/>
      <c r="CK78" s="372"/>
      <c r="CL78" s="372"/>
      <c r="CM78" s="372"/>
      <c r="CN78" s="372"/>
      <c r="CO78" s="372"/>
    </row>
    <row r="79" spans="2:93" s="374" customFormat="1">
      <c r="B79" s="372"/>
      <c r="C79" s="372"/>
      <c r="M79" s="372"/>
      <c r="N79" s="372"/>
      <c r="O79" s="372"/>
      <c r="P79" s="372"/>
      <c r="Q79" s="372"/>
      <c r="R79" s="372"/>
      <c r="S79" s="372"/>
      <c r="T79" s="372"/>
      <c r="U79" s="372"/>
      <c r="V79" s="372"/>
      <c r="W79" s="372"/>
      <c r="X79" s="372"/>
      <c r="Y79" s="372"/>
      <c r="Z79" s="372"/>
      <c r="AA79" s="372"/>
      <c r="AB79" s="372"/>
      <c r="AC79" s="372"/>
      <c r="AD79" s="372"/>
      <c r="AE79" s="372"/>
      <c r="AF79" s="372"/>
      <c r="AG79" s="372"/>
      <c r="AH79" s="372"/>
      <c r="AI79" s="372"/>
      <c r="AJ79" s="372"/>
      <c r="AK79" s="372"/>
      <c r="AL79" s="372"/>
      <c r="AM79" s="372"/>
      <c r="AN79" s="372"/>
      <c r="AO79" s="372"/>
      <c r="AP79" s="372"/>
      <c r="AQ79" s="372"/>
      <c r="AR79" s="372"/>
      <c r="AS79" s="372"/>
      <c r="AT79" s="372"/>
      <c r="AU79" s="372"/>
      <c r="AV79" s="372"/>
      <c r="AW79" s="372"/>
      <c r="AX79" s="372"/>
      <c r="AY79" s="372"/>
      <c r="AZ79" s="372"/>
      <c r="BA79" s="372"/>
      <c r="BB79" s="372"/>
      <c r="BC79" s="372"/>
      <c r="BD79" s="372"/>
      <c r="BE79" s="372"/>
      <c r="BF79" s="372"/>
      <c r="BG79" s="372"/>
      <c r="BH79" s="372"/>
      <c r="BI79" s="372"/>
      <c r="BJ79" s="372"/>
      <c r="BK79" s="372"/>
      <c r="BL79" s="372"/>
      <c r="BM79" s="372"/>
      <c r="BN79" s="372"/>
      <c r="BO79" s="372"/>
      <c r="BP79" s="372"/>
      <c r="BQ79" s="372"/>
      <c r="BR79" s="372"/>
      <c r="BS79" s="372"/>
      <c r="BT79" s="372"/>
      <c r="BU79" s="372"/>
      <c r="BV79" s="372"/>
      <c r="BW79" s="372"/>
      <c r="BX79" s="372"/>
      <c r="BY79" s="372"/>
      <c r="BZ79" s="372"/>
      <c r="CA79" s="372"/>
      <c r="CB79" s="372"/>
      <c r="CC79" s="372"/>
      <c r="CD79" s="372"/>
      <c r="CE79" s="372"/>
      <c r="CF79" s="372"/>
      <c r="CG79" s="372"/>
      <c r="CH79" s="372"/>
      <c r="CI79" s="372"/>
      <c r="CJ79" s="372"/>
      <c r="CK79" s="372"/>
      <c r="CL79" s="372"/>
      <c r="CM79" s="372"/>
      <c r="CN79" s="372"/>
      <c r="CO79" s="372"/>
    </row>
    <row r="80" spans="2:93" s="374" customFormat="1">
      <c r="B80" s="372"/>
      <c r="C80" s="372"/>
      <c r="M80" s="372"/>
      <c r="N80" s="372"/>
      <c r="O80" s="372"/>
      <c r="P80" s="372"/>
      <c r="Q80" s="372"/>
      <c r="R80" s="372"/>
      <c r="S80" s="372"/>
      <c r="T80" s="372"/>
      <c r="U80" s="372"/>
      <c r="V80" s="372"/>
      <c r="W80" s="372"/>
      <c r="X80" s="372"/>
      <c r="Y80" s="372"/>
      <c r="Z80" s="372"/>
      <c r="AA80" s="372"/>
      <c r="AB80" s="372"/>
      <c r="AC80" s="372"/>
      <c r="AD80" s="372"/>
      <c r="AE80" s="372"/>
      <c r="AF80" s="372"/>
      <c r="AG80" s="372"/>
      <c r="AH80" s="372"/>
      <c r="AI80" s="372"/>
      <c r="AJ80" s="372"/>
      <c r="AK80" s="372"/>
      <c r="AL80" s="372"/>
      <c r="AM80" s="372"/>
      <c r="AN80" s="372"/>
      <c r="AO80" s="372"/>
      <c r="AP80" s="372"/>
      <c r="AQ80" s="372"/>
      <c r="AR80" s="372"/>
      <c r="AS80" s="372"/>
      <c r="AT80" s="372"/>
      <c r="AU80" s="372"/>
      <c r="AV80" s="372"/>
      <c r="AW80" s="372"/>
      <c r="AX80" s="372"/>
      <c r="AY80" s="372"/>
      <c r="AZ80" s="372"/>
      <c r="BA80" s="372"/>
      <c r="BB80" s="372"/>
      <c r="BC80" s="372"/>
      <c r="BD80" s="372"/>
      <c r="BE80" s="372"/>
      <c r="BF80" s="372"/>
      <c r="BG80" s="372"/>
      <c r="BH80" s="372"/>
      <c r="BI80" s="372"/>
      <c r="BJ80" s="372"/>
      <c r="BK80" s="372"/>
      <c r="BL80" s="372"/>
      <c r="BM80" s="372"/>
      <c r="BN80" s="372"/>
      <c r="BO80" s="372"/>
      <c r="BP80" s="372"/>
      <c r="BQ80" s="372"/>
      <c r="BR80" s="372"/>
      <c r="BS80" s="372"/>
      <c r="BT80" s="372"/>
      <c r="BU80" s="372"/>
      <c r="BV80" s="372"/>
      <c r="BW80" s="372"/>
      <c r="BX80" s="372"/>
      <c r="BY80" s="372"/>
      <c r="BZ80" s="372"/>
      <c r="CA80" s="372"/>
      <c r="CB80" s="372"/>
      <c r="CC80" s="372"/>
      <c r="CD80" s="372"/>
      <c r="CE80" s="372"/>
      <c r="CF80" s="372"/>
      <c r="CG80" s="372"/>
      <c r="CH80" s="372"/>
      <c r="CI80" s="372"/>
      <c r="CJ80" s="372"/>
      <c r="CK80" s="372"/>
      <c r="CL80" s="372"/>
      <c r="CM80" s="372"/>
      <c r="CN80" s="372"/>
      <c r="CO80" s="372"/>
    </row>
    <row r="81" spans="2:93" s="374" customFormat="1">
      <c r="B81" s="372"/>
      <c r="C81" s="372"/>
      <c r="M81" s="372"/>
      <c r="N81" s="372"/>
      <c r="O81" s="372"/>
      <c r="P81" s="372"/>
      <c r="Q81" s="372"/>
      <c r="R81" s="372"/>
      <c r="S81" s="372"/>
      <c r="T81" s="372"/>
      <c r="U81" s="372"/>
      <c r="V81" s="372"/>
      <c r="W81" s="372"/>
      <c r="X81" s="372"/>
      <c r="Y81" s="372"/>
      <c r="Z81" s="372"/>
      <c r="AA81" s="372"/>
      <c r="AB81" s="372"/>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2"/>
      <c r="AY81" s="372"/>
      <c r="AZ81" s="372"/>
      <c r="BA81" s="372"/>
      <c r="BB81" s="372"/>
      <c r="BC81" s="372"/>
      <c r="BD81" s="372"/>
      <c r="BE81" s="372"/>
      <c r="BF81" s="372"/>
      <c r="BG81" s="372"/>
      <c r="BH81" s="372"/>
      <c r="BI81" s="372"/>
      <c r="BJ81" s="372"/>
      <c r="BK81" s="372"/>
      <c r="BL81" s="372"/>
      <c r="BM81" s="372"/>
      <c r="BN81" s="372"/>
      <c r="BO81" s="372"/>
      <c r="BP81" s="372"/>
      <c r="BQ81" s="372"/>
      <c r="BR81" s="372"/>
      <c r="BS81" s="372"/>
      <c r="BT81" s="372"/>
      <c r="BU81" s="372"/>
      <c r="BV81" s="372"/>
      <c r="BW81" s="372"/>
      <c r="BX81" s="372"/>
      <c r="BY81" s="372"/>
      <c r="BZ81" s="372"/>
      <c r="CA81" s="372"/>
      <c r="CB81" s="372"/>
      <c r="CC81" s="372"/>
      <c r="CD81" s="372"/>
      <c r="CE81" s="372"/>
      <c r="CF81" s="372"/>
      <c r="CG81" s="372"/>
      <c r="CH81" s="372"/>
      <c r="CI81" s="372"/>
      <c r="CJ81" s="372"/>
      <c r="CK81" s="372"/>
      <c r="CL81" s="372"/>
      <c r="CM81" s="372"/>
      <c r="CN81" s="372"/>
      <c r="CO81" s="372"/>
    </row>
    <row r="82" spans="2:93" s="374" customFormat="1">
      <c r="B82" s="372"/>
      <c r="C82" s="372"/>
      <c r="M82" s="372"/>
      <c r="N82" s="372"/>
      <c r="O82" s="372"/>
      <c r="P82" s="372"/>
      <c r="Q82" s="372"/>
      <c r="R82" s="372"/>
      <c r="S82" s="372"/>
      <c r="T82" s="372"/>
      <c r="U82" s="372"/>
      <c r="V82" s="372"/>
      <c r="W82" s="372"/>
      <c r="X82" s="372"/>
      <c r="Y82" s="372"/>
      <c r="Z82" s="372"/>
      <c r="AA82" s="372"/>
      <c r="AB82" s="372"/>
      <c r="AC82" s="372"/>
      <c r="AD82" s="372"/>
      <c r="AE82" s="372"/>
      <c r="AF82" s="372"/>
      <c r="AG82" s="372"/>
      <c r="AH82" s="372"/>
      <c r="AI82" s="372"/>
      <c r="AJ82" s="372"/>
      <c r="AK82" s="372"/>
      <c r="AL82" s="372"/>
      <c r="AM82" s="372"/>
      <c r="AN82" s="372"/>
      <c r="AO82" s="372"/>
      <c r="AP82" s="372"/>
      <c r="AQ82" s="372"/>
      <c r="AR82" s="372"/>
      <c r="AS82" s="372"/>
      <c r="AT82" s="372"/>
      <c r="AU82" s="372"/>
      <c r="AV82" s="372"/>
      <c r="AW82" s="372"/>
      <c r="AX82" s="372"/>
      <c r="AY82" s="372"/>
      <c r="AZ82" s="372"/>
      <c r="BA82" s="372"/>
      <c r="BB82" s="372"/>
      <c r="BC82" s="372"/>
      <c r="BD82" s="372"/>
      <c r="BE82" s="372"/>
      <c r="BF82" s="372"/>
      <c r="BG82" s="372"/>
      <c r="BH82" s="372"/>
      <c r="BI82" s="372"/>
      <c r="BJ82" s="372"/>
      <c r="BK82" s="372"/>
      <c r="BL82" s="372"/>
      <c r="BM82" s="372"/>
      <c r="BN82" s="372"/>
      <c r="BO82" s="372"/>
      <c r="BP82" s="372"/>
      <c r="BQ82" s="372"/>
      <c r="BR82" s="372"/>
      <c r="BS82" s="372"/>
      <c r="BT82" s="372"/>
      <c r="BU82" s="372"/>
      <c r="BV82" s="372"/>
      <c r="BW82" s="372"/>
      <c r="BX82" s="372"/>
      <c r="BY82" s="372"/>
      <c r="BZ82" s="372"/>
      <c r="CA82" s="372"/>
      <c r="CB82" s="372"/>
      <c r="CC82" s="372"/>
      <c r="CD82" s="372"/>
      <c r="CE82" s="372"/>
      <c r="CF82" s="372"/>
      <c r="CG82" s="372"/>
      <c r="CH82" s="372"/>
      <c r="CI82" s="372"/>
      <c r="CJ82" s="372"/>
      <c r="CK82" s="372"/>
      <c r="CL82" s="372"/>
      <c r="CM82" s="372"/>
      <c r="CN82" s="372"/>
      <c r="CO82" s="372"/>
    </row>
    <row r="83" spans="2:93" s="374" customFormat="1">
      <c r="B83" s="372"/>
      <c r="C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row>
    <row r="84" spans="2:93" s="374" customFormat="1">
      <c r="B84" s="372"/>
      <c r="C84" s="372"/>
      <c r="M84" s="372"/>
      <c r="N84" s="372"/>
      <c r="O84" s="372"/>
      <c r="P84" s="372"/>
      <c r="Q84" s="372"/>
      <c r="R84" s="372"/>
      <c r="S84" s="372"/>
      <c r="T84" s="372"/>
      <c r="U84" s="372"/>
      <c r="V84" s="372"/>
      <c r="W84" s="372"/>
      <c r="X84" s="372"/>
      <c r="Y84" s="372"/>
      <c r="Z84" s="372"/>
      <c r="AA84" s="372"/>
      <c r="AB84" s="372"/>
      <c r="AC84" s="372"/>
      <c r="AD84" s="372"/>
      <c r="AE84" s="372"/>
      <c r="AF84" s="372"/>
      <c r="AG84" s="372"/>
      <c r="AH84" s="372"/>
      <c r="AI84" s="372"/>
      <c r="AJ84" s="372"/>
      <c r="AK84" s="372"/>
      <c r="AL84" s="372"/>
      <c r="AM84" s="372"/>
      <c r="AN84" s="372"/>
      <c r="AO84" s="372"/>
      <c r="AP84" s="372"/>
      <c r="AQ84" s="372"/>
      <c r="AR84" s="372"/>
      <c r="AS84" s="372"/>
      <c r="AT84" s="372"/>
      <c r="AU84" s="372"/>
      <c r="AV84" s="372"/>
      <c r="AW84" s="372"/>
      <c r="AX84" s="372"/>
      <c r="AY84" s="372"/>
      <c r="AZ84" s="372"/>
      <c r="BA84" s="372"/>
      <c r="BB84" s="372"/>
      <c r="BC84" s="372"/>
      <c r="BD84" s="372"/>
      <c r="BE84" s="372"/>
      <c r="BF84" s="372"/>
      <c r="BG84" s="372"/>
      <c r="BH84" s="372"/>
      <c r="BI84" s="372"/>
      <c r="BJ84" s="372"/>
      <c r="BK84" s="372"/>
      <c r="BL84" s="372"/>
      <c r="BM84" s="372"/>
      <c r="BN84" s="372"/>
      <c r="BO84" s="372"/>
      <c r="BP84" s="372"/>
      <c r="BQ84" s="372"/>
      <c r="BR84" s="372"/>
      <c r="BS84" s="372"/>
      <c r="BT84" s="372"/>
      <c r="BU84" s="372"/>
      <c r="BV84" s="372"/>
      <c r="BW84" s="372"/>
      <c r="BX84" s="372"/>
      <c r="BY84" s="372"/>
      <c r="BZ84" s="372"/>
      <c r="CA84" s="372"/>
      <c r="CB84" s="372"/>
      <c r="CC84" s="372"/>
      <c r="CD84" s="372"/>
      <c r="CE84" s="372"/>
      <c r="CF84" s="372"/>
      <c r="CG84" s="372"/>
      <c r="CH84" s="372"/>
      <c r="CI84" s="372"/>
      <c r="CJ84" s="372"/>
      <c r="CK84" s="372"/>
      <c r="CL84" s="372"/>
      <c r="CM84" s="372"/>
      <c r="CN84" s="372"/>
      <c r="CO84" s="372"/>
    </row>
    <row r="85" spans="2:93" s="374" customFormat="1">
      <c r="B85" s="372"/>
      <c r="C85" s="372"/>
      <c r="M85" s="372"/>
      <c r="N85" s="372"/>
      <c r="O85" s="372"/>
      <c r="P85" s="372"/>
      <c r="Q85" s="372"/>
      <c r="R85" s="372"/>
      <c r="S85" s="372"/>
      <c r="T85" s="372"/>
      <c r="U85" s="372"/>
      <c r="V85" s="372"/>
      <c r="W85" s="372"/>
      <c r="X85" s="372"/>
      <c r="Y85" s="372"/>
      <c r="Z85" s="372"/>
      <c r="AA85" s="372"/>
      <c r="AB85" s="372"/>
      <c r="AC85" s="372"/>
      <c r="AD85" s="372"/>
      <c r="AE85" s="372"/>
      <c r="AF85" s="372"/>
      <c r="AG85" s="372"/>
      <c r="AH85" s="372"/>
      <c r="AI85" s="372"/>
      <c r="AJ85" s="372"/>
      <c r="AK85" s="372"/>
      <c r="AL85" s="372"/>
      <c r="AM85" s="372"/>
      <c r="AN85" s="372"/>
      <c r="AO85" s="372"/>
      <c r="AP85" s="372"/>
      <c r="AQ85" s="372"/>
      <c r="AR85" s="372"/>
      <c r="AS85" s="372"/>
      <c r="AT85" s="372"/>
      <c r="AU85" s="372"/>
      <c r="AV85" s="372"/>
      <c r="AW85" s="372"/>
      <c r="AX85" s="372"/>
      <c r="AY85" s="372"/>
      <c r="AZ85" s="372"/>
      <c r="BA85" s="372"/>
      <c r="BB85" s="372"/>
      <c r="BC85" s="372"/>
      <c r="BD85" s="372"/>
      <c r="BE85" s="372"/>
      <c r="BF85" s="372"/>
      <c r="BG85" s="372"/>
      <c r="BH85" s="372"/>
      <c r="BI85" s="372"/>
      <c r="BJ85" s="372"/>
      <c r="BK85" s="372"/>
      <c r="BL85" s="372"/>
      <c r="BM85" s="372"/>
      <c r="BN85" s="372"/>
      <c r="BO85" s="372"/>
      <c r="BP85" s="372"/>
      <c r="BQ85" s="372"/>
      <c r="BR85" s="372"/>
      <c r="BS85" s="372"/>
      <c r="BT85" s="372"/>
      <c r="BU85" s="372"/>
      <c r="BV85" s="372"/>
      <c r="BW85" s="372"/>
      <c r="BX85" s="372"/>
      <c r="BY85" s="372"/>
      <c r="BZ85" s="372"/>
      <c r="CA85" s="372"/>
      <c r="CB85" s="372"/>
      <c r="CC85" s="372"/>
      <c r="CD85" s="372"/>
      <c r="CE85" s="372"/>
      <c r="CF85" s="372"/>
      <c r="CG85" s="372"/>
      <c r="CH85" s="372"/>
      <c r="CI85" s="372"/>
      <c r="CJ85" s="372"/>
      <c r="CK85" s="372"/>
      <c r="CL85" s="372"/>
      <c r="CM85" s="372"/>
      <c r="CN85" s="372"/>
      <c r="CO85" s="372"/>
    </row>
    <row r="86" spans="2:93" s="374" customFormat="1">
      <c r="B86" s="372"/>
      <c r="C86" s="372"/>
      <c r="M86" s="372"/>
      <c r="N86" s="372"/>
      <c r="O86" s="372"/>
      <c r="P86" s="372"/>
      <c r="Q86" s="372"/>
      <c r="R86" s="372"/>
      <c r="S86" s="372"/>
      <c r="T86" s="372"/>
      <c r="U86" s="372"/>
      <c r="V86" s="372"/>
      <c r="W86" s="372"/>
      <c r="X86" s="372"/>
      <c r="Y86" s="372"/>
      <c r="Z86" s="372"/>
      <c r="AA86" s="372"/>
      <c r="AB86" s="372"/>
      <c r="AC86" s="372"/>
      <c r="AD86" s="372"/>
      <c r="AE86" s="372"/>
      <c r="AF86" s="372"/>
      <c r="AG86" s="372"/>
      <c r="AH86" s="372"/>
      <c r="AI86" s="372"/>
      <c r="AJ86" s="372"/>
      <c r="AK86" s="372"/>
      <c r="AL86" s="372"/>
      <c r="AM86" s="372"/>
      <c r="AN86" s="372"/>
      <c r="AO86" s="372"/>
      <c r="AP86" s="372"/>
      <c r="AQ86" s="372"/>
      <c r="AR86" s="372"/>
      <c r="AS86" s="372"/>
      <c r="AT86" s="372"/>
      <c r="AU86" s="372"/>
      <c r="AV86" s="372"/>
      <c r="AW86" s="372"/>
      <c r="AX86" s="372"/>
      <c r="AY86" s="372"/>
      <c r="AZ86" s="372"/>
      <c r="BA86" s="372"/>
      <c r="BB86" s="372"/>
      <c r="BC86" s="372"/>
      <c r="BD86" s="372"/>
      <c r="BE86" s="372"/>
      <c r="BF86" s="372"/>
      <c r="BG86" s="372"/>
      <c r="BH86" s="372"/>
      <c r="BI86" s="372"/>
      <c r="BJ86" s="372"/>
      <c r="BK86" s="372"/>
      <c r="BL86" s="372"/>
      <c r="BM86" s="372"/>
      <c r="BN86" s="372"/>
      <c r="BO86" s="372"/>
      <c r="BP86" s="372"/>
      <c r="BQ86" s="372"/>
      <c r="BR86" s="372"/>
      <c r="BS86" s="372"/>
      <c r="BT86" s="372"/>
      <c r="BU86" s="372"/>
      <c r="BV86" s="372"/>
      <c r="BW86" s="372"/>
      <c r="BX86" s="372"/>
      <c r="BY86" s="372"/>
      <c r="BZ86" s="372"/>
      <c r="CA86" s="372"/>
      <c r="CB86" s="372"/>
      <c r="CC86" s="372"/>
      <c r="CD86" s="372"/>
      <c r="CE86" s="372"/>
      <c r="CF86" s="372"/>
      <c r="CG86" s="372"/>
      <c r="CH86" s="372"/>
      <c r="CI86" s="372"/>
      <c r="CJ86" s="372"/>
      <c r="CK86" s="372"/>
      <c r="CL86" s="372"/>
      <c r="CM86" s="372"/>
      <c r="CN86" s="372"/>
      <c r="CO86" s="372"/>
    </row>
    <row r="87" spans="2:93" s="374" customFormat="1">
      <c r="B87" s="372"/>
      <c r="C87" s="372"/>
      <c r="M87" s="372"/>
      <c r="N87" s="372"/>
      <c r="O87" s="372"/>
      <c r="P87" s="372"/>
      <c r="Q87" s="372"/>
      <c r="R87" s="372"/>
      <c r="S87" s="372"/>
      <c r="T87" s="372"/>
      <c r="U87" s="372"/>
      <c r="V87" s="372"/>
      <c r="W87" s="372"/>
      <c r="X87" s="372"/>
      <c r="Y87" s="372"/>
      <c r="Z87" s="372"/>
      <c r="AA87" s="372"/>
      <c r="AB87" s="372"/>
      <c r="AC87" s="372"/>
      <c r="AD87" s="372"/>
      <c r="AE87" s="372"/>
      <c r="AF87" s="372"/>
      <c r="AG87" s="372"/>
      <c r="AH87" s="372"/>
      <c r="AI87" s="372"/>
      <c r="AJ87" s="372"/>
      <c r="AK87" s="372"/>
      <c r="AL87" s="372"/>
      <c r="AM87" s="372"/>
      <c r="AN87" s="372"/>
      <c r="AO87" s="372"/>
      <c r="AP87" s="372"/>
      <c r="AQ87" s="372"/>
      <c r="AR87" s="372"/>
      <c r="AS87" s="372"/>
      <c r="AT87" s="372"/>
      <c r="AU87" s="372"/>
      <c r="AV87" s="372"/>
      <c r="AW87" s="372"/>
      <c r="AX87" s="372"/>
      <c r="AY87" s="372"/>
      <c r="AZ87" s="372"/>
      <c r="BA87" s="372"/>
      <c r="BB87" s="372"/>
      <c r="BC87" s="372"/>
      <c r="BD87" s="372"/>
      <c r="BE87" s="372"/>
      <c r="BF87" s="372"/>
      <c r="BG87" s="372"/>
      <c r="BH87" s="372"/>
      <c r="BI87" s="372"/>
      <c r="BJ87" s="372"/>
      <c r="BK87" s="372"/>
      <c r="BL87" s="372"/>
      <c r="BM87" s="372"/>
      <c r="BN87" s="372"/>
      <c r="BO87" s="372"/>
      <c r="BP87" s="372"/>
      <c r="BQ87" s="372"/>
      <c r="BR87" s="372"/>
      <c r="BS87" s="372"/>
      <c r="BT87" s="372"/>
      <c r="BU87" s="372"/>
      <c r="BV87" s="372"/>
      <c r="BW87" s="372"/>
      <c r="BX87" s="372"/>
      <c r="BY87" s="372"/>
      <c r="BZ87" s="372"/>
      <c r="CA87" s="372"/>
      <c r="CB87" s="372"/>
      <c r="CC87" s="372"/>
      <c r="CD87" s="372"/>
      <c r="CE87" s="372"/>
      <c r="CF87" s="372"/>
      <c r="CG87" s="372"/>
      <c r="CH87" s="372"/>
      <c r="CI87" s="372"/>
      <c r="CJ87" s="372"/>
      <c r="CK87" s="372"/>
      <c r="CL87" s="372"/>
      <c r="CM87" s="372"/>
      <c r="CN87" s="372"/>
      <c r="CO87" s="372"/>
    </row>
    <row r="88" spans="2:93" s="374" customFormat="1">
      <c r="B88" s="372"/>
      <c r="C88" s="372"/>
      <c r="M88" s="372"/>
      <c r="N88" s="372"/>
      <c r="O88" s="372"/>
      <c r="P88" s="372"/>
      <c r="Q88" s="372"/>
      <c r="R88" s="372"/>
      <c r="S88" s="372"/>
      <c r="T88" s="372"/>
      <c r="U88" s="372"/>
      <c r="V88" s="372"/>
      <c r="W88" s="372"/>
      <c r="X88" s="372"/>
      <c r="Y88" s="372"/>
      <c r="Z88" s="372"/>
      <c r="AA88" s="372"/>
      <c r="AB88" s="372"/>
      <c r="AC88" s="372"/>
      <c r="AD88" s="372"/>
      <c r="AE88" s="372"/>
      <c r="AF88" s="372"/>
      <c r="AG88" s="372"/>
      <c r="AH88" s="372"/>
      <c r="AI88" s="372"/>
      <c r="AJ88" s="372"/>
      <c r="AK88" s="372"/>
      <c r="AL88" s="372"/>
      <c r="AM88" s="372"/>
      <c r="AN88" s="372"/>
      <c r="AO88" s="372"/>
      <c r="AP88" s="372"/>
      <c r="AQ88" s="372"/>
      <c r="AR88" s="372"/>
      <c r="AS88" s="372"/>
      <c r="AT88" s="372"/>
      <c r="AU88" s="372"/>
      <c r="AV88" s="372"/>
      <c r="AW88" s="372"/>
      <c r="AX88" s="372"/>
      <c r="AY88" s="372"/>
      <c r="AZ88" s="372"/>
      <c r="BA88" s="372"/>
      <c r="BB88" s="372"/>
      <c r="BC88" s="372"/>
      <c r="BD88" s="372"/>
      <c r="BE88" s="372"/>
      <c r="BF88" s="372"/>
      <c r="BG88" s="372"/>
      <c r="BH88" s="372"/>
      <c r="BI88" s="372"/>
      <c r="BJ88" s="372"/>
      <c r="BK88" s="372"/>
      <c r="BL88" s="372"/>
      <c r="BM88" s="372"/>
      <c r="BN88" s="372"/>
      <c r="BO88" s="372"/>
      <c r="BP88" s="372"/>
      <c r="BQ88" s="372"/>
      <c r="BR88" s="372"/>
      <c r="BS88" s="372"/>
      <c r="BT88" s="372"/>
      <c r="BU88" s="372"/>
      <c r="BV88" s="372"/>
      <c r="BW88" s="372"/>
      <c r="BX88" s="372"/>
      <c r="BY88" s="372"/>
      <c r="BZ88" s="372"/>
      <c r="CA88" s="372"/>
      <c r="CB88" s="372"/>
      <c r="CC88" s="372"/>
      <c r="CD88" s="372"/>
      <c r="CE88" s="372"/>
      <c r="CF88" s="372"/>
      <c r="CG88" s="372"/>
      <c r="CH88" s="372"/>
      <c r="CI88" s="372"/>
      <c r="CJ88" s="372"/>
      <c r="CK88" s="372"/>
      <c r="CL88" s="372"/>
      <c r="CM88" s="372"/>
      <c r="CN88" s="372"/>
      <c r="CO88" s="372"/>
    </row>
    <row r="89" spans="2:93" s="374" customFormat="1">
      <c r="B89" s="372"/>
      <c r="C89" s="372"/>
      <c r="M89" s="372"/>
      <c r="N89" s="372"/>
      <c r="O89" s="372"/>
      <c r="P89" s="372"/>
      <c r="Q89" s="372"/>
      <c r="R89" s="372"/>
      <c r="S89" s="372"/>
      <c r="T89" s="372"/>
      <c r="U89" s="372"/>
      <c r="V89" s="372"/>
      <c r="W89" s="372"/>
      <c r="X89" s="372"/>
      <c r="Y89" s="372"/>
      <c r="Z89" s="372"/>
      <c r="AA89" s="372"/>
      <c r="AB89" s="372"/>
      <c r="AC89" s="372"/>
      <c r="AD89" s="372"/>
      <c r="AE89" s="372"/>
      <c r="AF89" s="372"/>
      <c r="AG89" s="372"/>
      <c r="AH89" s="372"/>
      <c r="AI89" s="372"/>
      <c r="AJ89" s="372"/>
      <c r="AK89" s="372"/>
      <c r="AL89" s="372"/>
      <c r="AM89" s="372"/>
      <c r="AN89" s="372"/>
      <c r="AO89" s="372"/>
      <c r="AP89" s="372"/>
      <c r="AQ89" s="372"/>
      <c r="AR89" s="372"/>
      <c r="AS89" s="372"/>
      <c r="AT89" s="372"/>
      <c r="AU89" s="372"/>
      <c r="AV89" s="372"/>
      <c r="AW89" s="372"/>
      <c r="AX89" s="372"/>
      <c r="AY89" s="372"/>
      <c r="AZ89" s="372"/>
      <c r="BA89" s="372"/>
      <c r="BB89" s="372"/>
      <c r="BC89" s="372"/>
      <c r="BD89" s="372"/>
      <c r="BE89" s="372"/>
      <c r="BF89" s="372"/>
      <c r="BG89" s="372"/>
      <c r="BH89" s="372"/>
      <c r="BI89" s="372"/>
      <c r="BJ89" s="372"/>
      <c r="BK89" s="372"/>
      <c r="BL89" s="372"/>
      <c r="BM89" s="372"/>
      <c r="BN89" s="372"/>
      <c r="BO89" s="372"/>
      <c r="BP89" s="372"/>
      <c r="BQ89" s="372"/>
      <c r="BR89" s="372"/>
      <c r="BS89" s="372"/>
      <c r="BT89" s="372"/>
      <c r="BU89" s="372"/>
      <c r="BV89" s="372"/>
      <c r="BW89" s="372"/>
      <c r="BX89" s="372"/>
      <c r="BY89" s="372"/>
      <c r="BZ89" s="372"/>
      <c r="CA89" s="372"/>
      <c r="CB89" s="372"/>
      <c r="CC89" s="372"/>
      <c r="CD89" s="372"/>
      <c r="CE89" s="372"/>
      <c r="CF89" s="372"/>
      <c r="CG89" s="372"/>
      <c r="CH89" s="372"/>
      <c r="CI89" s="372"/>
      <c r="CJ89" s="372"/>
      <c r="CK89" s="372"/>
      <c r="CL89" s="372"/>
      <c r="CM89" s="372"/>
      <c r="CN89" s="372"/>
      <c r="CO89" s="372"/>
    </row>
    <row r="90" spans="2:93" s="374" customFormat="1">
      <c r="B90" s="372"/>
      <c r="C90" s="372"/>
      <c r="M90" s="372"/>
      <c r="N90" s="372"/>
      <c r="O90" s="372"/>
      <c r="P90" s="372"/>
      <c r="Q90" s="372"/>
      <c r="R90" s="372"/>
      <c r="S90" s="372"/>
      <c r="T90" s="372"/>
      <c r="U90" s="372"/>
      <c r="V90" s="372"/>
      <c r="W90" s="372"/>
      <c r="X90" s="372"/>
      <c r="Y90" s="372"/>
      <c r="Z90" s="372"/>
      <c r="AA90" s="372"/>
      <c r="AB90" s="372"/>
      <c r="AC90" s="372"/>
      <c r="AD90" s="372"/>
      <c r="AE90" s="372"/>
      <c r="AF90" s="372"/>
      <c r="AG90" s="372"/>
      <c r="AH90" s="372"/>
      <c r="AI90" s="372"/>
      <c r="AJ90" s="372"/>
      <c r="AK90" s="372"/>
      <c r="AL90" s="372"/>
      <c r="AM90" s="372"/>
      <c r="AN90" s="372"/>
      <c r="AO90" s="372"/>
      <c r="AP90" s="372"/>
      <c r="AQ90" s="372"/>
      <c r="AR90" s="372"/>
      <c r="AS90" s="372"/>
      <c r="AT90" s="372"/>
      <c r="AU90" s="372"/>
      <c r="AV90" s="372"/>
      <c r="AW90" s="372"/>
      <c r="AX90" s="372"/>
      <c r="AY90" s="372"/>
      <c r="AZ90" s="372"/>
      <c r="BA90" s="372"/>
      <c r="BB90" s="372"/>
      <c r="BC90" s="372"/>
      <c r="BD90" s="372"/>
      <c r="BE90" s="372"/>
      <c r="BF90" s="372"/>
      <c r="BG90" s="372"/>
      <c r="BH90" s="372"/>
      <c r="BI90" s="372"/>
      <c r="BJ90" s="372"/>
      <c r="BK90" s="372"/>
      <c r="BL90" s="372"/>
      <c r="BM90" s="372"/>
      <c r="BN90" s="372"/>
      <c r="BO90" s="372"/>
      <c r="BP90" s="372"/>
      <c r="BQ90" s="372"/>
      <c r="BR90" s="372"/>
      <c r="BS90" s="372"/>
      <c r="BT90" s="372"/>
      <c r="BU90" s="372"/>
      <c r="BV90" s="372"/>
      <c r="BW90" s="372"/>
      <c r="BX90" s="372"/>
      <c r="BY90" s="372"/>
      <c r="BZ90" s="372"/>
      <c r="CA90" s="372"/>
      <c r="CB90" s="372"/>
      <c r="CC90" s="372"/>
      <c r="CD90" s="372"/>
      <c r="CE90" s="372"/>
      <c r="CF90" s="372"/>
      <c r="CG90" s="372"/>
      <c r="CH90" s="372"/>
      <c r="CI90" s="372"/>
      <c r="CJ90" s="372"/>
      <c r="CK90" s="372"/>
      <c r="CL90" s="372"/>
      <c r="CM90" s="372"/>
      <c r="CN90" s="372"/>
      <c r="CO90" s="372"/>
    </row>
    <row r="91" spans="2:93" s="374" customFormat="1">
      <c r="B91" s="372"/>
      <c r="C91" s="372"/>
      <c r="M91" s="372"/>
      <c r="N91" s="372"/>
      <c r="O91" s="372"/>
      <c r="P91" s="372"/>
      <c r="Q91" s="372"/>
      <c r="R91" s="372"/>
      <c r="S91" s="372"/>
      <c r="T91" s="372"/>
      <c r="U91" s="372"/>
      <c r="V91" s="372"/>
      <c r="W91" s="372"/>
      <c r="X91" s="372"/>
      <c r="Y91" s="372"/>
      <c r="Z91" s="372"/>
      <c r="AA91" s="372"/>
      <c r="AB91" s="372"/>
      <c r="AC91" s="372"/>
      <c r="AD91" s="372"/>
      <c r="AE91" s="372"/>
      <c r="AF91" s="372"/>
      <c r="AG91" s="372"/>
      <c r="AH91" s="372"/>
      <c r="AI91" s="372"/>
      <c r="AJ91" s="372"/>
      <c r="AK91" s="372"/>
      <c r="AL91" s="372"/>
      <c r="AM91" s="372"/>
      <c r="AN91" s="372"/>
      <c r="AO91" s="372"/>
      <c r="AP91" s="372"/>
      <c r="AQ91" s="372"/>
      <c r="AR91" s="372"/>
      <c r="AS91" s="372"/>
      <c r="AT91" s="372"/>
      <c r="AU91" s="372"/>
      <c r="AV91" s="372"/>
      <c r="AW91" s="372"/>
      <c r="AX91" s="372"/>
      <c r="AY91" s="372"/>
      <c r="AZ91" s="372"/>
      <c r="BA91" s="372"/>
      <c r="BB91" s="372"/>
      <c r="BC91" s="372"/>
      <c r="BD91" s="372"/>
      <c r="BE91" s="372"/>
      <c r="BF91" s="372"/>
      <c r="BG91" s="372"/>
      <c r="BH91" s="372"/>
      <c r="BI91" s="372"/>
      <c r="BJ91" s="372"/>
      <c r="BK91" s="372"/>
      <c r="BL91" s="372"/>
      <c r="BM91" s="372"/>
      <c r="BN91" s="372"/>
      <c r="BO91" s="372"/>
      <c r="BP91" s="372"/>
      <c r="BQ91" s="372"/>
      <c r="BR91" s="372"/>
      <c r="BS91" s="372"/>
      <c r="BT91" s="372"/>
      <c r="BU91" s="372"/>
      <c r="BV91" s="372"/>
      <c r="BW91" s="372"/>
      <c r="BX91" s="372"/>
      <c r="BY91" s="372"/>
      <c r="BZ91" s="372"/>
      <c r="CA91" s="372"/>
      <c r="CB91" s="372"/>
      <c r="CC91" s="372"/>
      <c r="CD91" s="372"/>
      <c r="CE91" s="372"/>
      <c r="CF91" s="372"/>
      <c r="CG91" s="372"/>
      <c r="CH91" s="372"/>
      <c r="CI91" s="372"/>
      <c r="CJ91" s="372"/>
      <c r="CK91" s="372"/>
      <c r="CL91" s="372"/>
      <c r="CM91" s="372"/>
      <c r="CN91" s="372"/>
      <c r="CO91" s="372"/>
    </row>
    <row r="92" spans="2:93" s="374" customFormat="1">
      <c r="B92" s="372"/>
      <c r="C92" s="372"/>
      <c r="M92" s="372"/>
      <c r="N92" s="372"/>
      <c r="O92" s="372"/>
      <c r="P92" s="372"/>
      <c r="Q92" s="372"/>
      <c r="R92" s="372"/>
      <c r="S92" s="372"/>
      <c r="T92" s="372"/>
      <c r="U92" s="372"/>
      <c r="V92" s="372"/>
      <c r="W92" s="372"/>
      <c r="X92" s="372"/>
      <c r="Y92" s="372"/>
      <c r="Z92" s="372"/>
      <c r="AA92" s="372"/>
      <c r="AB92" s="372"/>
      <c r="AC92" s="372"/>
      <c r="AD92" s="372"/>
      <c r="AE92" s="372"/>
      <c r="AF92" s="372"/>
      <c r="AG92" s="372"/>
      <c r="AH92" s="372"/>
      <c r="AI92" s="372"/>
      <c r="AJ92" s="372"/>
      <c r="AK92" s="372"/>
      <c r="AL92" s="372"/>
      <c r="AM92" s="372"/>
      <c r="AN92" s="372"/>
      <c r="AO92" s="372"/>
      <c r="AP92" s="372"/>
      <c r="AQ92" s="372"/>
      <c r="AR92" s="372"/>
      <c r="AS92" s="372"/>
      <c r="AT92" s="372"/>
      <c r="AU92" s="372"/>
      <c r="AV92" s="372"/>
      <c r="AW92" s="372"/>
      <c r="AX92" s="372"/>
      <c r="AY92" s="372"/>
      <c r="AZ92" s="372"/>
      <c r="BA92" s="372"/>
      <c r="BB92" s="372"/>
      <c r="BC92" s="372"/>
      <c r="BD92" s="372"/>
      <c r="BE92" s="372"/>
      <c r="BF92" s="372"/>
      <c r="BG92" s="372"/>
      <c r="BH92" s="372"/>
      <c r="BI92" s="372"/>
      <c r="BJ92" s="372"/>
      <c r="BK92" s="372"/>
      <c r="BL92" s="372"/>
      <c r="BM92" s="372"/>
      <c r="BN92" s="372"/>
      <c r="BO92" s="372"/>
      <c r="BP92" s="372"/>
      <c r="BQ92" s="372"/>
      <c r="BR92" s="372"/>
      <c r="BS92" s="372"/>
      <c r="BT92" s="372"/>
      <c r="BU92" s="372"/>
      <c r="BV92" s="372"/>
      <c r="BW92" s="372"/>
      <c r="BX92" s="372"/>
      <c r="BY92" s="372"/>
      <c r="BZ92" s="372"/>
      <c r="CA92" s="372"/>
      <c r="CB92" s="372"/>
      <c r="CC92" s="372"/>
      <c r="CD92" s="372"/>
      <c r="CE92" s="372"/>
      <c r="CF92" s="372"/>
      <c r="CG92" s="372"/>
      <c r="CH92" s="372"/>
      <c r="CI92" s="372"/>
      <c r="CJ92" s="372"/>
      <c r="CK92" s="372"/>
      <c r="CL92" s="372"/>
      <c r="CM92" s="372"/>
      <c r="CN92" s="372"/>
      <c r="CO92" s="372"/>
    </row>
    <row r="93" spans="2:93" s="374" customFormat="1">
      <c r="B93" s="372"/>
      <c r="C93" s="372"/>
      <c r="M93" s="372"/>
      <c r="N93" s="372"/>
      <c r="O93" s="372"/>
      <c r="P93" s="372"/>
      <c r="Q93" s="372"/>
      <c r="R93" s="372"/>
      <c r="S93" s="372"/>
      <c r="T93" s="372"/>
      <c r="U93" s="372"/>
      <c r="V93" s="372"/>
      <c r="W93" s="372"/>
      <c r="X93" s="372"/>
      <c r="Y93" s="372"/>
      <c r="Z93" s="372"/>
      <c r="AA93" s="372"/>
      <c r="AB93" s="372"/>
      <c r="AC93" s="372"/>
      <c r="AD93" s="372"/>
      <c r="AE93" s="372"/>
      <c r="AF93" s="372"/>
      <c r="AG93" s="372"/>
      <c r="AH93" s="372"/>
      <c r="AI93" s="372"/>
      <c r="AJ93" s="372"/>
      <c r="AK93" s="372"/>
      <c r="AL93" s="372"/>
      <c r="AM93" s="372"/>
      <c r="AN93" s="372"/>
      <c r="AO93" s="372"/>
      <c r="AP93" s="372"/>
      <c r="AQ93" s="372"/>
      <c r="AR93" s="372"/>
      <c r="AS93" s="372"/>
      <c r="AT93" s="372"/>
      <c r="AU93" s="372"/>
      <c r="AV93" s="372"/>
      <c r="AW93" s="372"/>
      <c r="AX93" s="372"/>
      <c r="AY93" s="372"/>
      <c r="AZ93" s="372"/>
      <c r="BA93" s="372"/>
      <c r="BB93" s="372"/>
      <c r="BC93" s="372"/>
      <c r="BD93" s="372"/>
      <c r="BE93" s="372"/>
      <c r="BF93" s="372"/>
      <c r="BG93" s="372"/>
      <c r="BH93" s="372"/>
      <c r="BI93" s="372"/>
      <c r="BJ93" s="372"/>
      <c r="BK93" s="372"/>
      <c r="BL93" s="372"/>
      <c r="BM93" s="372"/>
      <c r="BN93" s="372"/>
      <c r="BO93" s="372"/>
      <c r="BP93" s="372"/>
      <c r="BQ93" s="372"/>
      <c r="BR93" s="372"/>
      <c r="BS93" s="372"/>
      <c r="BT93" s="372"/>
      <c r="BU93" s="372"/>
      <c r="BV93" s="372"/>
      <c r="BW93" s="372"/>
      <c r="BX93" s="372"/>
      <c r="BY93" s="372"/>
      <c r="BZ93" s="372"/>
      <c r="CA93" s="372"/>
      <c r="CB93" s="372"/>
      <c r="CC93" s="372"/>
      <c r="CD93" s="372"/>
      <c r="CE93" s="372"/>
      <c r="CF93" s="372"/>
      <c r="CG93" s="372"/>
      <c r="CH93" s="372"/>
      <c r="CI93" s="372"/>
      <c r="CJ93" s="372"/>
      <c r="CK93" s="372"/>
      <c r="CL93" s="372"/>
      <c r="CM93" s="372"/>
      <c r="CN93" s="372"/>
      <c r="CO93" s="372"/>
    </row>
    <row r="94" spans="2:93" s="374" customFormat="1">
      <c r="B94" s="372"/>
      <c r="C94" s="372"/>
      <c r="M94" s="372"/>
      <c r="N94" s="372"/>
      <c r="O94" s="372"/>
      <c r="P94" s="372"/>
      <c r="Q94" s="372"/>
      <c r="R94" s="372"/>
      <c r="S94" s="372"/>
      <c r="T94" s="372"/>
      <c r="U94" s="372"/>
      <c r="V94" s="372"/>
      <c r="W94" s="372"/>
      <c r="X94" s="372"/>
      <c r="Y94" s="372"/>
      <c r="Z94" s="372"/>
      <c r="AA94" s="372"/>
      <c r="AB94" s="372"/>
      <c r="AC94" s="372"/>
      <c r="AD94" s="372"/>
      <c r="AE94" s="372"/>
      <c r="AF94" s="372"/>
      <c r="AG94" s="372"/>
      <c r="AH94" s="372"/>
      <c r="AI94" s="372"/>
      <c r="AJ94" s="372"/>
      <c r="AK94" s="372"/>
      <c r="AL94" s="372"/>
      <c r="AM94" s="372"/>
      <c r="AN94" s="372"/>
      <c r="AO94" s="372"/>
      <c r="AP94" s="372"/>
      <c r="AQ94" s="372"/>
      <c r="AR94" s="372"/>
      <c r="AS94" s="372"/>
      <c r="AT94" s="372"/>
      <c r="AU94" s="372"/>
      <c r="AV94" s="372"/>
      <c r="AW94" s="372"/>
      <c r="AX94" s="372"/>
      <c r="AY94" s="372"/>
      <c r="AZ94" s="372"/>
      <c r="BA94" s="372"/>
      <c r="BB94" s="372"/>
      <c r="BC94" s="372"/>
      <c r="BD94" s="372"/>
      <c r="BE94" s="372"/>
      <c r="BF94" s="372"/>
      <c r="BG94" s="372"/>
      <c r="BH94" s="372"/>
      <c r="BI94" s="372"/>
      <c r="BJ94" s="372"/>
      <c r="BK94" s="372"/>
      <c r="BL94" s="372"/>
      <c r="BM94" s="372"/>
      <c r="BN94" s="372"/>
      <c r="BO94" s="372"/>
      <c r="BP94" s="372"/>
      <c r="BQ94" s="372"/>
      <c r="BR94" s="372"/>
      <c r="BS94" s="372"/>
      <c r="BT94" s="372"/>
      <c r="BU94" s="372"/>
      <c r="BV94" s="372"/>
      <c r="BW94" s="372"/>
      <c r="BX94" s="372"/>
      <c r="BY94" s="372"/>
      <c r="BZ94" s="372"/>
      <c r="CA94" s="372"/>
      <c r="CB94" s="372"/>
      <c r="CC94" s="372"/>
      <c r="CD94" s="372"/>
      <c r="CE94" s="372"/>
      <c r="CF94" s="372"/>
      <c r="CG94" s="372"/>
      <c r="CH94" s="372"/>
      <c r="CI94" s="372"/>
      <c r="CJ94" s="372"/>
      <c r="CK94" s="372"/>
      <c r="CL94" s="372"/>
      <c r="CM94" s="372"/>
      <c r="CN94" s="372"/>
      <c r="CO94" s="372"/>
    </row>
    <row r="95" spans="2:93" s="374" customFormat="1">
      <c r="B95" s="372"/>
      <c r="C95" s="372"/>
      <c r="M95" s="372"/>
      <c r="N95" s="372"/>
      <c r="O95" s="372"/>
      <c r="P95" s="372"/>
      <c r="Q95" s="372"/>
      <c r="R95" s="372"/>
      <c r="S95" s="372"/>
      <c r="T95" s="372"/>
      <c r="U95" s="372"/>
      <c r="V95" s="372"/>
      <c r="W95" s="372"/>
      <c r="X95" s="372"/>
      <c r="Y95" s="372"/>
      <c r="Z95" s="372"/>
      <c r="AA95" s="372"/>
      <c r="AB95" s="372"/>
      <c r="AC95" s="372"/>
      <c r="AD95" s="372"/>
      <c r="AE95" s="372"/>
      <c r="AF95" s="372"/>
      <c r="AG95" s="372"/>
      <c r="AH95" s="372"/>
      <c r="AI95" s="372"/>
      <c r="AJ95" s="372"/>
      <c r="AK95" s="372"/>
      <c r="AL95" s="372"/>
      <c r="AM95" s="372"/>
      <c r="AN95" s="372"/>
      <c r="AO95" s="372"/>
      <c r="AP95" s="372"/>
      <c r="AQ95" s="372"/>
      <c r="AR95" s="372"/>
      <c r="AS95" s="372"/>
      <c r="AT95" s="372"/>
      <c r="AU95" s="372"/>
      <c r="AV95" s="372"/>
      <c r="AW95" s="372"/>
      <c r="AX95" s="372"/>
      <c r="AY95" s="372"/>
      <c r="AZ95" s="372"/>
      <c r="BA95" s="372"/>
      <c r="BB95" s="372"/>
      <c r="BC95" s="372"/>
      <c r="BD95" s="372"/>
      <c r="BE95" s="372"/>
      <c r="BF95" s="372"/>
      <c r="BG95" s="372"/>
      <c r="BH95" s="372"/>
      <c r="BI95" s="372"/>
      <c r="BJ95" s="372"/>
      <c r="BK95" s="372"/>
      <c r="BL95" s="372"/>
      <c r="BM95" s="372"/>
      <c r="BN95" s="372"/>
      <c r="BO95" s="372"/>
      <c r="BP95" s="372"/>
      <c r="BQ95" s="372"/>
      <c r="BR95" s="372"/>
      <c r="BS95" s="372"/>
      <c r="BT95" s="372"/>
      <c r="BU95" s="372"/>
      <c r="BV95" s="372"/>
      <c r="BW95" s="372"/>
      <c r="BX95" s="372"/>
      <c r="BY95" s="372"/>
      <c r="BZ95" s="372"/>
      <c r="CA95" s="372"/>
      <c r="CB95" s="372"/>
      <c r="CC95" s="372"/>
      <c r="CD95" s="372"/>
      <c r="CE95" s="372"/>
      <c r="CF95" s="372"/>
      <c r="CG95" s="372"/>
      <c r="CH95" s="372"/>
      <c r="CI95" s="372"/>
      <c r="CJ95" s="372"/>
      <c r="CK95" s="372"/>
      <c r="CL95" s="372"/>
      <c r="CM95" s="372"/>
      <c r="CN95" s="372"/>
      <c r="CO95" s="372"/>
    </row>
    <row r="96" spans="2:93" s="374" customFormat="1">
      <c r="B96" s="372"/>
      <c r="C96" s="372"/>
      <c r="M96" s="372"/>
      <c r="N96" s="372"/>
      <c r="O96" s="372"/>
      <c r="P96" s="372"/>
      <c r="Q96" s="372"/>
      <c r="R96" s="372"/>
      <c r="S96" s="372"/>
      <c r="T96" s="372"/>
      <c r="U96" s="372"/>
      <c r="V96" s="372"/>
      <c r="W96" s="372"/>
      <c r="X96" s="372"/>
      <c r="Y96" s="372"/>
      <c r="Z96" s="372"/>
      <c r="AA96" s="372"/>
      <c r="AB96" s="372"/>
      <c r="AC96" s="372"/>
      <c r="AD96" s="372"/>
      <c r="AE96" s="372"/>
      <c r="AF96" s="372"/>
      <c r="AG96" s="372"/>
      <c r="AH96" s="372"/>
      <c r="AI96" s="372"/>
      <c r="AJ96" s="372"/>
      <c r="AK96" s="372"/>
      <c r="AL96" s="372"/>
      <c r="AM96" s="372"/>
      <c r="AN96" s="372"/>
      <c r="AO96" s="372"/>
      <c r="AP96" s="372"/>
      <c r="AQ96" s="372"/>
      <c r="AR96" s="372"/>
      <c r="AS96" s="372"/>
      <c r="AT96" s="372"/>
      <c r="AU96" s="372"/>
      <c r="AV96" s="372"/>
      <c r="AW96" s="372"/>
      <c r="AX96" s="372"/>
      <c r="AY96" s="372"/>
      <c r="AZ96" s="372"/>
      <c r="BA96" s="372"/>
      <c r="BB96" s="372"/>
      <c r="BC96" s="372"/>
      <c r="BD96" s="372"/>
      <c r="BE96" s="372"/>
      <c r="BF96" s="372"/>
      <c r="BG96" s="372"/>
      <c r="BH96" s="372"/>
      <c r="BI96" s="372"/>
      <c r="BJ96" s="372"/>
      <c r="BK96" s="372"/>
      <c r="BL96" s="372"/>
      <c r="BM96" s="372"/>
      <c r="BN96" s="372"/>
      <c r="BO96" s="372"/>
      <c r="BP96" s="372"/>
      <c r="BQ96" s="372"/>
      <c r="BR96" s="372"/>
      <c r="BS96" s="372"/>
      <c r="BT96" s="372"/>
      <c r="BU96" s="372"/>
      <c r="BV96" s="372"/>
      <c r="BW96" s="372"/>
      <c r="BX96" s="372"/>
      <c r="BY96" s="372"/>
      <c r="BZ96" s="372"/>
      <c r="CA96" s="372"/>
      <c r="CB96" s="372"/>
      <c r="CC96" s="372"/>
      <c r="CD96" s="372"/>
      <c r="CE96" s="372"/>
      <c r="CF96" s="372"/>
      <c r="CG96" s="372"/>
      <c r="CH96" s="372"/>
      <c r="CI96" s="372"/>
      <c r="CJ96" s="372"/>
      <c r="CK96" s="372"/>
      <c r="CL96" s="372"/>
      <c r="CM96" s="372"/>
      <c r="CN96" s="372"/>
      <c r="CO96" s="372"/>
    </row>
    <row r="97" spans="2:93" s="374" customFormat="1">
      <c r="B97" s="372"/>
      <c r="C97" s="372"/>
      <c r="M97" s="372"/>
      <c r="N97" s="372"/>
      <c r="O97" s="372"/>
      <c r="P97" s="372"/>
      <c r="Q97" s="372"/>
      <c r="R97" s="372"/>
      <c r="S97" s="372"/>
      <c r="T97" s="372"/>
      <c r="U97" s="372"/>
      <c r="V97" s="372"/>
      <c r="W97" s="372"/>
      <c r="X97" s="372"/>
      <c r="Y97" s="372"/>
      <c r="Z97" s="372"/>
      <c r="AA97" s="372"/>
      <c r="AB97" s="372"/>
      <c r="AC97" s="372"/>
      <c r="AD97" s="372"/>
      <c r="AE97" s="372"/>
      <c r="AF97" s="372"/>
      <c r="AG97" s="372"/>
      <c r="AH97" s="372"/>
      <c r="AI97" s="372"/>
      <c r="AJ97" s="372"/>
      <c r="AK97" s="372"/>
      <c r="AL97" s="372"/>
      <c r="AM97" s="372"/>
      <c r="AN97" s="372"/>
      <c r="AO97" s="372"/>
      <c r="AP97" s="372"/>
      <c r="AQ97" s="372"/>
      <c r="AR97" s="372"/>
      <c r="AS97" s="372"/>
      <c r="AT97" s="372"/>
      <c r="AU97" s="372"/>
      <c r="AV97" s="372"/>
      <c r="AW97" s="372"/>
      <c r="AX97" s="372"/>
      <c r="AY97" s="372"/>
      <c r="AZ97" s="372"/>
      <c r="BA97" s="372"/>
      <c r="BB97" s="372"/>
      <c r="BC97" s="372"/>
      <c r="BD97" s="372"/>
      <c r="BE97" s="372"/>
      <c r="BF97" s="372"/>
      <c r="BG97" s="372"/>
      <c r="BH97" s="372"/>
      <c r="BI97" s="372"/>
      <c r="BJ97" s="372"/>
      <c r="BK97" s="372"/>
      <c r="BL97" s="372"/>
      <c r="BM97" s="372"/>
      <c r="BN97" s="372"/>
      <c r="BO97" s="372"/>
      <c r="BP97" s="372"/>
      <c r="BQ97" s="372"/>
      <c r="BR97" s="372"/>
      <c r="BS97" s="372"/>
      <c r="BT97" s="372"/>
      <c r="BU97" s="372"/>
      <c r="BV97" s="372"/>
      <c r="BW97" s="372"/>
      <c r="BX97" s="372"/>
      <c r="BY97" s="372"/>
      <c r="BZ97" s="372"/>
      <c r="CA97" s="372"/>
      <c r="CB97" s="372"/>
      <c r="CC97" s="372"/>
      <c r="CD97" s="372"/>
      <c r="CE97" s="372"/>
      <c r="CF97" s="372"/>
      <c r="CG97" s="372"/>
      <c r="CH97" s="372"/>
      <c r="CI97" s="372"/>
      <c r="CJ97" s="372"/>
      <c r="CK97" s="372"/>
      <c r="CL97" s="372"/>
      <c r="CM97" s="372"/>
      <c r="CN97" s="372"/>
      <c r="CO97" s="372"/>
    </row>
  </sheetData>
  <pageMargins left="0" right="0" top="1" bottom="1" header="0.5" footer="0.5"/>
  <pageSetup fitToHeight="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O31"/>
  <sheetViews>
    <sheetView showGridLines="0" zoomScaleNormal="100" workbookViewId="0">
      <selection activeCell="K38" sqref="K38"/>
    </sheetView>
  </sheetViews>
  <sheetFormatPr defaultRowHeight="12.75" outlineLevelRow="1"/>
  <cols>
    <col min="1" max="1" width="4.5703125" customWidth="1"/>
    <col min="2" max="2" width="3.5703125" customWidth="1"/>
    <col min="3" max="3" width="20.140625" customWidth="1"/>
    <col min="4" max="4" width="12.7109375" style="125" customWidth="1"/>
    <col min="5" max="5" width="16.28515625" style="125" hidden="1" customWidth="1"/>
    <col min="6" max="6" width="10.42578125" customWidth="1"/>
    <col min="7" max="7" width="11.85546875" customWidth="1"/>
    <col min="8" max="8" width="11.7109375" customWidth="1"/>
    <col min="9" max="9" width="9.42578125" bestFit="1" customWidth="1"/>
    <col min="10" max="10" width="12" bestFit="1" customWidth="1"/>
    <col min="11" max="11" width="9" bestFit="1" customWidth="1"/>
    <col min="13" max="13" width="10.28515625" bestFit="1" customWidth="1"/>
  </cols>
  <sheetData>
    <row r="1" spans="2:15" s="1471" customFormat="1">
      <c r="C1" s="1314"/>
      <c r="D1" s="1739"/>
      <c r="E1" s="1740"/>
    </row>
    <row r="2" spans="2:15" ht="6" customHeight="1" thickBot="1">
      <c r="B2" s="110"/>
      <c r="C2" s="110"/>
      <c r="D2" s="122"/>
      <c r="E2" s="122"/>
      <c r="F2" s="1051"/>
      <c r="G2" s="1051"/>
      <c r="H2" s="1051"/>
      <c r="I2" s="1051"/>
    </row>
    <row r="3" spans="2:15" ht="6" customHeight="1" thickTop="1">
      <c r="B3" s="111"/>
      <c r="C3" s="111"/>
      <c r="D3" s="123"/>
      <c r="E3" s="123"/>
      <c r="F3" s="1052"/>
      <c r="G3" s="1052"/>
      <c r="H3" s="1052"/>
      <c r="I3" s="1052"/>
    </row>
    <row r="4" spans="2:15" ht="15">
      <c r="B4" s="1027"/>
      <c r="C4" s="1027"/>
      <c r="D4" s="1027"/>
      <c r="E4" s="1027"/>
      <c r="F4" s="105" t="s">
        <v>711</v>
      </c>
      <c r="G4" s="105"/>
      <c r="H4" s="105"/>
      <c r="I4" s="105"/>
      <c r="O4" s="173"/>
    </row>
    <row r="5" spans="2:15" ht="15">
      <c r="B5" s="124"/>
      <c r="C5" s="124"/>
      <c r="D5" s="124"/>
      <c r="E5" s="124"/>
      <c r="F5" s="1000" t="s">
        <v>120</v>
      </c>
      <c r="G5" s="1000" t="s">
        <v>121</v>
      </c>
      <c r="H5" s="1000" t="s">
        <v>111</v>
      </c>
      <c r="I5" s="1000" t="s">
        <v>122</v>
      </c>
    </row>
    <row r="6" spans="2:15" ht="6" customHeight="1">
      <c r="B6" s="1028"/>
      <c r="C6" s="1028"/>
      <c r="D6" s="107"/>
      <c r="E6" s="107"/>
      <c r="F6" s="1053"/>
      <c r="G6" s="1053"/>
      <c r="H6" s="1053"/>
      <c r="I6" s="1053"/>
    </row>
    <row r="7" spans="2:15" ht="15" customHeight="1">
      <c r="B7" s="1028"/>
      <c r="C7" s="112" t="s">
        <v>109</v>
      </c>
      <c r="D7" s="873" t="s">
        <v>162</v>
      </c>
      <c r="E7" s="1043"/>
      <c r="F7" s="1058">
        <f>F16</f>
        <v>200</v>
      </c>
      <c r="G7" s="1058">
        <f t="shared" ref="G7:I7" si="0">G16</f>
        <v>200</v>
      </c>
      <c r="H7" s="1058">
        <f t="shared" si="0"/>
        <v>200</v>
      </c>
      <c r="I7" s="1058">
        <f t="shared" si="0"/>
        <v>200</v>
      </c>
    </row>
    <row r="8" spans="2:15" ht="6" customHeight="1">
      <c r="B8" s="1028"/>
      <c r="C8" s="1028"/>
      <c r="D8" s="107"/>
      <c r="E8" s="107"/>
      <c r="F8" s="1053"/>
      <c r="G8" s="1053"/>
      <c r="H8" s="1053"/>
      <c r="I8" s="1053"/>
    </row>
    <row r="9" spans="2:15" ht="15">
      <c r="B9" s="108"/>
      <c r="C9" s="108" t="s">
        <v>190</v>
      </c>
      <c r="D9" s="120"/>
      <c r="E9" s="1040"/>
    </row>
    <row r="10" spans="2:15" ht="15">
      <c r="B10" s="1029">
        <v>1</v>
      </c>
      <c r="C10" s="1055" t="s">
        <v>209</v>
      </c>
      <c r="D10" s="877" t="s">
        <v>164</v>
      </c>
      <c r="E10" s="1041"/>
      <c r="F10" s="878">
        <f>'Summary Table (kW-yr)'!N10</f>
        <v>327.58205316634218</v>
      </c>
      <c r="G10" s="878">
        <f>'Summary Table (kW-yr)'!O10</f>
        <v>312.35852472928639</v>
      </c>
      <c r="H10" s="878">
        <f>'Summary Table (kW-yr)'!P10</f>
        <v>315.65740344298575</v>
      </c>
      <c r="I10" s="878">
        <f>'Summary Table (kW-yr)'!Q10</f>
        <v>320.99251773157766</v>
      </c>
      <c r="J10" s="996"/>
      <c r="K10" s="996"/>
      <c r="L10" s="996"/>
      <c r="M10" s="996"/>
    </row>
    <row r="11" spans="2:15" ht="15">
      <c r="B11" s="1030">
        <f>MAX($B$10:B10)+1</f>
        <v>2</v>
      </c>
      <c r="C11" s="1056" t="s">
        <v>561</v>
      </c>
      <c r="D11" s="872" t="s">
        <v>164</v>
      </c>
      <c r="E11" s="1042"/>
      <c r="F11" s="852">
        <f>'Summary Table (kW-yr)'!N11</f>
        <v>345.09237326728731</v>
      </c>
      <c r="G11" s="852">
        <f>'Summary Table (kW-yr)'!O11</f>
        <v>329.19436508127995</v>
      </c>
      <c r="H11" s="852">
        <f>'Summary Table (kW-yr)'!P11</f>
        <v>332.59570248430032</v>
      </c>
      <c r="I11" s="852">
        <f>'Summary Table (kW-yr)'!Q11</f>
        <v>338.21710108067049</v>
      </c>
    </row>
    <row r="12" spans="2:15" ht="15">
      <c r="B12" s="1029">
        <f>MAX($B$10:B11)+1</f>
        <v>3</v>
      </c>
      <c r="C12" s="1055" t="s">
        <v>212</v>
      </c>
      <c r="D12" s="877" t="s">
        <v>493</v>
      </c>
      <c r="E12" s="1041"/>
      <c r="F12" s="878">
        <f>'Summary Table (kW-yr)'!N12</f>
        <v>7.0620000000000003</v>
      </c>
      <c r="G12" s="878">
        <f>'Summary Table (kW-yr)'!O12</f>
        <v>8.9610000000000003</v>
      </c>
      <c r="H12" s="878">
        <f>'Summary Table (kW-yr)'!P12</f>
        <v>6.7110000000000003</v>
      </c>
      <c r="I12" s="878">
        <f>'Summary Table (kW-yr)'!Q12</f>
        <v>6.7460000000000004</v>
      </c>
      <c r="J12" s="997"/>
      <c r="K12" s="997"/>
      <c r="L12" s="997"/>
      <c r="M12" s="997"/>
    </row>
    <row r="13" spans="2:15" ht="15">
      <c r="B13" s="1030">
        <f>MAX($B$10:B12)+1</f>
        <v>4</v>
      </c>
      <c r="C13" s="1056" t="s">
        <v>731</v>
      </c>
      <c r="D13" s="872" t="s">
        <v>164</v>
      </c>
      <c r="E13" s="1042"/>
      <c r="F13" s="852">
        <f>'Annual FOM'!$X$8</f>
        <v>30.516316774493262</v>
      </c>
      <c r="G13" s="852">
        <f>'Annual FOM'!$X$8</f>
        <v>30.516316774493262</v>
      </c>
      <c r="H13" s="852">
        <f>'Annual FOM'!$X$8</f>
        <v>30.516316774493262</v>
      </c>
      <c r="I13" s="852">
        <f>'Annual FOM'!$X$8</f>
        <v>30.516316774493262</v>
      </c>
      <c r="J13" s="997"/>
      <c r="K13" s="997"/>
      <c r="L13" s="997"/>
      <c r="M13" s="997"/>
    </row>
    <row r="14" spans="2:15" ht="15">
      <c r="B14" s="1029">
        <f>MAX($B$10:B13)+1</f>
        <v>5</v>
      </c>
      <c r="C14" s="1055" t="s">
        <v>732</v>
      </c>
      <c r="D14" s="877" t="s">
        <v>164</v>
      </c>
      <c r="E14" s="1041"/>
      <c r="F14" s="878">
        <f>'Annual FOM'!$AC$8</f>
        <v>33.056477210443326</v>
      </c>
      <c r="G14" s="878">
        <f>'Annual FOM'!$AC$8</f>
        <v>33.056477210443326</v>
      </c>
      <c r="H14" s="878">
        <f>'Annual FOM'!$AC$8</f>
        <v>33.056477210443326</v>
      </c>
      <c r="I14" s="878">
        <f>'Annual FOM'!$AC$8</f>
        <v>33.056477210443326</v>
      </c>
      <c r="J14" s="997"/>
      <c r="K14" s="997"/>
      <c r="L14" s="997"/>
      <c r="M14" s="997"/>
    </row>
    <row r="15" spans="2:15" ht="6" hidden="1" customHeight="1" outlineLevel="1">
      <c r="B15" s="1031"/>
      <c r="C15" s="1057"/>
      <c r="D15" s="872"/>
      <c r="E15" s="1042"/>
      <c r="F15" s="206"/>
      <c r="G15" s="206"/>
      <c r="H15" s="206"/>
      <c r="I15" s="206"/>
      <c r="J15" s="450"/>
      <c r="K15" s="450"/>
      <c r="L15" s="450"/>
      <c r="M15" s="450"/>
      <c r="N15" s="1020"/>
    </row>
    <row r="16" spans="2:15" ht="15" hidden="1" outlineLevel="1">
      <c r="B16" s="1031">
        <f>MAX($B$10:B15)+1</f>
        <v>6</v>
      </c>
      <c r="C16" s="112" t="s">
        <v>109</v>
      </c>
      <c r="D16" s="873" t="s">
        <v>162</v>
      </c>
      <c r="E16" s="1043"/>
      <c r="F16" s="1058">
        <f>'Summary Table (kW-yr)'!N14</f>
        <v>200</v>
      </c>
      <c r="G16" s="1058">
        <f>'Summary Table (kW-yr)'!O14</f>
        <v>200</v>
      </c>
      <c r="H16" s="1058">
        <f>'Summary Table (kW-yr)'!P14</f>
        <v>200</v>
      </c>
      <c r="I16" s="1058">
        <f>'Summary Table (kW-yr)'!Q14</f>
        <v>200</v>
      </c>
      <c r="J16" s="144"/>
      <c r="K16" s="144"/>
      <c r="L16" s="144"/>
      <c r="M16" s="144"/>
      <c r="N16" s="1020"/>
    </row>
    <row r="17" spans="2:14" ht="6" customHeight="1" collapsed="1">
      <c r="B17" s="1031"/>
      <c r="C17" s="1059"/>
      <c r="D17" s="872"/>
      <c r="E17" s="1042"/>
      <c r="F17" s="206"/>
      <c r="G17" s="206"/>
      <c r="H17" s="206"/>
      <c r="I17" s="206"/>
      <c r="J17" s="1020"/>
      <c r="K17" s="1020"/>
      <c r="L17" s="1020"/>
      <c r="M17" s="1020"/>
      <c r="N17" s="1020"/>
    </row>
    <row r="18" spans="2:14" ht="15">
      <c r="B18" s="1032"/>
      <c r="C18" s="112" t="s">
        <v>194</v>
      </c>
      <c r="D18" s="872"/>
      <c r="E18" s="1042"/>
      <c r="F18" s="852"/>
      <c r="G18" s="852"/>
      <c r="H18" s="852"/>
      <c r="I18" s="852"/>
      <c r="J18" s="1096"/>
      <c r="K18" s="1096"/>
      <c r="L18" s="1096"/>
      <c r="M18" s="1096"/>
      <c r="N18" s="1020"/>
    </row>
    <row r="19" spans="2:14" ht="15">
      <c r="B19" s="1029">
        <f>MAX($B$10:B18)+1</f>
        <v>7</v>
      </c>
      <c r="C19" s="1055" t="s">
        <v>209</v>
      </c>
      <c r="D19" s="877" t="s">
        <v>168</v>
      </c>
      <c r="E19" s="1044" t="s">
        <v>804</v>
      </c>
      <c r="F19" s="879">
        <f>'Summary Table (kW-yr)'!N17</f>
        <v>1637.9102658317111</v>
      </c>
      <c r="G19" s="879">
        <f>'Summary Table (kW-yr)'!O17</f>
        <v>1561.7926236464318</v>
      </c>
      <c r="H19" s="879">
        <f>'Summary Table (kW-yr)'!P17</f>
        <v>1578.2870172149287</v>
      </c>
      <c r="I19" s="879">
        <f>'Summary Table (kW-yr)'!Q17</f>
        <v>1604.9625886578883</v>
      </c>
      <c r="J19" s="1097"/>
      <c r="K19" s="1697"/>
      <c r="L19" s="1097"/>
      <c r="M19" s="1097"/>
      <c r="N19" s="1020"/>
    </row>
    <row r="20" spans="2:14" ht="15">
      <c r="B20" s="1030">
        <f>MAX($B$10:B19)+1</f>
        <v>8</v>
      </c>
      <c r="C20" s="1056" t="s">
        <v>561</v>
      </c>
      <c r="D20" s="872" t="s">
        <v>168</v>
      </c>
      <c r="E20" s="1045" t="s">
        <v>805</v>
      </c>
      <c r="F20" s="851">
        <f>'Summary Table (kW-yr)'!N18</f>
        <v>1725.4618663364367</v>
      </c>
      <c r="G20" s="851">
        <f>'Summary Table (kW-yr)'!O18</f>
        <v>1645.9718254063998</v>
      </c>
      <c r="H20" s="851">
        <f>'Summary Table (kW-yr)'!P18</f>
        <v>1662.9785124215016</v>
      </c>
      <c r="I20" s="851">
        <f>'Summary Table (kW-yr)'!Q18</f>
        <v>1691.0855054033525</v>
      </c>
      <c r="K20" s="1697"/>
    </row>
    <row r="21" spans="2:14" ht="15">
      <c r="B21" s="1029">
        <f>MAX($B$10:B20)+1</f>
        <v>9</v>
      </c>
      <c r="C21" s="1055" t="s">
        <v>825</v>
      </c>
      <c r="D21" s="880" t="s">
        <v>304</v>
      </c>
      <c r="E21" s="1046"/>
      <c r="F21" s="879">
        <f>'Summary Table (kW-yr)'!N19</f>
        <v>66.124679831397785</v>
      </c>
      <c r="G21" s="879">
        <f>'Summary Table (kW-yr)'!O19</f>
        <v>68.556573183103268</v>
      </c>
      <c r="H21" s="879">
        <f>'Summary Table (kW-yr)'!P19</f>
        <v>63.925621772636774</v>
      </c>
      <c r="I21" s="879">
        <f>'Summary Table (kW-yr)'!Q19</f>
        <v>64.14255893731854</v>
      </c>
      <c r="K21" s="1697"/>
    </row>
    <row r="22" spans="2:14" ht="6" customHeight="1">
      <c r="B22" s="1033"/>
      <c r="C22" s="108"/>
      <c r="D22" s="872"/>
      <c r="E22" s="1047"/>
      <c r="F22" s="207"/>
      <c r="G22" s="207"/>
      <c r="H22" s="207"/>
      <c r="I22" s="207"/>
    </row>
    <row r="23" spans="2:14" s="173" customFormat="1" ht="15">
      <c r="B23" s="1030">
        <f>MAX($B$10:B22)+1</f>
        <v>10</v>
      </c>
      <c r="C23" s="108" t="s">
        <v>195</v>
      </c>
      <c r="D23" s="874" t="s">
        <v>163</v>
      </c>
      <c r="E23" s="1038"/>
      <c r="F23" s="853">
        <f>'Summary Table (kW-yr)'!N21</f>
        <v>7.9273027499999996E-2</v>
      </c>
      <c r="G23" s="853">
        <f>'Summary Table (kW-yr)'!O21</f>
        <v>7.9936726250000006E-2</v>
      </c>
      <c r="H23" s="853">
        <f>'Summary Table (kW-yr)'!P21</f>
        <v>7.9581392149999999E-2</v>
      </c>
      <c r="I23" s="853">
        <f>'Summary Table (kW-yr)'!Q21</f>
        <v>7.9581392149999999E-2</v>
      </c>
    </row>
    <row r="24" spans="2:14" s="173" customFormat="1" ht="15">
      <c r="B24" s="1030">
        <f>MAX($B$10:B23)+1</f>
        <v>11</v>
      </c>
      <c r="C24" s="1028" t="s">
        <v>559</v>
      </c>
      <c r="D24" s="1037" t="s">
        <v>163</v>
      </c>
      <c r="E24" s="1038"/>
      <c r="F24" s="1039">
        <f>(F27/10^3-F21) / F19</f>
        <v>0.11067475670076027</v>
      </c>
      <c r="G24" s="1039">
        <f t="shared" ref="G24:I24" si="1">(G27/10^3-G21) / G19</f>
        <v>0.11034975079758919</v>
      </c>
      <c r="H24" s="1039">
        <f t="shared" si="1"/>
        <v>0.11054667264211777</v>
      </c>
      <c r="I24" s="1039">
        <f t="shared" si="1"/>
        <v>0.11050565434736544</v>
      </c>
    </row>
    <row r="25" spans="2:14" ht="6" customHeight="1">
      <c r="B25" s="1034"/>
      <c r="C25" s="1060"/>
      <c r="D25" s="875"/>
      <c r="E25" s="1048"/>
      <c r="F25" s="857"/>
      <c r="G25" s="857"/>
      <c r="H25" s="857"/>
      <c r="I25" s="857"/>
    </row>
    <row r="26" spans="2:14" ht="6" customHeight="1">
      <c r="B26" s="1030"/>
      <c r="C26" s="1028"/>
      <c r="D26" s="872"/>
      <c r="E26" s="1047"/>
      <c r="F26" s="207"/>
      <c r="G26" s="207"/>
      <c r="H26" s="207"/>
      <c r="I26" s="207"/>
    </row>
    <row r="27" spans="2:14" ht="15">
      <c r="B27" s="1035">
        <f>MAX($B$10:B26)+1</f>
        <v>12</v>
      </c>
      <c r="C27" s="1022" t="s">
        <v>803</v>
      </c>
      <c r="D27" s="876" t="s">
        <v>494</v>
      </c>
      <c r="E27" s="1049" t="s">
        <v>807</v>
      </c>
      <c r="F27" s="856">
        <f>ROUND('Summary Table (kW-yr)'!N24*10^3,-2)</f>
        <v>247400</v>
      </c>
      <c r="G27" s="856">
        <f>ROUND('Summary Table (kW-yr)'!O24*10^3,-2)</f>
        <v>240900</v>
      </c>
      <c r="H27" s="856">
        <f>ROUND('Summary Table (kW-yr)'!P24*10^3,-2)</f>
        <v>238400</v>
      </c>
      <c r="I27" s="856">
        <f>ROUND('Summary Table (kW-yr)'!Q24*10^3,-2)</f>
        <v>241500</v>
      </c>
    </row>
    <row r="28" spans="2:14" ht="15">
      <c r="B28" s="1035">
        <f>MAX($B$10:B27)+1</f>
        <v>13</v>
      </c>
      <c r="C28" s="1022" t="s">
        <v>803</v>
      </c>
      <c r="D28" s="876" t="s">
        <v>562</v>
      </c>
      <c r="E28" s="1049" t="s">
        <v>806</v>
      </c>
      <c r="F28" s="856">
        <f>F27/365</f>
        <v>677.80821917808214</v>
      </c>
      <c r="G28" s="856">
        <f t="shared" ref="G28:I28" si="2">G27/365</f>
        <v>660</v>
      </c>
      <c r="H28" s="856">
        <f t="shared" si="2"/>
        <v>653.15068493150682</v>
      </c>
      <c r="I28" s="856">
        <f t="shared" si="2"/>
        <v>661.64383561643831</v>
      </c>
    </row>
    <row r="29" spans="2:14" ht="6" customHeight="1" thickBot="1">
      <c r="B29" s="1036"/>
      <c r="C29" s="1036"/>
      <c r="D29" s="113"/>
      <c r="E29" s="1050"/>
      <c r="F29" s="1036"/>
      <c r="G29" s="1036"/>
      <c r="H29" s="1036"/>
      <c r="I29" s="1036"/>
    </row>
    <row r="30" spans="2:14" ht="6" customHeight="1" thickTop="1">
      <c r="B30" s="1027"/>
      <c r="C30" s="1027"/>
      <c r="D30" s="114"/>
      <c r="E30" s="114"/>
      <c r="F30" s="1027"/>
      <c r="G30" s="1027"/>
      <c r="H30" s="1027"/>
      <c r="I30" s="1027"/>
    </row>
    <row r="31" spans="2:14" ht="15">
      <c r="C31" s="104"/>
      <c r="D31" s="114"/>
      <c r="E31" s="114"/>
    </row>
  </sheetData>
  <pageMargins left="0.7" right="0.7" top="0.75" bottom="0.75" header="0.3" footer="0.3"/>
  <pageSetup orientation="portrait" draft="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2:I48"/>
  <sheetViews>
    <sheetView zoomScaleNormal="100" workbookViewId="0">
      <selection activeCell="G47" sqref="G47"/>
    </sheetView>
  </sheetViews>
  <sheetFormatPr defaultColWidth="9.28515625" defaultRowHeight="15" outlineLevelRow="1"/>
  <cols>
    <col min="1" max="1" width="8" style="361" customWidth="1"/>
    <col min="2" max="2" width="32" style="337" bestFit="1" customWidth="1"/>
    <col min="3" max="3" width="1.7109375" style="337" customWidth="1"/>
    <col min="4" max="5" width="11.28515625" style="337" customWidth="1"/>
    <col min="6" max="6" width="11.42578125" style="337" customWidth="1"/>
    <col min="7" max="7" width="10.85546875" style="337" customWidth="1"/>
    <col min="8" max="9" width="1.7109375" style="337" customWidth="1"/>
    <col min="10" max="16384" width="9.28515625" style="337"/>
  </cols>
  <sheetData>
    <row r="2" spans="2:8" ht="6" customHeight="1" thickBot="1">
      <c r="B2" s="1708"/>
      <c r="C2" s="1708"/>
      <c r="D2" s="1708"/>
      <c r="E2" s="1708"/>
      <c r="F2" s="1708"/>
      <c r="G2" s="1708"/>
      <c r="H2" s="1708"/>
    </row>
    <row r="3" spans="2:8" ht="6" customHeight="1" thickTop="1">
      <c r="B3" s="1709"/>
      <c r="C3" s="1709"/>
      <c r="D3" s="1710"/>
      <c r="E3" s="1710"/>
      <c r="F3" s="1710"/>
      <c r="G3" s="1710"/>
      <c r="H3" s="1710"/>
    </row>
    <row r="4" spans="2:8" ht="12.75" customHeight="1">
      <c r="B4" s="341"/>
      <c r="C4" s="342"/>
      <c r="D4" s="1698" t="s">
        <v>189</v>
      </c>
      <c r="E4" s="1698"/>
      <c r="F4" s="1698"/>
      <c r="G4" s="1698"/>
    </row>
    <row r="5" spans="2:8" ht="12.75" customHeight="1">
      <c r="B5" s="341"/>
      <c r="C5" s="342"/>
      <c r="D5" s="1329">
        <v>1</v>
      </c>
      <c r="E5" s="1329">
        <v>2</v>
      </c>
      <c r="F5" s="1329">
        <v>3</v>
      </c>
      <c r="G5" s="1329">
        <v>4</v>
      </c>
    </row>
    <row r="6" spans="2:8" ht="15" customHeight="1">
      <c r="C6" s="342"/>
      <c r="D6" s="345" t="str">
        <f>'O&amp;M Costs - Gas'!D6</f>
        <v>EMAAC</v>
      </c>
      <c r="E6" s="345" t="str">
        <f>'O&amp;M Costs - Gas'!E6</f>
        <v>SWMAAC</v>
      </c>
      <c r="F6" s="345" t="str">
        <f>'O&amp;M Costs - Gas'!F6</f>
        <v>Rest of RTO</v>
      </c>
      <c r="G6" s="345" t="str">
        <f>'O&amp;M Costs - Gas'!G6</f>
        <v>WMAAC</v>
      </c>
    </row>
    <row r="7" spans="2:8">
      <c r="B7" s="341" t="s">
        <v>296</v>
      </c>
      <c r="C7" s="346"/>
      <c r="D7" s="932" t="str">
        <f>ROUND('Cost Assumptions BESS'!D$13,0)&amp;" MW"</f>
        <v>200 MW</v>
      </c>
      <c r="E7" s="932" t="str">
        <f>ROUND('Cost Assumptions BESS'!E$13,0)&amp;" MW"</f>
        <v>200 MW</v>
      </c>
      <c r="F7" s="932" t="str">
        <f>ROUND('Cost Assumptions BESS'!F$13,0)&amp;" MW"</f>
        <v>200 MW</v>
      </c>
      <c r="G7" s="932" t="str">
        <f>ROUND('Cost Assumptions BESS'!G$13,0)&amp;" MW"</f>
        <v>200 MW</v>
      </c>
      <c r="H7" s="347"/>
    </row>
    <row r="8" spans="2:8" ht="6" customHeight="1">
      <c r="B8" s="348"/>
      <c r="C8" s="348"/>
      <c r="D8" s="349"/>
      <c r="E8" s="349"/>
      <c r="F8" s="349"/>
      <c r="G8" s="349"/>
      <c r="H8" s="349"/>
    </row>
    <row r="9" spans="2:8" ht="6" customHeight="1">
      <c r="B9" s="346"/>
      <c r="C9" s="346"/>
      <c r="D9" s="345"/>
      <c r="E9" s="345"/>
      <c r="F9" s="345"/>
      <c r="G9" s="345"/>
      <c r="H9" s="345"/>
    </row>
    <row r="10" spans="2:8" ht="14.65" customHeight="1">
      <c r="B10" s="1064" t="s">
        <v>104</v>
      </c>
      <c r="C10" s="1065"/>
      <c r="D10" s="1066"/>
      <c r="E10" s="1066"/>
      <c r="F10" s="1066"/>
      <c r="G10" s="1067"/>
      <c r="H10" s="1068"/>
    </row>
    <row r="11" spans="2:8" ht="14.65" customHeight="1">
      <c r="B11" s="991" t="s">
        <v>709</v>
      </c>
      <c r="C11" s="989"/>
      <c r="D11" s="1002"/>
      <c r="E11" s="1002"/>
      <c r="F11" s="1002"/>
      <c r="G11" s="998"/>
      <c r="H11" s="988"/>
    </row>
    <row r="12" spans="2:8" ht="14.65" customHeight="1" outlineLevel="1">
      <c r="B12" s="352" t="s">
        <v>647</v>
      </c>
      <c r="C12" s="352"/>
      <c r="D12" s="357">
        <f>'BESS_Capital Costs_Nominal$'!H19/1000000</f>
        <v>193.516068754363</v>
      </c>
      <c r="E12" s="357">
        <f>'BESS_Capital Costs_Nominal$'!I19/1000000</f>
        <v>193.516068754363</v>
      </c>
      <c r="F12" s="357">
        <f>'BESS_Capital Costs_Nominal$'!J19/1000000</f>
        <v>193.516068754363</v>
      </c>
      <c r="G12" s="357">
        <f>'BESS_Capital Costs_Nominal$'!K19/1000000</f>
        <v>193.516068754363</v>
      </c>
      <c r="H12" s="351"/>
    </row>
    <row r="13" spans="2:8" ht="14.65" customHeight="1">
      <c r="B13" s="987" t="s">
        <v>645</v>
      </c>
      <c r="C13" s="989"/>
      <c r="D13" s="998">
        <f>'BESS_Capital Costs_Nominal$'!H20/1000000</f>
        <v>28.963943740016134</v>
      </c>
      <c r="E13" s="998">
        <f>'BESS_Capital Costs_Nominal$'!I20/1000000</f>
        <v>28.963943740016134</v>
      </c>
      <c r="F13" s="998">
        <f>'BESS_Capital Costs_Nominal$'!J20/1000000</f>
        <v>28.963943740016134</v>
      </c>
      <c r="G13" s="998">
        <f>'BESS_Capital Costs_Nominal$'!K20/1000000</f>
        <v>28.963943740016134</v>
      </c>
      <c r="H13" s="988"/>
    </row>
    <row r="14" spans="2:8" ht="14.65" customHeight="1">
      <c r="B14" s="336" t="s">
        <v>642</v>
      </c>
      <c r="C14" s="358"/>
      <c r="D14" s="357">
        <f>'BESS_Capital Costs_Nominal$'!H22/1000000</f>
        <v>11.794373395074171</v>
      </c>
      <c r="E14" s="357">
        <f>'BESS_Capital Costs_Nominal$'!I22/1000000</f>
        <v>9.4119965975648974</v>
      </c>
      <c r="F14" s="357">
        <f>'BESS_Capital Costs_Nominal$'!J22/1000000</f>
        <v>9.9557420846465536</v>
      </c>
      <c r="G14" s="357">
        <f>'BESS_Capital Costs_Nominal$'!K22/1000000</f>
        <v>10.768449683465565</v>
      </c>
      <c r="H14" s="351"/>
    </row>
    <row r="15" spans="2:8" ht="14.65" customHeight="1">
      <c r="B15" s="990" t="s">
        <v>640</v>
      </c>
      <c r="C15" s="989"/>
      <c r="D15" s="998">
        <f>'BESS_Capital Costs_Nominal$'!H23/1000000</f>
        <v>58.738917765608612</v>
      </c>
      <c r="E15" s="998">
        <f>'BESS_Capital Costs_Nominal$'!I23/1000000</f>
        <v>46.874195879826907</v>
      </c>
      <c r="F15" s="998">
        <f>'BESS_Capital Costs_Nominal$'!J23/1000000</f>
        <v>49.581971446415345</v>
      </c>
      <c r="G15" s="998">
        <f>'BESS_Capital Costs_Nominal$'!K23/1000000</f>
        <v>53.629328300992817</v>
      </c>
      <c r="H15" s="988"/>
    </row>
    <row r="16" spans="2:8" ht="14.65" customHeight="1">
      <c r="B16" s="336" t="s">
        <v>131</v>
      </c>
      <c r="C16" s="358"/>
      <c r="D16" s="357">
        <f>'BESS_Capital Costs_Nominal$'!H24/1000000</f>
        <v>0</v>
      </c>
      <c r="E16" s="357">
        <f>'BESS_Capital Costs_Nominal$'!I24/1000000</f>
        <v>0</v>
      </c>
      <c r="F16" s="357">
        <f>'BESS_Capital Costs_Nominal$'!J24/1000000</f>
        <v>0</v>
      </c>
      <c r="G16" s="357">
        <f>'BESS_Capital Costs_Nominal$'!K24/1000000</f>
        <v>0</v>
      </c>
      <c r="H16" s="351"/>
    </row>
    <row r="17" spans="1:8" ht="14.65" customHeight="1">
      <c r="B17" s="991" t="s">
        <v>141</v>
      </c>
      <c r="C17" s="989"/>
      <c r="D17" s="998" t="str">
        <f>'BESS_Capital Costs_Nominal$'!H25</f>
        <v>Included</v>
      </c>
      <c r="E17" s="998" t="str">
        <f>'BESS_Capital Costs_Nominal$'!I25</f>
        <v>Included</v>
      </c>
      <c r="F17" s="998" t="str">
        <f>'BESS_Capital Costs_Nominal$'!J25</f>
        <v>Included</v>
      </c>
      <c r="G17" s="998" t="str">
        <f>'BESS_Capital Costs_Nominal$'!K25</f>
        <v>Included</v>
      </c>
      <c r="H17" s="988"/>
    </row>
    <row r="18" spans="1:8" ht="14.65" customHeight="1">
      <c r="B18" s="336" t="s">
        <v>142</v>
      </c>
      <c r="C18" s="358"/>
      <c r="D18" s="357" t="str">
        <f>'BESS_Capital Costs_Nominal$'!H26</f>
        <v>Included</v>
      </c>
      <c r="E18" s="357" t="str">
        <f>'BESS_Capital Costs_Nominal$'!I26</f>
        <v>Included</v>
      </c>
      <c r="F18" s="357" t="str">
        <f>'BESS_Capital Costs_Nominal$'!J26</f>
        <v>Included</v>
      </c>
      <c r="G18" s="357" t="str">
        <f>'BESS_Capital Costs_Nominal$'!K26</f>
        <v>Included</v>
      </c>
      <c r="H18" s="351"/>
    </row>
    <row r="19" spans="1:8" hidden="1" outlineLevel="1">
      <c r="B19" s="1466" t="s">
        <v>710</v>
      </c>
      <c r="C19" s="1467"/>
      <c r="D19" s="1468">
        <f>'BESS_Capital Costs_Nominal$'!H28/1000000</f>
        <v>0</v>
      </c>
      <c r="E19" s="1468">
        <f>'BESS_Capital Costs_Nominal$'!I28/1000000</f>
        <v>0</v>
      </c>
      <c r="F19" s="1468">
        <f>'BESS_Capital Costs_Nominal$'!J28/1000000</f>
        <v>0</v>
      </c>
      <c r="G19" s="1468">
        <f>'BESS_Capital Costs_Nominal$'!K28/1000000</f>
        <v>0</v>
      </c>
      <c r="H19" s="988"/>
    </row>
    <row r="20" spans="1:8" s="356" customFormat="1" ht="14.65" customHeight="1" collapsed="1">
      <c r="A20" s="1711"/>
      <c r="B20" s="350" t="s">
        <v>143</v>
      </c>
      <c r="C20" s="359"/>
      <c r="D20" s="999">
        <f>'BESS_Capital Costs_Nominal$'!H29/1000000</f>
        <v>293.01330365506192</v>
      </c>
      <c r="E20" s="999">
        <f>'BESS_Capital Costs_Nominal$'!I29/1000000</f>
        <v>278.76620497177095</v>
      </c>
      <c r="F20" s="999">
        <f>'BESS_Capital Costs_Nominal$'!J29/1000000</f>
        <v>282.01772602544105</v>
      </c>
      <c r="G20" s="999">
        <f>'BESS_Capital Costs_Nominal$'!K29/1000000</f>
        <v>286.87779047883748</v>
      </c>
      <c r="H20" s="999"/>
    </row>
    <row r="21" spans="1:8" ht="6" customHeight="1">
      <c r="B21" s="336"/>
      <c r="C21" s="358"/>
      <c r="D21" s="1003"/>
      <c r="E21" s="1003"/>
      <c r="F21" s="1003"/>
      <c r="G21" s="357"/>
      <c r="H21" s="351"/>
    </row>
    <row r="22" spans="1:8">
      <c r="B22" s="1064" t="s">
        <v>145</v>
      </c>
      <c r="C22" s="1064"/>
      <c r="D22" s="1066"/>
      <c r="E22" s="1066"/>
      <c r="F22" s="1066"/>
      <c r="G22" s="1067"/>
      <c r="H22" s="1069"/>
    </row>
    <row r="23" spans="1:8" ht="14.65" customHeight="1">
      <c r="B23" s="991" t="s">
        <v>146</v>
      </c>
      <c r="C23" s="989"/>
      <c r="D23" s="998">
        <f>'BESS_Capital Costs_Nominal$'!H33/1000000</f>
        <v>14.650837847351609</v>
      </c>
      <c r="E23" s="998">
        <f>'BESS_Capital Costs_Nominal$'!I33/1000000</f>
        <v>13.938473046638572</v>
      </c>
      <c r="F23" s="998">
        <f>'BESS_Capital Costs_Nominal$'!J33/1000000</f>
        <v>14.101271096663019</v>
      </c>
      <c r="G23" s="998">
        <f>'BESS_Capital Costs_Nominal$'!K33/1000000</f>
        <v>14.34398818942674</v>
      </c>
      <c r="H23" s="988"/>
    </row>
    <row r="24" spans="1:8" ht="14.65" customHeight="1">
      <c r="B24" s="336" t="s">
        <v>147</v>
      </c>
      <c r="C24" s="358"/>
      <c r="D24" s="357">
        <f>'BESS_Capital Costs_Nominal$'!H34/1000000</f>
        <v>2.9303649004400483</v>
      </c>
      <c r="E24" s="357">
        <f>'BESS_Capital Costs_Nominal$'!I34/1000000</f>
        <v>2.7872999473882607</v>
      </c>
      <c r="F24" s="357">
        <f>'BESS_Capital Costs_Nominal$'!J34/1000000</f>
        <v>2.8198595573931504</v>
      </c>
      <c r="G24" s="357">
        <f>'BESS_Capital Costs_Nominal$'!K34/1000000</f>
        <v>2.869192299824801</v>
      </c>
      <c r="H24" s="351"/>
    </row>
    <row r="25" spans="1:8" ht="14.65" customHeight="1">
      <c r="B25" s="991" t="s">
        <v>114</v>
      </c>
      <c r="C25" s="989"/>
      <c r="D25" s="998">
        <f>'BESS_Capital Costs_Nominal$'!H35/1000000</f>
        <v>11.123546763488587</v>
      </c>
      <c r="E25" s="998">
        <f>'BESS_Capital Costs_Nominal$'!I35/1000000</f>
        <v>11.123546763488587</v>
      </c>
      <c r="F25" s="998">
        <f>'BESS_Capital Costs_Nominal$'!J35/1000000</f>
        <v>11.123546763488587</v>
      </c>
      <c r="G25" s="998">
        <f>'BESS_Capital Costs_Nominal$'!K35/1000000</f>
        <v>11.123546763488587</v>
      </c>
      <c r="H25" s="988"/>
    </row>
    <row r="26" spans="1:8" ht="14.65" hidden="1" customHeight="1" outlineLevel="1">
      <c r="B26" s="336" t="s">
        <v>717</v>
      </c>
      <c r="C26" s="358"/>
      <c r="D26" s="357" t="str">
        <f>'BESS_Capital Costs_Nominal$'!H36</f>
        <v>Included</v>
      </c>
      <c r="E26" s="357" t="str">
        <f>'BESS_Capital Costs_Nominal$'!I36</f>
        <v>Included</v>
      </c>
      <c r="F26" s="357" t="str">
        <f>'BESS_Capital Costs_Nominal$'!J36</f>
        <v>Included</v>
      </c>
      <c r="G26" s="357" t="str">
        <f>'BESS_Capital Costs_Nominal$'!K36</f>
        <v>Included</v>
      </c>
      <c r="H26" s="988"/>
    </row>
    <row r="27" spans="1:8" ht="14.65" customHeight="1" collapsed="1">
      <c r="B27" s="336" t="s">
        <v>149</v>
      </c>
      <c r="C27" s="358"/>
      <c r="D27" s="357">
        <f>'BESS_Capital Costs_Nominal$'!H37/1000000</f>
        <v>4.1210000000000004</v>
      </c>
      <c r="E27" s="357">
        <f>'BESS_Capital Costs_Nominal$'!I37/1000000</f>
        <v>4.1210000000000004</v>
      </c>
      <c r="F27" s="357">
        <f>'BESS_Capital Costs_Nominal$'!J37/1000000</f>
        <v>4.1210000000000004</v>
      </c>
      <c r="G27" s="357">
        <f>'BESS_Capital Costs_Nominal$'!K37/1000000</f>
        <v>4.1210000000000004</v>
      </c>
      <c r="H27" s="351"/>
    </row>
    <row r="28" spans="1:8" ht="14.65" customHeight="1">
      <c r="B28" s="991" t="s">
        <v>150</v>
      </c>
      <c r="C28" s="989"/>
      <c r="D28" s="998">
        <f>'BESS_Capital Costs_Nominal$'!H38/1000000</f>
        <v>0.42</v>
      </c>
      <c r="E28" s="998">
        <f>'BESS_Capital Costs_Nominal$'!I38/1000000</f>
        <v>0.33800000000000002</v>
      </c>
      <c r="F28" s="998">
        <f>'BESS_Capital Costs_Nominal$'!J38/1000000</f>
        <v>0.187</v>
      </c>
      <c r="G28" s="998">
        <f>'BESS_Capital Costs_Nominal$'!K38/1000000</f>
        <v>0.35199999999999998</v>
      </c>
      <c r="H28" s="988"/>
    </row>
    <row r="29" spans="1:8" ht="14.65" customHeight="1">
      <c r="B29" s="336" t="s">
        <v>153</v>
      </c>
      <c r="C29" s="358"/>
      <c r="D29" s="357">
        <f>'BESS_Capital Costs_Nominal$'!H39/1000000</f>
        <v>3.5999999999999997E-2</v>
      </c>
      <c r="E29" s="357">
        <f>'BESS_Capital Costs_Nominal$'!I39/1000000</f>
        <v>3.4000000000000002E-2</v>
      </c>
      <c r="F29" s="357">
        <f>'BESS_Capital Costs_Nominal$'!J39/1000000</f>
        <v>3.5000000000000003E-2</v>
      </c>
      <c r="G29" s="357">
        <f>'BESS_Capital Costs_Nominal$'!K39/1000000</f>
        <v>3.5000000000000003E-2</v>
      </c>
      <c r="H29" s="351"/>
    </row>
    <row r="30" spans="1:8">
      <c r="B30" s="1175" t="s">
        <v>115</v>
      </c>
      <c r="C30" s="1176"/>
      <c r="D30" s="998">
        <f>'BESS_Capital Costs_Nominal$'!H42/1000000</f>
        <v>1.2869999999999999</v>
      </c>
      <c r="E30" s="998">
        <f>'BESS_Capital Costs_Nominal$'!I42/1000000</f>
        <v>1.25</v>
      </c>
      <c r="F30" s="998">
        <f>'BESS_Capital Costs_Nominal$'!J42/1000000</f>
        <v>1.252</v>
      </c>
      <c r="G30" s="998">
        <f>'BESS_Capital Costs_Nominal$'!K42/1000000</f>
        <v>1.27</v>
      </c>
      <c r="H30" s="1178"/>
    </row>
    <row r="31" spans="1:8" s="356" customFormat="1">
      <c r="A31" s="1711"/>
      <c r="B31" s="350" t="s">
        <v>155</v>
      </c>
      <c r="C31" s="359"/>
      <c r="D31" s="999">
        <f>'BESS_Capital Costs_Nominal$'!H43/1000000</f>
        <v>34.568749511280238</v>
      </c>
      <c r="E31" s="999">
        <f>'BESS_Capital Costs_Nominal$'!I43/1000000</f>
        <v>33.592319757515419</v>
      </c>
      <c r="F31" s="999">
        <f>'BESS_Capital Costs_Nominal$'!J43/1000000</f>
        <v>33.639677417544753</v>
      </c>
      <c r="G31" s="999">
        <f>'BESS_Capital Costs_Nominal$'!K43/1000000</f>
        <v>34.114727252740131</v>
      </c>
      <c r="H31" s="355"/>
    </row>
    <row r="32" spans="1:8" s="356" customFormat="1" ht="6" customHeight="1">
      <c r="A32" s="1711"/>
      <c r="B32" s="350"/>
      <c r="C32" s="359"/>
      <c r="D32" s="1003"/>
      <c r="E32" s="1003"/>
      <c r="F32" s="1003"/>
      <c r="G32" s="357"/>
      <c r="H32" s="355"/>
    </row>
    <row r="33" spans="1:9" s="356" customFormat="1">
      <c r="A33" s="1711"/>
      <c r="B33" s="1064" t="s">
        <v>116</v>
      </c>
      <c r="C33" s="1070"/>
      <c r="D33" s="1072">
        <f>'BESS_Capital Costs_Nominal$'!H45/1000000</f>
        <v>327.58205316634212</v>
      </c>
      <c r="E33" s="1072">
        <f>'BESS_Capital Costs_Nominal$'!I45/1000000</f>
        <v>312.35852472928639</v>
      </c>
      <c r="F33" s="1072">
        <f>'BESS_Capital Costs_Nominal$'!J45/1000000</f>
        <v>315.65740344298575</v>
      </c>
      <c r="G33" s="1072">
        <f>'BESS_Capital Costs_Nominal$'!K45/1000000</f>
        <v>320.99251773157761</v>
      </c>
      <c r="H33" s="1073"/>
    </row>
    <row r="34" spans="1:9" ht="6" customHeight="1">
      <c r="B34" s="362"/>
      <c r="C34" s="362"/>
      <c r="D34" s="1005"/>
      <c r="E34" s="1005"/>
      <c r="F34" s="1005"/>
      <c r="G34" s="363"/>
      <c r="H34" s="363"/>
    </row>
    <row r="35" spans="1:9" ht="6" customHeight="1">
      <c r="B35" s="364"/>
      <c r="C35" s="364"/>
      <c r="D35" s="1006"/>
      <c r="E35" s="1006"/>
      <c r="F35" s="1006"/>
      <c r="G35" s="360"/>
      <c r="H35" s="360"/>
    </row>
    <row r="36" spans="1:9" s="356" customFormat="1">
      <c r="A36" s="1711"/>
      <c r="B36" s="1734" t="s">
        <v>295</v>
      </c>
      <c r="C36" s="989"/>
      <c r="D36" s="1736">
        <f>'BESS_Capital Costs_Nominal$'!H45/1000000</f>
        <v>327.58205316634212</v>
      </c>
      <c r="E36" s="1736">
        <f>'BESS_Capital Costs_Nominal$'!I45/1000000</f>
        <v>312.35852472928639</v>
      </c>
      <c r="F36" s="1736">
        <f>'BESS_Capital Costs_Nominal$'!J45/1000000</f>
        <v>315.65740344298575</v>
      </c>
      <c r="G36" s="1736">
        <f>'BESS_Capital Costs_Nominal$'!K45/1000000</f>
        <v>320.99251773157761</v>
      </c>
      <c r="H36" s="365"/>
    </row>
    <row r="37" spans="1:9">
      <c r="B37" s="1735" t="s">
        <v>157</v>
      </c>
      <c r="C37" s="358"/>
      <c r="D37" s="1737">
        <f>'BESS_Capital Costs_Nominal$'!H49</f>
        <v>1637.9102658317106</v>
      </c>
      <c r="E37" s="1737">
        <f>'BESS_Capital Costs_Nominal$'!I49</f>
        <v>1561.7926236464318</v>
      </c>
      <c r="F37" s="1737">
        <f>'BESS_Capital Costs_Nominal$'!J49</f>
        <v>1578.2870172149289</v>
      </c>
      <c r="G37" s="1737">
        <f>'BESS_Capital Costs_Nominal$'!K49</f>
        <v>1604.9625886578881</v>
      </c>
      <c r="H37" s="365"/>
    </row>
    <row r="38" spans="1:9">
      <c r="B38" s="1734" t="s">
        <v>824</v>
      </c>
      <c r="C38" s="989"/>
      <c r="D38" s="1736">
        <f>'BESS_Capital Costs_Nominal$'!H51</f>
        <v>1725.4618663364367</v>
      </c>
      <c r="E38" s="1736">
        <f>'BESS_Capital Costs_Nominal$'!I51</f>
        <v>1645.9718254063998</v>
      </c>
      <c r="F38" s="1736">
        <f>'BESS_Capital Costs_Nominal$'!J51</f>
        <v>1662.9785124215016</v>
      </c>
      <c r="G38" s="1736">
        <f>'BESS_Capital Costs_Nominal$'!K51</f>
        <v>1691.0855054033525</v>
      </c>
      <c r="H38" s="365"/>
      <c r="I38" s="1095" t="s">
        <v>310</v>
      </c>
    </row>
    <row r="39" spans="1:9">
      <c r="B39" s="1735" t="s">
        <v>820</v>
      </c>
      <c r="C39" s="358"/>
      <c r="D39" s="1737">
        <f>'BESS_Capital Costs_Nominal$'!H50</f>
        <v>409.47756645792765</v>
      </c>
      <c r="E39" s="1737">
        <f>'BESS_Capital Costs_Nominal$'!I50</f>
        <v>390.44815591160796</v>
      </c>
      <c r="F39" s="1737">
        <f>'BESS_Capital Costs_Nominal$'!J50</f>
        <v>394.57175430373223</v>
      </c>
      <c r="G39" s="1737">
        <f>'BESS_Capital Costs_Nominal$'!K50</f>
        <v>401.24064716447202</v>
      </c>
      <c r="H39" s="365"/>
    </row>
    <row r="40" spans="1:9" ht="6" customHeight="1" thickBot="1">
      <c r="B40" s="366"/>
      <c r="C40" s="366"/>
      <c r="D40" s="367"/>
      <c r="E40" s="367"/>
      <c r="F40" s="367"/>
      <c r="G40" s="367"/>
      <c r="H40" s="367"/>
    </row>
    <row r="41" spans="1:9" ht="6" customHeight="1" thickTop="1">
      <c r="B41" s="350" t="s">
        <v>123</v>
      </c>
      <c r="C41" s="350"/>
      <c r="D41" s="368"/>
      <c r="E41" s="368"/>
      <c r="F41" s="368"/>
      <c r="G41" s="368"/>
      <c r="H41" s="368"/>
    </row>
    <row r="42" spans="1:9">
      <c r="B42" s="369"/>
      <c r="C42" s="369"/>
      <c r="D42" s="370"/>
      <c r="E42" s="370"/>
      <c r="F42" s="370"/>
      <c r="G42" s="370"/>
      <c r="H42" s="370"/>
    </row>
    <row r="43" spans="1:9">
      <c r="B43" s="371"/>
      <c r="C43" s="371"/>
      <c r="D43" s="370"/>
      <c r="E43" s="370"/>
      <c r="F43" s="370"/>
      <c r="G43" s="370" t="s">
        <v>489</v>
      </c>
      <c r="H43" s="370"/>
    </row>
    <row r="44" spans="1:9">
      <c r="B44" s="371"/>
      <c r="C44" s="371"/>
      <c r="D44" s="370"/>
      <c r="E44" s="370"/>
      <c r="F44" s="370"/>
      <c r="G44" s="370"/>
      <c r="H44" s="370"/>
    </row>
    <row r="45" spans="1:9">
      <c r="B45" s="371"/>
      <c r="C45" s="371"/>
      <c r="D45" s="371"/>
      <c r="E45" s="371"/>
      <c r="F45" s="371"/>
      <c r="G45" s="371"/>
      <c r="H45" s="371"/>
    </row>
    <row r="46" spans="1:9">
      <c r="B46" s="371"/>
      <c r="C46" s="371"/>
      <c r="D46" s="371"/>
      <c r="E46" s="371"/>
      <c r="F46" s="371"/>
      <c r="G46" s="371"/>
      <c r="H46" s="371"/>
    </row>
    <row r="47" spans="1:9">
      <c r="B47" s="371"/>
      <c r="C47" s="371"/>
      <c r="D47" s="371"/>
      <c r="E47" s="371"/>
      <c r="F47" s="371"/>
      <c r="G47" s="371"/>
      <c r="H47" s="371"/>
    </row>
    <row r="48" spans="1:9">
      <c r="B48" s="371"/>
      <c r="C48" s="371"/>
      <c r="D48" s="371"/>
      <c r="E48" s="371"/>
      <c r="F48" s="371"/>
      <c r="G48" s="371"/>
      <c r="H48" s="371"/>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CJ94"/>
  <sheetViews>
    <sheetView zoomScaleNormal="100" workbookViewId="0">
      <selection activeCell="I15" sqref="I15"/>
    </sheetView>
  </sheetViews>
  <sheetFormatPr defaultRowHeight="15" outlineLevelRow="1"/>
  <cols>
    <col min="1" max="1" width="5.28515625" style="372" customWidth="1"/>
    <col min="2" max="2" width="36.85546875" style="372" customWidth="1"/>
    <col min="3" max="3" width="10.7109375" style="374" customWidth="1" collapsed="1"/>
    <col min="4" max="4" width="10.7109375" style="374" customWidth="1"/>
    <col min="5" max="5" width="11.7109375" style="374" customWidth="1"/>
    <col min="6" max="6" width="10.7109375" style="374" customWidth="1"/>
    <col min="7" max="7" width="1.7109375" style="374" customWidth="1"/>
    <col min="8" max="8" width="1.7109375" style="372" customWidth="1"/>
    <col min="9" max="9" width="38.85546875" style="372" customWidth="1"/>
    <col min="10" max="11" width="13.7109375" style="372" customWidth="1"/>
    <col min="12" max="12" width="1.7109375" style="372" customWidth="1"/>
    <col min="13" max="15" width="13.7109375" style="372" customWidth="1"/>
    <col min="16" max="250" width="8.85546875" style="372"/>
    <col min="251" max="251" width="35" style="372" customWidth="1"/>
    <col min="252" max="255" width="14.42578125" style="372" customWidth="1"/>
    <col min="256" max="256" width="2.42578125" style="372" customWidth="1"/>
    <col min="257" max="260" width="14.42578125" style="372" customWidth="1"/>
    <col min="261" max="261" width="2.42578125" style="372" customWidth="1"/>
    <col min="262" max="262" width="52.28515625" style="372" customWidth="1"/>
    <col min="263" max="506" width="8.85546875" style="372"/>
    <col min="507" max="507" width="35" style="372" customWidth="1"/>
    <col min="508" max="511" width="14.42578125" style="372" customWidth="1"/>
    <col min="512" max="512" width="2.42578125" style="372" customWidth="1"/>
    <col min="513" max="516" width="14.42578125" style="372" customWidth="1"/>
    <col min="517" max="517" width="2.42578125" style="372" customWidth="1"/>
    <col min="518" max="518" width="52.28515625" style="372" customWidth="1"/>
    <col min="519" max="762" width="8.85546875" style="372"/>
    <col min="763" max="763" width="35" style="372" customWidth="1"/>
    <col min="764" max="767" width="14.42578125" style="372" customWidth="1"/>
    <col min="768" max="768" width="2.42578125" style="372" customWidth="1"/>
    <col min="769" max="772" width="14.42578125" style="372" customWidth="1"/>
    <col min="773" max="773" width="2.42578125" style="372" customWidth="1"/>
    <col min="774" max="774" width="52.28515625" style="372" customWidth="1"/>
    <col min="775" max="1018" width="8.85546875" style="372"/>
    <col min="1019" max="1019" width="35" style="372" customWidth="1"/>
    <col min="1020" max="1023" width="14.42578125" style="372" customWidth="1"/>
    <col min="1024" max="1024" width="2.42578125" style="372" customWidth="1"/>
    <col min="1025" max="1028" width="14.42578125" style="372" customWidth="1"/>
    <col min="1029" max="1029" width="2.42578125" style="372" customWidth="1"/>
    <col min="1030" max="1030" width="52.28515625" style="372" customWidth="1"/>
    <col min="1031" max="1274" width="8.85546875" style="372"/>
    <col min="1275" max="1275" width="35" style="372" customWidth="1"/>
    <col min="1276" max="1279" width="14.42578125" style="372" customWidth="1"/>
    <col min="1280" max="1280" width="2.42578125" style="372" customWidth="1"/>
    <col min="1281" max="1284" width="14.42578125" style="372" customWidth="1"/>
    <col min="1285" max="1285" width="2.42578125" style="372" customWidth="1"/>
    <col min="1286" max="1286" width="52.28515625" style="372" customWidth="1"/>
    <col min="1287" max="1530" width="8.85546875" style="372"/>
    <col min="1531" max="1531" width="35" style="372" customWidth="1"/>
    <col min="1532" max="1535" width="14.42578125" style="372" customWidth="1"/>
    <col min="1536" max="1536" width="2.42578125" style="372" customWidth="1"/>
    <col min="1537" max="1540" width="14.42578125" style="372" customWidth="1"/>
    <col min="1541" max="1541" width="2.42578125" style="372" customWidth="1"/>
    <col min="1542" max="1542" width="52.28515625" style="372" customWidth="1"/>
    <col min="1543" max="1786" width="8.85546875" style="372"/>
    <col min="1787" max="1787" width="35" style="372" customWidth="1"/>
    <col min="1788" max="1791" width="14.42578125" style="372" customWidth="1"/>
    <col min="1792" max="1792" width="2.42578125" style="372" customWidth="1"/>
    <col min="1793" max="1796" width="14.42578125" style="372" customWidth="1"/>
    <col min="1797" max="1797" width="2.42578125" style="372" customWidth="1"/>
    <col min="1798" max="1798" width="52.28515625" style="372" customWidth="1"/>
    <col min="1799" max="2042" width="8.85546875" style="372"/>
    <col min="2043" max="2043" width="35" style="372" customWidth="1"/>
    <col min="2044" max="2047" width="14.42578125" style="372" customWidth="1"/>
    <col min="2048" max="2048" width="2.42578125" style="372" customWidth="1"/>
    <col min="2049" max="2052" width="14.42578125" style="372" customWidth="1"/>
    <col min="2053" max="2053" width="2.42578125" style="372" customWidth="1"/>
    <col min="2054" max="2054" width="52.28515625" style="372" customWidth="1"/>
    <col min="2055" max="2298" width="8.85546875" style="372"/>
    <col min="2299" max="2299" width="35" style="372" customWidth="1"/>
    <col min="2300" max="2303" width="14.42578125" style="372" customWidth="1"/>
    <col min="2304" max="2304" width="2.42578125" style="372" customWidth="1"/>
    <col min="2305" max="2308" width="14.42578125" style="372" customWidth="1"/>
    <col min="2309" max="2309" width="2.42578125" style="372" customWidth="1"/>
    <col min="2310" max="2310" width="52.28515625" style="372" customWidth="1"/>
    <col min="2311" max="2554" width="8.85546875" style="372"/>
    <col min="2555" max="2555" width="35" style="372" customWidth="1"/>
    <col min="2556" max="2559" width="14.42578125" style="372" customWidth="1"/>
    <col min="2560" max="2560" width="2.42578125" style="372" customWidth="1"/>
    <col min="2561" max="2564" width="14.42578125" style="372" customWidth="1"/>
    <col min="2565" max="2565" width="2.42578125" style="372" customWidth="1"/>
    <col min="2566" max="2566" width="52.28515625" style="372" customWidth="1"/>
    <col min="2567" max="2810" width="8.85546875" style="372"/>
    <col min="2811" max="2811" width="35" style="372" customWidth="1"/>
    <col min="2812" max="2815" width="14.42578125" style="372" customWidth="1"/>
    <col min="2816" max="2816" width="2.42578125" style="372" customWidth="1"/>
    <col min="2817" max="2820" width="14.42578125" style="372" customWidth="1"/>
    <col min="2821" max="2821" width="2.42578125" style="372" customWidth="1"/>
    <col min="2822" max="2822" width="52.28515625" style="372" customWidth="1"/>
    <col min="2823" max="3066" width="8.85546875" style="372"/>
    <col min="3067" max="3067" width="35" style="372" customWidth="1"/>
    <col min="3068" max="3071" width="14.42578125" style="372" customWidth="1"/>
    <col min="3072" max="3072" width="2.42578125" style="372" customWidth="1"/>
    <col min="3073" max="3076" width="14.42578125" style="372" customWidth="1"/>
    <col min="3077" max="3077" width="2.42578125" style="372" customWidth="1"/>
    <col min="3078" max="3078" width="52.28515625" style="372" customWidth="1"/>
    <col min="3079" max="3322" width="8.85546875" style="372"/>
    <col min="3323" max="3323" width="35" style="372" customWidth="1"/>
    <col min="3324" max="3327" width="14.42578125" style="372" customWidth="1"/>
    <col min="3328" max="3328" width="2.42578125" style="372" customWidth="1"/>
    <col min="3329" max="3332" width="14.42578125" style="372" customWidth="1"/>
    <col min="3333" max="3333" width="2.42578125" style="372" customWidth="1"/>
    <col min="3334" max="3334" width="52.28515625" style="372" customWidth="1"/>
    <col min="3335" max="3578" width="8.85546875" style="372"/>
    <col min="3579" max="3579" width="35" style="372" customWidth="1"/>
    <col min="3580" max="3583" width="14.42578125" style="372" customWidth="1"/>
    <col min="3584" max="3584" width="2.42578125" style="372" customWidth="1"/>
    <col min="3585" max="3588" width="14.42578125" style="372" customWidth="1"/>
    <col min="3589" max="3589" width="2.42578125" style="372" customWidth="1"/>
    <col min="3590" max="3590" width="52.28515625" style="372" customWidth="1"/>
    <col min="3591" max="3834" width="8.85546875" style="372"/>
    <col min="3835" max="3835" width="35" style="372" customWidth="1"/>
    <col min="3836" max="3839" width="14.42578125" style="372" customWidth="1"/>
    <col min="3840" max="3840" width="2.42578125" style="372" customWidth="1"/>
    <col min="3841" max="3844" width="14.42578125" style="372" customWidth="1"/>
    <col min="3845" max="3845" width="2.42578125" style="372" customWidth="1"/>
    <col min="3846" max="3846" width="52.28515625" style="372" customWidth="1"/>
    <col min="3847" max="4090" width="8.85546875" style="372"/>
    <col min="4091" max="4091" width="35" style="372" customWidth="1"/>
    <col min="4092" max="4095" width="14.42578125" style="372" customWidth="1"/>
    <col min="4096" max="4096" width="2.42578125" style="372" customWidth="1"/>
    <col min="4097" max="4100" width="14.42578125" style="372" customWidth="1"/>
    <col min="4101" max="4101" width="2.42578125" style="372" customWidth="1"/>
    <col min="4102" max="4102" width="52.28515625" style="372" customWidth="1"/>
    <col min="4103" max="4346" width="8.85546875" style="372"/>
    <col min="4347" max="4347" width="35" style="372" customWidth="1"/>
    <col min="4348" max="4351" width="14.42578125" style="372" customWidth="1"/>
    <col min="4352" max="4352" width="2.42578125" style="372" customWidth="1"/>
    <col min="4353" max="4356" width="14.42578125" style="372" customWidth="1"/>
    <col min="4357" max="4357" width="2.42578125" style="372" customWidth="1"/>
    <col min="4358" max="4358" width="52.28515625" style="372" customWidth="1"/>
    <col min="4359" max="4602" width="8.85546875" style="372"/>
    <col min="4603" max="4603" width="35" style="372" customWidth="1"/>
    <col min="4604" max="4607" width="14.42578125" style="372" customWidth="1"/>
    <col min="4608" max="4608" width="2.42578125" style="372" customWidth="1"/>
    <col min="4609" max="4612" width="14.42578125" style="372" customWidth="1"/>
    <col min="4613" max="4613" width="2.42578125" style="372" customWidth="1"/>
    <col min="4614" max="4614" width="52.28515625" style="372" customWidth="1"/>
    <col min="4615" max="4858" width="8.85546875" style="372"/>
    <col min="4859" max="4859" width="35" style="372" customWidth="1"/>
    <col min="4860" max="4863" width="14.42578125" style="372" customWidth="1"/>
    <col min="4864" max="4864" width="2.42578125" style="372" customWidth="1"/>
    <col min="4865" max="4868" width="14.42578125" style="372" customWidth="1"/>
    <col min="4869" max="4869" width="2.42578125" style="372" customWidth="1"/>
    <col min="4870" max="4870" width="52.28515625" style="372" customWidth="1"/>
    <col min="4871" max="5114" width="8.85546875" style="372"/>
    <col min="5115" max="5115" width="35" style="372" customWidth="1"/>
    <col min="5116" max="5119" width="14.42578125" style="372" customWidth="1"/>
    <col min="5120" max="5120" width="2.42578125" style="372" customWidth="1"/>
    <col min="5121" max="5124" width="14.42578125" style="372" customWidth="1"/>
    <col min="5125" max="5125" width="2.42578125" style="372" customWidth="1"/>
    <col min="5126" max="5126" width="52.28515625" style="372" customWidth="1"/>
    <col min="5127" max="5370" width="8.85546875" style="372"/>
    <col min="5371" max="5371" width="35" style="372" customWidth="1"/>
    <col min="5372" max="5375" width="14.42578125" style="372" customWidth="1"/>
    <col min="5376" max="5376" width="2.42578125" style="372" customWidth="1"/>
    <col min="5377" max="5380" width="14.42578125" style="372" customWidth="1"/>
    <col min="5381" max="5381" width="2.42578125" style="372" customWidth="1"/>
    <col min="5382" max="5382" width="52.28515625" style="372" customWidth="1"/>
    <col min="5383" max="5626" width="8.85546875" style="372"/>
    <col min="5627" max="5627" width="35" style="372" customWidth="1"/>
    <col min="5628" max="5631" width="14.42578125" style="372" customWidth="1"/>
    <col min="5632" max="5632" width="2.42578125" style="372" customWidth="1"/>
    <col min="5633" max="5636" width="14.42578125" style="372" customWidth="1"/>
    <col min="5637" max="5637" width="2.42578125" style="372" customWidth="1"/>
    <col min="5638" max="5638" width="52.28515625" style="372" customWidth="1"/>
    <col min="5639" max="5882" width="8.85546875" style="372"/>
    <col min="5883" max="5883" width="35" style="372" customWidth="1"/>
    <col min="5884" max="5887" width="14.42578125" style="372" customWidth="1"/>
    <col min="5888" max="5888" width="2.42578125" style="372" customWidth="1"/>
    <col min="5889" max="5892" width="14.42578125" style="372" customWidth="1"/>
    <col min="5893" max="5893" width="2.42578125" style="372" customWidth="1"/>
    <col min="5894" max="5894" width="52.28515625" style="372" customWidth="1"/>
    <col min="5895" max="6138" width="8.85546875" style="372"/>
    <col min="6139" max="6139" width="35" style="372" customWidth="1"/>
    <col min="6140" max="6143" width="14.42578125" style="372" customWidth="1"/>
    <col min="6144" max="6144" width="2.42578125" style="372" customWidth="1"/>
    <col min="6145" max="6148" width="14.42578125" style="372" customWidth="1"/>
    <col min="6149" max="6149" width="2.42578125" style="372" customWidth="1"/>
    <col min="6150" max="6150" width="52.28515625" style="372" customWidth="1"/>
    <col min="6151" max="6394" width="8.85546875" style="372"/>
    <col min="6395" max="6395" width="35" style="372" customWidth="1"/>
    <col min="6396" max="6399" width="14.42578125" style="372" customWidth="1"/>
    <col min="6400" max="6400" width="2.42578125" style="372" customWidth="1"/>
    <col min="6401" max="6404" width="14.42578125" style="372" customWidth="1"/>
    <col min="6405" max="6405" width="2.42578125" style="372" customWidth="1"/>
    <col min="6406" max="6406" width="52.28515625" style="372" customWidth="1"/>
    <col min="6407" max="6650" width="8.85546875" style="372"/>
    <col min="6651" max="6651" width="35" style="372" customWidth="1"/>
    <col min="6652" max="6655" width="14.42578125" style="372" customWidth="1"/>
    <col min="6656" max="6656" width="2.42578125" style="372" customWidth="1"/>
    <col min="6657" max="6660" width="14.42578125" style="372" customWidth="1"/>
    <col min="6661" max="6661" width="2.42578125" style="372" customWidth="1"/>
    <col min="6662" max="6662" width="52.28515625" style="372" customWidth="1"/>
    <col min="6663" max="6906" width="8.85546875" style="372"/>
    <col min="6907" max="6907" width="35" style="372" customWidth="1"/>
    <col min="6908" max="6911" width="14.42578125" style="372" customWidth="1"/>
    <col min="6912" max="6912" width="2.42578125" style="372" customWidth="1"/>
    <col min="6913" max="6916" width="14.42578125" style="372" customWidth="1"/>
    <col min="6917" max="6917" width="2.42578125" style="372" customWidth="1"/>
    <col min="6918" max="6918" width="52.28515625" style="372" customWidth="1"/>
    <col min="6919" max="7162" width="8.85546875" style="372"/>
    <col min="7163" max="7163" width="35" style="372" customWidth="1"/>
    <col min="7164" max="7167" width="14.42578125" style="372" customWidth="1"/>
    <col min="7168" max="7168" width="2.42578125" style="372" customWidth="1"/>
    <col min="7169" max="7172" width="14.42578125" style="372" customWidth="1"/>
    <col min="7173" max="7173" width="2.42578125" style="372" customWidth="1"/>
    <col min="7174" max="7174" width="52.28515625" style="372" customWidth="1"/>
    <col min="7175" max="7418" width="8.85546875" style="372"/>
    <col min="7419" max="7419" width="35" style="372" customWidth="1"/>
    <col min="7420" max="7423" width="14.42578125" style="372" customWidth="1"/>
    <col min="7424" max="7424" width="2.42578125" style="372" customWidth="1"/>
    <col min="7425" max="7428" width="14.42578125" style="372" customWidth="1"/>
    <col min="7429" max="7429" width="2.42578125" style="372" customWidth="1"/>
    <col min="7430" max="7430" width="52.28515625" style="372" customWidth="1"/>
    <col min="7431" max="7674" width="8.85546875" style="372"/>
    <col min="7675" max="7675" width="35" style="372" customWidth="1"/>
    <col min="7676" max="7679" width="14.42578125" style="372" customWidth="1"/>
    <col min="7680" max="7680" width="2.42578125" style="372" customWidth="1"/>
    <col min="7681" max="7684" width="14.42578125" style="372" customWidth="1"/>
    <col min="7685" max="7685" width="2.42578125" style="372" customWidth="1"/>
    <col min="7686" max="7686" width="52.28515625" style="372" customWidth="1"/>
    <col min="7687" max="7930" width="8.85546875" style="372"/>
    <col min="7931" max="7931" width="35" style="372" customWidth="1"/>
    <col min="7932" max="7935" width="14.42578125" style="372" customWidth="1"/>
    <col min="7936" max="7936" width="2.42578125" style="372" customWidth="1"/>
    <col min="7937" max="7940" width="14.42578125" style="372" customWidth="1"/>
    <col min="7941" max="7941" width="2.42578125" style="372" customWidth="1"/>
    <col min="7942" max="7942" width="52.28515625" style="372" customWidth="1"/>
    <col min="7943" max="8186" width="8.85546875" style="372"/>
    <col min="8187" max="8187" width="35" style="372" customWidth="1"/>
    <col min="8188" max="8191" width="14.42578125" style="372" customWidth="1"/>
    <col min="8192" max="8192" width="2.42578125" style="372" customWidth="1"/>
    <col min="8193" max="8196" width="14.42578125" style="372" customWidth="1"/>
    <col min="8197" max="8197" width="2.42578125" style="372" customWidth="1"/>
    <col min="8198" max="8198" width="52.28515625" style="372" customWidth="1"/>
    <col min="8199" max="8442" width="8.85546875" style="372"/>
    <col min="8443" max="8443" width="35" style="372" customWidth="1"/>
    <col min="8444" max="8447" width="14.42578125" style="372" customWidth="1"/>
    <col min="8448" max="8448" width="2.42578125" style="372" customWidth="1"/>
    <col min="8449" max="8452" width="14.42578125" style="372" customWidth="1"/>
    <col min="8453" max="8453" width="2.42578125" style="372" customWidth="1"/>
    <col min="8454" max="8454" width="52.28515625" style="372" customWidth="1"/>
    <col min="8455" max="8698" width="8.85546875" style="372"/>
    <col min="8699" max="8699" width="35" style="372" customWidth="1"/>
    <col min="8700" max="8703" width="14.42578125" style="372" customWidth="1"/>
    <col min="8704" max="8704" width="2.42578125" style="372" customWidth="1"/>
    <col min="8705" max="8708" width="14.42578125" style="372" customWidth="1"/>
    <col min="8709" max="8709" width="2.42578125" style="372" customWidth="1"/>
    <col min="8710" max="8710" width="52.28515625" style="372" customWidth="1"/>
    <col min="8711" max="8954" width="8.85546875" style="372"/>
    <col min="8955" max="8955" width="35" style="372" customWidth="1"/>
    <col min="8956" max="8959" width="14.42578125" style="372" customWidth="1"/>
    <col min="8960" max="8960" width="2.42578125" style="372" customWidth="1"/>
    <col min="8961" max="8964" width="14.42578125" style="372" customWidth="1"/>
    <col min="8965" max="8965" width="2.42578125" style="372" customWidth="1"/>
    <col min="8966" max="8966" width="52.28515625" style="372" customWidth="1"/>
    <col min="8967" max="9210" width="8.85546875" style="372"/>
    <col min="9211" max="9211" width="35" style="372" customWidth="1"/>
    <col min="9212" max="9215" width="14.42578125" style="372" customWidth="1"/>
    <col min="9216" max="9216" width="2.42578125" style="372" customWidth="1"/>
    <col min="9217" max="9220" width="14.42578125" style="372" customWidth="1"/>
    <col min="9221" max="9221" width="2.42578125" style="372" customWidth="1"/>
    <col min="9222" max="9222" width="52.28515625" style="372" customWidth="1"/>
    <col min="9223" max="9466" width="8.85546875" style="372"/>
    <col min="9467" max="9467" width="35" style="372" customWidth="1"/>
    <col min="9468" max="9471" width="14.42578125" style="372" customWidth="1"/>
    <col min="9472" max="9472" width="2.42578125" style="372" customWidth="1"/>
    <col min="9473" max="9476" width="14.42578125" style="372" customWidth="1"/>
    <col min="9477" max="9477" width="2.42578125" style="372" customWidth="1"/>
    <col min="9478" max="9478" width="52.28515625" style="372" customWidth="1"/>
    <col min="9479" max="9722" width="8.85546875" style="372"/>
    <col min="9723" max="9723" width="35" style="372" customWidth="1"/>
    <col min="9724" max="9727" width="14.42578125" style="372" customWidth="1"/>
    <col min="9728" max="9728" width="2.42578125" style="372" customWidth="1"/>
    <col min="9729" max="9732" width="14.42578125" style="372" customWidth="1"/>
    <col min="9733" max="9733" width="2.42578125" style="372" customWidth="1"/>
    <col min="9734" max="9734" width="52.28515625" style="372" customWidth="1"/>
    <col min="9735" max="9978" width="8.85546875" style="372"/>
    <col min="9979" max="9979" width="35" style="372" customWidth="1"/>
    <col min="9980" max="9983" width="14.42578125" style="372" customWidth="1"/>
    <col min="9984" max="9984" width="2.42578125" style="372" customWidth="1"/>
    <col min="9985" max="9988" width="14.42578125" style="372" customWidth="1"/>
    <col min="9989" max="9989" width="2.42578125" style="372" customWidth="1"/>
    <col min="9990" max="9990" width="52.28515625" style="372" customWidth="1"/>
    <col min="9991" max="10234" width="8.85546875" style="372"/>
    <col min="10235" max="10235" width="35" style="372" customWidth="1"/>
    <col min="10236" max="10239" width="14.42578125" style="372" customWidth="1"/>
    <col min="10240" max="10240" width="2.42578125" style="372" customWidth="1"/>
    <col min="10241" max="10244" width="14.42578125" style="372" customWidth="1"/>
    <col min="10245" max="10245" width="2.42578125" style="372" customWidth="1"/>
    <col min="10246" max="10246" width="52.28515625" style="372" customWidth="1"/>
    <col min="10247" max="10490" width="8.85546875" style="372"/>
    <col min="10491" max="10491" width="35" style="372" customWidth="1"/>
    <col min="10492" max="10495" width="14.42578125" style="372" customWidth="1"/>
    <col min="10496" max="10496" width="2.42578125" style="372" customWidth="1"/>
    <col min="10497" max="10500" width="14.42578125" style="372" customWidth="1"/>
    <col min="10501" max="10501" width="2.42578125" style="372" customWidth="1"/>
    <col min="10502" max="10502" width="52.28515625" style="372" customWidth="1"/>
    <col min="10503" max="10746" width="8.85546875" style="372"/>
    <col min="10747" max="10747" width="35" style="372" customWidth="1"/>
    <col min="10748" max="10751" width="14.42578125" style="372" customWidth="1"/>
    <col min="10752" max="10752" width="2.42578125" style="372" customWidth="1"/>
    <col min="10753" max="10756" width="14.42578125" style="372" customWidth="1"/>
    <col min="10757" max="10757" width="2.42578125" style="372" customWidth="1"/>
    <col min="10758" max="10758" width="52.28515625" style="372" customWidth="1"/>
    <col min="10759" max="11002" width="8.85546875" style="372"/>
    <col min="11003" max="11003" width="35" style="372" customWidth="1"/>
    <col min="11004" max="11007" width="14.42578125" style="372" customWidth="1"/>
    <col min="11008" max="11008" width="2.42578125" style="372" customWidth="1"/>
    <col min="11009" max="11012" width="14.42578125" style="372" customWidth="1"/>
    <col min="11013" max="11013" width="2.42578125" style="372" customWidth="1"/>
    <col min="11014" max="11014" width="52.28515625" style="372" customWidth="1"/>
    <col min="11015" max="11258" width="8.85546875" style="372"/>
    <col min="11259" max="11259" width="35" style="372" customWidth="1"/>
    <col min="11260" max="11263" width="14.42578125" style="372" customWidth="1"/>
    <col min="11264" max="11264" width="2.42578125" style="372" customWidth="1"/>
    <col min="11265" max="11268" width="14.42578125" style="372" customWidth="1"/>
    <col min="11269" max="11269" width="2.42578125" style="372" customWidth="1"/>
    <col min="11270" max="11270" width="52.28515625" style="372" customWidth="1"/>
    <col min="11271" max="11514" width="8.85546875" style="372"/>
    <col min="11515" max="11515" width="35" style="372" customWidth="1"/>
    <col min="11516" max="11519" width="14.42578125" style="372" customWidth="1"/>
    <col min="11520" max="11520" width="2.42578125" style="372" customWidth="1"/>
    <col min="11521" max="11524" width="14.42578125" style="372" customWidth="1"/>
    <col min="11525" max="11525" width="2.42578125" style="372" customWidth="1"/>
    <col min="11526" max="11526" width="52.28515625" style="372" customWidth="1"/>
    <col min="11527" max="11770" width="8.85546875" style="372"/>
    <col min="11771" max="11771" width="35" style="372" customWidth="1"/>
    <col min="11772" max="11775" width="14.42578125" style="372" customWidth="1"/>
    <col min="11776" max="11776" width="2.42578125" style="372" customWidth="1"/>
    <col min="11777" max="11780" width="14.42578125" style="372" customWidth="1"/>
    <col min="11781" max="11781" width="2.42578125" style="372" customWidth="1"/>
    <col min="11782" max="11782" width="52.28515625" style="372" customWidth="1"/>
    <col min="11783" max="12026" width="8.85546875" style="372"/>
    <col min="12027" max="12027" width="35" style="372" customWidth="1"/>
    <col min="12028" max="12031" width="14.42578125" style="372" customWidth="1"/>
    <col min="12032" max="12032" width="2.42578125" style="372" customWidth="1"/>
    <col min="12033" max="12036" width="14.42578125" style="372" customWidth="1"/>
    <col min="12037" max="12037" width="2.42578125" style="372" customWidth="1"/>
    <col min="12038" max="12038" width="52.28515625" style="372" customWidth="1"/>
    <col min="12039" max="12282" width="8.85546875" style="372"/>
    <col min="12283" max="12283" width="35" style="372" customWidth="1"/>
    <col min="12284" max="12287" width="14.42578125" style="372" customWidth="1"/>
    <col min="12288" max="12288" width="2.42578125" style="372" customWidth="1"/>
    <col min="12289" max="12292" width="14.42578125" style="372" customWidth="1"/>
    <col min="12293" max="12293" width="2.42578125" style="372" customWidth="1"/>
    <col min="12294" max="12294" width="52.28515625" style="372" customWidth="1"/>
    <col min="12295" max="12538" width="8.85546875" style="372"/>
    <col min="12539" max="12539" width="35" style="372" customWidth="1"/>
    <col min="12540" max="12543" width="14.42578125" style="372" customWidth="1"/>
    <col min="12544" max="12544" width="2.42578125" style="372" customWidth="1"/>
    <col min="12545" max="12548" width="14.42578125" style="372" customWidth="1"/>
    <col min="12549" max="12549" width="2.42578125" style="372" customWidth="1"/>
    <col min="12550" max="12550" width="52.28515625" style="372" customWidth="1"/>
    <col min="12551" max="12794" width="8.85546875" style="372"/>
    <col min="12795" max="12795" width="35" style="372" customWidth="1"/>
    <col min="12796" max="12799" width="14.42578125" style="372" customWidth="1"/>
    <col min="12800" max="12800" width="2.42578125" style="372" customWidth="1"/>
    <col min="12801" max="12804" width="14.42578125" style="372" customWidth="1"/>
    <col min="12805" max="12805" width="2.42578125" style="372" customWidth="1"/>
    <col min="12806" max="12806" width="52.28515625" style="372" customWidth="1"/>
    <col min="12807" max="13050" width="8.85546875" style="372"/>
    <col min="13051" max="13051" width="35" style="372" customWidth="1"/>
    <col min="13052" max="13055" width="14.42578125" style="372" customWidth="1"/>
    <col min="13056" max="13056" width="2.42578125" style="372" customWidth="1"/>
    <col min="13057" max="13060" width="14.42578125" style="372" customWidth="1"/>
    <col min="13061" max="13061" width="2.42578125" style="372" customWidth="1"/>
    <col min="13062" max="13062" width="52.28515625" style="372" customWidth="1"/>
    <col min="13063" max="13306" width="8.85546875" style="372"/>
    <col min="13307" max="13307" width="35" style="372" customWidth="1"/>
    <col min="13308" max="13311" width="14.42578125" style="372" customWidth="1"/>
    <col min="13312" max="13312" width="2.42578125" style="372" customWidth="1"/>
    <col min="13313" max="13316" width="14.42578125" style="372" customWidth="1"/>
    <col min="13317" max="13317" width="2.42578125" style="372" customWidth="1"/>
    <col min="13318" max="13318" width="52.28515625" style="372" customWidth="1"/>
    <col min="13319" max="13562" width="8.85546875" style="372"/>
    <col min="13563" max="13563" width="35" style="372" customWidth="1"/>
    <col min="13564" max="13567" width="14.42578125" style="372" customWidth="1"/>
    <col min="13568" max="13568" width="2.42578125" style="372" customWidth="1"/>
    <col min="13569" max="13572" width="14.42578125" style="372" customWidth="1"/>
    <col min="13573" max="13573" width="2.42578125" style="372" customWidth="1"/>
    <col min="13574" max="13574" width="52.28515625" style="372" customWidth="1"/>
    <col min="13575" max="13818" width="8.85546875" style="372"/>
    <col min="13819" max="13819" width="35" style="372" customWidth="1"/>
    <col min="13820" max="13823" width="14.42578125" style="372" customWidth="1"/>
    <col min="13824" max="13824" width="2.42578125" style="372" customWidth="1"/>
    <col min="13825" max="13828" width="14.42578125" style="372" customWidth="1"/>
    <col min="13829" max="13829" width="2.42578125" style="372" customWidth="1"/>
    <col min="13830" max="13830" width="52.28515625" style="372" customWidth="1"/>
    <col min="13831" max="14074" width="8.85546875" style="372"/>
    <col min="14075" max="14075" width="35" style="372" customWidth="1"/>
    <col min="14076" max="14079" width="14.42578125" style="372" customWidth="1"/>
    <col min="14080" max="14080" width="2.42578125" style="372" customWidth="1"/>
    <col min="14081" max="14084" width="14.42578125" style="372" customWidth="1"/>
    <col min="14085" max="14085" width="2.42578125" style="372" customWidth="1"/>
    <col min="14086" max="14086" width="52.28515625" style="372" customWidth="1"/>
    <col min="14087" max="14330" width="8.85546875" style="372"/>
    <col min="14331" max="14331" width="35" style="372" customWidth="1"/>
    <col min="14332" max="14335" width="14.42578125" style="372" customWidth="1"/>
    <col min="14336" max="14336" width="2.42578125" style="372" customWidth="1"/>
    <col min="14337" max="14340" width="14.42578125" style="372" customWidth="1"/>
    <col min="14341" max="14341" width="2.42578125" style="372" customWidth="1"/>
    <col min="14342" max="14342" width="52.28515625" style="372" customWidth="1"/>
    <col min="14343" max="14586" width="8.85546875" style="372"/>
    <col min="14587" max="14587" width="35" style="372" customWidth="1"/>
    <col min="14588" max="14591" width="14.42578125" style="372" customWidth="1"/>
    <col min="14592" max="14592" width="2.42578125" style="372" customWidth="1"/>
    <col min="14593" max="14596" width="14.42578125" style="372" customWidth="1"/>
    <col min="14597" max="14597" width="2.42578125" style="372" customWidth="1"/>
    <col min="14598" max="14598" width="52.28515625" style="372" customWidth="1"/>
    <col min="14599" max="14842" width="8.85546875" style="372"/>
    <col min="14843" max="14843" width="35" style="372" customWidth="1"/>
    <col min="14844" max="14847" width="14.42578125" style="372" customWidth="1"/>
    <col min="14848" max="14848" width="2.42578125" style="372" customWidth="1"/>
    <col min="14849" max="14852" width="14.42578125" style="372" customWidth="1"/>
    <col min="14853" max="14853" width="2.42578125" style="372" customWidth="1"/>
    <col min="14854" max="14854" width="52.28515625" style="372" customWidth="1"/>
    <col min="14855" max="15098" width="8.85546875" style="372"/>
    <col min="15099" max="15099" width="35" style="372" customWidth="1"/>
    <col min="15100" max="15103" width="14.42578125" style="372" customWidth="1"/>
    <col min="15104" max="15104" width="2.42578125" style="372" customWidth="1"/>
    <col min="15105" max="15108" width="14.42578125" style="372" customWidth="1"/>
    <col min="15109" max="15109" width="2.42578125" style="372" customWidth="1"/>
    <col min="15110" max="15110" width="52.28515625" style="372" customWidth="1"/>
    <col min="15111" max="15354" width="8.85546875" style="372"/>
    <col min="15355" max="15355" width="35" style="372" customWidth="1"/>
    <col min="15356" max="15359" width="14.42578125" style="372" customWidth="1"/>
    <col min="15360" max="15360" width="2.42578125" style="372" customWidth="1"/>
    <col min="15361" max="15364" width="14.42578125" style="372" customWidth="1"/>
    <col min="15365" max="15365" width="2.42578125" style="372" customWidth="1"/>
    <col min="15366" max="15366" width="52.28515625" style="372" customWidth="1"/>
    <col min="15367" max="15610" width="8.85546875" style="372"/>
    <col min="15611" max="15611" width="35" style="372" customWidth="1"/>
    <col min="15612" max="15615" width="14.42578125" style="372" customWidth="1"/>
    <col min="15616" max="15616" width="2.42578125" style="372" customWidth="1"/>
    <col min="15617" max="15620" width="14.42578125" style="372" customWidth="1"/>
    <col min="15621" max="15621" width="2.42578125" style="372" customWidth="1"/>
    <col min="15622" max="15622" width="52.28515625" style="372" customWidth="1"/>
    <col min="15623" max="15866" width="8.85546875" style="372"/>
    <col min="15867" max="15867" width="35" style="372" customWidth="1"/>
    <col min="15868" max="15871" width="14.42578125" style="372" customWidth="1"/>
    <col min="15872" max="15872" width="2.42578125" style="372" customWidth="1"/>
    <col min="15873" max="15876" width="14.42578125" style="372" customWidth="1"/>
    <col min="15877" max="15877" width="2.42578125" style="372" customWidth="1"/>
    <col min="15878" max="15878" width="52.28515625" style="372" customWidth="1"/>
    <col min="15879" max="16122" width="8.85546875" style="372"/>
    <col min="16123" max="16123" width="35" style="372" customWidth="1"/>
    <col min="16124" max="16127" width="14.42578125" style="372" customWidth="1"/>
    <col min="16128" max="16128" width="2.42578125" style="372" customWidth="1"/>
    <col min="16129" max="16132" width="14.42578125" style="372" customWidth="1"/>
    <col min="16133" max="16133" width="2.42578125" style="372" customWidth="1"/>
    <col min="16134" max="16134" width="52.28515625" style="372" customWidth="1"/>
    <col min="16135" max="16383" width="8.85546875" style="372"/>
    <col min="16384" max="16384" width="8.85546875" style="372" customWidth="1"/>
  </cols>
  <sheetData>
    <row r="1" spans="2:88">
      <c r="C1" s="373"/>
      <c r="M1" s="1733"/>
    </row>
    <row r="2" spans="2:88" ht="6" customHeight="1" thickBot="1">
      <c r="B2" s="375"/>
      <c r="C2" s="376"/>
      <c r="D2" s="376"/>
      <c r="E2" s="376"/>
      <c r="F2" s="376"/>
      <c r="G2" s="376"/>
    </row>
    <row r="3" spans="2:88" ht="6" customHeight="1" thickTop="1">
      <c r="C3" s="377"/>
      <c r="D3" s="377"/>
      <c r="E3" s="377"/>
      <c r="F3" s="377"/>
      <c r="G3" s="377"/>
    </row>
    <row r="4" spans="2:88" ht="12.75" customHeight="1">
      <c r="B4" s="379"/>
      <c r="C4" s="1698" t="s">
        <v>189</v>
      </c>
      <c r="D4" s="1698"/>
      <c r="E4" s="1698"/>
      <c r="F4" s="1698"/>
      <c r="G4" s="381"/>
      <c r="H4" s="381"/>
      <c r="I4" s="382"/>
      <c r="J4" s="382"/>
      <c r="K4" s="382"/>
      <c r="L4" s="382"/>
    </row>
    <row r="5" spans="2:88" ht="12.75" customHeight="1">
      <c r="B5" s="379"/>
      <c r="C5" s="1329">
        <v>1</v>
      </c>
      <c r="D5" s="1329">
        <v>2</v>
      </c>
      <c r="E5" s="1329">
        <v>3</v>
      </c>
      <c r="F5" s="1329">
        <v>4</v>
      </c>
      <c r="G5" s="1329"/>
      <c r="H5" s="381"/>
      <c r="I5" s="382"/>
      <c r="J5" s="382"/>
      <c r="K5" s="382"/>
      <c r="L5" s="382"/>
    </row>
    <row r="6" spans="2:88" ht="12.75" customHeight="1">
      <c r="B6" s="379" t="s">
        <v>158</v>
      </c>
      <c r="C6" s="345" t="str">
        <f>'O&amp;M Costs_2026$'!G15</f>
        <v>EMAAC</v>
      </c>
      <c r="D6" s="345" t="str">
        <f>'O&amp;M Costs_2026$'!H15</f>
        <v>SWMAAC</v>
      </c>
      <c r="E6" s="345" t="str">
        <f>'O&amp;M Costs_2026$'!I15</f>
        <v>Rest of RTO</v>
      </c>
      <c r="F6" s="345" t="str">
        <f>'O&amp;M Costs_2026$'!J15</f>
        <v>WMAAC</v>
      </c>
      <c r="H6" s="381"/>
      <c r="I6" s="382"/>
      <c r="J6" s="382"/>
      <c r="K6" s="382"/>
      <c r="L6" s="382"/>
      <c r="M6" s="383"/>
      <c r="N6" s="383"/>
      <c r="O6" s="383"/>
    </row>
    <row r="7" spans="2:88" s="383" customFormat="1">
      <c r="B7" s="384"/>
      <c r="C7" s="386" t="str">
        <f>'Capital Costs - BESS'!D7</f>
        <v>200 MW</v>
      </c>
      <c r="D7" s="386" t="str">
        <f>'Capital Costs - BESS'!E7</f>
        <v>200 MW</v>
      </c>
      <c r="E7" s="386" t="str">
        <f>'Capital Costs - BESS'!F7</f>
        <v>200 MW</v>
      </c>
      <c r="F7" s="386" t="str">
        <f>'Capital Costs - BESS'!G7</f>
        <v>200 MW</v>
      </c>
      <c r="G7" s="386"/>
    </row>
    <row r="8" spans="2:88" ht="6" customHeight="1">
      <c r="B8" s="387"/>
      <c r="C8" s="388"/>
      <c r="D8" s="388"/>
      <c r="E8" s="388"/>
      <c r="F8" s="388"/>
      <c r="G8" s="388"/>
    </row>
    <row r="9" spans="2:88" ht="6" customHeight="1">
      <c r="B9" s="389"/>
      <c r="C9" s="390"/>
      <c r="D9" s="390"/>
      <c r="E9" s="390"/>
      <c r="F9" s="390"/>
      <c r="G9" s="390"/>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row>
    <row r="10" spans="2:88">
      <c r="B10" s="385" t="s">
        <v>822</v>
      </c>
      <c r="C10" s="392"/>
      <c r="D10" s="392"/>
      <c r="E10" s="392"/>
      <c r="F10" s="392"/>
      <c r="G10" s="392"/>
    </row>
    <row r="11" spans="2:88">
      <c r="B11" s="1699" t="s">
        <v>699</v>
      </c>
      <c r="C11" s="1701">
        <f>'BESS_O&amp;M Costs_2026$'!G23/1000000</f>
        <v>2.6789999999999998</v>
      </c>
      <c r="D11" s="1701">
        <f>'BESS_O&amp;M Costs_2026$'!H23/1000000</f>
        <v>2.6789999999999998</v>
      </c>
      <c r="E11" s="1701">
        <f>'BESS_O&amp;M Costs_2026$'!I23/1000000</f>
        <v>2.6789999999999998</v>
      </c>
      <c r="F11" s="1701">
        <f>'BESS_O&amp;M Costs_2026$'!J23/1000000</f>
        <v>2.6789999999999998</v>
      </c>
      <c r="G11" s="1701"/>
      <c r="I11" s="1021"/>
      <c r="J11" s="1021"/>
      <c r="K11" s="1021"/>
      <c r="M11" s="1021"/>
      <c r="N11" s="1021"/>
      <c r="O11" s="1021"/>
    </row>
    <row r="12" spans="2:88">
      <c r="B12" s="393" t="s">
        <v>698</v>
      </c>
      <c r="C12" s="394">
        <f>'BESS_O&amp;M Costs_2026$'!G24/1000000</f>
        <v>0.125</v>
      </c>
      <c r="D12" s="394">
        <f>'BESS_O&amp;M Costs_2026$'!H24/1000000</f>
        <v>0.1</v>
      </c>
      <c r="E12" s="394">
        <f>'BESS_O&amp;M Costs_2026$'!I24/1000000</f>
        <v>0.105</v>
      </c>
      <c r="F12" s="394">
        <f>'BESS_O&amp;M Costs_2026$'!J24/1000000</f>
        <v>0.114</v>
      </c>
      <c r="G12" s="394"/>
      <c r="I12" s="1021"/>
      <c r="J12" s="1021"/>
      <c r="K12" s="1021"/>
      <c r="M12" s="1021"/>
      <c r="N12" s="1021"/>
      <c r="O12" s="1021"/>
    </row>
    <row r="13" spans="2:88">
      <c r="B13" s="1699" t="s">
        <v>697</v>
      </c>
      <c r="C13" s="1701">
        <f>'BESS_O&amp;M Costs_2026$'!G25/1000000</f>
        <v>0.39600000000000002</v>
      </c>
      <c r="D13" s="1701">
        <f>'BESS_O&amp;M Costs_2026$'!H25/1000000</f>
        <v>0.316</v>
      </c>
      <c r="E13" s="1701">
        <f>'BESS_O&amp;M Costs_2026$'!I25/1000000</f>
        <v>0.33400000000000002</v>
      </c>
      <c r="F13" s="1701">
        <f>'BESS_O&amp;M Costs_2026$'!J25/1000000</f>
        <v>0.36199999999999999</v>
      </c>
      <c r="G13" s="1701"/>
      <c r="I13" s="1021"/>
      <c r="J13" s="1021"/>
      <c r="K13" s="1021"/>
      <c r="M13" s="1021"/>
      <c r="N13" s="1021"/>
      <c r="O13" s="1021"/>
    </row>
    <row r="14" spans="2:88" s="389" customFormat="1">
      <c r="B14" s="393" t="s">
        <v>696</v>
      </c>
      <c r="C14" s="394">
        <f>'BESS_O&amp;M Costs_2026$'!G26/1000000</f>
        <v>0.29899999999999999</v>
      </c>
      <c r="D14" s="394">
        <f>'BESS_O&amp;M Costs_2026$'!H26/1000000</f>
        <v>0.23899999999999999</v>
      </c>
      <c r="E14" s="394">
        <f>'BESS_O&amp;M Costs_2026$'!I26/1000000</f>
        <v>0.253</v>
      </c>
      <c r="F14" s="394">
        <f>'BESS_O&amp;M Costs_2026$'!J26/1000000</f>
        <v>0.27300000000000002</v>
      </c>
      <c r="G14" s="394"/>
      <c r="I14" s="1021"/>
      <c r="J14" s="1021"/>
      <c r="K14" s="1021"/>
      <c r="M14" s="1021"/>
      <c r="N14" s="1021"/>
      <c r="O14" s="1021"/>
    </row>
    <row r="15" spans="2:88" s="389" customFormat="1" ht="14.65" customHeight="1">
      <c r="B15" s="1699" t="s">
        <v>695</v>
      </c>
      <c r="C15" s="1701">
        <f>'BESS_O&amp;M Costs_2026$'!G27/1000000</f>
        <v>1.31</v>
      </c>
      <c r="D15" s="1701">
        <f>'BESS_O&amp;M Costs_2026$'!H27/1000000</f>
        <v>1.2490000000000001</v>
      </c>
      <c r="E15" s="1701">
        <f>'BESS_O&amp;M Costs_2026$'!I27/1000000</f>
        <v>1.2629999999999999</v>
      </c>
      <c r="F15" s="1701">
        <f>'BESS_O&amp;M Costs_2026$'!J27/1000000</f>
        <v>1.284</v>
      </c>
      <c r="G15" s="1701"/>
      <c r="I15" s="1021"/>
      <c r="J15" s="1021"/>
      <c r="K15" s="1021"/>
      <c r="M15" s="1021"/>
      <c r="N15" s="1021"/>
      <c r="O15" s="1021"/>
    </row>
    <row r="16" spans="2:88" ht="14.65" customHeight="1">
      <c r="B16" s="393" t="s">
        <v>694</v>
      </c>
      <c r="C16" s="394">
        <f>'BESS_O&amp;M Costs_2026$'!G28/1000000</f>
        <v>2.2530000000000001</v>
      </c>
      <c r="D16" s="394">
        <f>'BESS_O&amp;M Costs_2026$'!H28/1000000</f>
        <v>4.3780000000000001</v>
      </c>
      <c r="E16" s="394">
        <f ca="1">'BESS_O&amp;M Costs_2026$'!I28/1000000</f>
        <v>2.077</v>
      </c>
      <c r="F16" s="394">
        <f>'BESS_O&amp;M Costs_2026$'!J28/1000000</f>
        <v>2.0339999999999998</v>
      </c>
      <c r="G16" s="394"/>
      <c r="I16" s="1021"/>
      <c r="J16" s="1021"/>
      <c r="K16" s="1021"/>
      <c r="M16" s="1021"/>
      <c r="N16" s="1021"/>
      <c r="O16" s="1021"/>
    </row>
    <row r="17" spans="2:15" s="383" customFormat="1">
      <c r="B17" s="1700" t="s">
        <v>623</v>
      </c>
      <c r="C17" s="1702">
        <f>SUM(C11:C16)</f>
        <v>7.0619999999999994</v>
      </c>
      <c r="D17" s="1702">
        <f t="shared" ref="D17:F17" si="0">SUM(D11:D16)</f>
        <v>8.9610000000000003</v>
      </c>
      <c r="E17" s="1702">
        <f t="shared" ca="1" si="0"/>
        <v>6.7110000000000003</v>
      </c>
      <c r="F17" s="1702">
        <f t="shared" si="0"/>
        <v>6.7459999999999996</v>
      </c>
      <c r="G17" s="1702"/>
      <c r="I17" s="1021"/>
      <c r="J17" s="1021"/>
      <c r="K17" s="1021"/>
      <c r="M17" s="1021"/>
      <c r="N17" s="1021"/>
      <c r="O17" s="1021"/>
    </row>
    <row r="18" spans="2:15" s="383" customFormat="1">
      <c r="B18" s="385" t="s">
        <v>692</v>
      </c>
      <c r="C18" s="395">
        <f>C17*10^6/(200*10^3)</f>
        <v>35.309999999999995</v>
      </c>
      <c r="D18" s="395">
        <f t="shared" ref="D18:F18" si="1">D17*10^6/(200*10^3)</f>
        <v>44.805</v>
      </c>
      <c r="E18" s="395">
        <f t="shared" ca="1" si="1"/>
        <v>33.555</v>
      </c>
      <c r="F18" s="395">
        <f t="shared" si="1"/>
        <v>33.729999999999997</v>
      </c>
      <c r="G18" s="396"/>
      <c r="I18" s="1021"/>
      <c r="J18" s="1021"/>
      <c r="K18" s="1021"/>
      <c r="M18" s="1021"/>
      <c r="N18" s="1021"/>
      <c r="O18" s="1021"/>
    </row>
    <row r="19" spans="2:15" ht="6" customHeight="1">
      <c r="B19" s="397"/>
      <c r="C19" s="397"/>
      <c r="D19" s="397"/>
      <c r="E19" s="397"/>
      <c r="F19" s="397"/>
      <c r="G19" s="398"/>
    </row>
    <row r="20" spans="2:15" ht="6" customHeight="1">
      <c r="B20" s="389"/>
      <c r="C20" s="400"/>
      <c r="D20" s="400"/>
      <c r="E20" s="400"/>
      <c r="F20" s="400"/>
      <c r="G20" s="400"/>
    </row>
    <row r="21" spans="2:15">
      <c r="B21" s="385" t="s">
        <v>808</v>
      </c>
      <c r="C21" s="1704"/>
      <c r="D21" s="1704"/>
      <c r="E21" s="1704"/>
      <c r="F21" s="1704"/>
      <c r="G21" s="400"/>
    </row>
    <row r="22" spans="2:15">
      <c r="B22" s="1699" t="s">
        <v>809</v>
      </c>
      <c r="C22" s="1702">
        <f>'Annual FOM'!$X$8</f>
        <v>30.516316774493262</v>
      </c>
      <c r="D22" s="1702">
        <f>'Annual FOM'!$X$8</f>
        <v>30.516316774493262</v>
      </c>
      <c r="E22" s="1702">
        <f>'Annual FOM'!$X$8</f>
        <v>30.516316774493262</v>
      </c>
      <c r="F22" s="1702">
        <f>'Annual FOM'!$X$8</f>
        <v>30.516316774493262</v>
      </c>
      <c r="G22" s="1702"/>
    </row>
    <row r="23" spans="2:15">
      <c r="B23" s="393" t="s">
        <v>810</v>
      </c>
      <c r="C23" s="395">
        <f>'Annual FOM'!$AC$8</f>
        <v>33.056477210443326</v>
      </c>
      <c r="D23" s="395">
        <f>'Annual FOM'!$AC$8</f>
        <v>33.056477210443326</v>
      </c>
      <c r="E23" s="395">
        <f>'Annual FOM'!$AC$8</f>
        <v>33.056477210443326</v>
      </c>
      <c r="F23" s="395">
        <f>'Annual FOM'!$AC$8</f>
        <v>33.056477210443326</v>
      </c>
      <c r="G23" s="396"/>
    </row>
    <row r="24" spans="2:15">
      <c r="B24" s="1726" t="s">
        <v>821</v>
      </c>
      <c r="C24" s="1702">
        <f>C36</f>
        <v>22.341904017615434</v>
      </c>
      <c r="D24" s="1702">
        <f>D36</f>
        <v>22.31512394672751</v>
      </c>
      <c r="E24" s="1702">
        <f>E36</f>
        <v>22.329469996087198</v>
      </c>
      <c r="F24" s="1702">
        <f>F36</f>
        <v>22.329469996087198</v>
      </c>
      <c r="G24" s="1702"/>
    </row>
    <row r="25" spans="2:15" ht="6" customHeight="1">
      <c r="B25" s="1706"/>
      <c r="C25" s="1707"/>
      <c r="D25" s="1707"/>
      <c r="E25" s="1707"/>
      <c r="F25" s="1707"/>
      <c r="G25" s="1707"/>
    </row>
    <row r="26" spans="2:15" ht="6" customHeight="1">
      <c r="B26" s="1705"/>
      <c r="C26" s="1704"/>
      <c r="D26" s="1704"/>
      <c r="E26" s="1704"/>
      <c r="F26" s="1704"/>
      <c r="G26" s="1704"/>
    </row>
    <row r="27" spans="2:15" ht="15" customHeight="1">
      <c r="B27" s="385" t="s">
        <v>823</v>
      </c>
      <c r="C27" s="395">
        <f>C18+C24</f>
        <v>57.651904017615429</v>
      </c>
      <c r="D27" s="395">
        <f t="shared" ref="D27:F27" si="2">D18+D24</f>
        <v>67.120123946727517</v>
      </c>
      <c r="E27" s="395">
        <f t="shared" ca="1" si="2"/>
        <v>55.884469996087198</v>
      </c>
      <c r="F27" s="395">
        <f t="shared" si="2"/>
        <v>56.059469996087195</v>
      </c>
      <c r="G27" s="400"/>
    </row>
    <row r="28" spans="2:15" ht="6" customHeight="1" outlineLevel="1">
      <c r="B28" s="397"/>
      <c r="C28" s="397"/>
      <c r="D28" s="397"/>
      <c r="E28" s="397"/>
      <c r="F28" s="397"/>
      <c r="G28" s="398"/>
    </row>
    <row r="29" spans="2:15" ht="6" customHeight="1" outlineLevel="1">
      <c r="B29" s="389"/>
      <c r="C29" s="400"/>
      <c r="D29" s="400"/>
      <c r="E29" s="400"/>
      <c r="F29" s="400"/>
      <c r="G29" s="400"/>
    </row>
    <row r="30" spans="2:15" outlineLevel="1">
      <c r="B30" s="1700" t="s">
        <v>620</v>
      </c>
      <c r="C30" s="1703">
        <f>'O&amp;M Costs_2026$'!G35</f>
        <v>0</v>
      </c>
      <c r="D30" s="1703">
        <f>'O&amp;M Costs_2026$'!H35</f>
        <v>0</v>
      </c>
      <c r="E30" s="1703">
        <f>'O&amp;M Costs_2026$'!I35</f>
        <v>0</v>
      </c>
      <c r="F30" s="1703">
        <f>'O&amp;M Costs_2026$'!J35</f>
        <v>0</v>
      </c>
      <c r="G30" s="1703"/>
    </row>
    <row r="31" spans="2:15" ht="6" customHeight="1" thickBot="1">
      <c r="B31" s="375"/>
      <c r="C31" s="404"/>
      <c r="D31" s="404"/>
      <c r="E31" s="404"/>
      <c r="F31" s="404"/>
      <c r="G31" s="404"/>
    </row>
    <row r="32" spans="2:15" ht="6" customHeight="1" thickTop="1">
      <c r="B32" s="389"/>
      <c r="C32" s="391"/>
      <c r="D32" s="391"/>
      <c r="E32" s="391"/>
      <c r="F32" s="391"/>
      <c r="G32" s="391"/>
    </row>
    <row r="33" spans="1:88" ht="6" customHeight="1">
      <c r="B33" s="389"/>
      <c r="C33" s="391"/>
      <c r="D33" s="391"/>
      <c r="E33" s="391"/>
      <c r="F33" s="391"/>
      <c r="G33" s="391"/>
    </row>
    <row r="34" spans="1:88" s="1728" customFormat="1" hidden="1" outlineLevel="1">
      <c r="A34" s="1728" t="s">
        <v>829</v>
      </c>
      <c r="B34" s="1727" t="s">
        <v>827</v>
      </c>
      <c r="C34" s="1730">
        <v>249.37830141211461</v>
      </c>
      <c r="D34" s="1730">
        <v>242.58126920226496</v>
      </c>
      <c r="E34" s="1730">
        <v>240.16338323901837</v>
      </c>
      <c r="F34" s="1730">
        <v>243.35902006077487</v>
      </c>
      <c r="G34" s="1730"/>
      <c r="H34" s="1730"/>
      <c r="J34" s="1731"/>
      <c r="K34" s="1731"/>
      <c r="L34" s="1731"/>
      <c r="M34" s="1731"/>
      <c r="N34" s="1731"/>
    </row>
    <row r="35" spans="1:88" s="1728" customFormat="1" hidden="1" outlineLevel="1">
      <c r="A35" s="1728" t="s">
        <v>829</v>
      </c>
      <c r="B35" s="1728" t="s">
        <v>828</v>
      </c>
      <c r="C35" s="1730">
        <v>227.03639739449918</v>
      </c>
      <c r="D35" s="1730">
        <v>220.26614525553745</v>
      </c>
      <c r="E35" s="1730">
        <v>217.83391324293117</v>
      </c>
      <c r="F35" s="1730">
        <v>221.02955006468767</v>
      </c>
      <c r="G35" s="1729"/>
    </row>
    <row r="36" spans="1:88" s="1728" customFormat="1" hidden="1" outlineLevel="1">
      <c r="B36" s="1728" t="s">
        <v>830</v>
      </c>
      <c r="C36" s="1730">
        <f>C34-C35</f>
        <v>22.341904017615434</v>
      </c>
      <c r="D36" s="1730">
        <f t="shared" ref="D36:F36" si="3">D34-D35</f>
        <v>22.31512394672751</v>
      </c>
      <c r="E36" s="1730">
        <f t="shared" si="3"/>
        <v>22.329469996087198</v>
      </c>
      <c r="F36" s="1730">
        <f t="shared" si="3"/>
        <v>22.329469996087198</v>
      </c>
      <c r="G36" s="1729"/>
      <c r="J36" s="1732"/>
    </row>
    <row r="37" spans="1:88" collapsed="1"/>
    <row r="44" spans="1:88" s="374" customFormat="1">
      <c r="B44" s="372"/>
      <c r="H44" s="372"/>
      <c r="I44" s="372"/>
      <c r="J44" s="372"/>
      <c r="K44" s="372"/>
      <c r="L44" s="372"/>
      <c r="M44" s="372"/>
      <c r="N44" s="372"/>
      <c r="O44" s="372"/>
      <c r="P44" s="372"/>
      <c r="Q44" s="372"/>
      <c r="R44" s="372"/>
      <c r="S44" s="372"/>
      <c r="T44" s="372"/>
      <c r="U44" s="372"/>
      <c r="V44" s="372"/>
      <c r="W44" s="372"/>
      <c r="X44" s="372"/>
      <c r="Y44" s="372"/>
      <c r="Z44" s="372"/>
      <c r="AA44" s="372"/>
      <c r="AB44" s="372"/>
      <c r="AC44" s="372"/>
      <c r="AD44" s="372"/>
      <c r="AE44" s="372"/>
      <c r="AF44" s="372"/>
      <c r="AG44" s="372"/>
      <c r="AH44" s="372"/>
      <c r="AI44" s="372"/>
      <c r="AJ44" s="372"/>
      <c r="AK44" s="372"/>
      <c r="AL44" s="372"/>
      <c r="AM44" s="372"/>
      <c r="AN44" s="372"/>
      <c r="AO44" s="372"/>
      <c r="AP44" s="372"/>
      <c r="AQ44" s="372"/>
      <c r="AR44" s="372"/>
      <c r="AS44" s="372"/>
      <c r="AT44" s="372"/>
      <c r="AU44" s="372"/>
      <c r="AV44" s="372"/>
      <c r="AW44" s="372"/>
      <c r="AX44" s="372"/>
      <c r="AY44" s="372"/>
      <c r="AZ44" s="372"/>
      <c r="BA44" s="372"/>
      <c r="BB44" s="372"/>
      <c r="BC44" s="372"/>
      <c r="BD44" s="372"/>
      <c r="BE44" s="372"/>
      <c r="BF44" s="372"/>
      <c r="BG44" s="372"/>
      <c r="BH44" s="372"/>
      <c r="BI44" s="372"/>
      <c r="BJ44" s="372"/>
      <c r="BK44" s="372"/>
      <c r="BL44" s="372"/>
      <c r="BM44" s="372"/>
      <c r="BN44" s="372"/>
      <c r="BO44" s="372"/>
      <c r="BP44" s="372"/>
      <c r="BQ44" s="372"/>
      <c r="BR44" s="372"/>
      <c r="BS44" s="372"/>
      <c r="BT44" s="372"/>
      <c r="BU44" s="372"/>
      <c r="BV44" s="372"/>
      <c r="BW44" s="372"/>
      <c r="BX44" s="372"/>
      <c r="BY44" s="372"/>
      <c r="BZ44" s="372"/>
      <c r="CA44" s="372"/>
      <c r="CB44" s="372"/>
      <c r="CC44" s="372"/>
      <c r="CD44" s="372"/>
      <c r="CE44" s="372"/>
      <c r="CF44" s="372"/>
      <c r="CG44" s="372"/>
      <c r="CH44" s="372"/>
      <c r="CI44" s="372"/>
      <c r="CJ44" s="372"/>
    </row>
    <row r="45" spans="1:88" s="374" customFormat="1">
      <c r="B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2"/>
      <c r="AK45" s="372"/>
      <c r="AL45" s="372"/>
      <c r="AM45" s="372"/>
      <c r="AN45" s="372"/>
      <c r="AO45" s="372"/>
      <c r="AP45" s="372"/>
      <c r="AQ45" s="372"/>
      <c r="AR45" s="372"/>
      <c r="AS45" s="372"/>
      <c r="AT45" s="372"/>
      <c r="AU45" s="372"/>
      <c r="AV45" s="372"/>
      <c r="AW45" s="372"/>
      <c r="AX45" s="372"/>
      <c r="AY45" s="372"/>
      <c r="AZ45" s="372"/>
      <c r="BA45" s="372"/>
      <c r="BB45" s="372"/>
      <c r="BC45" s="372"/>
      <c r="BD45" s="372"/>
      <c r="BE45" s="372"/>
      <c r="BF45" s="372"/>
      <c r="BG45" s="372"/>
      <c r="BH45" s="372"/>
      <c r="BI45" s="372"/>
      <c r="BJ45" s="372"/>
      <c r="BK45" s="372"/>
      <c r="BL45" s="372"/>
      <c r="BM45" s="372"/>
      <c r="BN45" s="372"/>
      <c r="BO45" s="372"/>
      <c r="BP45" s="372"/>
      <c r="BQ45" s="372"/>
      <c r="BR45" s="372"/>
      <c r="BS45" s="372"/>
      <c r="BT45" s="372"/>
      <c r="BU45" s="372"/>
      <c r="BV45" s="372"/>
      <c r="BW45" s="372"/>
      <c r="BX45" s="372"/>
      <c r="BY45" s="372"/>
      <c r="BZ45" s="372"/>
      <c r="CA45" s="372"/>
      <c r="CB45" s="372"/>
      <c r="CC45" s="372"/>
      <c r="CD45" s="372"/>
      <c r="CE45" s="372"/>
      <c r="CF45" s="372"/>
      <c r="CG45" s="372"/>
      <c r="CH45" s="372"/>
      <c r="CI45" s="372"/>
      <c r="CJ45" s="372"/>
    </row>
    <row r="46" spans="1:88" s="374" customFormat="1">
      <c r="B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2"/>
      <c r="AM46" s="372"/>
      <c r="AN46" s="372"/>
      <c r="AO46" s="372"/>
      <c r="AP46" s="372"/>
      <c r="AQ46" s="372"/>
      <c r="AR46" s="372"/>
      <c r="AS46" s="372"/>
      <c r="AT46" s="372"/>
      <c r="AU46" s="372"/>
      <c r="AV46" s="372"/>
      <c r="AW46" s="372"/>
      <c r="AX46" s="372"/>
      <c r="AY46" s="372"/>
      <c r="AZ46" s="372"/>
      <c r="BA46" s="372"/>
      <c r="BB46" s="372"/>
      <c r="BC46" s="372"/>
      <c r="BD46" s="372"/>
      <c r="BE46" s="372"/>
      <c r="BF46" s="372"/>
      <c r="BG46" s="372"/>
      <c r="BH46" s="372"/>
      <c r="BI46" s="372"/>
      <c r="BJ46" s="372"/>
      <c r="BK46" s="372"/>
      <c r="BL46" s="372"/>
      <c r="BM46" s="372"/>
      <c r="BN46" s="372"/>
      <c r="BO46" s="372"/>
      <c r="BP46" s="372"/>
      <c r="BQ46" s="372"/>
      <c r="BR46" s="372"/>
      <c r="BS46" s="372"/>
      <c r="BT46" s="372"/>
      <c r="BU46" s="372"/>
      <c r="BV46" s="372"/>
      <c r="BW46" s="372"/>
      <c r="BX46" s="372"/>
      <c r="BY46" s="372"/>
      <c r="BZ46" s="372"/>
      <c r="CA46" s="372"/>
      <c r="CB46" s="372"/>
      <c r="CC46" s="372"/>
      <c r="CD46" s="372"/>
      <c r="CE46" s="372"/>
      <c r="CF46" s="372"/>
      <c r="CG46" s="372"/>
      <c r="CH46" s="372"/>
      <c r="CI46" s="372"/>
      <c r="CJ46" s="372"/>
    </row>
    <row r="47" spans="1:88" s="374" customFormat="1">
      <c r="B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372"/>
      <c r="AM47" s="372"/>
      <c r="AN47" s="372"/>
      <c r="AO47" s="372"/>
      <c r="AP47" s="372"/>
      <c r="AQ47" s="372"/>
      <c r="AR47" s="372"/>
      <c r="AS47" s="372"/>
      <c r="AT47" s="372"/>
      <c r="AU47" s="372"/>
      <c r="AV47" s="372"/>
      <c r="AW47" s="372"/>
      <c r="AX47" s="372"/>
      <c r="AY47" s="372"/>
      <c r="AZ47" s="372"/>
      <c r="BA47" s="372"/>
      <c r="BB47" s="372"/>
      <c r="BC47" s="372"/>
      <c r="BD47" s="372"/>
      <c r="BE47" s="372"/>
      <c r="BF47" s="372"/>
      <c r="BG47" s="372"/>
      <c r="BH47" s="372"/>
      <c r="BI47" s="372"/>
      <c r="BJ47" s="372"/>
      <c r="BK47" s="372"/>
      <c r="BL47" s="372"/>
      <c r="BM47" s="372"/>
      <c r="BN47" s="372"/>
      <c r="BO47" s="372"/>
      <c r="BP47" s="372"/>
      <c r="BQ47" s="372"/>
      <c r="BR47" s="372"/>
      <c r="BS47" s="372"/>
      <c r="BT47" s="372"/>
      <c r="BU47" s="372"/>
      <c r="BV47" s="372"/>
      <c r="BW47" s="372"/>
      <c r="BX47" s="372"/>
      <c r="BY47" s="372"/>
      <c r="BZ47" s="372"/>
      <c r="CA47" s="372"/>
      <c r="CB47" s="372"/>
      <c r="CC47" s="372"/>
      <c r="CD47" s="372"/>
      <c r="CE47" s="372"/>
      <c r="CF47" s="372"/>
      <c r="CG47" s="372"/>
      <c r="CH47" s="372"/>
      <c r="CI47" s="372"/>
      <c r="CJ47" s="372"/>
    </row>
    <row r="48" spans="1:88" s="374" customFormat="1">
      <c r="B48" s="372"/>
      <c r="H48" s="372"/>
      <c r="I48" s="372"/>
      <c r="J48" s="372"/>
      <c r="K48" s="372"/>
      <c r="L48" s="372"/>
      <c r="M48" s="372"/>
      <c r="N48" s="372"/>
      <c r="O48" s="372"/>
      <c r="P48" s="372"/>
      <c r="Q48" s="372"/>
      <c r="R48" s="372"/>
      <c r="S48" s="372"/>
      <c r="T48" s="372"/>
      <c r="U48" s="372"/>
      <c r="V48" s="372"/>
      <c r="W48" s="372"/>
      <c r="X48" s="372"/>
      <c r="Y48" s="372"/>
      <c r="Z48" s="372"/>
      <c r="AA48" s="372"/>
      <c r="AB48" s="372"/>
      <c r="AC48" s="372"/>
      <c r="AD48" s="372"/>
      <c r="AE48" s="372"/>
      <c r="AF48" s="372"/>
      <c r="AG48" s="372"/>
      <c r="AH48" s="372"/>
      <c r="AI48" s="372"/>
      <c r="AJ48" s="372"/>
      <c r="AK48" s="372"/>
      <c r="AL48" s="372"/>
      <c r="AM48" s="372"/>
      <c r="AN48" s="372"/>
      <c r="AO48" s="372"/>
      <c r="AP48" s="372"/>
      <c r="AQ48" s="372"/>
      <c r="AR48" s="372"/>
      <c r="AS48" s="372"/>
      <c r="AT48" s="372"/>
      <c r="AU48" s="372"/>
      <c r="AV48" s="372"/>
      <c r="AW48" s="372"/>
      <c r="AX48" s="372"/>
      <c r="AY48" s="372"/>
      <c r="AZ48" s="372"/>
      <c r="BA48" s="372"/>
      <c r="BB48" s="372"/>
      <c r="BC48" s="372"/>
      <c r="BD48" s="372"/>
      <c r="BE48" s="372"/>
      <c r="BF48" s="372"/>
      <c r="BG48" s="372"/>
      <c r="BH48" s="372"/>
      <c r="BI48" s="372"/>
      <c r="BJ48" s="372"/>
      <c r="BK48" s="372"/>
      <c r="BL48" s="372"/>
      <c r="BM48" s="372"/>
      <c r="BN48" s="372"/>
      <c r="BO48" s="372"/>
      <c r="BP48" s="372"/>
      <c r="BQ48" s="372"/>
      <c r="BR48" s="372"/>
      <c r="BS48" s="372"/>
      <c r="BT48" s="372"/>
      <c r="BU48" s="372"/>
      <c r="BV48" s="372"/>
      <c r="BW48" s="372"/>
      <c r="BX48" s="372"/>
      <c r="BY48" s="372"/>
      <c r="BZ48" s="372"/>
      <c r="CA48" s="372"/>
      <c r="CB48" s="372"/>
      <c r="CC48" s="372"/>
      <c r="CD48" s="372"/>
      <c r="CE48" s="372"/>
      <c r="CF48" s="372"/>
      <c r="CG48" s="372"/>
      <c r="CH48" s="372"/>
      <c r="CI48" s="372"/>
      <c r="CJ48" s="372"/>
    </row>
    <row r="49" spans="2:88" s="374" customFormat="1">
      <c r="B49" s="372"/>
      <c r="H49" s="372"/>
      <c r="I49" s="372"/>
      <c r="J49" s="372"/>
      <c r="K49" s="372"/>
      <c r="L49" s="372"/>
      <c r="M49" s="372"/>
      <c r="N49" s="372"/>
      <c r="O49" s="372"/>
      <c r="P49" s="372"/>
      <c r="Q49" s="372"/>
      <c r="R49" s="372"/>
      <c r="S49" s="372"/>
      <c r="T49" s="372"/>
      <c r="U49" s="372"/>
      <c r="V49" s="372"/>
      <c r="W49" s="372"/>
      <c r="X49" s="372"/>
      <c r="Y49" s="372"/>
      <c r="Z49" s="372"/>
      <c r="AA49" s="372"/>
      <c r="AB49" s="372"/>
      <c r="AC49" s="372"/>
      <c r="AD49" s="372"/>
      <c r="AE49" s="372"/>
      <c r="AF49" s="372"/>
      <c r="AG49" s="372"/>
      <c r="AH49" s="372"/>
      <c r="AI49" s="372"/>
      <c r="AJ49" s="372"/>
      <c r="AK49" s="372"/>
      <c r="AL49" s="372"/>
      <c r="AM49" s="372"/>
      <c r="AN49" s="372"/>
      <c r="AO49" s="372"/>
      <c r="AP49" s="372"/>
      <c r="AQ49" s="372"/>
      <c r="AR49" s="372"/>
      <c r="AS49" s="372"/>
      <c r="AT49" s="372"/>
      <c r="AU49" s="372"/>
      <c r="AV49" s="372"/>
      <c r="AW49" s="372"/>
      <c r="AX49" s="372"/>
      <c r="AY49" s="372"/>
      <c r="AZ49" s="372"/>
      <c r="BA49" s="372"/>
      <c r="BB49" s="372"/>
      <c r="BC49" s="372"/>
      <c r="BD49" s="372"/>
      <c r="BE49" s="372"/>
      <c r="BF49" s="372"/>
      <c r="BG49" s="372"/>
      <c r="BH49" s="372"/>
      <c r="BI49" s="372"/>
      <c r="BJ49" s="372"/>
      <c r="BK49" s="372"/>
      <c r="BL49" s="372"/>
      <c r="BM49" s="372"/>
      <c r="BN49" s="372"/>
      <c r="BO49" s="372"/>
      <c r="BP49" s="372"/>
      <c r="BQ49" s="372"/>
      <c r="BR49" s="372"/>
      <c r="BS49" s="372"/>
      <c r="BT49" s="372"/>
      <c r="BU49" s="372"/>
      <c r="BV49" s="372"/>
      <c r="BW49" s="372"/>
      <c r="BX49" s="372"/>
      <c r="BY49" s="372"/>
      <c r="BZ49" s="372"/>
      <c r="CA49" s="372"/>
      <c r="CB49" s="372"/>
      <c r="CC49" s="372"/>
      <c r="CD49" s="372"/>
      <c r="CE49" s="372"/>
      <c r="CF49" s="372"/>
      <c r="CG49" s="372"/>
      <c r="CH49" s="372"/>
      <c r="CI49" s="372"/>
      <c r="CJ49" s="372"/>
    </row>
    <row r="50" spans="2:88" s="374" customFormat="1">
      <c r="B50" s="372"/>
      <c r="H50" s="372"/>
      <c r="I50" s="372"/>
      <c r="J50" s="372"/>
      <c r="K50" s="372"/>
      <c r="L50" s="372"/>
      <c r="M50" s="372"/>
      <c r="N50" s="372"/>
      <c r="O50" s="372"/>
      <c r="P50" s="372"/>
      <c r="Q50" s="372"/>
      <c r="R50" s="372"/>
      <c r="S50" s="372"/>
      <c r="T50" s="372"/>
      <c r="U50" s="372"/>
      <c r="V50" s="372"/>
      <c r="W50" s="372"/>
      <c r="X50" s="372"/>
      <c r="Y50" s="372"/>
      <c r="Z50" s="372"/>
      <c r="AA50" s="372"/>
      <c r="AB50" s="372"/>
      <c r="AC50" s="372"/>
      <c r="AD50" s="372"/>
      <c r="AE50" s="372"/>
      <c r="AF50" s="372"/>
      <c r="AG50" s="372"/>
      <c r="AH50" s="372"/>
      <c r="AI50" s="372"/>
      <c r="AJ50" s="372"/>
      <c r="AK50" s="372"/>
      <c r="AL50" s="372"/>
      <c r="AM50" s="372"/>
      <c r="AN50" s="372"/>
      <c r="AO50" s="372"/>
      <c r="AP50" s="372"/>
      <c r="AQ50" s="372"/>
      <c r="AR50" s="372"/>
      <c r="AS50" s="372"/>
      <c r="AT50" s="372"/>
      <c r="AU50" s="372"/>
      <c r="AV50" s="372"/>
      <c r="AW50" s="372"/>
      <c r="AX50" s="372"/>
      <c r="AY50" s="372"/>
      <c r="AZ50" s="372"/>
      <c r="BA50" s="372"/>
      <c r="BB50" s="372"/>
      <c r="BC50" s="372"/>
      <c r="BD50" s="372"/>
      <c r="BE50" s="372"/>
      <c r="BF50" s="372"/>
      <c r="BG50" s="372"/>
      <c r="BH50" s="372"/>
      <c r="BI50" s="372"/>
      <c r="BJ50" s="372"/>
      <c r="BK50" s="372"/>
      <c r="BL50" s="372"/>
      <c r="BM50" s="372"/>
      <c r="BN50" s="372"/>
      <c r="BO50" s="372"/>
      <c r="BP50" s="372"/>
      <c r="BQ50" s="372"/>
      <c r="BR50" s="372"/>
      <c r="BS50" s="372"/>
      <c r="BT50" s="372"/>
      <c r="BU50" s="372"/>
      <c r="BV50" s="372"/>
      <c r="BW50" s="372"/>
      <c r="BX50" s="372"/>
      <c r="BY50" s="372"/>
      <c r="BZ50" s="372"/>
      <c r="CA50" s="372"/>
      <c r="CB50" s="372"/>
      <c r="CC50" s="372"/>
      <c r="CD50" s="372"/>
      <c r="CE50" s="372"/>
      <c r="CF50" s="372"/>
      <c r="CG50" s="372"/>
      <c r="CH50" s="372"/>
      <c r="CI50" s="372"/>
      <c r="CJ50" s="372"/>
    </row>
    <row r="51" spans="2:88" s="374" customFormat="1">
      <c r="B51" s="372"/>
      <c r="H51" s="372"/>
      <c r="I51" s="372"/>
      <c r="J51" s="372"/>
      <c r="K51" s="372"/>
      <c r="L51" s="372"/>
      <c r="M51" s="372"/>
      <c r="N51" s="372"/>
      <c r="O51" s="372"/>
      <c r="P51" s="372"/>
      <c r="Q51" s="372"/>
      <c r="R51" s="372"/>
      <c r="S51" s="372"/>
      <c r="T51" s="372"/>
      <c r="U51" s="372"/>
      <c r="V51" s="372"/>
      <c r="W51" s="372"/>
      <c r="X51" s="372"/>
      <c r="Y51" s="372"/>
      <c r="Z51" s="372"/>
      <c r="AA51" s="372"/>
      <c r="AB51" s="372"/>
      <c r="AC51" s="372"/>
      <c r="AD51" s="372"/>
      <c r="AE51" s="372"/>
      <c r="AF51" s="372"/>
      <c r="AG51" s="372"/>
      <c r="AH51" s="372"/>
      <c r="AI51" s="372"/>
      <c r="AJ51" s="372"/>
      <c r="AK51" s="372"/>
      <c r="AL51" s="372"/>
      <c r="AM51" s="372"/>
      <c r="AN51" s="372"/>
      <c r="AO51" s="372"/>
      <c r="AP51" s="372"/>
      <c r="AQ51" s="372"/>
      <c r="AR51" s="372"/>
      <c r="AS51" s="372"/>
      <c r="AT51" s="372"/>
      <c r="AU51" s="372"/>
      <c r="AV51" s="372"/>
      <c r="AW51" s="372"/>
      <c r="AX51" s="372"/>
      <c r="AY51" s="372"/>
      <c r="AZ51" s="372"/>
      <c r="BA51" s="372"/>
      <c r="BB51" s="372"/>
      <c r="BC51" s="372"/>
      <c r="BD51" s="372"/>
      <c r="BE51" s="372"/>
      <c r="BF51" s="372"/>
      <c r="BG51" s="372"/>
      <c r="BH51" s="372"/>
      <c r="BI51" s="372"/>
      <c r="BJ51" s="372"/>
      <c r="BK51" s="372"/>
      <c r="BL51" s="372"/>
      <c r="BM51" s="372"/>
      <c r="BN51" s="372"/>
      <c r="BO51" s="372"/>
      <c r="BP51" s="372"/>
      <c r="BQ51" s="372"/>
      <c r="BR51" s="372"/>
      <c r="BS51" s="372"/>
      <c r="BT51" s="372"/>
      <c r="BU51" s="372"/>
      <c r="BV51" s="372"/>
      <c r="BW51" s="372"/>
      <c r="BX51" s="372"/>
      <c r="BY51" s="372"/>
      <c r="BZ51" s="372"/>
      <c r="CA51" s="372"/>
      <c r="CB51" s="372"/>
      <c r="CC51" s="372"/>
      <c r="CD51" s="372"/>
      <c r="CE51" s="372"/>
      <c r="CF51" s="372"/>
      <c r="CG51" s="372"/>
      <c r="CH51" s="372"/>
      <c r="CI51" s="372"/>
      <c r="CJ51" s="372"/>
    </row>
    <row r="52" spans="2:88" s="374" customFormat="1">
      <c r="B52" s="372"/>
      <c r="H52" s="372"/>
      <c r="I52" s="372"/>
      <c r="J52" s="372"/>
      <c r="K52" s="372"/>
      <c r="L52" s="372"/>
      <c r="M52" s="372"/>
      <c r="N52" s="372"/>
      <c r="O52" s="372"/>
      <c r="P52" s="372"/>
      <c r="Q52" s="372"/>
      <c r="R52" s="372"/>
      <c r="S52" s="372"/>
      <c r="T52" s="372"/>
      <c r="U52" s="372"/>
      <c r="V52" s="372"/>
      <c r="W52" s="372"/>
      <c r="X52" s="372"/>
      <c r="Y52" s="372"/>
      <c r="Z52" s="372"/>
      <c r="AA52" s="372"/>
      <c r="AB52" s="372"/>
      <c r="AC52" s="372"/>
      <c r="AD52" s="372"/>
      <c r="AE52" s="372"/>
      <c r="AF52" s="372"/>
      <c r="AG52" s="372"/>
      <c r="AH52" s="372"/>
      <c r="AI52" s="372"/>
      <c r="AJ52" s="372"/>
      <c r="AK52" s="372"/>
      <c r="AL52" s="372"/>
      <c r="AM52" s="372"/>
      <c r="AN52" s="372"/>
      <c r="AO52" s="372"/>
      <c r="AP52" s="372"/>
      <c r="AQ52" s="372"/>
      <c r="AR52" s="372"/>
      <c r="AS52" s="372"/>
      <c r="AT52" s="372"/>
      <c r="AU52" s="372"/>
      <c r="AV52" s="372"/>
      <c r="AW52" s="372"/>
      <c r="AX52" s="372"/>
      <c r="AY52" s="372"/>
      <c r="AZ52" s="372"/>
      <c r="BA52" s="372"/>
      <c r="BB52" s="372"/>
      <c r="BC52" s="372"/>
      <c r="BD52" s="372"/>
      <c r="BE52" s="372"/>
      <c r="BF52" s="372"/>
      <c r="BG52" s="372"/>
      <c r="BH52" s="372"/>
      <c r="BI52" s="372"/>
      <c r="BJ52" s="372"/>
      <c r="BK52" s="372"/>
      <c r="BL52" s="372"/>
      <c r="BM52" s="372"/>
      <c r="BN52" s="372"/>
      <c r="BO52" s="372"/>
      <c r="BP52" s="372"/>
      <c r="BQ52" s="372"/>
      <c r="BR52" s="372"/>
      <c r="BS52" s="372"/>
      <c r="BT52" s="372"/>
      <c r="BU52" s="372"/>
      <c r="BV52" s="372"/>
      <c r="BW52" s="372"/>
      <c r="BX52" s="372"/>
      <c r="BY52" s="372"/>
      <c r="BZ52" s="372"/>
      <c r="CA52" s="372"/>
      <c r="CB52" s="372"/>
      <c r="CC52" s="372"/>
      <c r="CD52" s="372"/>
      <c r="CE52" s="372"/>
      <c r="CF52" s="372"/>
      <c r="CG52" s="372"/>
      <c r="CH52" s="372"/>
      <c r="CI52" s="372"/>
      <c r="CJ52" s="372"/>
    </row>
    <row r="53" spans="2:88" s="374" customFormat="1">
      <c r="B53" s="372"/>
      <c r="H53" s="372"/>
      <c r="I53" s="372"/>
      <c r="J53" s="372"/>
      <c r="K53" s="372"/>
      <c r="L53" s="372"/>
      <c r="M53" s="372"/>
      <c r="N53" s="372"/>
      <c r="O53" s="372"/>
      <c r="P53" s="372"/>
      <c r="Q53" s="372"/>
      <c r="R53" s="372"/>
      <c r="S53" s="372"/>
      <c r="T53" s="372"/>
      <c r="U53" s="372"/>
      <c r="V53" s="372"/>
      <c r="W53" s="372"/>
      <c r="X53" s="372"/>
      <c r="Y53" s="372"/>
      <c r="Z53" s="372"/>
      <c r="AA53" s="372"/>
      <c r="AB53" s="372"/>
      <c r="AC53" s="372"/>
      <c r="AD53" s="372"/>
      <c r="AE53" s="372"/>
      <c r="AF53" s="372"/>
      <c r="AG53" s="372"/>
      <c r="AH53" s="372"/>
      <c r="AI53" s="372"/>
      <c r="AJ53" s="372"/>
      <c r="AK53" s="372"/>
      <c r="AL53" s="372"/>
      <c r="AM53" s="372"/>
      <c r="AN53" s="372"/>
      <c r="AO53" s="372"/>
      <c r="AP53" s="372"/>
      <c r="AQ53" s="372"/>
      <c r="AR53" s="372"/>
      <c r="AS53" s="372"/>
      <c r="AT53" s="372"/>
      <c r="AU53" s="372"/>
      <c r="AV53" s="372"/>
      <c r="AW53" s="372"/>
      <c r="AX53" s="372"/>
      <c r="AY53" s="372"/>
      <c r="AZ53" s="372"/>
      <c r="BA53" s="372"/>
      <c r="BB53" s="372"/>
      <c r="BC53" s="372"/>
      <c r="BD53" s="372"/>
      <c r="BE53" s="372"/>
      <c r="BF53" s="372"/>
      <c r="BG53" s="372"/>
      <c r="BH53" s="372"/>
      <c r="BI53" s="372"/>
      <c r="BJ53" s="372"/>
      <c r="BK53" s="372"/>
      <c r="BL53" s="372"/>
      <c r="BM53" s="372"/>
      <c r="BN53" s="372"/>
      <c r="BO53" s="372"/>
      <c r="BP53" s="372"/>
      <c r="BQ53" s="372"/>
      <c r="BR53" s="372"/>
      <c r="BS53" s="372"/>
      <c r="BT53" s="372"/>
      <c r="BU53" s="372"/>
      <c r="BV53" s="372"/>
      <c r="BW53" s="372"/>
      <c r="BX53" s="372"/>
      <c r="BY53" s="372"/>
      <c r="BZ53" s="372"/>
      <c r="CA53" s="372"/>
      <c r="CB53" s="372"/>
      <c r="CC53" s="372"/>
      <c r="CD53" s="372"/>
      <c r="CE53" s="372"/>
      <c r="CF53" s="372"/>
      <c r="CG53" s="372"/>
      <c r="CH53" s="372"/>
      <c r="CI53" s="372"/>
      <c r="CJ53" s="372"/>
    </row>
    <row r="54" spans="2:88" s="374" customFormat="1">
      <c r="B54" s="372"/>
      <c r="H54" s="372"/>
      <c r="I54" s="372"/>
      <c r="J54" s="372"/>
      <c r="K54" s="372"/>
      <c r="L54" s="372"/>
      <c r="M54" s="372"/>
      <c r="N54" s="372"/>
      <c r="O54" s="372"/>
      <c r="P54" s="372"/>
      <c r="Q54" s="372"/>
      <c r="R54" s="372"/>
      <c r="S54" s="372"/>
      <c r="T54" s="372"/>
      <c r="U54" s="372"/>
      <c r="V54" s="372"/>
      <c r="W54" s="372"/>
      <c r="X54" s="372"/>
      <c r="Y54" s="372"/>
      <c r="Z54" s="372"/>
      <c r="AA54" s="372"/>
      <c r="AB54" s="372"/>
      <c r="AC54" s="372"/>
      <c r="AD54" s="372"/>
      <c r="AE54" s="372"/>
      <c r="AF54" s="372"/>
      <c r="AG54" s="372"/>
      <c r="AH54" s="372"/>
      <c r="AI54" s="372"/>
      <c r="AJ54" s="372"/>
      <c r="AK54" s="372"/>
      <c r="AL54" s="372"/>
      <c r="AM54" s="372"/>
      <c r="AN54" s="372"/>
      <c r="AO54" s="372"/>
      <c r="AP54" s="372"/>
      <c r="AQ54" s="372"/>
      <c r="AR54" s="372"/>
      <c r="AS54" s="372"/>
      <c r="AT54" s="372"/>
      <c r="AU54" s="372"/>
      <c r="AV54" s="372"/>
      <c r="AW54" s="372"/>
      <c r="AX54" s="372"/>
      <c r="AY54" s="372"/>
      <c r="AZ54" s="372"/>
      <c r="BA54" s="372"/>
      <c r="BB54" s="372"/>
      <c r="BC54" s="372"/>
      <c r="BD54" s="372"/>
      <c r="BE54" s="372"/>
      <c r="BF54" s="372"/>
      <c r="BG54" s="372"/>
      <c r="BH54" s="372"/>
      <c r="BI54" s="372"/>
      <c r="BJ54" s="372"/>
      <c r="BK54" s="372"/>
      <c r="BL54" s="372"/>
      <c r="BM54" s="372"/>
      <c r="BN54" s="372"/>
      <c r="BO54" s="372"/>
      <c r="BP54" s="372"/>
      <c r="BQ54" s="372"/>
      <c r="BR54" s="372"/>
      <c r="BS54" s="372"/>
      <c r="BT54" s="372"/>
      <c r="BU54" s="372"/>
      <c r="BV54" s="372"/>
      <c r="BW54" s="372"/>
      <c r="BX54" s="372"/>
      <c r="BY54" s="372"/>
      <c r="BZ54" s="372"/>
      <c r="CA54" s="372"/>
      <c r="CB54" s="372"/>
      <c r="CC54" s="372"/>
      <c r="CD54" s="372"/>
      <c r="CE54" s="372"/>
      <c r="CF54" s="372"/>
      <c r="CG54" s="372"/>
      <c r="CH54" s="372"/>
      <c r="CI54" s="372"/>
      <c r="CJ54" s="372"/>
    </row>
    <row r="55" spans="2:88" s="374" customFormat="1">
      <c r="B55" s="372"/>
      <c r="H55" s="372"/>
      <c r="I55" s="372"/>
      <c r="J55" s="372"/>
      <c r="K55" s="372"/>
      <c r="L55" s="372"/>
      <c r="M55" s="372"/>
      <c r="N55" s="372"/>
      <c r="O55" s="372"/>
      <c r="P55" s="372"/>
      <c r="Q55" s="372"/>
      <c r="R55" s="372"/>
      <c r="S55" s="372"/>
      <c r="T55" s="372"/>
      <c r="U55" s="372"/>
      <c r="V55" s="372"/>
      <c r="W55" s="372"/>
      <c r="X55" s="372"/>
      <c r="Y55" s="372"/>
      <c r="Z55" s="372"/>
      <c r="AA55" s="372"/>
      <c r="AB55" s="372"/>
      <c r="AC55" s="372"/>
      <c r="AD55" s="372"/>
      <c r="AE55" s="372"/>
      <c r="AF55" s="372"/>
      <c r="AG55" s="372"/>
      <c r="AH55" s="372"/>
      <c r="AI55" s="372"/>
      <c r="AJ55" s="372"/>
      <c r="AK55" s="372"/>
      <c r="AL55" s="372"/>
      <c r="AM55" s="372"/>
      <c r="AN55" s="372"/>
      <c r="AO55" s="372"/>
      <c r="AP55" s="372"/>
      <c r="AQ55" s="372"/>
      <c r="AR55" s="372"/>
      <c r="AS55" s="372"/>
      <c r="AT55" s="372"/>
      <c r="AU55" s="372"/>
      <c r="AV55" s="372"/>
      <c r="AW55" s="372"/>
      <c r="AX55" s="372"/>
      <c r="AY55" s="372"/>
      <c r="AZ55" s="372"/>
      <c r="BA55" s="372"/>
      <c r="BB55" s="372"/>
      <c r="BC55" s="372"/>
      <c r="BD55" s="372"/>
      <c r="BE55" s="372"/>
      <c r="BF55" s="372"/>
      <c r="BG55" s="372"/>
      <c r="BH55" s="372"/>
      <c r="BI55" s="372"/>
      <c r="BJ55" s="372"/>
      <c r="BK55" s="372"/>
      <c r="BL55" s="372"/>
      <c r="BM55" s="372"/>
      <c r="BN55" s="372"/>
      <c r="BO55" s="372"/>
      <c r="BP55" s="372"/>
      <c r="BQ55" s="372"/>
      <c r="BR55" s="372"/>
      <c r="BS55" s="372"/>
      <c r="BT55" s="372"/>
      <c r="BU55" s="372"/>
      <c r="BV55" s="372"/>
      <c r="BW55" s="372"/>
      <c r="BX55" s="372"/>
      <c r="BY55" s="372"/>
      <c r="BZ55" s="372"/>
      <c r="CA55" s="372"/>
      <c r="CB55" s="372"/>
      <c r="CC55" s="372"/>
      <c r="CD55" s="372"/>
      <c r="CE55" s="372"/>
      <c r="CF55" s="372"/>
      <c r="CG55" s="372"/>
      <c r="CH55" s="372"/>
      <c r="CI55" s="372"/>
      <c r="CJ55" s="372"/>
    </row>
    <row r="56" spans="2:88" s="374" customFormat="1">
      <c r="B56" s="372"/>
      <c r="H56" s="372"/>
      <c r="I56" s="372"/>
      <c r="J56" s="372"/>
      <c r="K56" s="372"/>
      <c r="L56" s="372"/>
      <c r="M56" s="372"/>
      <c r="N56" s="372"/>
      <c r="O56" s="372"/>
      <c r="P56" s="372"/>
      <c r="Q56" s="372"/>
      <c r="R56" s="372"/>
      <c r="S56" s="372"/>
      <c r="T56" s="372"/>
      <c r="U56" s="372"/>
      <c r="V56" s="372"/>
      <c r="W56" s="372"/>
      <c r="X56" s="372"/>
      <c r="Y56" s="372"/>
      <c r="Z56" s="372"/>
      <c r="AA56" s="372"/>
      <c r="AB56" s="372"/>
      <c r="AC56" s="372"/>
      <c r="AD56" s="372"/>
      <c r="AE56" s="372"/>
      <c r="AF56" s="372"/>
      <c r="AG56" s="372"/>
      <c r="AH56" s="372"/>
      <c r="AI56" s="372"/>
      <c r="AJ56" s="372"/>
      <c r="AK56" s="372"/>
      <c r="AL56" s="372"/>
      <c r="AM56" s="372"/>
      <c r="AN56" s="372"/>
      <c r="AO56" s="372"/>
      <c r="AP56" s="372"/>
      <c r="AQ56" s="372"/>
      <c r="AR56" s="372"/>
      <c r="AS56" s="372"/>
      <c r="AT56" s="372"/>
      <c r="AU56" s="372"/>
      <c r="AV56" s="372"/>
      <c r="AW56" s="372"/>
      <c r="AX56" s="372"/>
      <c r="AY56" s="372"/>
      <c r="AZ56" s="372"/>
      <c r="BA56" s="372"/>
      <c r="BB56" s="372"/>
      <c r="BC56" s="372"/>
      <c r="BD56" s="372"/>
      <c r="BE56" s="372"/>
      <c r="BF56" s="372"/>
      <c r="BG56" s="372"/>
      <c r="BH56" s="372"/>
      <c r="BI56" s="372"/>
      <c r="BJ56" s="372"/>
      <c r="BK56" s="372"/>
      <c r="BL56" s="372"/>
      <c r="BM56" s="372"/>
      <c r="BN56" s="372"/>
      <c r="BO56" s="372"/>
      <c r="BP56" s="372"/>
      <c r="BQ56" s="372"/>
      <c r="BR56" s="372"/>
      <c r="BS56" s="372"/>
      <c r="BT56" s="372"/>
      <c r="BU56" s="372"/>
      <c r="BV56" s="372"/>
      <c r="BW56" s="372"/>
      <c r="BX56" s="372"/>
      <c r="BY56" s="372"/>
      <c r="BZ56" s="372"/>
      <c r="CA56" s="372"/>
      <c r="CB56" s="372"/>
      <c r="CC56" s="372"/>
      <c r="CD56" s="372"/>
      <c r="CE56" s="372"/>
      <c r="CF56" s="372"/>
      <c r="CG56" s="372"/>
      <c r="CH56" s="372"/>
      <c r="CI56" s="372"/>
      <c r="CJ56" s="372"/>
    </row>
    <row r="57" spans="2:88" s="374" customFormat="1">
      <c r="B57" s="372"/>
      <c r="H57" s="372"/>
      <c r="I57" s="372"/>
      <c r="J57" s="372"/>
      <c r="K57" s="372"/>
      <c r="L57" s="372"/>
      <c r="M57" s="372"/>
      <c r="N57" s="372"/>
      <c r="O57" s="372"/>
      <c r="P57" s="372"/>
      <c r="Q57" s="372"/>
      <c r="R57" s="372"/>
      <c r="S57" s="372"/>
      <c r="T57" s="372"/>
      <c r="U57" s="372"/>
      <c r="V57" s="372"/>
      <c r="W57" s="372"/>
      <c r="X57" s="372"/>
      <c r="Y57" s="372"/>
      <c r="Z57" s="372"/>
      <c r="AA57" s="372"/>
      <c r="AB57" s="372"/>
      <c r="AC57" s="372"/>
      <c r="AD57" s="372"/>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72"/>
      <c r="BC57" s="372"/>
      <c r="BD57" s="372"/>
      <c r="BE57" s="372"/>
      <c r="BF57" s="372"/>
      <c r="BG57" s="372"/>
      <c r="BH57" s="372"/>
      <c r="BI57" s="372"/>
      <c r="BJ57" s="372"/>
      <c r="BK57" s="372"/>
      <c r="BL57" s="372"/>
      <c r="BM57" s="372"/>
      <c r="BN57" s="372"/>
      <c r="BO57" s="372"/>
      <c r="BP57" s="372"/>
      <c r="BQ57" s="372"/>
      <c r="BR57" s="372"/>
      <c r="BS57" s="372"/>
      <c r="BT57" s="372"/>
      <c r="BU57" s="372"/>
      <c r="BV57" s="372"/>
      <c r="BW57" s="372"/>
      <c r="BX57" s="372"/>
      <c r="BY57" s="372"/>
      <c r="BZ57" s="372"/>
      <c r="CA57" s="372"/>
      <c r="CB57" s="372"/>
      <c r="CC57" s="372"/>
      <c r="CD57" s="372"/>
      <c r="CE57" s="372"/>
      <c r="CF57" s="372"/>
      <c r="CG57" s="372"/>
      <c r="CH57" s="372"/>
      <c r="CI57" s="372"/>
      <c r="CJ57" s="372"/>
    </row>
    <row r="58" spans="2:88" s="374" customFormat="1">
      <c r="B58" s="372"/>
      <c r="H58" s="372"/>
      <c r="I58" s="372"/>
      <c r="J58" s="372"/>
      <c r="K58" s="372"/>
      <c r="L58" s="372"/>
      <c r="M58" s="372"/>
      <c r="N58" s="372"/>
      <c r="O58" s="372"/>
      <c r="P58" s="372"/>
      <c r="Q58" s="372"/>
      <c r="R58" s="372"/>
      <c r="S58" s="372"/>
      <c r="T58" s="372"/>
      <c r="U58" s="372"/>
      <c r="V58" s="372"/>
      <c r="W58" s="372"/>
      <c r="X58" s="372"/>
      <c r="Y58" s="372"/>
      <c r="Z58" s="372"/>
      <c r="AA58" s="372"/>
      <c r="AB58" s="372"/>
      <c r="AC58" s="372"/>
      <c r="AD58" s="372"/>
      <c r="AE58" s="372"/>
      <c r="AF58" s="372"/>
      <c r="AG58" s="372"/>
      <c r="AH58" s="372"/>
      <c r="AI58" s="372"/>
      <c r="AJ58" s="372"/>
      <c r="AK58" s="372"/>
      <c r="AL58" s="372"/>
      <c r="AM58" s="372"/>
      <c r="AN58" s="372"/>
      <c r="AO58" s="372"/>
      <c r="AP58" s="372"/>
      <c r="AQ58" s="372"/>
      <c r="AR58" s="372"/>
      <c r="AS58" s="372"/>
      <c r="AT58" s="372"/>
      <c r="AU58" s="372"/>
      <c r="AV58" s="372"/>
      <c r="AW58" s="372"/>
      <c r="AX58" s="372"/>
      <c r="AY58" s="372"/>
      <c r="AZ58" s="372"/>
      <c r="BA58" s="372"/>
      <c r="BB58" s="372"/>
      <c r="BC58" s="372"/>
      <c r="BD58" s="372"/>
      <c r="BE58" s="372"/>
      <c r="BF58" s="372"/>
      <c r="BG58" s="372"/>
      <c r="BH58" s="372"/>
      <c r="BI58" s="372"/>
      <c r="BJ58" s="372"/>
      <c r="BK58" s="372"/>
      <c r="BL58" s="372"/>
      <c r="BM58" s="372"/>
      <c r="BN58" s="372"/>
      <c r="BO58" s="372"/>
      <c r="BP58" s="372"/>
      <c r="BQ58" s="372"/>
      <c r="BR58" s="372"/>
      <c r="BS58" s="372"/>
      <c r="BT58" s="372"/>
      <c r="BU58" s="372"/>
      <c r="BV58" s="372"/>
      <c r="BW58" s="372"/>
      <c r="BX58" s="372"/>
      <c r="BY58" s="372"/>
      <c r="BZ58" s="372"/>
      <c r="CA58" s="372"/>
      <c r="CB58" s="372"/>
      <c r="CC58" s="372"/>
      <c r="CD58" s="372"/>
      <c r="CE58" s="372"/>
      <c r="CF58" s="372"/>
      <c r="CG58" s="372"/>
      <c r="CH58" s="372"/>
      <c r="CI58" s="372"/>
      <c r="CJ58" s="372"/>
    </row>
    <row r="59" spans="2:88" s="374" customFormat="1">
      <c r="B59" s="372"/>
      <c r="H59" s="372"/>
      <c r="I59" s="372"/>
      <c r="J59" s="372"/>
      <c r="K59" s="372"/>
      <c r="L59" s="372"/>
      <c r="M59" s="372"/>
      <c r="N59" s="372"/>
      <c r="O59" s="372"/>
      <c r="P59" s="372"/>
      <c r="Q59" s="372"/>
      <c r="R59" s="372"/>
      <c r="S59" s="372"/>
      <c r="T59" s="372"/>
      <c r="U59" s="372"/>
      <c r="V59" s="372"/>
      <c r="W59" s="372"/>
      <c r="X59" s="372"/>
      <c r="Y59" s="372"/>
      <c r="Z59" s="372"/>
      <c r="AA59" s="372"/>
      <c r="AB59" s="372"/>
      <c r="AC59" s="372"/>
      <c r="AD59" s="372"/>
      <c r="AE59" s="372"/>
      <c r="AF59" s="372"/>
      <c r="AG59" s="372"/>
      <c r="AH59" s="372"/>
      <c r="AI59" s="372"/>
      <c r="AJ59" s="372"/>
      <c r="AK59" s="372"/>
      <c r="AL59" s="372"/>
      <c r="AM59" s="372"/>
      <c r="AN59" s="372"/>
      <c r="AO59" s="372"/>
      <c r="AP59" s="372"/>
      <c r="AQ59" s="372"/>
      <c r="AR59" s="372"/>
      <c r="AS59" s="372"/>
      <c r="AT59" s="372"/>
      <c r="AU59" s="372"/>
      <c r="AV59" s="372"/>
      <c r="AW59" s="372"/>
      <c r="AX59" s="372"/>
      <c r="AY59" s="372"/>
      <c r="AZ59" s="372"/>
      <c r="BA59" s="372"/>
      <c r="BB59" s="372"/>
      <c r="BC59" s="372"/>
      <c r="BD59" s="372"/>
      <c r="BE59" s="372"/>
      <c r="BF59" s="372"/>
      <c r="BG59" s="372"/>
      <c r="BH59" s="372"/>
      <c r="BI59" s="372"/>
      <c r="BJ59" s="372"/>
      <c r="BK59" s="372"/>
      <c r="BL59" s="372"/>
      <c r="BM59" s="372"/>
      <c r="BN59" s="372"/>
      <c r="BO59" s="372"/>
      <c r="BP59" s="372"/>
      <c r="BQ59" s="372"/>
      <c r="BR59" s="372"/>
      <c r="BS59" s="372"/>
      <c r="BT59" s="372"/>
      <c r="BU59" s="372"/>
      <c r="BV59" s="372"/>
      <c r="BW59" s="372"/>
      <c r="BX59" s="372"/>
      <c r="BY59" s="372"/>
      <c r="BZ59" s="372"/>
      <c r="CA59" s="372"/>
      <c r="CB59" s="372"/>
      <c r="CC59" s="372"/>
      <c r="CD59" s="372"/>
      <c r="CE59" s="372"/>
      <c r="CF59" s="372"/>
      <c r="CG59" s="372"/>
      <c r="CH59" s="372"/>
      <c r="CI59" s="372"/>
      <c r="CJ59" s="372"/>
    </row>
    <row r="60" spans="2:88" s="374" customFormat="1">
      <c r="B60" s="372"/>
      <c r="H60" s="372"/>
      <c r="I60" s="372"/>
      <c r="J60" s="372"/>
      <c r="K60" s="372"/>
      <c r="L60" s="372"/>
      <c r="M60" s="372"/>
      <c r="N60" s="372"/>
      <c r="O60" s="372"/>
      <c r="P60" s="372"/>
      <c r="Q60" s="372"/>
      <c r="R60" s="372"/>
      <c r="S60" s="372"/>
      <c r="T60" s="372"/>
      <c r="U60" s="372"/>
      <c r="V60" s="372"/>
      <c r="W60" s="372"/>
      <c r="X60" s="372"/>
      <c r="Y60" s="372"/>
      <c r="Z60" s="372"/>
      <c r="AA60" s="372"/>
      <c r="AB60" s="372"/>
      <c r="AC60" s="372"/>
      <c r="AD60" s="372"/>
      <c r="AE60" s="372"/>
      <c r="AF60" s="372"/>
      <c r="AG60" s="372"/>
      <c r="AH60" s="372"/>
      <c r="AI60" s="372"/>
      <c r="AJ60" s="372"/>
      <c r="AK60" s="372"/>
      <c r="AL60" s="372"/>
      <c r="AM60" s="372"/>
      <c r="AN60" s="372"/>
      <c r="AO60" s="372"/>
      <c r="AP60" s="372"/>
      <c r="AQ60" s="372"/>
      <c r="AR60" s="372"/>
      <c r="AS60" s="372"/>
      <c r="AT60" s="372"/>
      <c r="AU60" s="372"/>
      <c r="AV60" s="372"/>
      <c r="AW60" s="372"/>
      <c r="AX60" s="372"/>
      <c r="AY60" s="372"/>
      <c r="AZ60" s="372"/>
      <c r="BA60" s="372"/>
      <c r="BB60" s="372"/>
      <c r="BC60" s="372"/>
      <c r="BD60" s="372"/>
      <c r="BE60" s="372"/>
      <c r="BF60" s="372"/>
      <c r="BG60" s="372"/>
      <c r="BH60" s="372"/>
      <c r="BI60" s="372"/>
      <c r="BJ60" s="372"/>
      <c r="BK60" s="372"/>
      <c r="BL60" s="372"/>
      <c r="BM60" s="372"/>
      <c r="BN60" s="372"/>
      <c r="BO60" s="372"/>
      <c r="BP60" s="372"/>
      <c r="BQ60" s="372"/>
      <c r="BR60" s="372"/>
      <c r="BS60" s="372"/>
      <c r="BT60" s="372"/>
      <c r="BU60" s="372"/>
      <c r="BV60" s="372"/>
      <c r="BW60" s="372"/>
      <c r="BX60" s="372"/>
      <c r="BY60" s="372"/>
      <c r="BZ60" s="372"/>
      <c r="CA60" s="372"/>
      <c r="CB60" s="372"/>
      <c r="CC60" s="372"/>
      <c r="CD60" s="372"/>
      <c r="CE60" s="372"/>
      <c r="CF60" s="372"/>
      <c r="CG60" s="372"/>
      <c r="CH60" s="372"/>
      <c r="CI60" s="372"/>
      <c r="CJ60" s="372"/>
    </row>
    <row r="61" spans="2:88" s="374" customFormat="1">
      <c r="B61" s="372"/>
      <c r="H61" s="372"/>
      <c r="I61" s="372"/>
      <c r="J61" s="372"/>
      <c r="K61" s="372"/>
      <c r="L61" s="372"/>
      <c r="M61" s="372"/>
      <c r="N61" s="372"/>
      <c r="O61" s="372"/>
      <c r="P61" s="372"/>
      <c r="Q61" s="372"/>
      <c r="R61" s="372"/>
      <c r="S61" s="372"/>
      <c r="T61" s="372"/>
      <c r="U61" s="372"/>
      <c r="V61" s="372"/>
      <c r="W61" s="372"/>
      <c r="X61" s="372"/>
      <c r="Y61" s="372"/>
      <c r="Z61" s="372"/>
      <c r="AA61" s="372"/>
      <c r="AB61" s="372"/>
      <c r="AC61" s="372"/>
      <c r="AD61" s="372"/>
      <c r="AE61" s="372"/>
      <c r="AF61" s="372"/>
      <c r="AG61" s="372"/>
      <c r="AH61" s="372"/>
      <c r="AI61" s="372"/>
      <c r="AJ61" s="372"/>
      <c r="AK61" s="372"/>
      <c r="AL61" s="372"/>
      <c r="AM61" s="372"/>
      <c r="AN61" s="372"/>
      <c r="AO61" s="372"/>
      <c r="AP61" s="372"/>
      <c r="AQ61" s="372"/>
      <c r="AR61" s="372"/>
      <c r="AS61" s="372"/>
      <c r="AT61" s="372"/>
      <c r="AU61" s="372"/>
      <c r="AV61" s="372"/>
      <c r="AW61" s="372"/>
      <c r="AX61" s="372"/>
      <c r="AY61" s="372"/>
      <c r="AZ61" s="372"/>
      <c r="BA61" s="372"/>
      <c r="BB61" s="372"/>
      <c r="BC61" s="372"/>
      <c r="BD61" s="372"/>
      <c r="BE61" s="372"/>
      <c r="BF61" s="372"/>
      <c r="BG61" s="372"/>
      <c r="BH61" s="372"/>
      <c r="BI61" s="372"/>
      <c r="BJ61" s="372"/>
      <c r="BK61" s="372"/>
      <c r="BL61" s="372"/>
      <c r="BM61" s="372"/>
      <c r="BN61" s="372"/>
      <c r="BO61" s="372"/>
      <c r="BP61" s="372"/>
      <c r="BQ61" s="372"/>
      <c r="BR61" s="372"/>
      <c r="BS61" s="372"/>
      <c r="BT61" s="372"/>
      <c r="BU61" s="372"/>
      <c r="BV61" s="372"/>
      <c r="BW61" s="372"/>
      <c r="BX61" s="372"/>
      <c r="BY61" s="372"/>
      <c r="BZ61" s="372"/>
      <c r="CA61" s="372"/>
      <c r="CB61" s="372"/>
      <c r="CC61" s="372"/>
      <c r="CD61" s="372"/>
      <c r="CE61" s="372"/>
      <c r="CF61" s="372"/>
      <c r="CG61" s="372"/>
      <c r="CH61" s="372"/>
      <c r="CI61" s="372"/>
      <c r="CJ61" s="372"/>
    </row>
    <row r="62" spans="2:88" s="374" customFormat="1">
      <c r="B62" s="372"/>
      <c r="H62" s="372"/>
      <c r="I62" s="372"/>
      <c r="J62" s="372"/>
      <c r="K62" s="372"/>
      <c r="L62" s="372"/>
      <c r="M62" s="372"/>
      <c r="N62" s="372"/>
      <c r="O62" s="372"/>
      <c r="P62" s="372"/>
      <c r="Q62" s="372"/>
      <c r="R62" s="372"/>
      <c r="S62" s="372"/>
      <c r="T62" s="372"/>
      <c r="U62" s="372"/>
      <c r="V62" s="372"/>
      <c r="W62" s="372"/>
      <c r="X62" s="372"/>
      <c r="Y62" s="372"/>
      <c r="Z62" s="372"/>
      <c r="AA62" s="372"/>
      <c r="AB62" s="372"/>
      <c r="AC62" s="372"/>
      <c r="AD62" s="372"/>
      <c r="AE62" s="372"/>
      <c r="AF62" s="372"/>
      <c r="AG62" s="372"/>
      <c r="AH62" s="372"/>
      <c r="AI62" s="372"/>
      <c r="AJ62" s="372"/>
      <c r="AK62" s="372"/>
      <c r="AL62" s="372"/>
      <c r="AM62" s="372"/>
      <c r="AN62" s="372"/>
      <c r="AO62" s="372"/>
      <c r="AP62" s="372"/>
      <c r="AQ62" s="372"/>
      <c r="AR62" s="372"/>
      <c r="AS62" s="372"/>
      <c r="AT62" s="372"/>
      <c r="AU62" s="372"/>
      <c r="AV62" s="372"/>
      <c r="AW62" s="372"/>
      <c r="AX62" s="372"/>
      <c r="AY62" s="372"/>
      <c r="AZ62" s="372"/>
      <c r="BA62" s="372"/>
      <c r="BB62" s="372"/>
      <c r="BC62" s="372"/>
      <c r="BD62" s="372"/>
      <c r="BE62" s="372"/>
      <c r="BF62" s="372"/>
      <c r="BG62" s="372"/>
      <c r="BH62" s="372"/>
      <c r="BI62" s="372"/>
      <c r="BJ62" s="372"/>
      <c r="BK62" s="372"/>
      <c r="BL62" s="372"/>
      <c r="BM62" s="372"/>
      <c r="BN62" s="372"/>
      <c r="BO62" s="372"/>
      <c r="BP62" s="372"/>
      <c r="BQ62" s="372"/>
      <c r="BR62" s="372"/>
      <c r="BS62" s="372"/>
      <c r="BT62" s="372"/>
      <c r="BU62" s="372"/>
      <c r="BV62" s="372"/>
      <c r="BW62" s="372"/>
      <c r="BX62" s="372"/>
      <c r="BY62" s="372"/>
      <c r="BZ62" s="372"/>
      <c r="CA62" s="372"/>
      <c r="CB62" s="372"/>
      <c r="CC62" s="372"/>
      <c r="CD62" s="372"/>
      <c r="CE62" s="372"/>
      <c r="CF62" s="372"/>
      <c r="CG62" s="372"/>
      <c r="CH62" s="372"/>
      <c r="CI62" s="372"/>
      <c r="CJ62" s="372"/>
    </row>
    <row r="63" spans="2:88" s="374" customFormat="1">
      <c r="B63" s="372"/>
      <c r="H63" s="372"/>
      <c r="I63" s="372"/>
      <c r="J63" s="372"/>
      <c r="K63" s="372"/>
      <c r="L63" s="372"/>
      <c r="M63" s="372"/>
      <c r="N63" s="372"/>
      <c r="O63" s="372"/>
      <c r="P63" s="372"/>
      <c r="Q63" s="372"/>
      <c r="R63" s="372"/>
      <c r="S63" s="372"/>
      <c r="T63" s="372"/>
      <c r="U63" s="372"/>
      <c r="V63" s="372"/>
      <c r="W63" s="372"/>
      <c r="X63" s="372"/>
      <c r="Y63" s="372"/>
      <c r="Z63" s="372"/>
      <c r="AA63" s="372"/>
      <c r="AB63" s="372"/>
      <c r="AC63" s="372"/>
      <c r="AD63" s="372"/>
      <c r="AE63" s="372"/>
      <c r="AF63" s="372"/>
      <c r="AG63" s="372"/>
      <c r="AH63" s="372"/>
      <c r="AI63" s="372"/>
      <c r="AJ63" s="372"/>
      <c r="AK63" s="372"/>
      <c r="AL63" s="372"/>
      <c r="AM63" s="372"/>
      <c r="AN63" s="372"/>
      <c r="AO63" s="372"/>
      <c r="AP63" s="372"/>
      <c r="AQ63" s="372"/>
      <c r="AR63" s="372"/>
      <c r="AS63" s="372"/>
      <c r="AT63" s="372"/>
      <c r="AU63" s="372"/>
      <c r="AV63" s="372"/>
      <c r="AW63" s="372"/>
      <c r="AX63" s="372"/>
      <c r="AY63" s="372"/>
      <c r="AZ63" s="372"/>
      <c r="BA63" s="372"/>
      <c r="BB63" s="372"/>
      <c r="BC63" s="372"/>
      <c r="BD63" s="372"/>
      <c r="BE63" s="372"/>
      <c r="BF63" s="372"/>
      <c r="BG63" s="372"/>
      <c r="BH63" s="372"/>
      <c r="BI63" s="372"/>
      <c r="BJ63" s="372"/>
      <c r="BK63" s="372"/>
      <c r="BL63" s="372"/>
      <c r="BM63" s="372"/>
      <c r="BN63" s="372"/>
      <c r="BO63" s="372"/>
      <c r="BP63" s="372"/>
      <c r="BQ63" s="372"/>
      <c r="BR63" s="372"/>
      <c r="BS63" s="372"/>
      <c r="BT63" s="372"/>
      <c r="BU63" s="372"/>
      <c r="BV63" s="372"/>
      <c r="BW63" s="372"/>
      <c r="BX63" s="372"/>
      <c r="BY63" s="372"/>
      <c r="BZ63" s="372"/>
      <c r="CA63" s="372"/>
      <c r="CB63" s="372"/>
      <c r="CC63" s="372"/>
      <c r="CD63" s="372"/>
      <c r="CE63" s="372"/>
      <c r="CF63" s="372"/>
      <c r="CG63" s="372"/>
      <c r="CH63" s="372"/>
      <c r="CI63" s="372"/>
      <c r="CJ63" s="372"/>
    </row>
    <row r="64" spans="2:88" s="374" customFormat="1">
      <c r="B64" s="372"/>
      <c r="H64" s="372"/>
      <c r="I64" s="372"/>
      <c r="J64" s="372"/>
      <c r="K64" s="372"/>
      <c r="L64" s="372"/>
      <c r="M64" s="372"/>
      <c r="N64" s="372"/>
      <c r="O64" s="372"/>
      <c r="P64" s="372"/>
      <c r="Q64" s="372"/>
      <c r="R64" s="372"/>
      <c r="S64" s="372"/>
      <c r="T64" s="372"/>
      <c r="U64" s="372"/>
      <c r="V64" s="372"/>
      <c r="W64" s="372"/>
      <c r="X64" s="372"/>
      <c r="Y64" s="372"/>
      <c r="Z64" s="372"/>
      <c r="AA64" s="372"/>
      <c r="AB64" s="372"/>
      <c r="AC64" s="372"/>
      <c r="AD64" s="372"/>
      <c r="AE64" s="372"/>
      <c r="AF64" s="372"/>
      <c r="AG64" s="372"/>
      <c r="AH64" s="372"/>
      <c r="AI64" s="372"/>
      <c r="AJ64" s="372"/>
      <c r="AK64" s="372"/>
      <c r="AL64" s="372"/>
      <c r="AM64" s="372"/>
      <c r="AN64" s="372"/>
      <c r="AO64" s="372"/>
      <c r="AP64" s="372"/>
      <c r="AQ64" s="372"/>
      <c r="AR64" s="372"/>
      <c r="AS64" s="372"/>
      <c r="AT64" s="372"/>
      <c r="AU64" s="372"/>
      <c r="AV64" s="372"/>
      <c r="AW64" s="372"/>
      <c r="AX64" s="372"/>
      <c r="AY64" s="372"/>
      <c r="AZ64" s="372"/>
      <c r="BA64" s="372"/>
      <c r="BB64" s="372"/>
      <c r="BC64" s="372"/>
      <c r="BD64" s="372"/>
      <c r="BE64" s="372"/>
      <c r="BF64" s="372"/>
      <c r="BG64" s="372"/>
      <c r="BH64" s="372"/>
      <c r="BI64" s="372"/>
      <c r="BJ64" s="372"/>
      <c r="BK64" s="372"/>
      <c r="BL64" s="372"/>
      <c r="BM64" s="372"/>
      <c r="BN64" s="372"/>
      <c r="BO64" s="372"/>
      <c r="BP64" s="372"/>
      <c r="BQ64" s="372"/>
      <c r="BR64" s="372"/>
      <c r="BS64" s="372"/>
      <c r="BT64" s="372"/>
      <c r="BU64" s="372"/>
      <c r="BV64" s="372"/>
      <c r="BW64" s="372"/>
      <c r="BX64" s="372"/>
      <c r="BY64" s="372"/>
      <c r="BZ64" s="372"/>
      <c r="CA64" s="372"/>
      <c r="CB64" s="372"/>
      <c r="CC64" s="372"/>
      <c r="CD64" s="372"/>
      <c r="CE64" s="372"/>
      <c r="CF64" s="372"/>
      <c r="CG64" s="372"/>
      <c r="CH64" s="372"/>
      <c r="CI64" s="372"/>
      <c r="CJ64" s="372"/>
    </row>
    <row r="65" spans="2:88" s="374" customFormat="1">
      <c r="B65" s="372"/>
      <c r="H65" s="372"/>
      <c r="I65" s="372"/>
      <c r="J65" s="372"/>
      <c r="K65" s="372"/>
      <c r="L65" s="372"/>
      <c r="M65" s="372"/>
      <c r="N65" s="372"/>
      <c r="O65" s="372"/>
      <c r="P65" s="372"/>
      <c r="Q65" s="372"/>
      <c r="R65" s="372"/>
      <c r="S65" s="372"/>
      <c r="T65" s="372"/>
      <c r="U65" s="372"/>
      <c r="V65" s="372"/>
      <c r="W65" s="372"/>
      <c r="X65" s="372"/>
      <c r="Y65" s="372"/>
      <c r="Z65" s="372"/>
      <c r="AA65" s="372"/>
      <c r="AB65" s="372"/>
      <c r="AC65" s="372"/>
      <c r="AD65" s="372"/>
      <c r="AE65" s="372"/>
      <c r="AF65" s="372"/>
      <c r="AG65" s="372"/>
      <c r="AH65" s="372"/>
      <c r="AI65" s="372"/>
      <c r="AJ65" s="372"/>
      <c r="AK65" s="372"/>
      <c r="AL65" s="372"/>
      <c r="AM65" s="372"/>
      <c r="AN65" s="372"/>
      <c r="AO65" s="372"/>
      <c r="AP65" s="372"/>
      <c r="AQ65" s="372"/>
      <c r="AR65" s="372"/>
      <c r="AS65" s="372"/>
      <c r="AT65" s="372"/>
      <c r="AU65" s="372"/>
      <c r="AV65" s="372"/>
      <c r="AW65" s="372"/>
      <c r="AX65" s="372"/>
      <c r="AY65" s="372"/>
      <c r="AZ65" s="372"/>
      <c r="BA65" s="372"/>
      <c r="BB65" s="372"/>
      <c r="BC65" s="372"/>
      <c r="BD65" s="372"/>
      <c r="BE65" s="372"/>
      <c r="BF65" s="372"/>
      <c r="BG65" s="372"/>
      <c r="BH65" s="372"/>
      <c r="BI65" s="372"/>
      <c r="BJ65" s="372"/>
      <c r="BK65" s="372"/>
      <c r="BL65" s="372"/>
      <c r="BM65" s="372"/>
      <c r="BN65" s="372"/>
      <c r="BO65" s="372"/>
      <c r="BP65" s="372"/>
      <c r="BQ65" s="372"/>
      <c r="BR65" s="372"/>
      <c r="BS65" s="372"/>
      <c r="BT65" s="372"/>
      <c r="BU65" s="372"/>
      <c r="BV65" s="372"/>
      <c r="BW65" s="372"/>
      <c r="BX65" s="372"/>
      <c r="BY65" s="372"/>
      <c r="BZ65" s="372"/>
      <c r="CA65" s="372"/>
      <c r="CB65" s="372"/>
      <c r="CC65" s="372"/>
      <c r="CD65" s="372"/>
      <c r="CE65" s="372"/>
      <c r="CF65" s="372"/>
      <c r="CG65" s="372"/>
      <c r="CH65" s="372"/>
      <c r="CI65" s="372"/>
      <c r="CJ65" s="372"/>
    </row>
    <row r="66" spans="2:88" s="374" customFormat="1">
      <c r="B66" s="372"/>
      <c r="H66" s="372"/>
      <c r="I66" s="372"/>
      <c r="J66" s="372"/>
      <c r="K66" s="372"/>
      <c r="L66" s="372"/>
      <c r="M66" s="372"/>
      <c r="N66" s="372"/>
      <c r="O66" s="372"/>
      <c r="P66" s="372"/>
      <c r="Q66" s="372"/>
      <c r="R66" s="372"/>
      <c r="S66" s="37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D66" s="372"/>
      <c r="BE66" s="372"/>
      <c r="BF66" s="372"/>
      <c r="BG66" s="372"/>
      <c r="BH66" s="372"/>
      <c r="BI66" s="372"/>
      <c r="BJ66" s="372"/>
      <c r="BK66" s="372"/>
      <c r="BL66" s="372"/>
      <c r="BM66" s="372"/>
      <c r="BN66" s="372"/>
      <c r="BO66" s="372"/>
      <c r="BP66" s="372"/>
      <c r="BQ66" s="372"/>
      <c r="BR66" s="372"/>
      <c r="BS66" s="372"/>
      <c r="BT66" s="372"/>
      <c r="BU66" s="372"/>
      <c r="BV66" s="372"/>
      <c r="BW66" s="372"/>
      <c r="BX66" s="372"/>
      <c r="BY66" s="372"/>
      <c r="BZ66" s="372"/>
      <c r="CA66" s="372"/>
      <c r="CB66" s="372"/>
      <c r="CC66" s="372"/>
      <c r="CD66" s="372"/>
      <c r="CE66" s="372"/>
      <c r="CF66" s="372"/>
      <c r="CG66" s="372"/>
      <c r="CH66" s="372"/>
      <c r="CI66" s="372"/>
      <c r="CJ66" s="372"/>
    </row>
    <row r="67" spans="2:88" s="374" customFormat="1">
      <c r="B67" s="372"/>
      <c r="H67" s="372"/>
      <c r="I67" s="372"/>
      <c r="J67" s="372"/>
      <c r="K67" s="372"/>
      <c r="L67" s="372"/>
      <c r="M67" s="372"/>
      <c r="N67" s="372"/>
      <c r="O67" s="372"/>
      <c r="P67" s="372"/>
      <c r="Q67" s="372"/>
      <c r="R67" s="372"/>
      <c r="S67" s="372"/>
      <c r="T67" s="372"/>
      <c r="U67" s="372"/>
      <c r="V67" s="372"/>
      <c r="W67" s="372"/>
      <c r="X67" s="372"/>
      <c r="Y67" s="372"/>
      <c r="Z67" s="372"/>
      <c r="AA67" s="372"/>
      <c r="AB67" s="372"/>
      <c r="AC67" s="372"/>
      <c r="AD67" s="372"/>
      <c r="AE67" s="372"/>
      <c r="AF67" s="372"/>
      <c r="AG67" s="372"/>
      <c r="AH67" s="372"/>
      <c r="AI67" s="372"/>
      <c r="AJ67" s="372"/>
      <c r="AK67" s="372"/>
      <c r="AL67" s="372"/>
      <c r="AM67" s="372"/>
      <c r="AN67" s="372"/>
      <c r="AO67" s="372"/>
      <c r="AP67" s="372"/>
      <c r="AQ67" s="372"/>
      <c r="AR67" s="372"/>
      <c r="AS67" s="372"/>
      <c r="AT67" s="372"/>
      <c r="AU67" s="372"/>
      <c r="AV67" s="372"/>
      <c r="AW67" s="372"/>
      <c r="AX67" s="372"/>
      <c r="AY67" s="372"/>
      <c r="AZ67" s="372"/>
      <c r="BA67" s="372"/>
      <c r="BB67" s="372"/>
      <c r="BC67" s="372"/>
      <c r="BD67" s="372"/>
      <c r="BE67" s="372"/>
      <c r="BF67" s="372"/>
      <c r="BG67" s="372"/>
      <c r="BH67" s="372"/>
      <c r="BI67" s="372"/>
      <c r="BJ67" s="372"/>
      <c r="BK67" s="372"/>
      <c r="BL67" s="372"/>
      <c r="BM67" s="372"/>
      <c r="BN67" s="372"/>
      <c r="BO67" s="372"/>
      <c r="BP67" s="372"/>
      <c r="BQ67" s="372"/>
      <c r="BR67" s="372"/>
      <c r="BS67" s="372"/>
      <c r="BT67" s="372"/>
      <c r="BU67" s="372"/>
      <c r="BV67" s="372"/>
      <c r="BW67" s="372"/>
      <c r="BX67" s="372"/>
      <c r="BY67" s="372"/>
      <c r="BZ67" s="372"/>
      <c r="CA67" s="372"/>
      <c r="CB67" s="372"/>
      <c r="CC67" s="372"/>
      <c r="CD67" s="372"/>
      <c r="CE67" s="372"/>
      <c r="CF67" s="372"/>
      <c r="CG67" s="372"/>
      <c r="CH67" s="372"/>
      <c r="CI67" s="372"/>
      <c r="CJ67" s="372"/>
    </row>
    <row r="68" spans="2:88" s="374" customFormat="1">
      <c r="B68" s="372"/>
      <c r="H68" s="372"/>
      <c r="I68" s="372"/>
      <c r="J68" s="372"/>
      <c r="K68" s="372"/>
      <c r="L68" s="372"/>
      <c r="M68" s="372"/>
      <c r="N68" s="372"/>
      <c r="O68" s="372"/>
      <c r="P68" s="372"/>
      <c r="Q68" s="372"/>
      <c r="R68" s="372"/>
      <c r="S68" s="372"/>
      <c r="T68" s="372"/>
      <c r="U68" s="372"/>
      <c r="V68" s="372"/>
      <c r="W68" s="372"/>
      <c r="X68" s="372"/>
      <c r="Y68" s="372"/>
      <c r="Z68" s="372"/>
      <c r="AA68" s="372"/>
      <c r="AB68" s="372"/>
      <c r="AC68" s="372"/>
      <c r="AD68" s="372"/>
      <c r="AE68" s="372"/>
      <c r="AF68" s="372"/>
      <c r="AG68" s="372"/>
      <c r="AH68" s="372"/>
      <c r="AI68" s="372"/>
      <c r="AJ68" s="372"/>
      <c r="AK68" s="372"/>
      <c r="AL68" s="372"/>
      <c r="AM68" s="372"/>
      <c r="AN68" s="372"/>
      <c r="AO68" s="372"/>
      <c r="AP68" s="372"/>
      <c r="AQ68" s="372"/>
      <c r="AR68" s="372"/>
      <c r="AS68" s="372"/>
      <c r="AT68" s="372"/>
      <c r="AU68" s="372"/>
      <c r="AV68" s="372"/>
      <c r="AW68" s="372"/>
      <c r="AX68" s="372"/>
      <c r="AY68" s="372"/>
      <c r="AZ68" s="372"/>
      <c r="BA68" s="372"/>
      <c r="BB68" s="372"/>
      <c r="BC68" s="372"/>
      <c r="BD68" s="372"/>
      <c r="BE68" s="372"/>
      <c r="BF68" s="372"/>
      <c r="BG68" s="372"/>
      <c r="BH68" s="372"/>
      <c r="BI68" s="372"/>
      <c r="BJ68" s="372"/>
      <c r="BK68" s="372"/>
      <c r="BL68" s="372"/>
      <c r="BM68" s="372"/>
      <c r="BN68" s="372"/>
      <c r="BO68" s="372"/>
      <c r="BP68" s="372"/>
      <c r="BQ68" s="372"/>
      <c r="BR68" s="372"/>
      <c r="BS68" s="372"/>
      <c r="BT68" s="372"/>
      <c r="BU68" s="372"/>
      <c r="BV68" s="372"/>
      <c r="BW68" s="372"/>
      <c r="BX68" s="372"/>
      <c r="BY68" s="372"/>
      <c r="BZ68" s="372"/>
      <c r="CA68" s="372"/>
      <c r="CB68" s="372"/>
      <c r="CC68" s="372"/>
      <c r="CD68" s="372"/>
      <c r="CE68" s="372"/>
      <c r="CF68" s="372"/>
      <c r="CG68" s="372"/>
      <c r="CH68" s="372"/>
      <c r="CI68" s="372"/>
      <c r="CJ68" s="372"/>
    </row>
    <row r="69" spans="2:88" s="374" customFormat="1">
      <c r="B69" s="372"/>
      <c r="H69" s="372"/>
      <c r="I69" s="372"/>
      <c r="J69" s="372"/>
      <c r="K69" s="372"/>
      <c r="L69" s="372"/>
      <c r="M69" s="372"/>
      <c r="N69" s="372"/>
      <c r="O69" s="372"/>
      <c r="P69" s="372"/>
      <c r="Q69" s="372"/>
      <c r="R69" s="372"/>
      <c r="S69" s="372"/>
      <c r="T69" s="372"/>
      <c r="U69" s="372"/>
      <c r="V69" s="372"/>
      <c r="W69" s="372"/>
      <c r="X69" s="372"/>
      <c r="Y69" s="372"/>
      <c r="Z69" s="372"/>
      <c r="AA69" s="372"/>
      <c r="AB69" s="372"/>
      <c r="AC69" s="372"/>
      <c r="AD69" s="372"/>
      <c r="AE69" s="372"/>
      <c r="AF69" s="372"/>
      <c r="AG69" s="372"/>
      <c r="AH69" s="372"/>
      <c r="AI69" s="372"/>
      <c r="AJ69" s="372"/>
      <c r="AK69" s="372"/>
      <c r="AL69" s="372"/>
      <c r="AM69" s="372"/>
      <c r="AN69" s="372"/>
      <c r="AO69" s="372"/>
      <c r="AP69" s="372"/>
      <c r="AQ69" s="372"/>
      <c r="AR69" s="372"/>
      <c r="AS69" s="372"/>
      <c r="AT69" s="372"/>
      <c r="AU69" s="372"/>
      <c r="AV69" s="372"/>
      <c r="AW69" s="372"/>
      <c r="AX69" s="372"/>
      <c r="AY69" s="372"/>
      <c r="AZ69" s="372"/>
      <c r="BA69" s="372"/>
      <c r="BB69" s="372"/>
      <c r="BC69" s="372"/>
      <c r="BD69" s="372"/>
      <c r="BE69" s="372"/>
      <c r="BF69" s="372"/>
      <c r="BG69" s="372"/>
      <c r="BH69" s="372"/>
      <c r="BI69" s="372"/>
      <c r="BJ69" s="372"/>
      <c r="BK69" s="372"/>
      <c r="BL69" s="372"/>
      <c r="BM69" s="372"/>
      <c r="BN69" s="372"/>
      <c r="BO69" s="372"/>
      <c r="BP69" s="372"/>
      <c r="BQ69" s="372"/>
      <c r="BR69" s="372"/>
      <c r="BS69" s="372"/>
      <c r="BT69" s="372"/>
      <c r="BU69" s="372"/>
      <c r="BV69" s="372"/>
      <c r="BW69" s="372"/>
      <c r="BX69" s="372"/>
      <c r="BY69" s="372"/>
      <c r="BZ69" s="372"/>
      <c r="CA69" s="372"/>
      <c r="CB69" s="372"/>
      <c r="CC69" s="372"/>
      <c r="CD69" s="372"/>
      <c r="CE69" s="372"/>
      <c r="CF69" s="372"/>
      <c r="CG69" s="372"/>
      <c r="CH69" s="372"/>
      <c r="CI69" s="372"/>
      <c r="CJ69" s="372"/>
    </row>
    <row r="70" spans="2:88" s="374" customFormat="1">
      <c r="B70" s="372"/>
      <c r="H70" s="372"/>
      <c r="I70" s="372"/>
      <c r="J70" s="372"/>
      <c r="K70" s="372"/>
      <c r="L70" s="372"/>
      <c r="M70" s="372"/>
      <c r="N70" s="372"/>
      <c r="O70" s="372"/>
      <c r="P70" s="372"/>
      <c r="Q70" s="372"/>
      <c r="R70" s="372"/>
      <c r="S70" s="372"/>
      <c r="T70" s="372"/>
      <c r="U70" s="372"/>
      <c r="V70" s="372"/>
      <c r="W70" s="372"/>
      <c r="X70" s="372"/>
      <c r="Y70" s="372"/>
      <c r="Z70" s="372"/>
      <c r="AA70" s="372"/>
      <c r="AB70" s="372"/>
      <c r="AC70" s="372"/>
      <c r="AD70" s="372"/>
      <c r="AE70" s="372"/>
      <c r="AF70" s="372"/>
      <c r="AG70" s="372"/>
      <c r="AH70" s="372"/>
      <c r="AI70" s="372"/>
      <c r="AJ70" s="372"/>
      <c r="AK70" s="372"/>
      <c r="AL70" s="372"/>
      <c r="AM70" s="372"/>
      <c r="AN70" s="372"/>
      <c r="AO70" s="372"/>
      <c r="AP70" s="372"/>
      <c r="AQ70" s="372"/>
      <c r="AR70" s="372"/>
      <c r="AS70" s="372"/>
      <c r="AT70" s="372"/>
      <c r="AU70" s="372"/>
      <c r="AV70" s="372"/>
      <c r="AW70" s="372"/>
      <c r="AX70" s="372"/>
      <c r="AY70" s="372"/>
      <c r="AZ70" s="372"/>
      <c r="BA70" s="372"/>
      <c r="BB70" s="372"/>
      <c r="BC70" s="372"/>
      <c r="BD70" s="372"/>
      <c r="BE70" s="372"/>
      <c r="BF70" s="372"/>
      <c r="BG70" s="372"/>
      <c r="BH70" s="372"/>
      <c r="BI70" s="372"/>
      <c r="BJ70" s="372"/>
      <c r="BK70" s="372"/>
      <c r="BL70" s="372"/>
      <c r="BM70" s="372"/>
      <c r="BN70" s="372"/>
      <c r="BO70" s="372"/>
      <c r="BP70" s="372"/>
      <c r="BQ70" s="372"/>
      <c r="BR70" s="372"/>
      <c r="BS70" s="372"/>
      <c r="BT70" s="372"/>
      <c r="BU70" s="372"/>
      <c r="BV70" s="372"/>
      <c r="BW70" s="372"/>
      <c r="BX70" s="372"/>
      <c r="BY70" s="372"/>
      <c r="BZ70" s="372"/>
      <c r="CA70" s="372"/>
      <c r="CB70" s="372"/>
      <c r="CC70" s="372"/>
      <c r="CD70" s="372"/>
      <c r="CE70" s="372"/>
      <c r="CF70" s="372"/>
      <c r="CG70" s="372"/>
      <c r="CH70" s="372"/>
      <c r="CI70" s="372"/>
      <c r="CJ70" s="372"/>
    </row>
    <row r="71" spans="2:88" s="374" customFormat="1">
      <c r="B71" s="372"/>
      <c r="H71" s="372"/>
      <c r="I71" s="372"/>
      <c r="J71" s="372"/>
      <c r="K71" s="372"/>
      <c r="L71" s="372"/>
      <c r="M71" s="372"/>
      <c r="N71" s="372"/>
      <c r="O71" s="372"/>
      <c r="P71" s="372"/>
      <c r="Q71" s="372"/>
      <c r="R71" s="372"/>
      <c r="S71" s="372"/>
      <c r="T71" s="372"/>
      <c r="U71" s="372"/>
      <c r="V71" s="372"/>
      <c r="W71" s="372"/>
      <c r="X71" s="372"/>
      <c r="Y71" s="372"/>
      <c r="Z71" s="372"/>
      <c r="AA71" s="372"/>
      <c r="AB71" s="372"/>
      <c r="AC71" s="372"/>
      <c r="AD71" s="372"/>
      <c r="AE71" s="372"/>
      <c r="AF71" s="372"/>
      <c r="AG71" s="372"/>
      <c r="AH71" s="372"/>
      <c r="AI71" s="372"/>
      <c r="AJ71" s="372"/>
      <c r="AK71" s="372"/>
      <c r="AL71" s="372"/>
      <c r="AM71" s="372"/>
      <c r="AN71" s="372"/>
      <c r="AO71" s="372"/>
      <c r="AP71" s="372"/>
      <c r="AQ71" s="372"/>
      <c r="AR71" s="372"/>
      <c r="AS71" s="372"/>
      <c r="AT71" s="372"/>
      <c r="AU71" s="372"/>
      <c r="AV71" s="372"/>
      <c r="AW71" s="372"/>
      <c r="AX71" s="372"/>
      <c r="AY71" s="372"/>
      <c r="AZ71" s="372"/>
      <c r="BA71" s="372"/>
      <c r="BB71" s="372"/>
      <c r="BC71" s="372"/>
      <c r="BD71" s="372"/>
      <c r="BE71" s="372"/>
      <c r="BF71" s="372"/>
      <c r="BG71" s="372"/>
      <c r="BH71" s="372"/>
      <c r="BI71" s="372"/>
      <c r="BJ71" s="372"/>
      <c r="BK71" s="372"/>
      <c r="BL71" s="372"/>
      <c r="BM71" s="372"/>
      <c r="BN71" s="372"/>
      <c r="BO71" s="372"/>
      <c r="BP71" s="372"/>
      <c r="BQ71" s="372"/>
      <c r="BR71" s="372"/>
      <c r="BS71" s="372"/>
      <c r="BT71" s="372"/>
      <c r="BU71" s="372"/>
      <c r="BV71" s="372"/>
      <c r="BW71" s="372"/>
      <c r="BX71" s="372"/>
      <c r="BY71" s="372"/>
      <c r="BZ71" s="372"/>
      <c r="CA71" s="372"/>
      <c r="CB71" s="372"/>
      <c r="CC71" s="372"/>
      <c r="CD71" s="372"/>
      <c r="CE71" s="372"/>
      <c r="CF71" s="372"/>
      <c r="CG71" s="372"/>
      <c r="CH71" s="372"/>
      <c r="CI71" s="372"/>
      <c r="CJ71" s="372"/>
    </row>
    <row r="72" spans="2:88" s="374" customFormat="1">
      <c r="B72" s="372"/>
      <c r="H72" s="372"/>
      <c r="I72" s="372"/>
      <c r="J72" s="372"/>
      <c r="K72" s="372"/>
      <c r="L72" s="372"/>
      <c r="M72" s="372"/>
      <c r="N72" s="372"/>
      <c r="O72" s="372"/>
      <c r="P72" s="372"/>
      <c r="Q72" s="372"/>
      <c r="R72" s="372"/>
      <c r="S72" s="372"/>
      <c r="T72" s="372"/>
      <c r="U72" s="372"/>
      <c r="V72" s="372"/>
      <c r="W72" s="372"/>
      <c r="X72" s="372"/>
      <c r="Y72" s="372"/>
      <c r="Z72" s="372"/>
      <c r="AA72" s="372"/>
      <c r="AB72" s="372"/>
      <c r="AC72" s="372"/>
      <c r="AD72" s="372"/>
      <c r="AE72" s="372"/>
      <c r="AF72" s="372"/>
      <c r="AG72" s="372"/>
      <c r="AH72" s="372"/>
      <c r="AI72" s="372"/>
      <c r="AJ72" s="372"/>
      <c r="AK72" s="372"/>
      <c r="AL72" s="372"/>
      <c r="AM72" s="372"/>
      <c r="AN72" s="372"/>
      <c r="AO72" s="372"/>
      <c r="AP72" s="372"/>
      <c r="AQ72" s="372"/>
      <c r="AR72" s="372"/>
      <c r="AS72" s="372"/>
      <c r="AT72" s="372"/>
      <c r="AU72" s="372"/>
      <c r="AV72" s="372"/>
      <c r="AW72" s="372"/>
      <c r="AX72" s="372"/>
      <c r="AY72" s="372"/>
      <c r="AZ72" s="372"/>
      <c r="BA72" s="372"/>
      <c r="BB72" s="372"/>
      <c r="BC72" s="372"/>
      <c r="BD72" s="372"/>
      <c r="BE72" s="372"/>
      <c r="BF72" s="372"/>
      <c r="BG72" s="372"/>
      <c r="BH72" s="372"/>
      <c r="BI72" s="372"/>
      <c r="BJ72" s="372"/>
      <c r="BK72" s="372"/>
      <c r="BL72" s="372"/>
      <c r="BM72" s="372"/>
      <c r="BN72" s="372"/>
      <c r="BO72" s="372"/>
      <c r="BP72" s="372"/>
      <c r="BQ72" s="372"/>
      <c r="BR72" s="372"/>
      <c r="BS72" s="372"/>
      <c r="BT72" s="372"/>
      <c r="BU72" s="372"/>
      <c r="BV72" s="372"/>
      <c r="BW72" s="372"/>
      <c r="BX72" s="372"/>
      <c r="BY72" s="372"/>
      <c r="BZ72" s="372"/>
      <c r="CA72" s="372"/>
      <c r="CB72" s="372"/>
      <c r="CC72" s="372"/>
      <c r="CD72" s="372"/>
      <c r="CE72" s="372"/>
      <c r="CF72" s="372"/>
      <c r="CG72" s="372"/>
      <c r="CH72" s="372"/>
      <c r="CI72" s="372"/>
      <c r="CJ72" s="372"/>
    </row>
    <row r="73" spans="2:88" s="374" customFormat="1">
      <c r="B73" s="372"/>
      <c r="H73" s="372"/>
      <c r="I73" s="372"/>
      <c r="J73" s="372"/>
      <c r="K73" s="372"/>
      <c r="L73" s="372"/>
      <c r="M73" s="372"/>
      <c r="N73" s="372"/>
      <c r="O73" s="372"/>
      <c r="P73" s="372"/>
      <c r="Q73" s="372"/>
      <c r="R73" s="372"/>
      <c r="S73" s="372"/>
      <c r="T73" s="372"/>
      <c r="U73" s="372"/>
      <c r="V73" s="372"/>
      <c r="W73" s="372"/>
      <c r="X73" s="372"/>
      <c r="Y73" s="372"/>
      <c r="Z73" s="372"/>
      <c r="AA73" s="372"/>
      <c r="AB73" s="372"/>
      <c r="AC73" s="372"/>
      <c r="AD73" s="372"/>
      <c r="AE73" s="372"/>
      <c r="AF73" s="372"/>
      <c r="AG73" s="372"/>
      <c r="AH73" s="372"/>
      <c r="AI73" s="372"/>
      <c r="AJ73" s="372"/>
      <c r="AK73" s="372"/>
      <c r="AL73" s="372"/>
      <c r="AM73" s="372"/>
      <c r="AN73" s="372"/>
      <c r="AO73" s="372"/>
      <c r="AP73" s="372"/>
      <c r="AQ73" s="372"/>
      <c r="AR73" s="372"/>
      <c r="AS73" s="372"/>
      <c r="AT73" s="372"/>
      <c r="AU73" s="372"/>
      <c r="AV73" s="372"/>
      <c r="AW73" s="372"/>
      <c r="AX73" s="372"/>
      <c r="AY73" s="372"/>
      <c r="AZ73" s="372"/>
      <c r="BA73" s="372"/>
      <c r="BB73" s="372"/>
      <c r="BC73" s="372"/>
      <c r="BD73" s="372"/>
      <c r="BE73" s="372"/>
      <c r="BF73" s="372"/>
      <c r="BG73" s="372"/>
      <c r="BH73" s="372"/>
      <c r="BI73" s="372"/>
      <c r="BJ73" s="372"/>
      <c r="BK73" s="372"/>
      <c r="BL73" s="372"/>
      <c r="BM73" s="372"/>
      <c r="BN73" s="372"/>
      <c r="BO73" s="372"/>
      <c r="BP73" s="372"/>
      <c r="BQ73" s="372"/>
      <c r="BR73" s="372"/>
      <c r="BS73" s="372"/>
      <c r="BT73" s="372"/>
      <c r="BU73" s="372"/>
      <c r="BV73" s="372"/>
      <c r="BW73" s="372"/>
      <c r="BX73" s="372"/>
      <c r="BY73" s="372"/>
      <c r="BZ73" s="372"/>
      <c r="CA73" s="372"/>
      <c r="CB73" s="372"/>
      <c r="CC73" s="372"/>
      <c r="CD73" s="372"/>
      <c r="CE73" s="372"/>
      <c r="CF73" s="372"/>
      <c r="CG73" s="372"/>
      <c r="CH73" s="372"/>
      <c r="CI73" s="372"/>
      <c r="CJ73" s="372"/>
    </row>
    <row r="74" spans="2:88" s="374" customFormat="1">
      <c r="B74" s="372"/>
      <c r="H74" s="372"/>
      <c r="I74" s="372"/>
      <c r="J74" s="372"/>
      <c r="K74" s="372"/>
      <c r="L74" s="372"/>
      <c r="M74" s="372"/>
      <c r="N74" s="372"/>
      <c r="O74" s="372"/>
      <c r="P74" s="372"/>
      <c r="Q74" s="372"/>
      <c r="R74" s="372"/>
      <c r="S74" s="372"/>
      <c r="T74" s="372"/>
      <c r="U74" s="372"/>
      <c r="V74" s="372"/>
      <c r="W74" s="372"/>
      <c r="X74" s="372"/>
      <c r="Y74" s="372"/>
      <c r="Z74" s="372"/>
      <c r="AA74" s="372"/>
      <c r="AB74" s="372"/>
      <c r="AC74" s="372"/>
      <c r="AD74" s="372"/>
      <c r="AE74" s="372"/>
      <c r="AF74" s="372"/>
      <c r="AG74" s="372"/>
      <c r="AH74" s="372"/>
      <c r="AI74" s="372"/>
      <c r="AJ74" s="372"/>
      <c r="AK74" s="372"/>
      <c r="AL74" s="372"/>
      <c r="AM74" s="372"/>
      <c r="AN74" s="372"/>
      <c r="AO74" s="372"/>
      <c r="AP74" s="372"/>
      <c r="AQ74" s="372"/>
      <c r="AR74" s="372"/>
      <c r="AS74" s="372"/>
      <c r="AT74" s="372"/>
      <c r="AU74" s="372"/>
      <c r="AV74" s="372"/>
      <c r="AW74" s="372"/>
      <c r="AX74" s="372"/>
      <c r="AY74" s="372"/>
      <c r="AZ74" s="372"/>
      <c r="BA74" s="372"/>
      <c r="BB74" s="372"/>
      <c r="BC74" s="372"/>
      <c r="BD74" s="372"/>
      <c r="BE74" s="372"/>
      <c r="BF74" s="372"/>
      <c r="BG74" s="372"/>
      <c r="BH74" s="372"/>
      <c r="BI74" s="372"/>
      <c r="BJ74" s="372"/>
      <c r="BK74" s="372"/>
      <c r="BL74" s="372"/>
      <c r="BM74" s="372"/>
      <c r="BN74" s="372"/>
      <c r="BO74" s="372"/>
      <c r="BP74" s="372"/>
      <c r="BQ74" s="372"/>
      <c r="BR74" s="372"/>
      <c r="BS74" s="372"/>
      <c r="BT74" s="372"/>
      <c r="BU74" s="372"/>
      <c r="BV74" s="372"/>
      <c r="BW74" s="372"/>
      <c r="BX74" s="372"/>
      <c r="BY74" s="372"/>
      <c r="BZ74" s="372"/>
      <c r="CA74" s="372"/>
      <c r="CB74" s="372"/>
      <c r="CC74" s="372"/>
      <c r="CD74" s="372"/>
      <c r="CE74" s="372"/>
      <c r="CF74" s="372"/>
      <c r="CG74" s="372"/>
      <c r="CH74" s="372"/>
      <c r="CI74" s="372"/>
      <c r="CJ74" s="372"/>
    </row>
    <row r="75" spans="2:88" s="374" customFormat="1">
      <c r="B75" s="372"/>
      <c r="H75" s="372"/>
      <c r="I75" s="372"/>
      <c r="J75" s="372"/>
      <c r="K75" s="372"/>
      <c r="L75" s="372"/>
      <c r="M75" s="372"/>
      <c r="N75" s="372"/>
      <c r="O75" s="372"/>
      <c r="P75" s="372"/>
      <c r="Q75" s="372"/>
      <c r="R75" s="372"/>
      <c r="S75" s="372"/>
      <c r="T75" s="372"/>
      <c r="U75" s="372"/>
      <c r="V75" s="372"/>
      <c r="W75" s="372"/>
      <c r="X75" s="372"/>
      <c r="Y75" s="372"/>
      <c r="Z75" s="372"/>
      <c r="AA75" s="372"/>
      <c r="AB75" s="372"/>
      <c r="AC75" s="372"/>
      <c r="AD75" s="372"/>
      <c r="AE75" s="372"/>
      <c r="AF75" s="372"/>
      <c r="AG75" s="372"/>
      <c r="AH75" s="372"/>
      <c r="AI75" s="372"/>
      <c r="AJ75" s="372"/>
      <c r="AK75" s="372"/>
      <c r="AL75" s="372"/>
      <c r="AM75" s="372"/>
      <c r="AN75" s="372"/>
      <c r="AO75" s="372"/>
      <c r="AP75" s="372"/>
      <c r="AQ75" s="372"/>
      <c r="AR75" s="372"/>
      <c r="AS75" s="372"/>
      <c r="AT75" s="372"/>
      <c r="AU75" s="372"/>
      <c r="AV75" s="372"/>
      <c r="AW75" s="372"/>
      <c r="AX75" s="372"/>
      <c r="AY75" s="372"/>
      <c r="AZ75" s="372"/>
      <c r="BA75" s="372"/>
      <c r="BB75" s="372"/>
      <c r="BC75" s="372"/>
      <c r="BD75" s="372"/>
      <c r="BE75" s="372"/>
      <c r="BF75" s="372"/>
      <c r="BG75" s="372"/>
      <c r="BH75" s="372"/>
      <c r="BI75" s="372"/>
      <c r="BJ75" s="372"/>
      <c r="BK75" s="372"/>
      <c r="BL75" s="372"/>
      <c r="BM75" s="372"/>
      <c r="BN75" s="372"/>
      <c r="BO75" s="372"/>
      <c r="BP75" s="372"/>
      <c r="BQ75" s="372"/>
      <c r="BR75" s="372"/>
      <c r="BS75" s="372"/>
      <c r="BT75" s="372"/>
      <c r="BU75" s="372"/>
      <c r="BV75" s="372"/>
      <c r="BW75" s="372"/>
      <c r="BX75" s="372"/>
      <c r="BY75" s="372"/>
      <c r="BZ75" s="372"/>
      <c r="CA75" s="372"/>
      <c r="CB75" s="372"/>
      <c r="CC75" s="372"/>
      <c r="CD75" s="372"/>
      <c r="CE75" s="372"/>
      <c r="CF75" s="372"/>
      <c r="CG75" s="372"/>
      <c r="CH75" s="372"/>
      <c r="CI75" s="372"/>
      <c r="CJ75" s="372"/>
    </row>
    <row r="76" spans="2:88" s="374" customFormat="1">
      <c r="B76" s="372"/>
      <c r="H76" s="372"/>
      <c r="I76" s="372"/>
      <c r="J76" s="372"/>
      <c r="K76" s="372"/>
      <c r="L76" s="372"/>
      <c r="M76" s="372"/>
      <c r="N76" s="372"/>
      <c r="O76" s="372"/>
      <c r="P76" s="372"/>
      <c r="Q76" s="372"/>
      <c r="R76" s="372"/>
      <c r="S76" s="372"/>
      <c r="T76" s="372"/>
      <c r="U76" s="372"/>
      <c r="V76" s="372"/>
      <c r="W76" s="372"/>
      <c r="X76" s="372"/>
      <c r="Y76" s="372"/>
      <c r="Z76" s="372"/>
      <c r="AA76" s="372"/>
      <c r="AB76" s="372"/>
      <c r="AC76" s="372"/>
      <c r="AD76" s="372"/>
      <c r="AE76" s="372"/>
      <c r="AF76" s="372"/>
      <c r="AG76" s="372"/>
      <c r="AH76" s="372"/>
      <c r="AI76" s="372"/>
      <c r="AJ76" s="372"/>
      <c r="AK76" s="372"/>
      <c r="AL76" s="372"/>
      <c r="AM76" s="372"/>
      <c r="AN76" s="372"/>
      <c r="AO76" s="372"/>
      <c r="AP76" s="372"/>
      <c r="AQ76" s="372"/>
      <c r="AR76" s="372"/>
      <c r="AS76" s="372"/>
      <c r="AT76" s="372"/>
      <c r="AU76" s="372"/>
      <c r="AV76" s="372"/>
      <c r="AW76" s="372"/>
      <c r="AX76" s="372"/>
      <c r="AY76" s="372"/>
      <c r="AZ76" s="372"/>
      <c r="BA76" s="372"/>
      <c r="BB76" s="372"/>
      <c r="BC76" s="372"/>
      <c r="BD76" s="372"/>
      <c r="BE76" s="372"/>
      <c r="BF76" s="372"/>
      <c r="BG76" s="372"/>
      <c r="BH76" s="372"/>
      <c r="BI76" s="372"/>
      <c r="BJ76" s="372"/>
      <c r="BK76" s="372"/>
      <c r="BL76" s="372"/>
      <c r="BM76" s="372"/>
      <c r="BN76" s="372"/>
      <c r="BO76" s="372"/>
      <c r="BP76" s="372"/>
      <c r="BQ76" s="372"/>
      <c r="BR76" s="372"/>
      <c r="BS76" s="372"/>
      <c r="BT76" s="372"/>
      <c r="BU76" s="372"/>
      <c r="BV76" s="372"/>
      <c r="BW76" s="372"/>
      <c r="BX76" s="372"/>
      <c r="BY76" s="372"/>
      <c r="BZ76" s="372"/>
      <c r="CA76" s="372"/>
      <c r="CB76" s="372"/>
      <c r="CC76" s="372"/>
      <c r="CD76" s="372"/>
      <c r="CE76" s="372"/>
      <c r="CF76" s="372"/>
      <c r="CG76" s="372"/>
      <c r="CH76" s="372"/>
      <c r="CI76" s="372"/>
      <c r="CJ76" s="372"/>
    </row>
    <row r="77" spans="2:88" s="374" customFormat="1">
      <c r="B77" s="372"/>
      <c r="H77" s="372"/>
      <c r="I77" s="372"/>
      <c r="J77" s="372"/>
      <c r="K77" s="372"/>
      <c r="L77" s="372"/>
      <c r="M77" s="372"/>
      <c r="N77" s="372"/>
      <c r="O77" s="372"/>
      <c r="P77" s="372"/>
      <c r="Q77" s="372"/>
      <c r="R77" s="372"/>
      <c r="S77" s="372"/>
      <c r="T77" s="372"/>
      <c r="U77" s="372"/>
      <c r="V77" s="372"/>
      <c r="W77" s="372"/>
      <c r="X77" s="372"/>
      <c r="Y77" s="372"/>
      <c r="Z77" s="372"/>
      <c r="AA77" s="372"/>
      <c r="AB77" s="372"/>
      <c r="AC77" s="372"/>
      <c r="AD77" s="372"/>
      <c r="AE77" s="372"/>
      <c r="AF77" s="372"/>
      <c r="AG77" s="372"/>
      <c r="AH77" s="372"/>
      <c r="AI77" s="372"/>
      <c r="AJ77" s="372"/>
      <c r="AK77" s="372"/>
      <c r="AL77" s="372"/>
      <c r="AM77" s="372"/>
      <c r="AN77" s="372"/>
      <c r="AO77" s="372"/>
      <c r="AP77" s="372"/>
      <c r="AQ77" s="372"/>
      <c r="AR77" s="372"/>
      <c r="AS77" s="372"/>
      <c r="AT77" s="372"/>
      <c r="AU77" s="372"/>
      <c r="AV77" s="372"/>
      <c r="AW77" s="372"/>
      <c r="AX77" s="372"/>
      <c r="AY77" s="372"/>
      <c r="AZ77" s="372"/>
      <c r="BA77" s="372"/>
      <c r="BB77" s="372"/>
      <c r="BC77" s="372"/>
      <c r="BD77" s="372"/>
      <c r="BE77" s="372"/>
      <c r="BF77" s="372"/>
      <c r="BG77" s="372"/>
      <c r="BH77" s="372"/>
      <c r="BI77" s="372"/>
      <c r="BJ77" s="372"/>
      <c r="BK77" s="372"/>
      <c r="BL77" s="372"/>
      <c r="BM77" s="372"/>
      <c r="BN77" s="372"/>
      <c r="BO77" s="372"/>
      <c r="BP77" s="372"/>
      <c r="BQ77" s="372"/>
      <c r="BR77" s="372"/>
      <c r="BS77" s="372"/>
      <c r="BT77" s="372"/>
      <c r="BU77" s="372"/>
      <c r="BV77" s="372"/>
      <c r="BW77" s="372"/>
      <c r="BX77" s="372"/>
      <c r="BY77" s="372"/>
      <c r="BZ77" s="372"/>
      <c r="CA77" s="372"/>
      <c r="CB77" s="372"/>
      <c r="CC77" s="372"/>
      <c r="CD77" s="372"/>
      <c r="CE77" s="372"/>
      <c r="CF77" s="372"/>
      <c r="CG77" s="372"/>
      <c r="CH77" s="372"/>
      <c r="CI77" s="372"/>
      <c r="CJ77" s="372"/>
    </row>
    <row r="78" spans="2:88" s="374" customFormat="1">
      <c r="B78" s="372"/>
      <c r="H78" s="372"/>
      <c r="I78" s="372"/>
      <c r="J78" s="372"/>
      <c r="K78" s="372"/>
      <c r="L78" s="372"/>
      <c r="M78" s="372"/>
      <c r="N78" s="372"/>
      <c r="O78" s="372"/>
      <c r="P78" s="372"/>
      <c r="Q78" s="372"/>
      <c r="R78" s="372"/>
      <c r="S78" s="372"/>
      <c r="T78" s="372"/>
      <c r="U78" s="372"/>
      <c r="V78" s="372"/>
      <c r="W78" s="372"/>
      <c r="X78" s="372"/>
      <c r="Y78" s="372"/>
      <c r="Z78" s="372"/>
      <c r="AA78" s="372"/>
      <c r="AB78" s="372"/>
      <c r="AC78" s="372"/>
      <c r="AD78" s="372"/>
      <c r="AE78" s="372"/>
      <c r="AF78" s="372"/>
      <c r="AG78" s="372"/>
      <c r="AH78" s="372"/>
      <c r="AI78" s="372"/>
      <c r="AJ78" s="372"/>
      <c r="AK78" s="372"/>
      <c r="AL78" s="372"/>
      <c r="AM78" s="372"/>
      <c r="AN78" s="372"/>
      <c r="AO78" s="372"/>
      <c r="AP78" s="372"/>
      <c r="AQ78" s="372"/>
      <c r="AR78" s="372"/>
      <c r="AS78" s="372"/>
      <c r="AT78" s="372"/>
      <c r="AU78" s="372"/>
      <c r="AV78" s="372"/>
      <c r="AW78" s="372"/>
      <c r="AX78" s="372"/>
      <c r="AY78" s="372"/>
      <c r="AZ78" s="372"/>
      <c r="BA78" s="372"/>
      <c r="BB78" s="372"/>
      <c r="BC78" s="372"/>
      <c r="BD78" s="372"/>
      <c r="BE78" s="372"/>
      <c r="BF78" s="372"/>
      <c r="BG78" s="372"/>
      <c r="BH78" s="372"/>
      <c r="BI78" s="372"/>
      <c r="BJ78" s="372"/>
      <c r="BK78" s="372"/>
      <c r="BL78" s="372"/>
      <c r="BM78" s="372"/>
      <c r="BN78" s="372"/>
      <c r="BO78" s="372"/>
      <c r="BP78" s="372"/>
      <c r="BQ78" s="372"/>
      <c r="BR78" s="372"/>
      <c r="BS78" s="372"/>
      <c r="BT78" s="372"/>
      <c r="BU78" s="372"/>
      <c r="BV78" s="372"/>
      <c r="BW78" s="372"/>
      <c r="BX78" s="372"/>
      <c r="BY78" s="372"/>
      <c r="BZ78" s="372"/>
      <c r="CA78" s="372"/>
      <c r="CB78" s="372"/>
      <c r="CC78" s="372"/>
      <c r="CD78" s="372"/>
      <c r="CE78" s="372"/>
      <c r="CF78" s="372"/>
      <c r="CG78" s="372"/>
      <c r="CH78" s="372"/>
      <c r="CI78" s="372"/>
      <c r="CJ78" s="372"/>
    </row>
    <row r="79" spans="2:88" s="374" customFormat="1">
      <c r="B79" s="372"/>
      <c r="H79" s="372"/>
      <c r="I79" s="372"/>
      <c r="J79" s="372"/>
      <c r="K79" s="372"/>
      <c r="L79" s="372"/>
      <c r="M79" s="372"/>
      <c r="N79" s="372"/>
      <c r="O79" s="372"/>
      <c r="P79" s="372"/>
      <c r="Q79" s="372"/>
      <c r="R79" s="372"/>
      <c r="S79" s="372"/>
      <c r="T79" s="372"/>
      <c r="U79" s="372"/>
      <c r="V79" s="372"/>
      <c r="W79" s="372"/>
      <c r="X79" s="372"/>
      <c r="Y79" s="372"/>
      <c r="Z79" s="372"/>
      <c r="AA79" s="372"/>
      <c r="AB79" s="372"/>
      <c r="AC79" s="372"/>
      <c r="AD79" s="372"/>
      <c r="AE79" s="372"/>
      <c r="AF79" s="372"/>
      <c r="AG79" s="372"/>
      <c r="AH79" s="372"/>
      <c r="AI79" s="372"/>
      <c r="AJ79" s="372"/>
      <c r="AK79" s="372"/>
      <c r="AL79" s="372"/>
      <c r="AM79" s="372"/>
      <c r="AN79" s="372"/>
      <c r="AO79" s="372"/>
      <c r="AP79" s="372"/>
      <c r="AQ79" s="372"/>
      <c r="AR79" s="372"/>
      <c r="AS79" s="372"/>
      <c r="AT79" s="372"/>
      <c r="AU79" s="372"/>
      <c r="AV79" s="372"/>
      <c r="AW79" s="372"/>
      <c r="AX79" s="372"/>
      <c r="AY79" s="372"/>
      <c r="AZ79" s="372"/>
      <c r="BA79" s="372"/>
      <c r="BB79" s="372"/>
      <c r="BC79" s="372"/>
      <c r="BD79" s="372"/>
      <c r="BE79" s="372"/>
      <c r="BF79" s="372"/>
      <c r="BG79" s="372"/>
      <c r="BH79" s="372"/>
      <c r="BI79" s="372"/>
      <c r="BJ79" s="372"/>
      <c r="BK79" s="372"/>
      <c r="BL79" s="372"/>
      <c r="BM79" s="372"/>
      <c r="BN79" s="372"/>
      <c r="BO79" s="372"/>
      <c r="BP79" s="372"/>
      <c r="BQ79" s="372"/>
      <c r="BR79" s="372"/>
      <c r="BS79" s="372"/>
      <c r="BT79" s="372"/>
      <c r="BU79" s="372"/>
      <c r="BV79" s="372"/>
      <c r="BW79" s="372"/>
      <c r="BX79" s="372"/>
      <c r="BY79" s="372"/>
      <c r="BZ79" s="372"/>
      <c r="CA79" s="372"/>
      <c r="CB79" s="372"/>
      <c r="CC79" s="372"/>
      <c r="CD79" s="372"/>
      <c r="CE79" s="372"/>
      <c r="CF79" s="372"/>
      <c r="CG79" s="372"/>
      <c r="CH79" s="372"/>
      <c r="CI79" s="372"/>
      <c r="CJ79" s="372"/>
    </row>
    <row r="80" spans="2:88" s="374" customFormat="1">
      <c r="B80" s="372"/>
      <c r="H80" s="372"/>
      <c r="I80" s="372"/>
      <c r="J80" s="372"/>
      <c r="K80" s="372"/>
      <c r="L80" s="372"/>
      <c r="M80" s="372"/>
      <c r="N80" s="372"/>
      <c r="O80" s="372"/>
      <c r="P80" s="372"/>
      <c r="Q80" s="372"/>
      <c r="R80" s="372"/>
      <c r="S80" s="372"/>
      <c r="T80" s="372"/>
      <c r="U80" s="372"/>
      <c r="V80" s="372"/>
      <c r="W80" s="372"/>
      <c r="X80" s="372"/>
      <c r="Y80" s="372"/>
      <c r="Z80" s="372"/>
      <c r="AA80" s="372"/>
      <c r="AB80" s="372"/>
      <c r="AC80" s="372"/>
      <c r="AD80" s="372"/>
      <c r="AE80" s="372"/>
      <c r="AF80" s="372"/>
      <c r="AG80" s="372"/>
      <c r="AH80" s="372"/>
      <c r="AI80" s="372"/>
      <c r="AJ80" s="372"/>
      <c r="AK80" s="372"/>
      <c r="AL80" s="372"/>
      <c r="AM80" s="372"/>
      <c r="AN80" s="372"/>
      <c r="AO80" s="372"/>
      <c r="AP80" s="372"/>
      <c r="AQ80" s="372"/>
      <c r="AR80" s="372"/>
      <c r="AS80" s="372"/>
      <c r="AT80" s="372"/>
      <c r="AU80" s="372"/>
      <c r="AV80" s="372"/>
      <c r="AW80" s="372"/>
      <c r="AX80" s="372"/>
      <c r="AY80" s="372"/>
      <c r="AZ80" s="372"/>
      <c r="BA80" s="372"/>
      <c r="BB80" s="372"/>
      <c r="BC80" s="372"/>
      <c r="BD80" s="372"/>
      <c r="BE80" s="372"/>
      <c r="BF80" s="372"/>
      <c r="BG80" s="372"/>
      <c r="BH80" s="372"/>
      <c r="BI80" s="372"/>
      <c r="BJ80" s="372"/>
      <c r="BK80" s="372"/>
      <c r="BL80" s="372"/>
      <c r="BM80" s="372"/>
      <c r="BN80" s="372"/>
      <c r="BO80" s="372"/>
      <c r="BP80" s="372"/>
      <c r="BQ80" s="372"/>
      <c r="BR80" s="372"/>
      <c r="BS80" s="372"/>
      <c r="BT80" s="372"/>
      <c r="BU80" s="372"/>
      <c r="BV80" s="372"/>
      <c r="BW80" s="372"/>
      <c r="BX80" s="372"/>
      <c r="BY80" s="372"/>
      <c r="BZ80" s="372"/>
      <c r="CA80" s="372"/>
      <c r="CB80" s="372"/>
      <c r="CC80" s="372"/>
      <c r="CD80" s="372"/>
      <c r="CE80" s="372"/>
      <c r="CF80" s="372"/>
      <c r="CG80" s="372"/>
      <c r="CH80" s="372"/>
      <c r="CI80" s="372"/>
      <c r="CJ80" s="372"/>
    </row>
    <row r="81" spans="2:88" s="374" customFormat="1">
      <c r="B81" s="372"/>
      <c r="H81" s="372"/>
      <c r="I81" s="372"/>
      <c r="J81" s="372"/>
      <c r="K81" s="372"/>
      <c r="L81" s="372"/>
      <c r="M81" s="372"/>
      <c r="N81" s="372"/>
      <c r="O81" s="372"/>
      <c r="P81" s="372"/>
      <c r="Q81" s="372"/>
      <c r="R81" s="372"/>
      <c r="S81" s="372"/>
      <c r="T81" s="372"/>
      <c r="U81" s="372"/>
      <c r="V81" s="372"/>
      <c r="W81" s="372"/>
      <c r="X81" s="372"/>
      <c r="Y81" s="372"/>
      <c r="Z81" s="372"/>
      <c r="AA81" s="372"/>
      <c r="AB81" s="372"/>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2"/>
      <c r="AY81" s="372"/>
      <c r="AZ81" s="372"/>
      <c r="BA81" s="372"/>
      <c r="BB81" s="372"/>
      <c r="BC81" s="372"/>
      <c r="BD81" s="372"/>
      <c r="BE81" s="372"/>
      <c r="BF81" s="372"/>
      <c r="BG81" s="372"/>
      <c r="BH81" s="372"/>
      <c r="BI81" s="372"/>
      <c r="BJ81" s="372"/>
      <c r="BK81" s="372"/>
      <c r="BL81" s="372"/>
      <c r="BM81" s="372"/>
      <c r="BN81" s="372"/>
      <c r="BO81" s="372"/>
      <c r="BP81" s="372"/>
      <c r="BQ81" s="372"/>
      <c r="BR81" s="372"/>
      <c r="BS81" s="372"/>
      <c r="BT81" s="372"/>
      <c r="BU81" s="372"/>
      <c r="BV81" s="372"/>
      <c r="BW81" s="372"/>
      <c r="BX81" s="372"/>
      <c r="BY81" s="372"/>
      <c r="BZ81" s="372"/>
      <c r="CA81" s="372"/>
      <c r="CB81" s="372"/>
      <c r="CC81" s="372"/>
      <c r="CD81" s="372"/>
      <c r="CE81" s="372"/>
      <c r="CF81" s="372"/>
      <c r="CG81" s="372"/>
      <c r="CH81" s="372"/>
      <c r="CI81" s="372"/>
      <c r="CJ81" s="372"/>
    </row>
    <row r="82" spans="2:88" s="374" customFormat="1">
      <c r="B82" s="372"/>
      <c r="H82" s="372"/>
      <c r="I82" s="372"/>
      <c r="J82" s="372"/>
      <c r="K82" s="372"/>
      <c r="L82" s="372"/>
      <c r="M82" s="372"/>
      <c r="N82" s="372"/>
      <c r="O82" s="372"/>
      <c r="P82" s="372"/>
      <c r="Q82" s="372"/>
      <c r="R82" s="372"/>
      <c r="S82" s="372"/>
      <c r="T82" s="372"/>
      <c r="U82" s="372"/>
      <c r="V82" s="372"/>
      <c r="W82" s="372"/>
      <c r="X82" s="372"/>
      <c r="Y82" s="372"/>
      <c r="Z82" s="372"/>
      <c r="AA82" s="372"/>
      <c r="AB82" s="372"/>
      <c r="AC82" s="372"/>
      <c r="AD82" s="372"/>
      <c r="AE82" s="372"/>
      <c r="AF82" s="372"/>
      <c r="AG82" s="372"/>
      <c r="AH82" s="372"/>
      <c r="AI82" s="372"/>
      <c r="AJ82" s="372"/>
      <c r="AK82" s="372"/>
      <c r="AL82" s="372"/>
      <c r="AM82" s="372"/>
      <c r="AN82" s="372"/>
      <c r="AO82" s="372"/>
      <c r="AP82" s="372"/>
      <c r="AQ82" s="372"/>
      <c r="AR82" s="372"/>
      <c r="AS82" s="372"/>
      <c r="AT82" s="372"/>
      <c r="AU82" s="372"/>
      <c r="AV82" s="372"/>
      <c r="AW82" s="372"/>
      <c r="AX82" s="372"/>
      <c r="AY82" s="372"/>
      <c r="AZ82" s="372"/>
      <c r="BA82" s="372"/>
      <c r="BB82" s="372"/>
      <c r="BC82" s="372"/>
      <c r="BD82" s="372"/>
      <c r="BE82" s="372"/>
      <c r="BF82" s="372"/>
      <c r="BG82" s="372"/>
      <c r="BH82" s="372"/>
      <c r="BI82" s="372"/>
      <c r="BJ82" s="372"/>
      <c r="BK82" s="372"/>
      <c r="BL82" s="372"/>
      <c r="BM82" s="372"/>
      <c r="BN82" s="372"/>
      <c r="BO82" s="372"/>
      <c r="BP82" s="372"/>
      <c r="BQ82" s="372"/>
      <c r="BR82" s="372"/>
      <c r="BS82" s="372"/>
      <c r="BT82" s="372"/>
      <c r="BU82" s="372"/>
      <c r="BV82" s="372"/>
      <c r="BW82" s="372"/>
      <c r="BX82" s="372"/>
      <c r="BY82" s="372"/>
      <c r="BZ82" s="372"/>
      <c r="CA82" s="372"/>
      <c r="CB82" s="372"/>
      <c r="CC82" s="372"/>
      <c r="CD82" s="372"/>
      <c r="CE82" s="372"/>
      <c r="CF82" s="372"/>
      <c r="CG82" s="372"/>
      <c r="CH82" s="372"/>
      <c r="CI82" s="372"/>
      <c r="CJ82" s="372"/>
    </row>
    <row r="83" spans="2:88" s="374" customFormat="1">
      <c r="B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row>
    <row r="84" spans="2:88" s="374" customFormat="1">
      <c r="B84" s="372"/>
      <c r="H84" s="372"/>
      <c r="I84" s="372"/>
      <c r="J84" s="372"/>
      <c r="K84" s="372"/>
      <c r="L84" s="372"/>
      <c r="M84" s="372"/>
      <c r="N84" s="372"/>
      <c r="O84" s="372"/>
      <c r="P84" s="372"/>
      <c r="Q84" s="372"/>
      <c r="R84" s="372"/>
      <c r="S84" s="372"/>
      <c r="T84" s="372"/>
      <c r="U84" s="372"/>
      <c r="V84" s="372"/>
      <c r="W84" s="372"/>
      <c r="X84" s="372"/>
      <c r="Y84" s="372"/>
      <c r="Z84" s="372"/>
      <c r="AA84" s="372"/>
      <c r="AB84" s="372"/>
      <c r="AC84" s="372"/>
      <c r="AD84" s="372"/>
      <c r="AE84" s="372"/>
      <c r="AF84" s="372"/>
      <c r="AG84" s="372"/>
      <c r="AH84" s="372"/>
      <c r="AI84" s="372"/>
      <c r="AJ84" s="372"/>
      <c r="AK84" s="372"/>
      <c r="AL84" s="372"/>
      <c r="AM84" s="372"/>
      <c r="AN84" s="372"/>
      <c r="AO84" s="372"/>
      <c r="AP84" s="372"/>
      <c r="AQ84" s="372"/>
      <c r="AR84" s="372"/>
      <c r="AS84" s="372"/>
      <c r="AT84" s="372"/>
      <c r="AU84" s="372"/>
      <c r="AV84" s="372"/>
      <c r="AW84" s="372"/>
      <c r="AX84" s="372"/>
      <c r="AY84" s="372"/>
      <c r="AZ84" s="372"/>
      <c r="BA84" s="372"/>
      <c r="BB84" s="372"/>
      <c r="BC84" s="372"/>
      <c r="BD84" s="372"/>
      <c r="BE84" s="372"/>
      <c r="BF84" s="372"/>
      <c r="BG84" s="372"/>
      <c r="BH84" s="372"/>
      <c r="BI84" s="372"/>
      <c r="BJ84" s="372"/>
      <c r="BK84" s="372"/>
      <c r="BL84" s="372"/>
      <c r="BM84" s="372"/>
      <c r="BN84" s="372"/>
      <c r="BO84" s="372"/>
      <c r="BP84" s="372"/>
      <c r="BQ84" s="372"/>
      <c r="BR84" s="372"/>
      <c r="BS84" s="372"/>
      <c r="BT84" s="372"/>
      <c r="BU84" s="372"/>
      <c r="BV84" s="372"/>
      <c r="BW84" s="372"/>
      <c r="BX84" s="372"/>
      <c r="BY84" s="372"/>
      <c r="BZ84" s="372"/>
      <c r="CA84" s="372"/>
      <c r="CB84" s="372"/>
      <c r="CC84" s="372"/>
      <c r="CD84" s="372"/>
      <c r="CE84" s="372"/>
      <c r="CF84" s="372"/>
      <c r="CG84" s="372"/>
      <c r="CH84" s="372"/>
      <c r="CI84" s="372"/>
      <c r="CJ84" s="372"/>
    </row>
    <row r="85" spans="2:88" s="374" customFormat="1">
      <c r="B85" s="372"/>
      <c r="H85" s="372"/>
      <c r="I85" s="372"/>
      <c r="J85" s="372"/>
      <c r="K85" s="372"/>
      <c r="L85" s="372"/>
      <c r="M85" s="372"/>
      <c r="N85" s="372"/>
      <c r="O85" s="372"/>
      <c r="P85" s="372"/>
      <c r="Q85" s="372"/>
      <c r="R85" s="372"/>
      <c r="S85" s="372"/>
      <c r="T85" s="372"/>
      <c r="U85" s="372"/>
      <c r="V85" s="372"/>
      <c r="W85" s="372"/>
      <c r="X85" s="372"/>
      <c r="Y85" s="372"/>
      <c r="Z85" s="372"/>
      <c r="AA85" s="372"/>
      <c r="AB85" s="372"/>
      <c r="AC85" s="372"/>
      <c r="AD85" s="372"/>
      <c r="AE85" s="372"/>
      <c r="AF85" s="372"/>
      <c r="AG85" s="372"/>
      <c r="AH85" s="372"/>
      <c r="AI85" s="372"/>
      <c r="AJ85" s="372"/>
      <c r="AK85" s="372"/>
      <c r="AL85" s="372"/>
      <c r="AM85" s="372"/>
      <c r="AN85" s="372"/>
      <c r="AO85" s="372"/>
      <c r="AP85" s="372"/>
      <c r="AQ85" s="372"/>
      <c r="AR85" s="372"/>
      <c r="AS85" s="372"/>
      <c r="AT85" s="372"/>
      <c r="AU85" s="372"/>
      <c r="AV85" s="372"/>
      <c r="AW85" s="372"/>
      <c r="AX85" s="372"/>
      <c r="AY85" s="372"/>
      <c r="AZ85" s="372"/>
      <c r="BA85" s="372"/>
      <c r="BB85" s="372"/>
      <c r="BC85" s="372"/>
      <c r="BD85" s="372"/>
      <c r="BE85" s="372"/>
      <c r="BF85" s="372"/>
      <c r="BG85" s="372"/>
      <c r="BH85" s="372"/>
      <c r="BI85" s="372"/>
      <c r="BJ85" s="372"/>
      <c r="BK85" s="372"/>
      <c r="BL85" s="372"/>
      <c r="BM85" s="372"/>
      <c r="BN85" s="372"/>
      <c r="BO85" s="372"/>
      <c r="BP85" s="372"/>
      <c r="BQ85" s="372"/>
      <c r="BR85" s="372"/>
      <c r="BS85" s="372"/>
      <c r="BT85" s="372"/>
      <c r="BU85" s="372"/>
      <c r="BV85" s="372"/>
      <c r="BW85" s="372"/>
      <c r="BX85" s="372"/>
      <c r="BY85" s="372"/>
      <c r="BZ85" s="372"/>
      <c r="CA85" s="372"/>
      <c r="CB85" s="372"/>
      <c r="CC85" s="372"/>
      <c r="CD85" s="372"/>
      <c r="CE85" s="372"/>
      <c r="CF85" s="372"/>
      <c r="CG85" s="372"/>
      <c r="CH85" s="372"/>
      <c r="CI85" s="372"/>
      <c r="CJ85" s="372"/>
    </row>
    <row r="86" spans="2:88" s="374" customFormat="1">
      <c r="B86" s="372"/>
      <c r="H86" s="372"/>
      <c r="I86" s="372"/>
      <c r="J86" s="372"/>
      <c r="K86" s="372"/>
      <c r="L86" s="372"/>
      <c r="M86" s="372"/>
      <c r="N86" s="372"/>
      <c r="O86" s="372"/>
      <c r="P86" s="372"/>
      <c r="Q86" s="372"/>
      <c r="R86" s="372"/>
      <c r="S86" s="372"/>
      <c r="T86" s="372"/>
      <c r="U86" s="372"/>
      <c r="V86" s="372"/>
      <c r="W86" s="372"/>
      <c r="X86" s="372"/>
      <c r="Y86" s="372"/>
      <c r="Z86" s="372"/>
      <c r="AA86" s="372"/>
      <c r="AB86" s="372"/>
      <c r="AC86" s="372"/>
      <c r="AD86" s="372"/>
      <c r="AE86" s="372"/>
      <c r="AF86" s="372"/>
      <c r="AG86" s="372"/>
      <c r="AH86" s="372"/>
      <c r="AI86" s="372"/>
      <c r="AJ86" s="372"/>
      <c r="AK86" s="372"/>
      <c r="AL86" s="372"/>
      <c r="AM86" s="372"/>
      <c r="AN86" s="372"/>
      <c r="AO86" s="372"/>
      <c r="AP86" s="372"/>
      <c r="AQ86" s="372"/>
      <c r="AR86" s="372"/>
      <c r="AS86" s="372"/>
      <c r="AT86" s="372"/>
      <c r="AU86" s="372"/>
      <c r="AV86" s="372"/>
      <c r="AW86" s="372"/>
      <c r="AX86" s="372"/>
      <c r="AY86" s="372"/>
      <c r="AZ86" s="372"/>
      <c r="BA86" s="372"/>
      <c r="BB86" s="372"/>
      <c r="BC86" s="372"/>
      <c r="BD86" s="372"/>
      <c r="BE86" s="372"/>
      <c r="BF86" s="372"/>
      <c r="BG86" s="372"/>
      <c r="BH86" s="372"/>
      <c r="BI86" s="372"/>
      <c r="BJ86" s="372"/>
      <c r="BK86" s="372"/>
      <c r="BL86" s="372"/>
      <c r="BM86" s="372"/>
      <c r="BN86" s="372"/>
      <c r="BO86" s="372"/>
      <c r="BP86" s="372"/>
      <c r="BQ86" s="372"/>
      <c r="BR86" s="372"/>
      <c r="BS86" s="372"/>
      <c r="BT86" s="372"/>
      <c r="BU86" s="372"/>
      <c r="BV86" s="372"/>
      <c r="BW86" s="372"/>
      <c r="BX86" s="372"/>
      <c r="BY86" s="372"/>
      <c r="BZ86" s="372"/>
      <c r="CA86" s="372"/>
      <c r="CB86" s="372"/>
      <c r="CC86" s="372"/>
      <c r="CD86" s="372"/>
      <c r="CE86" s="372"/>
      <c r="CF86" s="372"/>
      <c r="CG86" s="372"/>
      <c r="CH86" s="372"/>
      <c r="CI86" s="372"/>
      <c r="CJ86" s="372"/>
    </row>
    <row r="87" spans="2:88" s="374" customFormat="1">
      <c r="B87" s="372"/>
      <c r="H87" s="372"/>
      <c r="I87" s="372"/>
      <c r="J87" s="372"/>
      <c r="K87" s="372"/>
      <c r="L87" s="372"/>
      <c r="M87" s="372"/>
      <c r="N87" s="372"/>
      <c r="O87" s="372"/>
      <c r="P87" s="372"/>
      <c r="Q87" s="372"/>
      <c r="R87" s="372"/>
      <c r="S87" s="372"/>
      <c r="T87" s="372"/>
      <c r="U87" s="372"/>
      <c r="V87" s="372"/>
      <c r="W87" s="372"/>
      <c r="X87" s="372"/>
      <c r="Y87" s="372"/>
      <c r="Z87" s="372"/>
      <c r="AA87" s="372"/>
      <c r="AB87" s="372"/>
      <c r="AC87" s="372"/>
      <c r="AD87" s="372"/>
      <c r="AE87" s="372"/>
      <c r="AF87" s="372"/>
      <c r="AG87" s="372"/>
      <c r="AH87" s="372"/>
      <c r="AI87" s="372"/>
      <c r="AJ87" s="372"/>
      <c r="AK87" s="372"/>
      <c r="AL87" s="372"/>
      <c r="AM87" s="372"/>
      <c r="AN87" s="372"/>
      <c r="AO87" s="372"/>
      <c r="AP87" s="372"/>
      <c r="AQ87" s="372"/>
      <c r="AR87" s="372"/>
      <c r="AS87" s="372"/>
      <c r="AT87" s="372"/>
      <c r="AU87" s="372"/>
      <c r="AV87" s="372"/>
      <c r="AW87" s="372"/>
      <c r="AX87" s="372"/>
      <c r="AY87" s="372"/>
      <c r="AZ87" s="372"/>
      <c r="BA87" s="372"/>
      <c r="BB87" s="372"/>
      <c r="BC87" s="372"/>
      <c r="BD87" s="372"/>
      <c r="BE87" s="372"/>
      <c r="BF87" s="372"/>
      <c r="BG87" s="372"/>
      <c r="BH87" s="372"/>
      <c r="BI87" s="372"/>
      <c r="BJ87" s="372"/>
      <c r="BK87" s="372"/>
      <c r="BL87" s="372"/>
      <c r="BM87" s="372"/>
      <c r="BN87" s="372"/>
      <c r="BO87" s="372"/>
      <c r="BP87" s="372"/>
      <c r="BQ87" s="372"/>
      <c r="BR87" s="372"/>
      <c r="BS87" s="372"/>
      <c r="BT87" s="372"/>
      <c r="BU87" s="372"/>
      <c r="BV87" s="372"/>
      <c r="BW87" s="372"/>
      <c r="BX87" s="372"/>
      <c r="BY87" s="372"/>
      <c r="BZ87" s="372"/>
      <c r="CA87" s="372"/>
      <c r="CB87" s="372"/>
      <c r="CC87" s="372"/>
      <c r="CD87" s="372"/>
      <c r="CE87" s="372"/>
      <c r="CF87" s="372"/>
      <c r="CG87" s="372"/>
      <c r="CH87" s="372"/>
      <c r="CI87" s="372"/>
      <c r="CJ87" s="372"/>
    </row>
    <row r="88" spans="2:88" s="374" customFormat="1">
      <c r="B88" s="372"/>
      <c r="H88" s="372"/>
      <c r="I88" s="372"/>
      <c r="J88" s="372"/>
      <c r="K88" s="372"/>
      <c r="L88" s="372"/>
      <c r="M88" s="372"/>
      <c r="N88" s="372"/>
      <c r="O88" s="372"/>
      <c r="P88" s="372"/>
      <c r="Q88" s="372"/>
      <c r="R88" s="372"/>
      <c r="S88" s="372"/>
      <c r="T88" s="372"/>
      <c r="U88" s="372"/>
      <c r="V88" s="372"/>
      <c r="W88" s="372"/>
      <c r="X88" s="372"/>
      <c r="Y88" s="372"/>
      <c r="Z88" s="372"/>
      <c r="AA88" s="372"/>
      <c r="AB88" s="372"/>
      <c r="AC88" s="372"/>
      <c r="AD88" s="372"/>
      <c r="AE88" s="372"/>
      <c r="AF88" s="372"/>
      <c r="AG88" s="372"/>
      <c r="AH88" s="372"/>
      <c r="AI88" s="372"/>
      <c r="AJ88" s="372"/>
      <c r="AK88" s="372"/>
      <c r="AL88" s="372"/>
      <c r="AM88" s="372"/>
      <c r="AN88" s="372"/>
      <c r="AO88" s="372"/>
      <c r="AP88" s="372"/>
      <c r="AQ88" s="372"/>
      <c r="AR88" s="372"/>
      <c r="AS88" s="372"/>
      <c r="AT88" s="372"/>
      <c r="AU88" s="372"/>
      <c r="AV88" s="372"/>
      <c r="AW88" s="372"/>
      <c r="AX88" s="372"/>
      <c r="AY88" s="372"/>
      <c r="AZ88" s="372"/>
      <c r="BA88" s="372"/>
      <c r="BB88" s="372"/>
      <c r="BC88" s="372"/>
      <c r="BD88" s="372"/>
      <c r="BE88" s="372"/>
      <c r="BF88" s="372"/>
      <c r="BG88" s="372"/>
      <c r="BH88" s="372"/>
      <c r="BI88" s="372"/>
      <c r="BJ88" s="372"/>
      <c r="BK88" s="372"/>
      <c r="BL88" s="372"/>
      <c r="BM88" s="372"/>
      <c r="BN88" s="372"/>
      <c r="BO88" s="372"/>
      <c r="BP88" s="372"/>
      <c r="BQ88" s="372"/>
      <c r="BR88" s="372"/>
      <c r="BS88" s="372"/>
      <c r="BT88" s="372"/>
      <c r="BU88" s="372"/>
      <c r="BV88" s="372"/>
      <c r="BW88" s="372"/>
      <c r="BX88" s="372"/>
      <c r="BY88" s="372"/>
      <c r="BZ88" s="372"/>
      <c r="CA88" s="372"/>
      <c r="CB88" s="372"/>
      <c r="CC88" s="372"/>
      <c r="CD88" s="372"/>
      <c r="CE88" s="372"/>
      <c r="CF88" s="372"/>
      <c r="CG88" s="372"/>
      <c r="CH88" s="372"/>
      <c r="CI88" s="372"/>
      <c r="CJ88" s="372"/>
    </row>
    <row r="89" spans="2:88" s="374" customFormat="1">
      <c r="B89" s="372"/>
      <c r="H89" s="372"/>
      <c r="I89" s="372"/>
      <c r="J89" s="372"/>
      <c r="K89" s="372"/>
      <c r="L89" s="372"/>
      <c r="M89" s="372"/>
      <c r="N89" s="372"/>
      <c r="O89" s="372"/>
      <c r="P89" s="372"/>
      <c r="Q89" s="372"/>
      <c r="R89" s="372"/>
      <c r="S89" s="372"/>
      <c r="T89" s="372"/>
      <c r="U89" s="372"/>
      <c r="V89" s="372"/>
      <c r="W89" s="372"/>
      <c r="X89" s="372"/>
      <c r="Y89" s="372"/>
      <c r="Z89" s="372"/>
      <c r="AA89" s="372"/>
      <c r="AB89" s="372"/>
      <c r="AC89" s="372"/>
      <c r="AD89" s="372"/>
      <c r="AE89" s="372"/>
      <c r="AF89" s="372"/>
      <c r="AG89" s="372"/>
      <c r="AH89" s="372"/>
      <c r="AI89" s="372"/>
      <c r="AJ89" s="372"/>
      <c r="AK89" s="372"/>
      <c r="AL89" s="372"/>
      <c r="AM89" s="372"/>
      <c r="AN89" s="372"/>
      <c r="AO89" s="372"/>
      <c r="AP89" s="372"/>
      <c r="AQ89" s="372"/>
      <c r="AR89" s="372"/>
      <c r="AS89" s="372"/>
      <c r="AT89" s="372"/>
      <c r="AU89" s="372"/>
      <c r="AV89" s="372"/>
      <c r="AW89" s="372"/>
      <c r="AX89" s="372"/>
      <c r="AY89" s="372"/>
      <c r="AZ89" s="372"/>
      <c r="BA89" s="372"/>
      <c r="BB89" s="372"/>
      <c r="BC89" s="372"/>
      <c r="BD89" s="372"/>
      <c r="BE89" s="372"/>
      <c r="BF89" s="372"/>
      <c r="BG89" s="372"/>
      <c r="BH89" s="372"/>
      <c r="BI89" s="372"/>
      <c r="BJ89" s="372"/>
      <c r="BK89" s="372"/>
      <c r="BL89" s="372"/>
      <c r="BM89" s="372"/>
      <c r="BN89" s="372"/>
      <c r="BO89" s="372"/>
      <c r="BP89" s="372"/>
      <c r="BQ89" s="372"/>
      <c r="BR89" s="372"/>
      <c r="BS89" s="372"/>
      <c r="BT89" s="372"/>
      <c r="BU89" s="372"/>
      <c r="BV89" s="372"/>
      <c r="BW89" s="372"/>
      <c r="BX89" s="372"/>
      <c r="BY89" s="372"/>
      <c r="BZ89" s="372"/>
      <c r="CA89" s="372"/>
      <c r="CB89" s="372"/>
      <c r="CC89" s="372"/>
      <c r="CD89" s="372"/>
      <c r="CE89" s="372"/>
      <c r="CF89" s="372"/>
      <c r="CG89" s="372"/>
      <c r="CH89" s="372"/>
      <c r="CI89" s="372"/>
      <c r="CJ89" s="372"/>
    </row>
    <row r="90" spans="2:88" s="374" customFormat="1">
      <c r="B90" s="372"/>
      <c r="H90" s="372"/>
      <c r="I90" s="372"/>
      <c r="J90" s="372"/>
      <c r="K90" s="372"/>
      <c r="L90" s="372"/>
      <c r="M90" s="372"/>
      <c r="N90" s="372"/>
      <c r="O90" s="372"/>
      <c r="P90" s="372"/>
      <c r="Q90" s="372"/>
      <c r="R90" s="372"/>
      <c r="S90" s="372"/>
      <c r="T90" s="372"/>
      <c r="U90" s="372"/>
      <c r="V90" s="372"/>
      <c r="W90" s="372"/>
      <c r="X90" s="372"/>
      <c r="Y90" s="372"/>
      <c r="Z90" s="372"/>
      <c r="AA90" s="372"/>
      <c r="AB90" s="372"/>
      <c r="AC90" s="372"/>
      <c r="AD90" s="372"/>
      <c r="AE90" s="372"/>
      <c r="AF90" s="372"/>
      <c r="AG90" s="372"/>
      <c r="AH90" s="372"/>
      <c r="AI90" s="372"/>
      <c r="AJ90" s="372"/>
      <c r="AK90" s="372"/>
      <c r="AL90" s="372"/>
      <c r="AM90" s="372"/>
      <c r="AN90" s="372"/>
      <c r="AO90" s="372"/>
      <c r="AP90" s="372"/>
      <c r="AQ90" s="372"/>
      <c r="AR90" s="372"/>
      <c r="AS90" s="372"/>
      <c r="AT90" s="372"/>
      <c r="AU90" s="372"/>
      <c r="AV90" s="372"/>
      <c r="AW90" s="372"/>
      <c r="AX90" s="372"/>
      <c r="AY90" s="372"/>
      <c r="AZ90" s="372"/>
      <c r="BA90" s="372"/>
      <c r="BB90" s="372"/>
      <c r="BC90" s="372"/>
      <c r="BD90" s="372"/>
      <c r="BE90" s="372"/>
      <c r="BF90" s="372"/>
      <c r="BG90" s="372"/>
      <c r="BH90" s="372"/>
      <c r="BI90" s="372"/>
      <c r="BJ90" s="372"/>
      <c r="BK90" s="372"/>
      <c r="BL90" s="372"/>
      <c r="BM90" s="372"/>
      <c r="BN90" s="372"/>
      <c r="BO90" s="372"/>
      <c r="BP90" s="372"/>
      <c r="BQ90" s="372"/>
      <c r="BR90" s="372"/>
      <c r="BS90" s="372"/>
      <c r="BT90" s="372"/>
      <c r="BU90" s="372"/>
      <c r="BV90" s="372"/>
      <c r="BW90" s="372"/>
      <c r="BX90" s="372"/>
      <c r="BY90" s="372"/>
      <c r="BZ90" s="372"/>
      <c r="CA90" s="372"/>
      <c r="CB90" s="372"/>
      <c r="CC90" s="372"/>
      <c r="CD90" s="372"/>
      <c r="CE90" s="372"/>
      <c r="CF90" s="372"/>
      <c r="CG90" s="372"/>
      <c r="CH90" s="372"/>
      <c r="CI90" s="372"/>
      <c r="CJ90" s="372"/>
    </row>
    <row r="91" spans="2:88" s="374" customFormat="1">
      <c r="B91" s="372"/>
      <c r="H91" s="372"/>
      <c r="I91" s="372"/>
      <c r="J91" s="372"/>
      <c r="K91" s="372"/>
      <c r="L91" s="372"/>
      <c r="M91" s="372"/>
      <c r="N91" s="372"/>
      <c r="O91" s="372"/>
      <c r="P91" s="372"/>
      <c r="Q91" s="372"/>
      <c r="R91" s="372"/>
      <c r="S91" s="372"/>
      <c r="T91" s="372"/>
      <c r="U91" s="372"/>
      <c r="V91" s="372"/>
      <c r="W91" s="372"/>
      <c r="X91" s="372"/>
      <c r="Y91" s="372"/>
      <c r="Z91" s="372"/>
      <c r="AA91" s="372"/>
      <c r="AB91" s="372"/>
      <c r="AC91" s="372"/>
      <c r="AD91" s="372"/>
      <c r="AE91" s="372"/>
      <c r="AF91" s="372"/>
      <c r="AG91" s="372"/>
      <c r="AH91" s="372"/>
      <c r="AI91" s="372"/>
      <c r="AJ91" s="372"/>
      <c r="AK91" s="372"/>
      <c r="AL91" s="372"/>
      <c r="AM91" s="372"/>
      <c r="AN91" s="372"/>
      <c r="AO91" s="372"/>
      <c r="AP91" s="372"/>
      <c r="AQ91" s="372"/>
      <c r="AR91" s="372"/>
      <c r="AS91" s="372"/>
      <c r="AT91" s="372"/>
      <c r="AU91" s="372"/>
      <c r="AV91" s="372"/>
      <c r="AW91" s="372"/>
      <c r="AX91" s="372"/>
      <c r="AY91" s="372"/>
      <c r="AZ91" s="372"/>
      <c r="BA91" s="372"/>
      <c r="BB91" s="372"/>
      <c r="BC91" s="372"/>
      <c r="BD91" s="372"/>
      <c r="BE91" s="372"/>
      <c r="BF91" s="372"/>
      <c r="BG91" s="372"/>
      <c r="BH91" s="372"/>
      <c r="BI91" s="372"/>
      <c r="BJ91" s="372"/>
      <c r="BK91" s="372"/>
      <c r="BL91" s="372"/>
      <c r="BM91" s="372"/>
      <c r="BN91" s="372"/>
      <c r="BO91" s="372"/>
      <c r="BP91" s="372"/>
      <c r="BQ91" s="372"/>
      <c r="BR91" s="372"/>
      <c r="BS91" s="372"/>
      <c r="BT91" s="372"/>
      <c r="BU91" s="372"/>
      <c r="BV91" s="372"/>
      <c r="BW91" s="372"/>
      <c r="BX91" s="372"/>
      <c r="BY91" s="372"/>
      <c r="BZ91" s="372"/>
      <c r="CA91" s="372"/>
      <c r="CB91" s="372"/>
      <c r="CC91" s="372"/>
      <c r="CD91" s="372"/>
      <c r="CE91" s="372"/>
      <c r="CF91" s="372"/>
      <c r="CG91" s="372"/>
      <c r="CH91" s="372"/>
      <c r="CI91" s="372"/>
      <c r="CJ91" s="372"/>
    </row>
    <row r="92" spans="2:88" s="374" customFormat="1">
      <c r="B92" s="372"/>
      <c r="H92" s="372"/>
      <c r="I92" s="372"/>
      <c r="J92" s="372"/>
      <c r="K92" s="372"/>
      <c r="L92" s="372"/>
      <c r="M92" s="372"/>
      <c r="N92" s="372"/>
      <c r="O92" s="372"/>
      <c r="P92" s="372"/>
      <c r="Q92" s="372"/>
      <c r="R92" s="372"/>
      <c r="S92" s="372"/>
      <c r="T92" s="372"/>
      <c r="U92" s="372"/>
      <c r="V92" s="372"/>
      <c r="W92" s="372"/>
      <c r="X92" s="372"/>
      <c r="Y92" s="372"/>
      <c r="Z92" s="372"/>
      <c r="AA92" s="372"/>
      <c r="AB92" s="372"/>
      <c r="AC92" s="372"/>
      <c r="AD92" s="372"/>
      <c r="AE92" s="372"/>
      <c r="AF92" s="372"/>
      <c r="AG92" s="372"/>
      <c r="AH92" s="372"/>
      <c r="AI92" s="372"/>
      <c r="AJ92" s="372"/>
      <c r="AK92" s="372"/>
      <c r="AL92" s="372"/>
      <c r="AM92" s="372"/>
      <c r="AN92" s="372"/>
      <c r="AO92" s="372"/>
      <c r="AP92" s="372"/>
      <c r="AQ92" s="372"/>
      <c r="AR92" s="372"/>
      <c r="AS92" s="372"/>
      <c r="AT92" s="372"/>
      <c r="AU92" s="372"/>
      <c r="AV92" s="372"/>
      <c r="AW92" s="372"/>
      <c r="AX92" s="372"/>
      <c r="AY92" s="372"/>
      <c r="AZ92" s="372"/>
      <c r="BA92" s="372"/>
      <c r="BB92" s="372"/>
      <c r="BC92" s="372"/>
      <c r="BD92" s="372"/>
      <c r="BE92" s="372"/>
      <c r="BF92" s="372"/>
      <c r="BG92" s="372"/>
      <c r="BH92" s="372"/>
      <c r="BI92" s="372"/>
      <c r="BJ92" s="372"/>
      <c r="BK92" s="372"/>
      <c r="BL92" s="372"/>
      <c r="BM92" s="372"/>
      <c r="BN92" s="372"/>
      <c r="BO92" s="372"/>
      <c r="BP92" s="372"/>
      <c r="BQ92" s="372"/>
      <c r="BR92" s="372"/>
      <c r="BS92" s="372"/>
      <c r="BT92" s="372"/>
      <c r="BU92" s="372"/>
      <c r="BV92" s="372"/>
      <c r="BW92" s="372"/>
      <c r="BX92" s="372"/>
      <c r="BY92" s="372"/>
      <c r="BZ92" s="372"/>
      <c r="CA92" s="372"/>
      <c r="CB92" s="372"/>
      <c r="CC92" s="372"/>
      <c r="CD92" s="372"/>
      <c r="CE92" s="372"/>
      <c r="CF92" s="372"/>
      <c r="CG92" s="372"/>
      <c r="CH92" s="372"/>
      <c r="CI92" s="372"/>
      <c r="CJ92" s="372"/>
    </row>
    <row r="93" spans="2:88" s="374" customFormat="1">
      <c r="B93" s="372"/>
      <c r="H93" s="372"/>
      <c r="I93" s="372"/>
      <c r="J93" s="372"/>
      <c r="K93" s="372"/>
      <c r="L93" s="372"/>
      <c r="M93" s="372"/>
      <c r="N93" s="372"/>
      <c r="O93" s="372"/>
      <c r="P93" s="372"/>
      <c r="Q93" s="372"/>
      <c r="R93" s="372"/>
      <c r="S93" s="372"/>
      <c r="T93" s="372"/>
      <c r="U93" s="372"/>
      <c r="V93" s="372"/>
      <c r="W93" s="372"/>
      <c r="X93" s="372"/>
      <c r="Y93" s="372"/>
      <c r="Z93" s="372"/>
      <c r="AA93" s="372"/>
      <c r="AB93" s="372"/>
      <c r="AC93" s="372"/>
      <c r="AD93" s="372"/>
      <c r="AE93" s="372"/>
      <c r="AF93" s="372"/>
      <c r="AG93" s="372"/>
      <c r="AH93" s="372"/>
      <c r="AI93" s="372"/>
      <c r="AJ93" s="372"/>
      <c r="AK93" s="372"/>
      <c r="AL93" s="372"/>
      <c r="AM93" s="372"/>
      <c r="AN93" s="372"/>
      <c r="AO93" s="372"/>
      <c r="AP93" s="372"/>
      <c r="AQ93" s="372"/>
      <c r="AR93" s="372"/>
      <c r="AS93" s="372"/>
      <c r="AT93" s="372"/>
      <c r="AU93" s="372"/>
      <c r="AV93" s="372"/>
      <c r="AW93" s="372"/>
      <c r="AX93" s="372"/>
      <c r="AY93" s="372"/>
      <c r="AZ93" s="372"/>
      <c r="BA93" s="372"/>
      <c r="BB93" s="372"/>
      <c r="BC93" s="372"/>
      <c r="BD93" s="372"/>
      <c r="BE93" s="372"/>
      <c r="BF93" s="372"/>
      <c r="BG93" s="372"/>
      <c r="BH93" s="372"/>
      <c r="BI93" s="372"/>
      <c r="BJ93" s="372"/>
      <c r="BK93" s="372"/>
      <c r="BL93" s="372"/>
      <c r="BM93" s="372"/>
      <c r="BN93" s="372"/>
      <c r="BO93" s="372"/>
      <c r="BP93" s="372"/>
      <c r="BQ93" s="372"/>
      <c r="BR93" s="372"/>
      <c r="BS93" s="372"/>
      <c r="BT93" s="372"/>
      <c r="BU93" s="372"/>
      <c r="BV93" s="372"/>
      <c r="BW93" s="372"/>
      <c r="BX93" s="372"/>
      <c r="BY93" s="372"/>
      <c r="BZ93" s="372"/>
      <c r="CA93" s="372"/>
      <c r="CB93" s="372"/>
      <c r="CC93" s="372"/>
      <c r="CD93" s="372"/>
      <c r="CE93" s="372"/>
      <c r="CF93" s="372"/>
      <c r="CG93" s="372"/>
      <c r="CH93" s="372"/>
      <c r="CI93" s="372"/>
      <c r="CJ93" s="372"/>
    </row>
    <row r="94" spans="2:88" s="374" customFormat="1">
      <c r="B94" s="372"/>
      <c r="H94" s="372"/>
      <c r="I94" s="372"/>
      <c r="J94" s="372"/>
      <c r="K94" s="372"/>
      <c r="L94" s="372"/>
      <c r="M94" s="372"/>
      <c r="N94" s="372"/>
      <c r="O94" s="372"/>
      <c r="P94" s="372"/>
      <c r="Q94" s="372"/>
      <c r="R94" s="372"/>
      <c r="S94" s="372"/>
      <c r="T94" s="372"/>
      <c r="U94" s="372"/>
      <c r="V94" s="372"/>
      <c r="W94" s="372"/>
      <c r="X94" s="372"/>
      <c r="Y94" s="372"/>
      <c r="Z94" s="372"/>
      <c r="AA94" s="372"/>
      <c r="AB94" s="372"/>
      <c r="AC94" s="372"/>
      <c r="AD94" s="372"/>
      <c r="AE94" s="372"/>
      <c r="AF94" s="372"/>
      <c r="AG94" s="372"/>
      <c r="AH94" s="372"/>
      <c r="AI94" s="372"/>
      <c r="AJ94" s="372"/>
      <c r="AK94" s="372"/>
      <c r="AL94" s="372"/>
      <c r="AM94" s="372"/>
      <c r="AN94" s="372"/>
      <c r="AO94" s="372"/>
      <c r="AP94" s="372"/>
      <c r="AQ94" s="372"/>
      <c r="AR94" s="372"/>
      <c r="AS94" s="372"/>
      <c r="AT94" s="372"/>
      <c r="AU94" s="372"/>
      <c r="AV94" s="372"/>
      <c r="AW94" s="372"/>
      <c r="AX94" s="372"/>
      <c r="AY94" s="372"/>
      <c r="AZ94" s="372"/>
      <c r="BA94" s="372"/>
      <c r="BB94" s="372"/>
      <c r="BC94" s="372"/>
      <c r="BD94" s="372"/>
      <c r="BE94" s="372"/>
      <c r="BF94" s="372"/>
      <c r="BG94" s="372"/>
      <c r="BH94" s="372"/>
      <c r="BI94" s="372"/>
      <c r="BJ94" s="372"/>
      <c r="BK94" s="372"/>
      <c r="BL94" s="372"/>
      <c r="BM94" s="372"/>
      <c r="BN94" s="372"/>
      <c r="BO94" s="372"/>
      <c r="BP94" s="372"/>
      <c r="BQ94" s="372"/>
      <c r="BR94" s="372"/>
      <c r="BS94" s="372"/>
      <c r="BT94" s="372"/>
      <c r="BU94" s="372"/>
      <c r="BV94" s="372"/>
      <c r="BW94" s="372"/>
      <c r="BX94" s="372"/>
      <c r="BY94" s="372"/>
      <c r="BZ94" s="372"/>
      <c r="CA94" s="372"/>
      <c r="CB94" s="372"/>
      <c r="CC94" s="372"/>
      <c r="CD94" s="372"/>
      <c r="CE94" s="372"/>
      <c r="CF94" s="372"/>
      <c r="CG94" s="372"/>
      <c r="CH94" s="372"/>
      <c r="CI94" s="372"/>
      <c r="CJ94" s="372"/>
    </row>
  </sheetData>
  <pageMargins left="0" right="0" top="1" bottom="1" header="0.5" footer="0.5"/>
  <pageSetup fitToHeight="4"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topLeftCell="A1048576" workbookViewId="0">
      <selection sqref="A1:XFD1048576"/>
    </sheetView>
  </sheetViews>
  <sheetFormatPr defaultRowHeight="12.75" customHeight="1" zeroHeight="1"/>
  <sheetData>
    <row r="1" hidden="1"/>
  </sheetData>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37"/>
  <sheetViews>
    <sheetView showGridLines="0" zoomScaleNormal="100" workbookViewId="0"/>
  </sheetViews>
  <sheetFormatPr defaultRowHeight="12.75"/>
  <cols>
    <col min="2" max="2" width="27" customWidth="1"/>
    <col min="3" max="3" width="10.140625" style="125" bestFit="1" customWidth="1"/>
    <col min="4" max="4" width="11.42578125" customWidth="1"/>
    <col min="5" max="5" width="13.5703125" customWidth="1"/>
    <col min="6" max="7" width="11.42578125" customWidth="1"/>
    <col min="8" max="8" width="6.7109375" customWidth="1"/>
    <col min="9" max="12" width="12.28515625" bestFit="1" customWidth="1"/>
    <col min="13" max="13" width="6.7109375" customWidth="1"/>
    <col min="14" max="14" width="10.7109375" bestFit="1" customWidth="1"/>
    <col min="15" max="15" width="11.28515625" customWidth="1"/>
  </cols>
  <sheetData>
    <row r="1" spans="1:24" ht="15">
      <c r="A1" s="219"/>
    </row>
    <row r="2" spans="1:24" ht="6" customHeight="1" thickBot="1">
      <c r="B2" s="132"/>
      <c r="C2" s="230"/>
      <c r="D2" s="220"/>
      <c r="E2" s="220"/>
      <c r="F2" s="220"/>
      <c r="G2" s="220"/>
      <c r="H2" s="220"/>
      <c r="I2" s="220"/>
      <c r="J2" s="220"/>
      <c r="K2" s="220"/>
      <c r="L2" s="220"/>
      <c r="M2" s="220"/>
      <c r="N2" s="220"/>
      <c r="O2" s="220"/>
      <c r="P2" s="220"/>
      <c r="Q2" s="220"/>
    </row>
    <row r="3" spans="1:24" ht="6" customHeight="1" thickTop="1">
      <c r="B3" s="133"/>
      <c r="C3" s="231"/>
      <c r="D3" s="221"/>
      <c r="E3" s="221"/>
      <c r="F3" s="221"/>
      <c r="G3" s="221"/>
      <c r="H3" s="221"/>
      <c r="I3" s="221"/>
      <c r="J3" s="221"/>
      <c r="K3" s="221"/>
      <c r="L3" s="221"/>
      <c r="N3" s="221"/>
      <c r="O3" s="221"/>
      <c r="P3" s="221"/>
      <c r="Q3" s="221"/>
    </row>
    <row r="4" spans="1:24" ht="15">
      <c r="B4" s="109"/>
      <c r="C4" s="109"/>
      <c r="D4" s="232" t="s">
        <v>169</v>
      </c>
      <c r="E4" s="232"/>
      <c r="F4" s="232"/>
      <c r="G4" s="232"/>
      <c r="H4" s="109"/>
      <c r="I4" s="232" t="s">
        <v>74</v>
      </c>
      <c r="J4" s="232"/>
      <c r="K4" s="232"/>
      <c r="L4" s="232"/>
      <c r="N4" s="232" t="s">
        <v>700</v>
      </c>
      <c r="O4" s="232"/>
      <c r="P4" s="232"/>
      <c r="Q4" s="232"/>
    </row>
    <row r="5" spans="1:24" ht="15">
      <c r="B5" s="129"/>
      <c r="C5" s="233"/>
      <c r="D5" s="224">
        <v>1</v>
      </c>
      <c r="E5" s="224">
        <v>2</v>
      </c>
      <c r="F5" s="224">
        <v>3</v>
      </c>
      <c r="G5" s="224">
        <v>4</v>
      </c>
      <c r="H5" s="224"/>
      <c r="I5" s="224">
        <v>1</v>
      </c>
      <c r="J5" s="224">
        <v>2</v>
      </c>
      <c r="K5" s="224">
        <v>3</v>
      </c>
      <c r="L5" s="224">
        <v>4</v>
      </c>
      <c r="N5" s="224">
        <v>1</v>
      </c>
      <c r="O5" s="224">
        <v>2</v>
      </c>
      <c r="P5" s="224">
        <v>3</v>
      </c>
      <c r="Q5" s="224">
        <v>4</v>
      </c>
    </row>
    <row r="6" spans="1:24" ht="15">
      <c r="B6" s="129"/>
      <c r="C6" s="233"/>
      <c r="D6" s="224" t="s">
        <v>120</v>
      </c>
      <c r="E6" s="224" t="s">
        <v>121</v>
      </c>
      <c r="F6" s="224" t="s">
        <v>185</v>
      </c>
      <c r="G6" s="224" t="s">
        <v>122</v>
      </c>
      <c r="H6" s="224"/>
      <c r="I6" s="224" t="s">
        <v>120</v>
      </c>
      <c r="J6" s="224" t="s">
        <v>121</v>
      </c>
      <c r="K6" s="224" t="s">
        <v>185</v>
      </c>
      <c r="L6" s="224" t="s">
        <v>122</v>
      </c>
      <c r="N6" s="224" t="s">
        <v>120</v>
      </c>
      <c r="O6" s="224" t="s">
        <v>121</v>
      </c>
      <c r="P6" s="224" t="s">
        <v>185</v>
      </c>
      <c r="Q6" s="224" t="s">
        <v>122</v>
      </c>
    </row>
    <row r="7" spans="1:24" ht="6" customHeight="1">
      <c r="B7" s="131"/>
      <c r="C7" s="234"/>
      <c r="D7" s="223"/>
      <c r="E7" s="223"/>
      <c r="F7" s="223"/>
      <c r="G7" s="223"/>
      <c r="H7" s="223"/>
      <c r="I7" s="223"/>
      <c r="J7" s="223"/>
      <c r="K7" s="223"/>
      <c r="L7" s="223"/>
      <c r="N7" s="223"/>
      <c r="O7" s="223"/>
      <c r="P7" s="223"/>
      <c r="Q7" s="223"/>
    </row>
    <row r="8" spans="1:24" ht="6" customHeight="1">
      <c r="B8" s="129"/>
      <c r="C8" s="233"/>
      <c r="D8" s="224"/>
      <c r="E8" s="224"/>
      <c r="F8" s="224"/>
      <c r="G8" s="224"/>
      <c r="H8" s="224"/>
      <c r="I8" s="224"/>
      <c r="J8" s="224"/>
      <c r="K8" s="224"/>
      <c r="L8" s="224"/>
      <c r="N8" s="224"/>
      <c r="O8" s="224"/>
      <c r="P8" s="224"/>
      <c r="Q8" s="224"/>
    </row>
    <row r="9" spans="1:24" ht="15">
      <c r="B9" s="130" t="s">
        <v>190</v>
      </c>
      <c r="C9" s="235"/>
      <c r="D9" s="224"/>
      <c r="E9" s="224"/>
      <c r="F9" s="224"/>
      <c r="G9" s="224"/>
      <c r="H9" s="224"/>
      <c r="I9" s="224"/>
      <c r="J9" s="224"/>
      <c r="K9" s="224"/>
      <c r="L9" s="224"/>
      <c r="N9" s="224"/>
      <c r="O9" s="224"/>
      <c r="P9" s="224"/>
      <c r="Q9" s="224"/>
    </row>
    <row r="10" spans="1:24" ht="15">
      <c r="B10" s="128" t="s">
        <v>209</v>
      </c>
      <c r="C10" s="235" t="s">
        <v>46</v>
      </c>
      <c r="D10" s="1322">
        <v>325.29899999999998</v>
      </c>
      <c r="E10" s="1322">
        <v>307.08899999999994</v>
      </c>
      <c r="F10" s="1322">
        <v>311.42500000000001</v>
      </c>
      <c r="G10" s="1322">
        <v>317.00700000000001</v>
      </c>
      <c r="H10" s="1322"/>
      <c r="I10" s="1322">
        <v>1358.5466073980294</v>
      </c>
      <c r="J10" s="1322">
        <v>1240.4946073980293</v>
      </c>
      <c r="K10" s="1322">
        <v>1263.2786073980292</v>
      </c>
      <c r="L10" s="1322">
        <v>1307.6186073980291</v>
      </c>
      <c r="N10" s="1322">
        <v>327.58205316634218</v>
      </c>
      <c r="O10" s="1322">
        <v>312.35852472928639</v>
      </c>
      <c r="P10" s="1322">
        <v>315.65740344298575</v>
      </c>
      <c r="Q10" s="1322">
        <v>320.99251773157766</v>
      </c>
      <c r="X10" s="1105"/>
    </row>
    <row r="11" spans="1:24" ht="15">
      <c r="B11" s="128" t="s">
        <v>210</v>
      </c>
      <c r="C11" s="235" t="s">
        <v>46</v>
      </c>
      <c r="D11" s="1322">
        <v>340.83951959639126</v>
      </c>
      <c r="E11" s="1322">
        <v>321.8813094027596</v>
      </c>
      <c r="F11" s="1322">
        <v>326.36007810844524</v>
      </c>
      <c r="G11" s="1322">
        <v>332.20977532607816</v>
      </c>
      <c r="H11" s="1322"/>
      <c r="I11" s="1322">
        <v>1469.6235075709719</v>
      </c>
      <c r="J11" s="1322">
        <v>1342.7774756814895</v>
      </c>
      <c r="K11" s="1322">
        <v>1366.9722295114716</v>
      </c>
      <c r="L11" s="1322">
        <v>1414.9517870703387</v>
      </c>
      <c r="N11" s="1322">
        <v>345.09237326728731</v>
      </c>
      <c r="O11" s="1322">
        <v>329.19436508127995</v>
      </c>
      <c r="P11" s="1322">
        <v>332.59570248430032</v>
      </c>
      <c r="Q11" s="1322">
        <v>338.21710108067049</v>
      </c>
      <c r="X11" s="1105"/>
    </row>
    <row r="12" spans="1:24" ht="15">
      <c r="B12" s="134" t="s">
        <v>212</v>
      </c>
      <c r="C12" s="235" t="s">
        <v>49</v>
      </c>
      <c r="D12" s="1322">
        <v>9.4960957959905308</v>
      </c>
      <c r="E12" s="1322">
        <v>14.360195864012841</v>
      </c>
      <c r="F12" s="1322">
        <v>13.533984772797258</v>
      </c>
      <c r="G12" s="1322">
        <v>10.943505307396579</v>
      </c>
      <c r="H12" s="1322"/>
      <c r="I12" s="1322">
        <v>36.826367326893418</v>
      </c>
      <c r="J12" s="1322">
        <v>52.643680580230658</v>
      </c>
      <c r="K12" s="1322">
        <v>46.75445923015608</v>
      </c>
      <c r="L12" s="1322">
        <v>38.77833954256463</v>
      </c>
      <c r="N12" s="1322">
        <v>7.0620000000000003</v>
      </c>
      <c r="O12" s="1322">
        <v>8.9610000000000003</v>
      </c>
      <c r="P12" s="1322">
        <v>6.7110000000000003</v>
      </c>
      <c r="Q12" s="1322">
        <v>6.7460000000000004</v>
      </c>
      <c r="X12" s="1105"/>
    </row>
    <row r="13" spans="1:24" ht="6" customHeight="1">
      <c r="B13" s="134"/>
      <c r="C13" s="235"/>
      <c r="D13" s="848"/>
      <c r="E13" s="848"/>
      <c r="F13" s="848"/>
      <c r="G13" s="848"/>
      <c r="H13" s="224"/>
      <c r="I13" s="848"/>
      <c r="J13" s="848"/>
      <c r="K13" s="848"/>
      <c r="L13" s="848"/>
      <c r="N13" s="1322"/>
      <c r="O13" s="848"/>
      <c r="P13" s="848"/>
      <c r="Q13" s="848"/>
      <c r="X13" s="1105"/>
    </row>
    <row r="14" spans="1:24" ht="15">
      <c r="B14" s="135" t="s">
        <v>109</v>
      </c>
      <c r="C14" s="235" t="s">
        <v>108</v>
      </c>
      <c r="D14" s="1462">
        <v>360.589</v>
      </c>
      <c r="E14" s="1462">
        <v>362.83800000000002</v>
      </c>
      <c r="F14" s="1462">
        <v>352.92700000000002</v>
      </c>
      <c r="G14" s="1462">
        <v>349.94</v>
      </c>
      <c r="H14" s="1462"/>
      <c r="I14" s="1462">
        <v>1170.73</v>
      </c>
      <c r="J14" s="1462">
        <v>1173.6579999999999</v>
      </c>
      <c r="K14" s="1462">
        <v>1144.0940000000001</v>
      </c>
      <c r="L14" s="1462">
        <v>1133.424</v>
      </c>
      <c r="M14" s="1608"/>
      <c r="N14" s="1462">
        <v>200</v>
      </c>
      <c r="O14" s="1462">
        <v>200</v>
      </c>
      <c r="P14" s="1462">
        <v>200</v>
      </c>
      <c r="Q14" s="1462">
        <v>200</v>
      </c>
      <c r="X14" s="1105"/>
    </row>
    <row r="15" spans="1:24" ht="6" customHeight="1">
      <c r="B15" s="136"/>
      <c r="C15" s="235"/>
      <c r="D15" s="848"/>
      <c r="E15" s="848"/>
      <c r="F15" s="848"/>
      <c r="G15" s="848"/>
      <c r="H15" s="224"/>
      <c r="I15" s="848"/>
      <c r="J15" s="848"/>
      <c r="K15" s="848"/>
      <c r="L15" s="848"/>
      <c r="N15" s="848"/>
      <c r="O15" s="848"/>
      <c r="P15" s="848"/>
      <c r="Q15" s="848"/>
      <c r="X15" s="1105"/>
    </row>
    <row r="16" spans="1:24" ht="15">
      <c r="B16" s="135" t="s">
        <v>194</v>
      </c>
      <c r="C16" s="235"/>
      <c r="D16" s="848"/>
      <c r="E16" s="848"/>
      <c r="F16" s="848"/>
      <c r="G16" s="848"/>
      <c r="H16" s="224"/>
      <c r="I16" s="848"/>
      <c r="J16" s="848"/>
      <c r="K16" s="848"/>
      <c r="L16" s="848"/>
      <c r="N16" s="848"/>
      <c r="O16" s="848"/>
      <c r="P16" s="848"/>
      <c r="Q16" s="848"/>
      <c r="X16" s="1105"/>
    </row>
    <row r="17" spans="2:26" ht="15">
      <c r="B17" s="128" t="s">
        <v>209</v>
      </c>
      <c r="C17" s="235" t="s">
        <v>110</v>
      </c>
      <c r="D17" s="1322">
        <v>902.13234458067222</v>
      </c>
      <c r="E17" s="1322">
        <v>846.35291783109801</v>
      </c>
      <c r="F17" s="1322">
        <v>882.40627665211218</v>
      </c>
      <c r="G17" s="1322">
        <v>905.88958107104077</v>
      </c>
      <c r="H17" s="1322"/>
      <c r="I17" s="1322">
        <v>1160.4269194417409</v>
      </c>
      <c r="J17" s="1322">
        <v>1056.9472601030534</v>
      </c>
      <c r="K17" s="1322">
        <v>1104.1737893897084</v>
      </c>
      <c r="L17" s="1322">
        <v>1153.6888290684062</v>
      </c>
      <c r="N17" s="1322">
        <v>1637.9102658317111</v>
      </c>
      <c r="O17" s="1322">
        <v>1561.7926236464318</v>
      </c>
      <c r="P17" s="1322">
        <v>1578.2870172149287</v>
      </c>
      <c r="Q17" s="1322">
        <v>1604.9625886578883</v>
      </c>
      <c r="X17" s="1105"/>
    </row>
    <row r="18" spans="2:26" ht="15">
      <c r="B18" s="128" t="s">
        <v>210</v>
      </c>
      <c r="C18" s="235" t="s">
        <v>110</v>
      </c>
      <c r="D18" s="1322">
        <v>945.22994211246385</v>
      </c>
      <c r="E18" s="1322">
        <v>887.12127561820864</v>
      </c>
      <c r="F18" s="1322">
        <v>924.72403105584215</v>
      </c>
      <c r="G18" s="1322">
        <v>949.33352953671533</v>
      </c>
      <c r="H18" s="1322"/>
      <c r="I18" s="1322">
        <v>1255.3052433703517</v>
      </c>
      <c r="J18" s="1322">
        <v>1144.0960447434343</v>
      </c>
      <c r="K18" s="1322">
        <v>1194.8076202754946</v>
      </c>
      <c r="L18" s="1322">
        <v>1248.3869999844178</v>
      </c>
      <c r="N18" s="1322">
        <v>1725.4618663364367</v>
      </c>
      <c r="O18" s="1322">
        <v>1645.9718254063998</v>
      </c>
      <c r="P18" s="1322">
        <v>1662.9785124215016</v>
      </c>
      <c r="Q18" s="1322">
        <v>1691.0855054033525</v>
      </c>
      <c r="X18" s="1105"/>
    </row>
    <row r="19" spans="2:26" ht="15">
      <c r="B19" s="1074" t="s">
        <v>297</v>
      </c>
      <c r="C19" s="1075" t="s">
        <v>48</v>
      </c>
      <c r="D19" s="1098">
        <f>D29</f>
        <v>32.654135279956705</v>
      </c>
      <c r="E19" s="1098">
        <f t="shared" ref="E19:G19" si="0">E29</f>
        <v>43.838045996933474</v>
      </c>
      <c r="F19" s="1098">
        <f t="shared" si="0"/>
        <v>44.585170117331373</v>
      </c>
      <c r="G19" s="1098">
        <f t="shared" si="0"/>
        <v>38.766694912047214</v>
      </c>
      <c r="H19" s="1463"/>
      <c r="I19" s="1098">
        <f>I29</f>
        <v>39.003870704092087</v>
      </c>
      <c r="J19" s="1098">
        <f t="shared" ref="J19:L19" si="1">J29</f>
        <v>49.302482906260032</v>
      </c>
      <c r="K19" s="1098">
        <f t="shared" si="1"/>
        <v>47.100507767029043</v>
      </c>
      <c r="L19" s="1098">
        <f t="shared" si="1"/>
        <v>42.412386999444529</v>
      </c>
      <c r="N19" s="1098">
        <f>N29</f>
        <v>66.124679831397785</v>
      </c>
      <c r="O19" s="1098">
        <f t="shared" ref="O19:Q19" si="2">O29</f>
        <v>68.556573183103268</v>
      </c>
      <c r="P19" s="1098">
        <f t="shared" si="2"/>
        <v>63.925621772636774</v>
      </c>
      <c r="Q19" s="1098">
        <f t="shared" si="2"/>
        <v>64.14255893731854</v>
      </c>
      <c r="R19" s="1099" t="s">
        <v>566</v>
      </c>
      <c r="S19" s="860"/>
      <c r="T19" s="860"/>
      <c r="X19" s="1105"/>
    </row>
    <row r="20" spans="2:26" ht="6" customHeight="1">
      <c r="B20" s="130"/>
      <c r="C20" s="235"/>
      <c r="D20" s="848"/>
      <c r="E20" s="848"/>
      <c r="F20" s="848"/>
      <c r="G20" s="848"/>
      <c r="H20" s="224"/>
      <c r="I20" s="848"/>
      <c r="J20" s="848"/>
      <c r="K20" s="848"/>
      <c r="L20" s="848"/>
      <c r="N20" s="848"/>
      <c r="O20" s="848"/>
      <c r="P20" s="848"/>
      <c r="Q20" s="848"/>
      <c r="X20" s="1105"/>
    </row>
    <row r="21" spans="2:26" s="173" customFormat="1" ht="15">
      <c r="B21" s="130" t="s">
        <v>195</v>
      </c>
      <c r="C21" s="237" t="s">
        <v>96</v>
      </c>
      <c r="D21" s="238">
        <v>7.9273027499999996E-2</v>
      </c>
      <c r="E21" s="238">
        <v>7.9936726250000006E-2</v>
      </c>
      <c r="F21" s="238">
        <v>7.9581392149999999E-2</v>
      </c>
      <c r="G21" s="238">
        <v>7.9581392149999999E-2</v>
      </c>
      <c r="H21" s="238"/>
      <c r="I21" s="238">
        <v>7.9273027499999996E-2</v>
      </c>
      <c r="J21" s="238">
        <v>7.9936726250000006E-2</v>
      </c>
      <c r="K21" s="238">
        <v>7.9581392149999999E-2</v>
      </c>
      <c r="L21" s="238">
        <v>7.9581392149999999E-2</v>
      </c>
      <c r="N21" s="238">
        <v>7.9273027499999996E-2</v>
      </c>
      <c r="O21" s="238">
        <v>7.9936726250000006E-2</v>
      </c>
      <c r="P21" s="238">
        <v>7.9581392149999999E-2</v>
      </c>
      <c r="Q21" s="238">
        <v>7.9581392149999999E-2</v>
      </c>
      <c r="X21" s="1108"/>
    </row>
    <row r="22" spans="2:26" s="173" customFormat="1" ht="6" customHeight="1">
      <c r="B22" s="861"/>
      <c r="C22" s="862"/>
      <c r="D22" s="863"/>
      <c r="E22" s="863"/>
      <c r="F22" s="863"/>
      <c r="G22" s="863"/>
      <c r="H22" s="863"/>
      <c r="I22" s="863"/>
      <c r="J22" s="863"/>
      <c r="K22" s="863"/>
      <c r="L22" s="863"/>
      <c r="M22" s="863"/>
      <c r="N22" s="863"/>
      <c r="O22" s="863"/>
      <c r="P22" s="863"/>
      <c r="Q22" s="863"/>
      <c r="X22" s="1108"/>
    </row>
    <row r="23" spans="2:26" ht="15">
      <c r="B23" s="126" t="s">
        <v>196</v>
      </c>
      <c r="C23" s="239"/>
      <c r="D23" s="849"/>
      <c r="E23" s="849"/>
      <c r="F23" s="849"/>
      <c r="G23" s="849"/>
      <c r="H23" s="109"/>
      <c r="I23" s="849"/>
      <c r="J23" s="849"/>
      <c r="K23" s="849"/>
      <c r="L23" s="849"/>
      <c r="N23" s="849"/>
      <c r="O23" s="849"/>
      <c r="P23" s="849"/>
      <c r="Q23" s="849"/>
      <c r="X23" s="1105"/>
    </row>
    <row r="24" spans="2:26" ht="15">
      <c r="B24" s="864" t="s">
        <v>95</v>
      </c>
      <c r="C24" s="865" t="s">
        <v>48</v>
      </c>
      <c r="D24" s="1324">
        <v>137.95440173000088</v>
      </c>
      <c r="E24" s="1324">
        <v>141.73081210641999</v>
      </c>
      <c r="F24" s="1324">
        <v>147.13883892613723</v>
      </c>
      <c r="G24" s="1324">
        <v>144.04960430723281</v>
      </c>
      <c r="H24" s="1324"/>
      <c r="I24" s="1324">
        <v>182.72576780714761</v>
      </c>
      <c r="J24" s="1324">
        <v>178.69426205012087</v>
      </c>
      <c r="K24" s="1324">
        <v>183.10498613748234</v>
      </c>
      <c r="L24" s="1324">
        <v>184.51578494913883</v>
      </c>
      <c r="M24" s="1324"/>
      <c r="N24" s="1324">
        <v>247.39784675767365</v>
      </c>
      <c r="O24" s="1324">
        <v>240.89640008592897</v>
      </c>
      <c r="P24" s="1324">
        <v>238.35200004355173</v>
      </c>
      <c r="Q24" s="1324">
        <v>241.51702159614987</v>
      </c>
      <c r="R24" s="859"/>
      <c r="S24" s="859"/>
      <c r="T24" s="859"/>
      <c r="U24" s="1061"/>
      <c r="X24" s="1105"/>
      <c r="Y24" s="933"/>
      <c r="Z24" s="1110"/>
    </row>
    <row r="25" spans="2:26" ht="6" customHeight="1" thickBot="1">
      <c r="B25" s="240"/>
      <c r="C25" s="241"/>
      <c r="D25" s="240"/>
      <c r="E25" s="240"/>
      <c r="F25" s="240"/>
      <c r="G25" s="240"/>
      <c r="H25" s="240"/>
      <c r="I25" s="240"/>
      <c r="J25" s="240"/>
      <c r="K25" s="240"/>
      <c r="L25" s="240"/>
      <c r="M25" s="240"/>
      <c r="N25" s="240"/>
      <c r="O25" s="240"/>
      <c r="P25" s="240"/>
      <c r="Q25" s="240"/>
    </row>
    <row r="26" spans="2:26" ht="6" customHeight="1" thickTop="1">
      <c r="B26" s="109"/>
      <c r="C26" s="239"/>
      <c r="D26" s="109"/>
      <c r="E26" s="109"/>
      <c r="F26" s="109"/>
      <c r="G26" s="109"/>
      <c r="H26" s="109"/>
      <c r="I26" s="109"/>
      <c r="J26" s="109"/>
      <c r="K26" s="109"/>
      <c r="L26" s="109"/>
      <c r="N26" s="109"/>
      <c r="O26" s="109"/>
      <c r="P26" s="109"/>
      <c r="Q26" s="109"/>
    </row>
    <row r="27" spans="2:26">
      <c r="B27" s="125" t="s">
        <v>708</v>
      </c>
      <c r="D27" s="121"/>
      <c r="E27" s="121"/>
      <c r="F27" s="121"/>
      <c r="G27" s="121"/>
      <c r="H27" s="121"/>
      <c r="I27" s="121"/>
      <c r="J27" s="121"/>
      <c r="K27" s="121"/>
      <c r="L27" s="121"/>
      <c r="N27" s="121"/>
      <c r="O27" s="121"/>
      <c r="P27" s="121"/>
      <c r="Q27" s="121"/>
    </row>
    <row r="28" spans="2:26">
      <c r="Z28" s="859"/>
    </row>
    <row r="29" spans="2:26">
      <c r="B29" s="1093" t="s">
        <v>565</v>
      </c>
      <c r="C29" s="1094" t="s">
        <v>554</v>
      </c>
      <c r="D29" s="1300">
        <v>32.654135279956705</v>
      </c>
      <c r="E29" s="1300">
        <v>43.838045996933474</v>
      </c>
      <c r="F29" s="1300">
        <v>44.585170117331373</v>
      </c>
      <c r="G29" s="1300">
        <v>38.766694912047214</v>
      </c>
      <c r="H29" s="1300"/>
      <c r="I29" s="1300">
        <v>39.003870704092087</v>
      </c>
      <c r="J29" s="1300">
        <v>49.302482906260032</v>
      </c>
      <c r="K29" s="1300">
        <v>47.100507767029043</v>
      </c>
      <c r="L29" s="1300">
        <v>42.412386999444529</v>
      </c>
      <c r="M29" s="1300"/>
      <c r="N29" s="1300">
        <v>66.124679831397785</v>
      </c>
      <c r="O29" s="1300">
        <v>68.556573183103268</v>
      </c>
      <c r="P29" s="1300">
        <v>63.925621772636774</v>
      </c>
      <c r="Q29" s="1300">
        <v>64.14255893731854</v>
      </c>
      <c r="R29" s="1099" t="s">
        <v>625</v>
      </c>
      <c r="S29" s="1099"/>
      <c r="T29" s="1099"/>
      <c r="U29" s="1099"/>
      <c r="V29" s="1099"/>
      <c r="Z29" s="1111"/>
    </row>
    <row r="31" spans="2:26">
      <c r="C31" s="1621"/>
      <c r="D31" s="1622"/>
      <c r="E31" s="1622"/>
      <c r="F31" s="1622"/>
      <c r="G31" s="1622"/>
      <c r="H31" s="1020"/>
      <c r="I31" s="1623"/>
      <c r="J31" s="1623"/>
      <c r="K31" s="1623"/>
      <c r="L31" s="1623"/>
    </row>
    <row r="32" spans="2:26">
      <c r="C32" s="1621"/>
      <c r="D32" s="1301"/>
      <c r="E32" s="1301"/>
      <c r="F32" s="1301"/>
      <c r="G32" s="1301"/>
      <c r="H32" s="1020"/>
      <c r="I32" s="1301"/>
      <c r="J32" s="1301"/>
      <c r="K32" s="1301"/>
      <c r="L32" s="1301"/>
    </row>
    <row r="33" spans="3:12">
      <c r="C33" s="1621"/>
      <c r="D33" s="1020"/>
      <c r="E33" s="1020"/>
      <c r="F33" s="1020"/>
      <c r="G33" s="1020"/>
      <c r="H33" s="1020"/>
      <c r="I33" s="1020"/>
      <c r="J33" s="1020"/>
      <c r="K33" s="1020"/>
      <c r="L33" s="1020"/>
    </row>
    <row r="34" spans="3:12">
      <c r="C34" s="1621"/>
      <c r="D34" s="1020"/>
      <c r="E34" s="1330"/>
      <c r="F34" s="1020"/>
      <c r="G34" s="1020"/>
      <c r="H34" s="1020"/>
      <c r="I34" s="1020"/>
      <c r="J34" s="1020"/>
      <c r="K34" s="1020"/>
      <c r="L34" s="1020"/>
    </row>
    <row r="35" spans="3:12">
      <c r="C35" s="1621"/>
      <c r="D35" s="1020"/>
      <c r="E35" s="1020"/>
      <c r="F35" s="1020"/>
      <c r="G35" s="1020"/>
      <c r="H35" s="1020"/>
      <c r="I35" s="1020"/>
    </row>
    <row r="36" spans="3:12">
      <c r="C36" s="1621"/>
      <c r="D36" s="1020"/>
      <c r="E36" s="1331"/>
      <c r="F36" s="1020"/>
      <c r="G36" s="1020"/>
      <c r="H36" s="1020"/>
      <c r="I36" s="1020"/>
    </row>
    <row r="37" spans="3:12">
      <c r="C37" s="1621"/>
      <c r="D37" s="1020"/>
      <c r="E37" s="1623"/>
      <c r="F37" s="1020"/>
      <c r="G37" s="1020"/>
      <c r="H37" s="1020"/>
      <c r="I37" s="1020"/>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P30"/>
  <sheetViews>
    <sheetView showGridLines="0" view="pageBreakPreview" zoomScaleNormal="85" zoomScaleSheetLayoutView="100" workbookViewId="0">
      <selection activeCell="E36" sqref="E36"/>
    </sheetView>
  </sheetViews>
  <sheetFormatPr defaultColWidth="9.140625" defaultRowHeight="15" outlineLevelRow="1" outlineLevelCol="1"/>
  <cols>
    <col min="1" max="1" width="2.85546875" style="104" customWidth="1"/>
    <col min="2" max="2" width="34.7109375" style="104" customWidth="1"/>
    <col min="3" max="3" width="9.28515625" style="104" customWidth="1"/>
    <col min="4" max="7" width="10.7109375" style="104" customWidth="1"/>
    <col min="8" max="8" width="10.7109375" style="104" customWidth="1" outlineLevel="1"/>
    <col min="9" max="9" width="1.7109375" style="104" customWidth="1"/>
    <col min="10" max="15" width="9.140625" style="104"/>
    <col min="16" max="16" width="10.28515625" style="104" bestFit="1" customWidth="1"/>
    <col min="17" max="16384" width="9.140625" style="104"/>
  </cols>
  <sheetData>
    <row r="1" spans="2:16" outlineLevel="1">
      <c r="B1" s="109"/>
      <c r="C1" s="208" t="s">
        <v>162</v>
      </c>
      <c r="D1" s="242">
        <f>INDEX('Cost Assumptions'!$D$13:$G$13,1,MATCH(D$8&amp;"_CT",'Cost Assumptions'!$D$1:$G$1,0))</f>
        <v>360.589</v>
      </c>
      <c r="E1" s="242">
        <f>INDEX('Cost Assumptions'!$D$13:$G$13,1,MATCH(E$8&amp;"_CT",'Cost Assumptions'!$D$1:$G$1,0))</f>
        <v>362.83800000000002</v>
      </c>
      <c r="F1" s="242">
        <f>INDEX('Cost Assumptions'!$D$13:$G$13,1,MATCH(F$8&amp;"_CT",'Cost Assumptions'!$D$1:$G$1,0))</f>
        <v>352.92700000000002</v>
      </c>
      <c r="G1" s="242">
        <f>INDEX('Cost Assumptions'!$D$13:$G$13,1,MATCH(G$8&amp;"_CT",'Cost Assumptions'!$D$1:$G$1,0))</f>
        <v>349.94</v>
      </c>
      <c r="H1" s="242"/>
      <c r="I1" s="109"/>
      <c r="J1" s="109"/>
      <c r="K1" s="109"/>
      <c r="L1" s="109"/>
      <c r="M1" s="109"/>
      <c r="N1" s="109"/>
      <c r="O1" s="109"/>
      <c r="P1" s="109"/>
    </row>
    <row r="2" spans="2:16" ht="18" customHeight="1">
      <c r="B2" s="109"/>
      <c r="C2" s="109"/>
      <c r="D2" s="109"/>
      <c r="E2" s="109"/>
      <c r="F2" s="109"/>
      <c r="G2" s="109"/>
      <c r="H2" s="109"/>
      <c r="I2" s="109"/>
      <c r="J2" s="109"/>
      <c r="K2" s="109"/>
      <c r="L2" s="109"/>
      <c r="M2" s="109"/>
      <c r="N2" s="109"/>
      <c r="O2" s="109"/>
      <c r="P2" s="109"/>
    </row>
    <row r="3" spans="2:16" ht="4.5" customHeight="1">
      <c r="B3" s="109"/>
      <c r="C3" s="109"/>
      <c r="D3" s="109"/>
      <c r="E3" s="109"/>
      <c r="F3" s="109"/>
      <c r="G3" s="109"/>
      <c r="H3" s="109"/>
      <c r="I3" s="109"/>
      <c r="J3" s="109"/>
      <c r="K3" s="109"/>
      <c r="L3" s="109"/>
      <c r="M3" s="109"/>
      <c r="N3" s="109"/>
      <c r="O3" s="109"/>
      <c r="P3" s="109"/>
    </row>
    <row r="4" spans="2:16" ht="18.75">
      <c r="B4" s="243" t="s">
        <v>569</v>
      </c>
      <c r="C4" s="244"/>
      <c r="D4" s="244"/>
      <c r="E4" s="244"/>
      <c r="F4" s="244"/>
      <c r="G4" s="244"/>
      <c r="H4" s="244"/>
      <c r="I4" s="109"/>
      <c r="J4" s="109"/>
      <c r="K4" s="109"/>
      <c r="L4" s="109"/>
      <c r="M4" s="109"/>
      <c r="N4" s="109"/>
      <c r="O4" s="109"/>
      <c r="P4" s="109"/>
    </row>
    <row r="5" spans="2:16" ht="6.75" customHeight="1" thickBot="1">
      <c r="B5" s="132"/>
      <c r="C5" s="220"/>
      <c r="D5" s="220"/>
      <c r="E5" s="220"/>
      <c r="F5" s="220"/>
      <c r="G5" s="220"/>
      <c r="H5" s="220"/>
      <c r="I5" s="109"/>
      <c r="J5" s="109"/>
      <c r="K5" s="109"/>
      <c r="L5" s="109"/>
      <c r="M5" s="109"/>
      <c r="N5" s="109"/>
      <c r="O5" s="109"/>
      <c r="P5" s="109"/>
    </row>
    <row r="6" spans="2:16" ht="6.75" customHeight="1" thickTop="1">
      <c r="B6" s="133"/>
      <c r="C6" s="221"/>
      <c r="D6" s="221"/>
      <c r="E6" s="221"/>
      <c r="F6" s="221"/>
      <c r="G6" s="221"/>
      <c r="H6" s="221"/>
      <c r="I6" s="109"/>
      <c r="J6" s="109"/>
      <c r="K6" s="109"/>
      <c r="L6" s="109"/>
      <c r="M6" s="109"/>
      <c r="N6" s="109"/>
      <c r="O6" s="109"/>
      <c r="P6" s="109"/>
    </row>
    <row r="7" spans="2:16">
      <c r="B7" s="109"/>
      <c r="C7" s="109"/>
      <c r="D7" s="222"/>
      <c r="E7" s="223"/>
      <c r="F7" s="222" t="s">
        <v>189</v>
      </c>
      <c r="G7" s="223"/>
      <c r="H7" s="224"/>
      <c r="I7" s="109"/>
      <c r="J7" s="109"/>
      <c r="K7" s="109"/>
      <c r="L7" s="109"/>
      <c r="M7" s="109"/>
      <c r="N7" s="109"/>
      <c r="O7" s="109"/>
      <c r="P7" s="109"/>
    </row>
    <row r="8" spans="2:16">
      <c r="B8" s="129"/>
      <c r="C8" s="129"/>
      <c r="D8" s="224">
        <v>1</v>
      </c>
      <c r="E8" s="224">
        <v>2</v>
      </c>
      <c r="F8" s="224">
        <v>3</v>
      </c>
      <c r="G8" s="224">
        <v>4</v>
      </c>
      <c r="H8" s="224"/>
      <c r="I8" s="109"/>
      <c r="J8" s="109"/>
      <c r="K8" s="109"/>
      <c r="L8" s="109"/>
      <c r="M8" s="109"/>
      <c r="N8" s="109"/>
      <c r="O8" s="109"/>
      <c r="P8" s="109"/>
    </row>
    <row r="9" spans="2:16">
      <c r="B9" s="130" t="s">
        <v>313</v>
      </c>
      <c r="C9" s="129"/>
      <c r="D9" s="224" t="s">
        <v>120</v>
      </c>
      <c r="E9" s="224" t="s">
        <v>121</v>
      </c>
      <c r="F9" s="224" t="s">
        <v>185</v>
      </c>
      <c r="G9" s="224" t="s">
        <v>122</v>
      </c>
      <c r="H9" s="224"/>
      <c r="I9" s="109"/>
      <c r="J9" s="109"/>
      <c r="K9" s="109"/>
      <c r="L9" s="109"/>
      <c r="M9" s="109"/>
      <c r="N9" s="109"/>
      <c r="O9" s="109"/>
      <c r="P9" s="109"/>
    </row>
    <row r="10" spans="2:16" ht="5.25" customHeight="1">
      <c r="B10" s="131"/>
      <c r="C10" s="131"/>
      <c r="D10" s="223"/>
      <c r="E10" s="223"/>
      <c r="F10" s="223"/>
      <c r="G10" s="223"/>
      <c r="H10" s="223"/>
      <c r="I10" s="109"/>
      <c r="J10" s="109"/>
      <c r="K10" s="109"/>
      <c r="L10" s="109"/>
      <c r="M10" s="109"/>
      <c r="N10" s="109"/>
      <c r="O10" s="109"/>
      <c r="P10" s="109"/>
    </row>
    <row r="11" spans="2:16" ht="5.25" customHeight="1">
      <c r="B11" s="129"/>
      <c r="C11" s="129"/>
      <c r="D11" s="224"/>
      <c r="E11" s="224"/>
      <c r="F11" s="224"/>
      <c r="G11" s="224"/>
      <c r="H11" s="224"/>
      <c r="I11" s="109"/>
      <c r="J11" s="109"/>
      <c r="K11" s="109"/>
      <c r="L11" s="109"/>
      <c r="M11" s="109"/>
      <c r="N11" s="109"/>
      <c r="O11" s="109"/>
      <c r="P11" s="109"/>
    </row>
    <row r="12" spans="2:16">
      <c r="B12" s="130" t="s">
        <v>190</v>
      </c>
      <c r="C12" s="206"/>
      <c r="D12" s="224"/>
      <c r="E12" s="224"/>
      <c r="F12" s="224"/>
      <c r="G12" s="224"/>
      <c r="H12" s="224"/>
      <c r="I12" s="109"/>
      <c r="J12" s="109"/>
      <c r="K12" s="109"/>
      <c r="L12" s="245"/>
      <c r="M12" s="245"/>
      <c r="N12" s="245"/>
      <c r="O12" s="245"/>
      <c r="P12" s="245"/>
    </row>
    <row r="13" spans="2:16">
      <c r="B13" s="128" t="s">
        <v>191</v>
      </c>
      <c r="C13" s="235" t="s">
        <v>46</v>
      </c>
      <c r="D13" s="246">
        <f t="array" ref="D13:H13">TRANSPOSE(CONE_Calculations!F107:F111)</f>
        <v>327.58205316634218</v>
      </c>
      <c r="E13" s="246">
        <v>312.35852472928639</v>
      </c>
      <c r="F13" s="246">
        <v>315.65740344298575</v>
      </c>
      <c r="G13" s="246">
        <v>320.99251773157766</v>
      </c>
      <c r="H13" s="246" t="e">
        <v>#N/A</v>
      </c>
      <c r="I13" s="109"/>
      <c r="J13" s="109"/>
      <c r="K13" s="109"/>
      <c r="L13" s="247"/>
      <c r="M13" s="247"/>
      <c r="N13" s="247"/>
      <c r="O13" s="247"/>
      <c r="P13" s="247"/>
    </row>
    <row r="14" spans="2:16">
      <c r="B14" s="128" t="s">
        <v>192</v>
      </c>
      <c r="C14" s="235" t="s">
        <v>46</v>
      </c>
      <c r="D14" s="246">
        <f t="array" ref="D14:H14">TRANSPOSE(CONE_Calculations!G107:G111)</f>
        <v>345.09237326728731</v>
      </c>
      <c r="E14" s="246">
        <v>329.19436508127995</v>
      </c>
      <c r="F14" s="246">
        <v>332.59570248430032</v>
      </c>
      <c r="G14" s="246">
        <v>338.21710108067049</v>
      </c>
      <c r="H14" s="246" t="e">
        <v>#N/A</v>
      </c>
      <c r="I14" s="109"/>
      <c r="J14" s="109"/>
      <c r="K14" s="109"/>
      <c r="L14" s="109"/>
      <c r="M14" s="109"/>
      <c r="N14" s="109"/>
      <c r="O14" s="109"/>
      <c r="P14" s="109"/>
    </row>
    <row r="15" spans="2:16">
      <c r="B15" s="134" t="s">
        <v>193</v>
      </c>
      <c r="C15" s="235" t="s">
        <v>49</v>
      </c>
      <c r="D15" s="248">
        <f ca="1">'O&amp;M Costs_2026$'!G30/1000000</f>
        <v>9.4960957959905308</v>
      </c>
      <c r="E15" s="248">
        <f ca="1">'O&amp;M Costs_2026$'!H30/1000000</f>
        <v>14.360195864012841</v>
      </c>
      <c r="F15" s="248">
        <f ca="1">'O&amp;M Costs_2026$'!I30/1000000</f>
        <v>13.533984772797258</v>
      </c>
      <c r="G15" s="248">
        <f ca="1">'O&amp;M Costs_2026$'!J30/1000000</f>
        <v>10.943505307396579</v>
      </c>
      <c r="H15" s="248"/>
      <c r="I15" s="109"/>
      <c r="J15" s="109"/>
      <c r="K15" s="109"/>
      <c r="L15" s="109"/>
      <c r="M15" s="109"/>
      <c r="N15" s="109"/>
      <c r="O15" s="109"/>
      <c r="P15" s="109"/>
    </row>
    <row r="16" spans="2:16" ht="6.75" customHeight="1">
      <c r="B16" s="134"/>
      <c r="C16" s="235"/>
      <c r="D16" s="224"/>
      <c r="E16" s="224"/>
      <c r="F16" s="224"/>
      <c r="G16" s="224"/>
      <c r="H16" s="224"/>
      <c r="I16" s="109"/>
      <c r="J16" s="109"/>
      <c r="K16" s="109"/>
      <c r="L16" s="109"/>
      <c r="M16" s="109"/>
      <c r="N16" s="109"/>
      <c r="O16" s="109"/>
      <c r="P16" s="109"/>
    </row>
    <row r="17" spans="2:16">
      <c r="B17" s="135" t="s">
        <v>109</v>
      </c>
      <c r="C17" s="235" t="s">
        <v>108</v>
      </c>
      <c r="D17" s="248">
        <f>D1</f>
        <v>360.589</v>
      </c>
      <c r="E17" s="249">
        <f>E1</f>
        <v>362.83800000000002</v>
      </c>
      <c r="F17" s="249">
        <f>F1</f>
        <v>352.92700000000002</v>
      </c>
      <c r="G17" s="249">
        <f>G1</f>
        <v>349.94</v>
      </c>
      <c r="H17" s="249"/>
      <c r="I17" s="109"/>
      <c r="J17" s="109"/>
      <c r="K17" s="109"/>
      <c r="L17" s="109"/>
      <c r="M17" s="109"/>
      <c r="N17" s="109"/>
      <c r="O17" s="109"/>
      <c r="P17" s="109"/>
    </row>
    <row r="18" spans="2:16" ht="5.25" customHeight="1">
      <c r="B18" s="136"/>
      <c r="C18" s="235"/>
      <c r="D18" s="224"/>
      <c r="E18" s="224"/>
      <c r="F18" s="224"/>
      <c r="G18" s="224"/>
      <c r="H18" s="224"/>
      <c r="I18" s="109"/>
      <c r="J18" s="109"/>
      <c r="K18" s="109"/>
      <c r="L18" s="109"/>
      <c r="M18" s="109"/>
      <c r="N18" s="109"/>
      <c r="O18" s="109"/>
      <c r="P18" s="109"/>
    </row>
    <row r="19" spans="2:16">
      <c r="B19" s="135" t="s">
        <v>194</v>
      </c>
      <c r="C19" s="235"/>
      <c r="D19" s="224"/>
      <c r="E19" s="224"/>
      <c r="F19" s="224"/>
      <c r="G19" s="224"/>
      <c r="H19" s="224"/>
      <c r="I19" s="109"/>
      <c r="J19" s="109"/>
      <c r="K19" s="109"/>
      <c r="L19" s="109"/>
      <c r="M19" s="109"/>
      <c r="N19" s="109"/>
      <c r="O19" s="109"/>
      <c r="P19" s="109"/>
    </row>
    <row r="20" spans="2:16">
      <c r="B20" s="128" t="s">
        <v>191</v>
      </c>
      <c r="C20" s="235" t="s">
        <v>110</v>
      </c>
      <c r="D20" s="248">
        <f>D13*1000/D$17</f>
        <v>908.46379996711551</v>
      </c>
      <c r="E20" s="248">
        <f>E13*1000/E$17</f>
        <v>860.87599625531607</v>
      </c>
      <c r="F20" s="248">
        <f>F13*1000/F$17</f>
        <v>894.39856809761147</v>
      </c>
      <c r="G20" s="248">
        <f>G13*1000/G$17</f>
        <v>917.27872701485308</v>
      </c>
      <c r="H20" s="248"/>
      <c r="I20" s="109"/>
      <c r="J20" s="109"/>
      <c r="K20" s="109"/>
      <c r="L20" s="109"/>
      <c r="M20" s="109"/>
      <c r="N20" s="109"/>
      <c r="O20" s="109"/>
      <c r="P20" s="109"/>
    </row>
    <row r="21" spans="2:16">
      <c r="B21" s="207" t="s">
        <v>312</v>
      </c>
      <c r="C21" s="235" t="s">
        <v>110</v>
      </c>
      <c r="D21" s="248">
        <f t="shared" ref="D21:G22" si="0">D14*1000/D$17</f>
        <v>957.02412793315193</v>
      </c>
      <c r="E21" s="248">
        <f t="shared" si="0"/>
        <v>907.27642937421092</v>
      </c>
      <c r="F21" s="248">
        <f t="shared" si="0"/>
        <v>942.39234313129987</v>
      </c>
      <c r="G21" s="248">
        <f t="shared" si="0"/>
        <v>966.50026027510569</v>
      </c>
      <c r="H21" s="248"/>
      <c r="I21" s="109"/>
      <c r="J21" s="109"/>
      <c r="K21" s="109"/>
      <c r="L21" s="109"/>
      <c r="M21" s="109"/>
      <c r="N21" s="109"/>
      <c r="O21" s="109"/>
      <c r="P21" s="109"/>
    </row>
    <row r="22" spans="2:16">
      <c r="B22" s="218" t="s">
        <v>193</v>
      </c>
      <c r="C22" s="235" t="s">
        <v>48</v>
      </c>
      <c r="D22" s="248">
        <f ca="1">D15*1000/D$17</f>
        <v>26.33495696205522</v>
      </c>
      <c r="E22" s="248">
        <f t="shared" ca="1" si="0"/>
        <v>39.577430875522523</v>
      </c>
      <c r="F22" s="248">
        <f t="shared" ca="1" si="0"/>
        <v>38.347830494117076</v>
      </c>
      <c r="G22" s="248">
        <f t="shared" ca="1" si="0"/>
        <v>31.272519024394409</v>
      </c>
      <c r="H22" s="248"/>
      <c r="I22" s="109"/>
      <c r="J22" s="109"/>
      <c r="K22" s="109"/>
      <c r="L22" s="109"/>
      <c r="M22" s="109"/>
      <c r="N22" s="109"/>
      <c r="O22" s="109"/>
      <c r="P22" s="109"/>
    </row>
    <row r="23" spans="2:16" ht="6.75" customHeight="1">
      <c r="B23" s="130"/>
      <c r="C23" s="206"/>
      <c r="D23" s="224"/>
      <c r="E23" s="224"/>
      <c r="F23" s="224"/>
      <c r="G23" s="224"/>
      <c r="H23" s="224"/>
      <c r="I23" s="109"/>
      <c r="J23" s="109"/>
      <c r="K23" s="109"/>
      <c r="L23" s="109"/>
      <c r="M23" s="109"/>
      <c r="N23" s="109"/>
      <c r="O23" s="109"/>
      <c r="P23" s="109"/>
    </row>
    <row r="24" spans="2:16">
      <c r="B24" s="130" t="s">
        <v>195</v>
      </c>
      <c r="C24" s="250" t="s">
        <v>96</v>
      </c>
      <c r="D24" s="251">
        <f t="array" ref="D24:H24">TRANSPOSE(CONE_Calculations!K107:K111)</f>
        <v>7.9273027499999996E-2</v>
      </c>
      <c r="E24" s="251">
        <v>7.9936726250000006E-2</v>
      </c>
      <c r="F24" s="251">
        <v>7.9581392149999999E-2</v>
      </c>
      <c r="G24" s="251">
        <v>7.9581392149999999E-2</v>
      </c>
      <c r="H24" s="251" t="e">
        <v>#N/A</v>
      </c>
      <c r="I24" s="109"/>
      <c r="J24" s="109"/>
      <c r="K24" s="109"/>
      <c r="L24" s="109"/>
      <c r="M24" s="109"/>
      <c r="N24" s="109"/>
      <c r="O24" s="109"/>
      <c r="P24" s="109"/>
    </row>
    <row r="25" spans="2:16" ht="5.25" customHeight="1">
      <c r="B25" s="109"/>
      <c r="C25" s="239"/>
      <c r="D25" s="109"/>
      <c r="E25" s="109"/>
      <c r="F25" s="109"/>
      <c r="G25" s="109"/>
      <c r="H25" s="109"/>
      <c r="I25" s="109"/>
      <c r="J25" s="109"/>
      <c r="K25" s="109"/>
      <c r="L25" s="109"/>
      <c r="M25" s="109"/>
      <c r="N25" s="109"/>
      <c r="O25" s="109"/>
      <c r="P25" s="109"/>
    </row>
    <row r="26" spans="2:16">
      <c r="B26" s="126" t="s">
        <v>196</v>
      </c>
      <c r="C26" s="239"/>
      <c r="D26" s="109"/>
      <c r="E26" s="109"/>
      <c r="F26" s="109"/>
      <c r="G26" s="109"/>
      <c r="H26" s="109"/>
      <c r="I26" s="109"/>
      <c r="J26" s="109"/>
      <c r="K26" s="109"/>
      <c r="L26" s="109"/>
      <c r="M26" s="109"/>
      <c r="N26" s="109"/>
      <c r="O26" s="109"/>
      <c r="P26" s="109"/>
    </row>
    <row r="27" spans="2:16">
      <c r="B27" s="127" t="s">
        <v>197</v>
      </c>
      <c r="C27" s="239" t="s">
        <v>48</v>
      </c>
      <c r="D27" s="252">
        <f t="array" ref="D27:H27">TRANSPOSE(CONE_Calculations!H107:H111)</f>
        <v>247.39784675767365</v>
      </c>
      <c r="E27" s="252">
        <v>240.89640008592897</v>
      </c>
      <c r="F27" s="252">
        <v>238.35200004355173</v>
      </c>
      <c r="G27" s="252">
        <v>241.51702159614987</v>
      </c>
      <c r="H27" s="252" t="e">
        <v>#N/A</v>
      </c>
      <c r="I27" s="109"/>
      <c r="J27" s="109"/>
      <c r="K27" s="109"/>
      <c r="L27" s="109"/>
      <c r="M27" s="109"/>
      <c r="N27" s="109"/>
      <c r="O27" s="109"/>
      <c r="P27" s="247"/>
    </row>
    <row r="28" spans="2:16" ht="5.25" customHeight="1" thickBot="1">
      <c r="B28" s="240"/>
      <c r="C28" s="241"/>
      <c r="D28" s="240"/>
      <c r="E28" s="240"/>
      <c r="F28" s="240"/>
      <c r="G28" s="240"/>
      <c r="H28" s="240"/>
      <c r="I28" s="109"/>
      <c r="J28" s="109"/>
      <c r="K28" s="109"/>
      <c r="L28" s="109"/>
      <c r="M28" s="109"/>
      <c r="N28" s="109"/>
      <c r="O28" s="109"/>
      <c r="P28" s="109"/>
    </row>
    <row r="29" spans="2:16" ht="6.75" customHeight="1" thickTop="1">
      <c r="B29" s="109"/>
      <c r="C29" s="239"/>
      <c r="D29" s="109"/>
      <c r="E29" s="109"/>
      <c r="F29" s="109"/>
      <c r="G29" s="109"/>
      <c r="H29" s="109"/>
      <c r="I29" s="109"/>
      <c r="J29" s="109"/>
      <c r="K29" s="109"/>
      <c r="L29" s="109"/>
      <c r="M29" s="109"/>
      <c r="N29" s="109"/>
      <c r="O29" s="109"/>
      <c r="P29" s="109"/>
    </row>
    <row r="30" spans="2:16" ht="1.5" customHeight="1">
      <c r="B30" s="109"/>
      <c r="C30" s="239"/>
      <c r="D30" s="109"/>
      <c r="E30" s="109"/>
      <c r="F30" s="109"/>
      <c r="G30" s="109"/>
      <c r="H30" s="109"/>
      <c r="I30" s="109"/>
      <c r="J30" s="109"/>
      <c r="K30" s="109"/>
      <c r="L30" s="109"/>
      <c r="M30" s="109"/>
      <c r="N30" s="109"/>
      <c r="O30" s="109"/>
      <c r="P30" s="109"/>
    </row>
  </sheetData>
  <printOptions horizontalCentered="1"/>
  <pageMargins left="0.25" right="0.25" top="0.33" bottom="0.19" header="0.3" footer="0.3"/>
  <pageSetup paperSize="17" orientation="landscape" r:id="rId1"/>
  <headerFooter>
    <oddHeader>&amp;RDRAFT - Privileged and Confidential
Prepared at the Request of Counsel</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I29"/>
  <sheetViews>
    <sheetView showGridLines="0" view="pageBreakPreview" zoomScaleNormal="85" zoomScaleSheetLayoutView="100" workbookViewId="0">
      <selection activeCell="E38" sqref="E38"/>
    </sheetView>
  </sheetViews>
  <sheetFormatPr defaultColWidth="9.140625" defaultRowHeight="15" outlineLevelRow="1" outlineLevelCol="1"/>
  <cols>
    <col min="1" max="1" width="2.85546875" style="104" customWidth="1"/>
    <col min="2" max="2" width="21.5703125" style="104" customWidth="1"/>
    <col min="3" max="3" width="9.42578125" style="104" customWidth="1"/>
    <col min="4" max="7" width="10.7109375" style="104" customWidth="1"/>
    <col min="8" max="8" width="10.7109375" style="104" hidden="1" customWidth="1" outlineLevel="1"/>
    <col min="9" max="9" width="2.140625" style="104" customWidth="1" collapsed="1"/>
    <col min="10" max="16384" width="9.140625" style="104"/>
  </cols>
  <sheetData>
    <row r="1" spans="2:9" outlineLevel="1">
      <c r="B1" s="109"/>
      <c r="C1" s="208" t="s">
        <v>162</v>
      </c>
      <c r="D1" s="242">
        <f>INDEX('Cost Assumptions'!$H$17:$K$17,1,MATCH(D$8&amp;"_CC",'Cost Assumptions'!$H$1:$K$1,0))</f>
        <v>1170.73</v>
      </c>
      <c r="E1" s="242">
        <f>INDEX('Cost Assumptions'!$H$17:$K$17,1,MATCH(E$8&amp;"_CC",'Cost Assumptions'!$H$1:$K$1,0))</f>
        <v>1173.6579999999999</v>
      </c>
      <c r="F1" s="242">
        <f>INDEX('Cost Assumptions'!$H$17:$K$17,1,MATCH(F$8&amp;"_CC",'Cost Assumptions'!$H$1:$K$1,0))</f>
        <v>1144.0940000000001</v>
      </c>
      <c r="G1" s="242">
        <f>INDEX('Cost Assumptions'!$H$17:$K$17,1,MATCH(G$8&amp;"_CC",'Cost Assumptions'!$H$1:$K$1,0))</f>
        <v>1133.424</v>
      </c>
      <c r="H1" s="242"/>
      <c r="I1" s="109"/>
    </row>
    <row r="2" spans="2:9" ht="18" customHeight="1">
      <c r="B2" s="109"/>
      <c r="C2" s="109"/>
      <c r="D2" s="109"/>
      <c r="E2" s="109"/>
      <c r="F2" s="109"/>
      <c r="G2" s="109"/>
      <c r="H2" s="109"/>
      <c r="I2" s="109"/>
    </row>
    <row r="3" spans="2:9" ht="4.5" customHeight="1">
      <c r="B3" s="109"/>
      <c r="C3" s="109"/>
      <c r="D3" s="109"/>
      <c r="E3" s="109"/>
      <c r="F3" s="109"/>
      <c r="G3" s="109"/>
      <c r="H3" s="109"/>
      <c r="I3" s="109"/>
    </row>
    <row r="4" spans="2:9" ht="18.75">
      <c r="B4" s="243" t="s">
        <v>568</v>
      </c>
      <c r="C4" s="244"/>
      <c r="D4" s="244"/>
      <c r="E4" s="244"/>
      <c r="F4" s="244"/>
      <c r="G4" s="244"/>
      <c r="H4" s="244"/>
      <c r="I4" s="109"/>
    </row>
    <row r="5" spans="2:9" ht="6.75" customHeight="1" thickBot="1">
      <c r="B5" s="132"/>
      <c r="C5" s="220"/>
      <c r="D5" s="220"/>
      <c r="E5" s="220"/>
      <c r="F5" s="220"/>
      <c r="G5" s="220"/>
      <c r="H5" s="220"/>
      <c r="I5" s="109"/>
    </row>
    <row r="6" spans="2:9" ht="6.75" customHeight="1" thickTop="1">
      <c r="B6" s="133"/>
      <c r="C6" s="221"/>
      <c r="D6" s="221"/>
      <c r="E6" s="221"/>
      <c r="F6" s="221"/>
      <c r="G6" s="221"/>
      <c r="H6" s="221"/>
      <c r="I6" s="109"/>
    </row>
    <row r="7" spans="2:9">
      <c r="B7" s="109"/>
      <c r="C7" s="109"/>
      <c r="D7" s="222"/>
      <c r="E7" s="223"/>
      <c r="F7" s="222" t="s">
        <v>189</v>
      </c>
      <c r="G7" s="223"/>
      <c r="H7" s="223"/>
      <c r="I7" s="109"/>
    </row>
    <row r="8" spans="2:9">
      <c r="B8" s="129"/>
      <c r="C8" s="129"/>
      <c r="D8" s="224">
        <v>1</v>
      </c>
      <c r="E8" s="224">
        <v>2</v>
      </c>
      <c r="F8" s="224">
        <v>3</v>
      </c>
      <c r="G8" s="224">
        <v>4</v>
      </c>
      <c r="H8" s="224">
        <v>5</v>
      </c>
      <c r="I8" s="109"/>
    </row>
    <row r="9" spans="2:9">
      <c r="B9" s="130" t="s">
        <v>314</v>
      </c>
      <c r="C9" s="129"/>
      <c r="D9" s="224" t="s">
        <v>120</v>
      </c>
      <c r="E9" s="224" t="s">
        <v>121</v>
      </c>
      <c r="F9" s="224" t="s">
        <v>185</v>
      </c>
      <c r="G9" s="224" t="s">
        <v>122</v>
      </c>
      <c r="H9" s="224" t="s">
        <v>112</v>
      </c>
      <c r="I9" s="109"/>
    </row>
    <row r="10" spans="2:9" ht="5.25" customHeight="1">
      <c r="B10" s="131"/>
      <c r="C10" s="131"/>
      <c r="D10" s="223"/>
      <c r="E10" s="223"/>
      <c r="F10" s="223"/>
      <c r="G10" s="223"/>
      <c r="H10" s="223"/>
      <c r="I10" s="109"/>
    </row>
    <row r="11" spans="2:9" ht="5.25" customHeight="1">
      <c r="B11" s="129"/>
      <c r="C11" s="129"/>
      <c r="D11" s="224"/>
      <c r="E11" s="224"/>
      <c r="F11" s="224"/>
      <c r="G11" s="224"/>
      <c r="H11" s="224"/>
      <c r="I11" s="109"/>
    </row>
    <row r="12" spans="2:9">
      <c r="B12" s="130" t="s">
        <v>190</v>
      </c>
      <c r="C12" s="206"/>
      <c r="D12" s="224"/>
      <c r="E12" s="224"/>
      <c r="F12" s="224"/>
      <c r="G12" s="224"/>
      <c r="H12" s="224"/>
      <c r="I12" s="109"/>
    </row>
    <row r="13" spans="2:9">
      <c r="B13" s="128" t="s">
        <v>191</v>
      </c>
      <c r="C13" s="235" t="s">
        <v>46</v>
      </c>
      <c r="D13" s="246">
        <f t="array" ref="D13:H13">TRANSPOSE(CONE_Calculations!F107:F111)</f>
        <v>327.58205316634218</v>
      </c>
      <c r="E13" s="246">
        <v>312.35852472928639</v>
      </c>
      <c r="F13" s="246">
        <v>315.65740344298575</v>
      </c>
      <c r="G13" s="246">
        <v>320.99251773157766</v>
      </c>
      <c r="H13" s="246" t="e">
        <v>#N/A</v>
      </c>
      <c r="I13" s="109"/>
    </row>
    <row r="14" spans="2:9">
      <c r="B14" s="128" t="s">
        <v>192</v>
      </c>
      <c r="C14" s="235" t="s">
        <v>46</v>
      </c>
      <c r="D14" s="246">
        <f t="array" ref="D14:H14">TRANSPOSE(CONE_Calculations!$G$107:$G$111)</f>
        <v>345.09237326728731</v>
      </c>
      <c r="E14" s="246">
        <v>329.19436508127995</v>
      </c>
      <c r="F14" s="246">
        <v>332.59570248430032</v>
      </c>
      <c r="G14" s="246">
        <v>338.21710108067049</v>
      </c>
      <c r="H14" s="246" t="e">
        <v>#N/A</v>
      </c>
      <c r="I14" s="109"/>
    </row>
    <row r="15" spans="2:9">
      <c r="B15" s="134" t="s">
        <v>193</v>
      </c>
      <c r="C15" s="235" t="s">
        <v>49</v>
      </c>
      <c r="D15" s="248">
        <f ca="1">'O&amp;M Costs_2026$'!K30/1000000</f>
        <v>36.826367326893418</v>
      </c>
      <c r="E15" s="248">
        <f ca="1">'O&amp;M Costs_2026$'!L30/1000000</f>
        <v>52.643680580230658</v>
      </c>
      <c r="F15" s="248">
        <f ca="1">'O&amp;M Costs_2026$'!M30/1000000</f>
        <v>46.75445923015608</v>
      </c>
      <c r="G15" s="248">
        <f ca="1">'O&amp;M Costs_2026$'!N30/1000000</f>
        <v>38.77833954256463</v>
      </c>
      <c r="H15" s="248"/>
      <c r="I15" s="109"/>
    </row>
    <row r="16" spans="2:9" ht="6.75" customHeight="1">
      <c r="B16" s="134"/>
      <c r="C16" s="235"/>
      <c r="D16" s="224"/>
      <c r="E16" s="224"/>
      <c r="F16" s="224"/>
      <c r="G16" s="224"/>
      <c r="H16" s="224"/>
      <c r="I16" s="109"/>
    </row>
    <row r="17" spans="2:9">
      <c r="B17" s="135" t="s">
        <v>109</v>
      </c>
      <c r="C17" s="235" t="s">
        <v>108</v>
      </c>
      <c r="D17" s="248">
        <f>D1</f>
        <v>1170.73</v>
      </c>
      <c r="E17" s="249">
        <f>E1</f>
        <v>1173.6579999999999</v>
      </c>
      <c r="F17" s="249">
        <f>F1</f>
        <v>1144.0940000000001</v>
      </c>
      <c r="G17" s="249">
        <f>G1</f>
        <v>1133.424</v>
      </c>
      <c r="H17" s="249"/>
      <c r="I17" s="109"/>
    </row>
    <row r="18" spans="2:9" ht="5.25" customHeight="1">
      <c r="B18" s="136"/>
      <c r="C18" s="235"/>
      <c r="D18" s="224"/>
      <c r="E18" s="224"/>
      <c r="F18" s="224"/>
      <c r="G18" s="224"/>
      <c r="H18" s="224"/>
      <c r="I18" s="109"/>
    </row>
    <row r="19" spans="2:9">
      <c r="B19" s="135" t="s">
        <v>194</v>
      </c>
      <c r="C19" s="235"/>
      <c r="D19" s="224"/>
      <c r="E19" s="224"/>
      <c r="F19" s="224"/>
      <c r="G19" s="224"/>
      <c r="H19" s="224"/>
      <c r="I19" s="109"/>
    </row>
    <row r="20" spans="2:9">
      <c r="B20" s="128" t="s">
        <v>191</v>
      </c>
      <c r="C20" s="235" t="s">
        <v>110</v>
      </c>
      <c r="D20" s="248">
        <f t="shared" ref="D20:G22" si="0">D13*1000/D$17</f>
        <v>279.81007846928173</v>
      </c>
      <c r="E20" s="248">
        <f t="shared" si="0"/>
        <v>266.14100933090083</v>
      </c>
      <c r="F20" s="248">
        <f t="shared" si="0"/>
        <v>275.90163346978983</v>
      </c>
      <c r="G20" s="248">
        <f t="shared" si="0"/>
        <v>283.20603563324732</v>
      </c>
      <c r="H20" s="248"/>
      <c r="I20" s="109"/>
    </row>
    <row r="21" spans="2:9">
      <c r="B21" s="253" t="s">
        <v>312</v>
      </c>
      <c r="C21" s="235" t="s">
        <v>110</v>
      </c>
      <c r="D21" s="248">
        <f t="shared" si="0"/>
        <v>294.76683203410465</v>
      </c>
      <c r="E21" s="248">
        <f t="shared" si="0"/>
        <v>280.48576764379402</v>
      </c>
      <c r="F21" s="248">
        <f t="shared" si="0"/>
        <v>290.70662243163611</v>
      </c>
      <c r="G21" s="248">
        <f t="shared" si="0"/>
        <v>298.40298165617679</v>
      </c>
      <c r="H21" s="248"/>
      <c r="I21" s="109"/>
    </row>
    <row r="22" spans="2:9">
      <c r="B22" s="254" t="s">
        <v>193</v>
      </c>
      <c r="C22" s="235" t="s">
        <v>48</v>
      </c>
      <c r="D22" s="248">
        <f ca="1">D15*1000/D$17</f>
        <v>31.455901298244189</v>
      </c>
      <c r="E22" s="248">
        <f t="shared" ca="1" si="0"/>
        <v>44.854361815989549</v>
      </c>
      <c r="F22" s="248">
        <f t="shared" ca="1" si="0"/>
        <v>40.865924679402283</v>
      </c>
      <c r="G22" s="248">
        <f t="shared" ca="1" si="0"/>
        <v>34.213444873731838</v>
      </c>
      <c r="H22" s="248"/>
      <c r="I22" s="109"/>
    </row>
    <row r="23" spans="2:9" ht="6.75" customHeight="1">
      <c r="B23" s="130"/>
      <c r="C23" s="206"/>
      <c r="D23" s="224"/>
      <c r="E23" s="224"/>
      <c r="F23" s="224"/>
      <c r="G23" s="224"/>
      <c r="H23" s="224"/>
      <c r="I23" s="109"/>
    </row>
    <row r="24" spans="2:9">
      <c r="B24" s="130" t="s">
        <v>195</v>
      </c>
      <c r="C24" s="250" t="s">
        <v>96</v>
      </c>
      <c r="D24" s="251">
        <f t="array" ref="D24:H24">TRANSPOSE(CONE_Calculations!K107:K111)</f>
        <v>7.9273027499999996E-2</v>
      </c>
      <c r="E24" s="251">
        <v>7.9936726250000006E-2</v>
      </c>
      <c r="F24" s="251">
        <v>7.9581392149999999E-2</v>
      </c>
      <c r="G24" s="251">
        <v>7.9581392149999999E-2</v>
      </c>
      <c r="H24" s="251" t="e">
        <v>#N/A</v>
      </c>
      <c r="I24" s="109"/>
    </row>
    <row r="25" spans="2:9" ht="5.25" customHeight="1">
      <c r="B25" s="109"/>
      <c r="C25" s="239"/>
      <c r="D25" s="109"/>
      <c r="E25" s="109"/>
      <c r="F25" s="109"/>
      <c r="G25" s="109"/>
      <c r="H25" s="109"/>
      <c r="I25" s="109"/>
    </row>
    <row r="26" spans="2:9">
      <c r="B26" s="126" t="s">
        <v>196</v>
      </c>
      <c r="C26" s="239"/>
      <c r="D26" s="109"/>
      <c r="E26" s="236"/>
      <c r="F26" s="109"/>
      <c r="G26" s="109"/>
      <c r="H26" s="109"/>
      <c r="I26" s="109"/>
    </row>
    <row r="27" spans="2:9">
      <c r="B27" s="127" t="s">
        <v>197</v>
      </c>
      <c r="C27" s="239" t="s">
        <v>48</v>
      </c>
      <c r="D27" s="252">
        <f t="array" ref="D27:H27">TRANSPOSE(CONE_Calculations!$H$107:$H$111)</f>
        <v>247.39784675767365</v>
      </c>
      <c r="E27" s="252">
        <v>240.89640008592897</v>
      </c>
      <c r="F27" s="252">
        <v>238.35200004355173</v>
      </c>
      <c r="G27" s="252">
        <v>241.51702159614987</v>
      </c>
      <c r="H27" s="252" t="e">
        <v>#N/A</v>
      </c>
      <c r="I27" s="109"/>
    </row>
    <row r="28" spans="2:9" ht="6" customHeight="1" thickBot="1">
      <c r="B28" s="240"/>
      <c r="C28" s="241"/>
      <c r="D28" s="240"/>
      <c r="E28" s="240"/>
      <c r="F28" s="240"/>
      <c r="G28" s="240"/>
      <c r="H28" s="240"/>
      <c r="I28" s="109"/>
    </row>
    <row r="29" spans="2:9" ht="6.75" customHeight="1" thickTop="1">
      <c r="B29" s="109"/>
      <c r="C29" s="239"/>
      <c r="D29" s="109"/>
      <c r="E29" s="109"/>
      <c r="F29" s="109"/>
      <c r="G29" s="109"/>
      <c r="H29" s="109"/>
      <c r="I29" s="109"/>
    </row>
  </sheetData>
  <printOptions horizontalCentered="1"/>
  <pageMargins left="0.25" right="0.25" top="0.28999999999999998" bottom="0.19" header="0.3" footer="0.3"/>
  <pageSetup paperSize="17" orientation="landscape" r:id="rId1"/>
  <headerFooter>
    <oddHeader>&amp;RDRAFT - Privileged and Confidential
Prepared at the Request of Counsel</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autoPageBreaks="0"/>
  </sheetPr>
  <dimension ref="B1:I29"/>
  <sheetViews>
    <sheetView view="pageBreakPreview" zoomScaleNormal="100" zoomScaleSheetLayoutView="100" workbookViewId="0">
      <selection activeCell="K20" sqref="K20"/>
    </sheetView>
  </sheetViews>
  <sheetFormatPr defaultColWidth="9.140625" defaultRowHeight="15" outlineLevelRow="1" outlineLevelCol="1"/>
  <cols>
    <col min="1" max="1" width="2.85546875" style="104" customWidth="1"/>
    <col min="2" max="2" width="21.5703125" style="104" customWidth="1"/>
    <col min="3" max="3" width="9.42578125" style="104" customWidth="1"/>
    <col min="4" max="7" width="10.7109375" style="104" customWidth="1"/>
    <col min="8" max="8" width="10.7109375" style="104" hidden="1" customWidth="1" outlineLevel="1"/>
    <col min="9" max="9" width="2.140625" style="104" customWidth="1" collapsed="1"/>
    <col min="10" max="16384" width="9.140625" style="104"/>
  </cols>
  <sheetData>
    <row r="1" spans="2:9" outlineLevel="1">
      <c r="B1" s="109"/>
      <c r="C1" s="208" t="s">
        <v>707</v>
      </c>
      <c r="D1" s="242">
        <f>INDEX('Cost Assumptions BESS'!$D$13:$G$13, MATCH('BESS CONE Results'!D$8&amp;"_BESS", 'Cost Assumptions BESS'!$D$1:$G$1, 0))</f>
        <v>200</v>
      </c>
      <c r="E1" s="242">
        <f>INDEX('Cost Assumptions BESS'!$D$13:$G$13, MATCH('BESS CONE Results'!E$8&amp;"_BESS", 'Cost Assumptions BESS'!$D$1:$G$1, 0))</f>
        <v>200</v>
      </c>
      <c r="F1" s="242">
        <f>INDEX('Cost Assumptions BESS'!$D$13:$G$13, MATCH('BESS CONE Results'!F$8&amp;"_BESS", 'Cost Assumptions BESS'!$D$1:$G$1, 0))</f>
        <v>200</v>
      </c>
      <c r="G1" s="242">
        <f>INDEX('Cost Assumptions BESS'!$D$13:$G$13, MATCH('BESS CONE Results'!G$8&amp;"_BESS", 'Cost Assumptions BESS'!$D$1:$G$1, 0))</f>
        <v>200</v>
      </c>
      <c r="H1" s="242"/>
      <c r="I1" s="109"/>
    </row>
    <row r="2" spans="2:9" ht="18" customHeight="1">
      <c r="B2" s="109"/>
      <c r="C2" s="109"/>
      <c r="D2" s="109"/>
      <c r="E2" s="109"/>
      <c r="F2" s="109"/>
      <c r="G2" s="109"/>
      <c r="H2" s="109"/>
      <c r="I2" s="109"/>
    </row>
    <row r="3" spans="2:9" ht="4.5" customHeight="1">
      <c r="B3" s="109"/>
      <c r="C3" s="109"/>
      <c r="D3" s="109"/>
      <c r="E3" s="109"/>
      <c r="F3" s="109"/>
      <c r="G3" s="109"/>
      <c r="H3" s="109"/>
      <c r="I3" s="109"/>
    </row>
    <row r="4" spans="2:9" ht="18.75">
      <c r="B4" s="243" t="s">
        <v>706</v>
      </c>
      <c r="C4" s="244"/>
      <c r="D4" s="244"/>
      <c r="E4" s="244"/>
      <c r="F4" s="244"/>
      <c r="G4" s="244"/>
      <c r="H4" s="244"/>
      <c r="I4" s="109"/>
    </row>
    <row r="5" spans="2:9" ht="6.75" customHeight="1" thickBot="1">
      <c r="B5" s="132"/>
      <c r="C5" s="220"/>
      <c r="D5" s="220"/>
      <c r="E5" s="220"/>
      <c r="F5" s="220"/>
      <c r="G5" s="220"/>
      <c r="H5" s="220"/>
      <c r="I5" s="109"/>
    </row>
    <row r="6" spans="2:9" ht="6.75" customHeight="1" thickTop="1">
      <c r="B6" s="133"/>
      <c r="C6" s="221"/>
      <c r="D6" s="221"/>
      <c r="E6" s="221"/>
      <c r="F6" s="221"/>
      <c r="G6" s="221"/>
      <c r="H6" s="221"/>
      <c r="I6" s="109"/>
    </row>
    <row r="7" spans="2:9">
      <c r="B7" s="109"/>
      <c r="C7" s="109"/>
      <c r="D7" s="222"/>
      <c r="E7" s="223"/>
      <c r="F7" s="222" t="s">
        <v>189</v>
      </c>
      <c r="G7" s="223"/>
      <c r="H7" s="223"/>
      <c r="I7" s="109"/>
    </row>
    <row r="8" spans="2:9">
      <c r="B8" s="129"/>
      <c r="C8" s="129"/>
      <c r="D8" s="224">
        <v>1</v>
      </c>
      <c r="E8" s="224">
        <v>2</v>
      </c>
      <c r="F8" s="224">
        <v>3</v>
      </c>
      <c r="G8" s="224">
        <v>4</v>
      </c>
      <c r="H8" s="224">
        <v>5</v>
      </c>
      <c r="I8" s="109"/>
    </row>
    <row r="9" spans="2:9">
      <c r="B9" s="130" t="s">
        <v>314</v>
      </c>
      <c r="C9" s="129"/>
      <c r="D9" s="224" t="s">
        <v>120</v>
      </c>
      <c r="E9" s="224" t="s">
        <v>121</v>
      </c>
      <c r="F9" s="224" t="s">
        <v>185</v>
      </c>
      <c r="G9" s="224" t="s">
        <v>122</v>
      </c>
      <c r="H9" s="224" t="s">
        <v>112</v>
      </c>
      <c r="I9" s="109"/>
    </row>
    <row r="10" spans="2:9" ht="5.25" customHeight="1">
      <c r="B10" s="131"/>
      <c r="C10" s="131"/>
      <c r="D10" s="223"/>
      <c r="E10" s="223"/>
      <c r="F10" s="223"/>
      <c r="G10" s="223"/>
      <c r="H10" s="223"/>
      <c r="I10" s="109"/>
    </row>
    <row r="11" spans="2:9" ht="5.25" customHeight="1">
      <c r="B11" s="129"/>
      <c r="C11" s="129"/>
      <c r="D11" s="224"/>
      <c r="E11" s="224"/>
      <c r="F11" s="224"/>
      <c r="G11" s="224"/>
      <c r="H11" s="224"/>
      <c r="I11" s="109"/>
    </row>
    <row r="12" spans="2:9">
      <c r="B12" s="130" t="s">
        <v>190</v>
      </c>
      <c r="C12" s="206"/>
      <c r="D12" s="224"/>
      <c r="E12" s="224"/>
      <c r="F12" s="224"/>
      <c r="G12" s="224"/>
      <c r="H12" s="224"/>
      <c r="I12" s="109"/>
    </row>
    <row r="13" spans="2:9">
      <c r="B13" s="128" t="s">
        <v>191</v>
      </c>
      <c r="C13" s="235" t="s">
        <v>46</v>
      </c>
      <c r="D13" s="246">
        <f t="array" ref="D13:H13">TRANSPOSE(CONE_Calculations!F107:F111)</f>
        <v>327.58205316634218</v>
      </c>
      <c r="E13" s="246">
        <v>312.35852472928639</v>
      </c>
      <c r="F13" s="246">
        <v>315.65740344298575</v>
      </c>
      <c r="G13" s="246">
        <v>320.99251773157766</v>
      </c>
      <c r="H13" s="246" t="e">
        <v>#N/A</v>
      </c>
      <c r="I13" s="109"/>
    </row>
    <row r="14" spans="2:9">
      <c r="B14" s="128" t="s">
        <v>192</v>
      </c>
      <c r="C14" s="235" t="s">
        <v>46</v>
      </c>
      <c r="D14" s="246">
        <f t="array" ref="D14:H14">TRANSPOSE(CONE_Calculations!$G$107:$G$111)</f>
        <v>345.09237326728731</v>
      </c>
      <c r="E14" s="246">
        <v>329.19436508127995</v>
      </c>
      <c r="F14" s="246">
        <v>332.59570248430032</v>
      </c>
      <c r="G14" s="246">
        <v>338.21710108067049</v>
      </c>
      <c r="H14" s="246" t="e">
        <v>#N/A</v>
      </c>
      <c r="I14" s="109"/>
    </row>
    <row r="15" spans="2:9">
      <c r="B15" s="134" t="s">
        <v>193</v>
      </c>
      <c r="C15" s="235" t="s">
        <v>49</v>
      </c>
      <c r="D15" s="248">
        <f>'BESS_O&amp;M Costs_2026$'!G31/1000000</f>
        <v>7.0620000000000003</v>
      </c>
      <c r="E15" s="248">
        <f>'BESS_O&amp;M Costs_2026$'!H31/1000000</f>
        <v>8.9610000000000003</v>
      </c>
      <c r="F15" s="248">
        <f ca="1">'BESS_O&amp;M Costs_2026$'!I31/1000000</f>
        <v>6.7110000000000003</v>
      </c>
      <c r="G15" s="248">
        <f>'BESS_O&amp;M Costs_2026$'!J31/1000000</f>
        <v>6.7460000000000004</v>
      </c>
      <c r="H15" s="248"/>
      <c r="I15" s="109"/>
    </row>
    <row r="16" spans="2:9" ht="6.75" customHeight="1">
      <c r="B16" s="134"/>
      <c r="C16" s="235"/>
      <c r="D16" s="224"/>
      <c r="E16" s="224"/>
      <c r="F16" s="224"/>
      <c r="G16" s="224"/>
      <c r="H16" s="224"/>
      <c r="I16" s="109"/>
    </row>
    <row r="17" spans="2:9">
      <c r="B17" s="135" t="s">
        <v>109</v>
      </c>
      <c r="C17" s="235" t="s">
        <v>108</v>
      </c>
      <c r="D17" s="248">
        <f>D1</f>
        <v>200</v>
      </c>
      <c r="E17" s="249">
        <f>E1</f>
        <v>200</v>
      </c>
      <c r="F17" s="249">
        <f>F1</f>
        <v>200</v>
      </c>
      <c r="G17" s="249">
        <f>G1</f>
        <v>200</v>
      </c>
      <c r="H17" s="249"/>
      <c r="I17" s="109"/>
    </row>
    <row r="18" spans="2:9" ht="5.25" customHeight="1">
      <c r="B18" s="136"/>
      <c r="C18" s="235"/>
      <c r="D18" s="224"/>
      <c r="E18" s="224"/>
      <c r="F18" s="224"/>
      <c r="G18" s="224"/>
      <c r="H18" s="224"/>
      <c r="I18" s="109"/>
    </row>
    <row r="19" spans="2:9">
      <c r="B19" s="135" t="s">
        <v>194</v>
      </c>
      <c r="C19" s="235"/>
      <c r="D19" s="224"/>
      <c r="E19" s="224"/>
      <c r="F19" s="224"/>
      <c r="G19" s="224"/>
      <c r="H19" s="224"/>
      <c r="I19" s="109"/>
    </row>
    <row r="20" spans="2:9">
      <c r="B20" s="128" t="s">
        <v>191</v>
      </c>
      <c r="C20" s="235" t="s">
        <v>110</v>
      </c>
      <c r="D20" s="248">
        <f t="shared" ref="D20:G22" si="0">D13*1000/D$17</f>
        <v>1637.9102658317111</v>
      </c>
      <c r="E20" s="248">
        <f t="shared" si="0"/>
        <v>1561.7926236464318</v>
      </c>
      <c r="F20" s="248">
        <f t="shared" si="0"/>
        <v>1578.2870172149287</v>
      </c>
      <c r="G20" s="248">
        <f t="shared" si="0"/>
        <v>1604.9625886578883</v>
      </c>
      <c r="H20" s="248"/>
      <c r="I20" s="109"/>
    </row>
    <row r="21" spans="2:9">
      <c r="B21" s="253" t="s">
        <v>312</v>
      </c>
      <c r="C21" s="235" t="s">
        <v>110</v>
      </c>
      <c r="D21" s="248">
        <f t="shared" si="0"/>
        <v>1725.4618663364367</v>
      </c>
      <c r="E21" s="248">
        <f t="shared" si="0"/>
        <v>1645.9718254063998</v>
      </c>
      <c r="F21" s="248">
        <f t="shared" si="0"/>
        <v>1662.9785124215016</v>
      </c>
      <c r="G21" s="248">
        <f t="shared" si="0"/>
        <v>1691.0855054033525</v>
      </c>
      <c r="H21" s="248"/>
      <c r="I21" s="109"/>
    </row>
    <row r="22" spans="2:9">
      <c r="B22" s="254" t="s">
        <v>193</v>
      </c>
      <c r="C22" s="235" t="s">
        <v>48</v>
      </c>
      <c r="D22" s="248">
        <f>D15*1000/D$17</f>
        <v>35.31</v>
      </c>
      <c r="E22" s="248">
        <f t="shared" si="0"/>
        <v>44.805</v>
      </c>
      <c r="F22" s="248">
        <f t="shared" ca="1" si="0"/>
        <v>33.555</v>
      </c>
      <c r="G22" s="248">
        <f t="shared" si="0"/>
        <v>33.729999999999997</v>
      </c>
      <c r="H22" s="248"/>
      <c r="I22" s="109"/>
    </row>
    <row r="23" spans="2:9" ht="6.75" customHeight="1">
      <c r="B23" s="130"/>
      <c r="C23" s="206"/>
      <c r="D23" s="224"/>
      <c r="E23" s="224"/>
      <c r="F23" s="224"/>
      <c r="G23" s="224"/>
      <c r="H23" s="224"/>
      <c r="I23" s="109"/>
    </row>
    <row r="24" spans="2:9">
      <c r="B24" s="130" t="s">
        <v>195</v>
      </c>
      <c r="C24" s="250" t="s">
        <v>96</v>
      </c>
      <c r="D24" s="251">
        <f t="array" ref="D24:H24">TRANSPOSE(CONE_Calculations!K107:K111)</f>
        <v>7.9273027499999996E-2</v>
      </c>
      <c r="E24" s="251">
        <v>7.9936726250000006E-2</v>
      </c>
      <c r="F24" s="251">
        <v>7.9581392149999999E-2</v>
      </c>
      <c r="G24" s="251">
        <v>7.9581392149999999E-2</v>
      </c>
      <c r="H24" s="251" t="e">
        <v>#N/A</v>
      </c>
      <c r="I24" s="109"/>
    </row>
    <row r="25" spans="2:9" ht="5.25" customHeight="1">
      <c r="B25" s="109"/>
      <c r="C25" s="239"/>
      <c r="D25" s="109"/>
      <c r="E25" s="109"/>
      <c r="F25" s="109"/>
      <c r="G25" s="109"/>
      <c r="H25" s="109"/>
      <c r="I25" s="109"/>
    </row>
    <row r="26" spans="2:9">
      <c r="B26" s="126" t="s">
        <v>196</v>
      </c>
      <c r="C26" s="239"/>
      <c r="D26" s="109"/>
      <c r="E26" s="236"/>
      <c r="F26" s="109"/>
      <c r="G26" s="109"/>
      <c r="H26" s="109"/>
      <c r="I26" s="109"/>
    </row>
    <row r="27" spans="2:9">
      <c r="B27" s="127" t="s">
        <v>197</v>
      </c>
      <c r="C27" s="239" t="s">
        <v>48</v>
      </c>
      <c r="D27" s="252">
        <f t="array" ref="D27:H27">TRANSPOSE(CONE_Calculations!$H$107:$H$111)</f>
        <v>247.39784675767365</v>
      </c>
      <c r="E27" s="252">
        <v>240.89640008592897</v>
      </c>
      <c r="F27" s="252">
        <v>238.35200004355173</v>
      </c>
      <c r="G27" s="252">
        <v>241.51702159614987</v>
      </c>
      <c r="H27" s="252" t="e">
        <v>#N/A</v>
      </c>
      <c r="I27" s="109"/>
    </row>
    <row r="28" spans="2:9" ht="6" customHeight="1" thickBot="1">
      <c r="B28" s="240"/>
      <c r="C28" s="241"/>
      <c r="D28" s="240"/>
      <c r="E28" s="240"/>
      <c r="F28" s="240"/>
      <c r="G28" s="240"/>
      <c r="H28" s="240"/>
      <c r="I28" s="109"/>
    </row>
    <row r="29" spans="2:9" ht="6.75" customHeight="1" thickTop="1">
      <c r="B29" s="109"/>
      <c r="C29" s="239"/>
      <c r="D29" s="109"/>
      <c r="E29" s="109"/>
      <c r="F29" s="109"/>
      <c r="G29" s="109"/>
      <c r="H29" s="109"/>
      <c r="I29" s="109"/>
    </row>
  </sheetData>
  <printOptions horizontalCentered="1"/>
  <pageMargins left="0.7" right="0.7" top="0.75" bottom="0.75" header="0.3" footer="0.3"/>
  <pageSetup orientation="landscape" horizontalDpi="1200" verticalDpi="1200" r:id="rId1"/>
  <headerFooter scaleWithDoc="0"/>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B1:BC182"/>
  <sheetViews>
    <sheetView tabSelected="1" topLeftCell="A2" zoomScaleNormal="100" zoomScaleSheetLayoutView="85" workbookViewId="0">
      <selection activeCell="G21" sqref="G21"/>
    </sheetView>
  </sheetViews>
  <sheetFormatPr defaultColWidth="8" defaultRowHeight="12.75" outlineLevelRow="1"/>
  <cols>
    <col min="1" max="2" width="3.140625" style="16" customWidth="1"/>
    <col min="3" max="3" width="41.5703125" style="16" customWidth="1"/>
    <col min="4" max="4" width="17.7109375" style="16" customWidth="1"/>
    <col min="5" max="7" width="9.7109375" style="16" customWidth="1"/>
    <col min="8" max="8" width="12.28515625" style="16" bestFit="1" customWidth="1"/>
    <col min="9" max="10" width="9.7109375" style="16" customWidth="1"/>
    <col min="11" max="11" width="19.7109375" style="16" bestFit="1" customWidth="1"/>
    <col min="12" max="12" width="15.7109375" style="16" customWidth="1"/>
    <col min="13" max="13" width="14.42578125" style="16" customWidth="1"/>
    <col min="14" max="14" width="12.7109375" style="16" customWidth="1"/>
    <col min="15" max="15" width="13.28515625" style="16" customWidth="1"/>
    <col min="16" max="54" width="9.7109375" style="16" customWidth="1"/>
    <col min="55" max="16384" width="8" style="16"/>
  </cols>
  <sheetData>
    <row r="1" spans="2:22" hidden="1" outlineLevel="1">
      <c r="D1" s="1023" t="s">
        <v>558</v>
      </c>
      <c r="E1" s="1023">
        <v>2026</v>
      </c>
      <c r="F1" s="1023">
        <v>2027</v>
      </c>
      <c r="G1" s="1023">
        <v>2028</v>
      </c>
    </row>
    <row r="2" spans="2:22" s="1" customFormat="1" ht="16.149999999999999" customHeight="1" collapsed="1"/>
    <row r="3" spans="2:22" s="1" customFormat="1" ht="16.149999999999999" customHeight="1">
      <c r="B3" s="2" t="s">
        <v>0</v>
      </c>
    </row>
    <row r="4" spans="2:22" s="3" customFormat="1" ht="15.75">
      <c r="B4" s="3">
        <v>1</v>
      </c>
      <c r="C4" s="3" t="s">
        <v>62</v>
      </c>
      <c r="D4" s="5"/>
      <c r="E4" s="5"/>
    </row>
    <row r="5" spans="2:22" s="6" customFormat="1">
      <c r="E5" s="8"/>
      <c r="F5" s="8"/>
      <c r="G5" s="8"/>
      <c r="L5" s="117"/>
      <c r="N5" s="179"/>
      <c r="O5" s="179"/>
      <c r="P5" s="179"/>
      <c r="Q5" s="179"/>
    </row>
    <row r="6" spans="2:22" s="6" customFormat="1">
      <c r="C6" s="6" t="s">
        <v>63</v>
      </c>
      <c r="D6" s="37" t="s">
        <v>700</v>
      </c>
      <c r="E6" s="65" t="s">
        <v>73</v>
      </c>
      <c r="F6" s="65" t="s">
        <v>74</v>
      </c>
      <c r="G6" s="65" t="s">
        <v>700</v>
      </c>
      <c r="H6" s="65"/>
      <c r="I6" s="65"/>
      <c r="J6" s="9"/>
      <c r="K6" s="1936"/>
      <c r="L6" s="1626"/>
      <c r="M6" s="117"/>
      <c r="N6" s="1102"/>
      <c r="O6" s="1102"/>
      <c r="P6" s="1102"/>
      <c r="Q6" s="1102"/>
      <c r="T6" s="180"/>
      <c r="U6" s="180"/>
      <c r="V6" s="180"/>
    </row>
    <row r="7" spans="2:22" s="6" customFormat="1">
      <c r="C7" s="6" t="s">
        <v>64</v>
      </c>
      <c r="D7" s="37">
        <v>1</v>
      </c>
      <c r="E7" s="65">
        <v>1</v>
      </c>
      <c r="F7" s="65">
        <v>2</v>
      </c>
      <c r="G7" s="65">
        <v>3</v>
      </c>
      <c r="H7" s="65">
        <v>4</v>
      </c>
      <c r="I7" s="65"/>
      <c r="J7" s="9"/>
      <c r="K7" s="1936"/>
      <c r="L7" s="1626"/>
      <c r="M7" s="1328"/>
      <c r="N7" s="1104"/>
      <c r="O7" s="1104"/>
      <c r="P7" s="1104"/>
      <c r="Q7" s="1104"/>
      <c r="U7" s="7"/>
      <c r="V7" s="180"/>
    </row>
    <row r="8" spans="2:22" s="6" customFormat="1">
      <c r="C8" s="6" t="s">
        <v>107</v>
      </c>
      <c r="D8" s="183" t="s">
        <v>95</v>
      </c>
      <c r="E8" s="182">
        <f>IF(D8="Level-Real",Inflation,0)</f>
        <v>0</v>
      </c>
      <c r="F8" s="67" t="s">
        <v>94</v>
      </c>
      <c r="G8" s="67" t="s">
        <v>95</v>
      </c>
      <c r="J8" s="9"/>
      <c r="K8" s="9"/>
      <c r="L8" s="1103"/>
      <c r="M8" s="1104"/>
      <c r="N8" s="1104"/>
      <c r="O8" s="1104"/>
      <c r="P8" s="1104"/>
      <c r="Q8" s="1104"/>
    </row>
    <row r="9" spans="2:22" s="6" customFormat="1">
      <c r="D9" s="14"/>
      <c r="E9" s="8"/>
      <c r="F9" s="67"/>
      <c r="G9" s="8"/>
    </row>
    <row r="10" spans="2:22" s="90" customFormat="1">
      <c r="C10" s="91" t="s">
        <v>105</v>
      </c>
      <c r="D10" s="95">
        <f>F54</f>
        <v>247.39784675767365</v>
      </c>
      <c r="E10" s="92"/>
      <c r="F10" s="93"/>
      <c r="G10" s="92"/>
    </row>
    <row r="11" spans="2:22" s="90" customFormat="1">
      <c r="C11" s="91" t="s">
        <v>106</v>
      </c>
      <c r="D11" s="95">
        <f>D10*1000/365</f>
        <v>677.80231988403739</v>
      </c>
      <c r="E11" s="92"/>
      <c r="F11" s="93"/>
      <c r="G11" s="92"/>
    </row>
    <row r="12" spans="2:22" s="6" customFormat="1">
      <c r="D12" s="14"/>
      <c r="E12" s="8"/>
      <c r="F12" s="67"/>
      <c r="G12" s="8"/>
    </row>
    <row r="13" spans="2:22" s="6" customFormat="1" ht="13.5" thickBot="1">
      <c r="C13" s="117" t="s">
        <v>293</v>
      </c>
      <c r="D13" s="96">
        <f>IF(Technology="BESS", INDEX('BESS_Capital Costs_Nominal$'!$H$15:$K$15, 1, MATCH(CONE_Calculations!$E$13, 'BESS_Capital Costs_Nominal$'!$H$1:$K$1, 0)), INDEX('Capital Costs_Nominal$'!$H$15:$O$15,1,MATCH(CONE_Calculations!$E$13,'Capital Costs_Nominal$'!$H$1:$O$1,0)))</f>
        <v>200</v>
      </c>
      <c r="E13" s="65" t="str">
        <f>Region&amp;"_"&amp;IF(Technology="BESS", "BESS", IF(Technology="Single Cycle","CT","CC"))</f>
        <v>1_BESS</v>
      </c>
      <c r="F13" s="65"/>
      <c r="G13" s="65"/>
      <c r="H13" s="65"/>
    </row>
    <row r="14" spans="2:22" s="6" customFormat="1" ht="13.5" thickBot="1">
      <c r="C14" s="15" t="s">
        <v>92</v>
      </c>
      <c r="D14" s="97">
        <f>'Construction Costs'!F32</f>
        <v>345.09237326728731</v>
      </c>
      <c r="E14" s="65"/>
      <c r="G14" s="1077"/>
      <c r="H14" s="1078"/>
      <c r="I14" s="1078"/>
      <c r="J14" s="1079"/>
    </row>
    <row r="15" spans="2:22" s="6" customFormat="1" ht="15.75" thickBot="1">
      <c r="C15" s="15" t="s">
        <v>93</v>
      </c>
      <c r="D15" s="97">
        <f>'Construction Costs'!F33</f>
        <v>333.2525100556125</v>
      </c>
      <c r="E15" s="65"/>
      <c r="G15" s="1080"/>
      <c r="H15" s="1085" t="s">
        <v>564</v>
      </c>
      <c r="I15" s="1086" t="s">
        <v>520</v>
      </c>
      <c r="J15" s="1084"/>
    </row>
    <row r="16" spans="2:22" s="6" customFormat="1" ht="13.5" thickBot="1">
      <c r="C16" s="847" t="s">
        <v>68</v>
      </c>
      <c r="D16" s="1327">
        <f>D14*1000/Plant_Capacity</f>
        <v>1725.4618663364367</v>
      </c>
      <c r="E16" s="12"/>
      <c r="F16" s="8"/>
      <c r="G16" s="1081"/>
      <c r="H16" s="1082"/>
      <c r="I16" s="1082"/>
      <c r="J16" s="1083"/>
    </row>
    <row r="17" spans="2:17" s="6" customFormat="1">
      <c r="C17" s="15" t="s">
        <v>67</v>
      </c>
      <c r="D17" s="1327">
        <f>D15*1000/Plant_Capacity</f>
        <v>1666.2625502780625</v>
      </c>
      <c r="E17" s="12"/>
      <c r="F17" s="8"/>
      <c r="G17" s="117"/>
    </row>
    <row r="18" spans="2:17" s="6" customFormat="1">
      <c r="C18" s="847" t="s">
        <v>463</v>
      </c>
      <c r="D18" s="97">
        <f>overnight_cost</f>
        <v>327.58205316634218</v>
      </c>
      <c r="E18" s="12"/>
      <c r="F18" s="8"/>
      <c r="G18" s="8"/>
      <c r="H18" s="1026"/>
    </row>
    <row r="19" spans="2:17" s="6" customFormat="1">
      <c r="C19" s="847" t="s">
        <v>557</v>
      </c>
      <c r="D19" s="180">
        <v>2026</v>
      </c>
      <c r="E19" s="8"/>
      <c r="F19" s="8"/>
      <c r="G19" s="8"/>
      <c r="H19" s="1026"/>
    </row>
    <row r="20" spans="2:17" s="6" customFormat="1">
      <c r="D20" s="7"/>
      <c r="E20" s="8"/>
      <c r="F20" s="8"/>
      <c r="G20" s="8"/>
      <c r="H20" s="1026"/>
    </row>
    <row r="21" spans="2:17" s="3" customFormat="1" ht="15.75">
      <c r="B21" s="3">
        <v>2</v>
      </c>
      <c r="C21" s="3" t="s">
        <v>1</v>
      </c>
      <c r="D21" s="4"/>
      <c r="E21" s="5"/>
      <c r="F21" s="5"/>
      <c r="G21" s="5"/>
    </row>
    <row r="22" spans="2:17" s="6" customFormat="1">
      <c r="D22" s="7"/>
      <c r="E22" s="8"/>
      <c r="F22" s="8"/>
      <c r="G22" s="8"/>
    </row>
    <row r="23" spans="2:17" s="6" customFormat="1">
      <c r="C23" s="6" t="s">
        <v>2</v>
      </c>
      <c r="D23" s="1614">
        <v>20</v>
      </c>
      <c r="E23" s="8"/>
      <c r="F23" s="8"/>
      <c r="G23" s="8"/>
      <c r="H23" s="117"/>
      <c r="I23" s="117"/>
    </row>
    <row r="24" spans="2:17" s="6" customFormat="1">
      <c r="C24" s="6" t="s">
        <v>3</v>
      </c>
      <c r="D24" s="1615">
        <v>0.55000000000000004</v>
      </c>
      <c r="E24" s="8"/>
      <c r="F24" s="8"/>
      <c r="G24" s="8"/>
      <c r="H24" s="1615"/>
      <c r="I24" s="1615"/>
      <c r="K24" s="1024"/>
      <c r="L24" s="1024"/>
      <c r="M24" s="1024"/>
    </row>
    <row r="25" spans="2:17" s="6" customFormat="1">
      <c r="C25" s="6" t="s">
        <v>4</v>
      </c>
      <c r="D25" s="1615">
        <v>4.7E-2</v>
      </c>
      <c r="E25" s="117"/>
      <c r="F25" s="117"/>
      <c r="G25" s="8"/>
      <c r="H25" s="1615"/>
      <c r="I25" s="1615"/>
      <c r="J25" s="19"/>
      <c r="K25" s="19"/>
      <c r="L25" s="1624"/>
      <c r="M25" s="1625"/>
      <c r="N25" s="19"/>
      <c r="O25" s="19"/>
      <c r="P25" s="19"/>
      <c r="Q25" s="19"/>
    </row>
    <row r="26" spans="2:17" s="6" customFormat="1">
      <c r="C26" s="6" t="s">
        <v>5</v>
      </c>
      <c r="D26" s="1615">
        <v>0.13600000000000001</v>
      </c>
      <c r="E26" s="68"/>
      <c r="F26" s="8"/>
      <c r="G26" s="8"/>
      <c r="H26" s="1615"/>
      <c r="I26" s="1615"/>
      <c r="J26" s="19"/>
      <c r="K26" s="19"/>
      <c r="L26" s="1690"/>
      <c r="M26" s="1691"/>
      <c r="N26" s="1624"/>
      <c r="O26" s="1619"/>
      <c r="P26" s="1619"/>
      <c r="Q26" s="19"/>
    </row>
    <row r="27" spans="2:17" s="6" customFormat="1">
      <c r="C27" s="35" t="s">
        <v>44</v>
      </c>
      <c r="D27" s="1615">
        <v>0.21</v>
      </c>
      <c r="E27" s="8"/>
      <c r="F27" s="216"/>
      <c r="G27" s="8"/>
      <c r="H27" s="1024"/>
      <c r="I27" s="1024"/>
      <c r="J27" s="1024"/>
      <c r="K27" s="1624"/>
      <c r="L27" s="1692"/>
      <c r="M27" s="1691"/>
      <c r="N27" s="1616"/>
      <c r="O27" s="1616"/>
      <c r="P27" s="1616"/>
      <c r="Q27" s="19"/>
    </row>
    <row r="28" spans="2:17" s="6" customFormat="1">
      <c r="C28" s="35" t="s">
        <v>45</v>
      </c>
      <c r="D28" s="1880">
        <f>IF(Technology="BESS", INDEX('Cost Assumptions BESS'!$D$61:$G$61, 1, MATCH(CONE_Calculations!$E$13, 'Cost Assumptions BESS'!$D$1:$G$1, 0)), INDEX('Cost Assumptions'!$D$53:$K$53,1,MATCH(CONE_Calculations!$E$13,'Cost Assumptions'!$D$1:$K$1,0)))</f>
        <v>0.115</v>
      </c>
      <c r="E28" s="8"/>
      <c r="F28" s="217"/>
      <c r="G28" s="8"/>
      <c r="H28" s="1024"/>
      <c r="I28" s="1024"/>
      <c r="J28" s="1024"/>
      <c r="K28" s="1626"/>
      <c r="L28" s="1691"/>
      <c r="M28" s="1691"/>
      <c r="N28" s="1617"/>
      <c r="O28" s="1617"/>
      <c r="P28" s="1627"/>
      <c r="Q28" s="19"/>
    </row>
    <row r="29" spans="2:17" s="6" customFormat="1">
      <c r="C29" s="35" t="s">
        <v>66</v>
      </c>
      <c r="D29" s="11">
        <f>D28+(1-D28)*D27</f>
        <v>0.30085000000000001</v>
      </c>
      <c r="E29" s="117"/>
      <c r="F29" s="11"/>
      <c r="G29" s="8"/>
      <c r="J29" s="1624"/>
      <c r="K29" s="1624"/>
      <c r="L29" s="1691"/>
      <c r="M29" s="1691"/>
      <c r="N29" s="1618"/>
      <c r="O29" s="1618"/>
      <c r="P29" s="1628"/>
      <c r="Q29" s="19"/>
    </row>
    <row r="30" spans="2:17" s="6" customFormat="1">
      <c r="C30" s="6" t="s">
        <v>6</v>
      </c>
      <c r="D30" s="69" t="str">
        <f>IF(Technology="BESS", E30, IF(Technology="Single Cycle",F30,G30))</f>
        <v>7yr MACRS</v>
      </c>
      <c r="E30" s="66" t="s">
        <v>702</v>
      </c>
      <c r="F30" s="66" t="s">
        <v>9</v>
      </c>
      <c r="G30" s="66" t="s">
        <v>10</v>
      </c>
      <c r="H30" s="66"/>
      <c r="J30" s="1624"/>
      <c r="K30" s="19"/>
      <c r="L30" s="1690"/>
      <c r="M30" s="1691"/>
      <c r="N30" s="1618"/>
      <c r="O30" s="1629"/>
      <c r="P30" s="1629"/>
      <c r="Q30" s="19"/>
    </row>
    <row r="31" spans="2:17" s="6" customFormat="1">
      <c r="C31" s="117" t="s">
        <v>556</v>
      </c>
      <c r="D31" s="69">
        <f>IF($D$19=$E$1,$E$31,IF($D$19=$F$1,$F$31,$G$31))</f>
        <v>0.2</v>
      </c>
      <c r="E31" s="1024">
        <v>0.2</v>
      </c>
      <c r="F31" s="1024">
        <v>0</v>
      </c>
      <c r="G31" s="1024">
        <v>0</v>
      </c>
      <c r="H31" s="1024"/>
      <c r="J31" s="19"/>
      <c r="K31" s="19"/>
      <c r="L31" s="1692"/>
      <c r="M31" s="1693"/>
      <c r="N31" s="19"/>
      <c r="O31" s="19"/>
      <c r="P31" s="19"/>
      <c r="Q31" s="19"/>
    </row>
    <row r="32" spans="2:17" s="6" customFormat="1">
      <c r="C32" s="6" t="s">
        <v>17</v>
      </c>
      <c r="D32" s="1615">
        <v>2.9115258555406198E-2</v>
      </c>
      <c r="E32" s="8"/>
      <c r="F32" s="8"/>
      <c r="G32" s="8"/>
      <c r="H32" s="1615"/>
      <c r="I32" s="68"/>
      <c r="J32" s="19"/>
      <c r="K32" s="19"/>
      <c r="L32" s="1694"/>
      <c r="M32" s="1695"/>
      <c r="N32" s="19"/>
      <c r="O32" s="19"/>
      <c r="P32" s="19"/>
      <c r="Q32" s="19"/>
    </row>
    <row r="33" spans="2:17" s="9" customFormat="1">
      <c r="C33" s="10" t="s">
        <v>18</v>
      </c>
      <c r="D33" s="11">
        <f>Equity_Rate*(1-Debt_Fraction)+Debt_Rate*Debt_Fraction*(1-Tax_Rate)</f>
        <v>7.9273027499999996E-2</v>
      </c>
      <c r="E33" s="12"/>
      <c r="F33" s="12"/>
      <c r="G33" s="12"/>
      <c r="J33" s="19"/>
      <c r="K33" s="19"/>
      <c r="L33" s="19"/>
      <c r="M33" s="19"/>
      <c r="N33" s="19"/>
      <c r="O33" s="19"/>
      <c r="P33" s="19"/>
      <c r="Q33" s="1630"/>
    </row>
    <row r="34" spans="2:17" s="9" customFormat="1">
      <c r="C34" s="10" t="s">
        <v>19</v>
      </c>
      <c r="D34" s="13">
        <f>(1+D33)/(1+Inflation)-1</f>
        <v>4.8738728269369425E-2</v>
      </c>
      <c r="E34" s="12"/>
      <c r="F34" s="12"/>
      <c r="G34" s="12"/>
      <c r="H34" s="215"/>
      <c r="J34" s="19"/>
      <c r="K34" s="41"/>
      <c r="L34" s="19"/>
      <c r="M34" s="19"/>
      <c r="N34" s="19"/>
      <c r="O34" s="19"/>
      <c r="P34" s="19"/>
      <c r="Q34" s="1630"/>
    </row>
    <row r="35" spans="2:17" s="9" customFormat="1">
      <c r="C35" s="10"/>
      <c r="D35" s="13"/>
      <c r="E35" s="12"/>
      <c r="F35" s="12"/>
      <c r="J35" s="19"/>
      <c r="K35" s="1624"/>
      <c r="L35" s="1619"/>
      <c r="M35" s="1620"/>
      <c r="N35" s="1620"/>
      <c r="O35" s="1620"/>
      <c r="P35" s="1620"/>
      <c r="Q35" s="1630"/>
    </row>
    <row r="36" spans="2:17" s="9" customFormat="1">
      <c r="C36" s="15" t="s">
        <v>20</v>
      </c>
      <c r="D36" s="103">
        <f>Debt_Rate</f>
        <v>4.7E-2</v>
      </c>
      <c r="E36" s="12"/>
      <c r="F36" s="12"/>
      <c r="G36" s="12"/>
      <c r="J36" s="1630"/>
      <c r="K36" s="1626"/>
      <c r="L36" s="1619"/>
      <c r="M36" s="1620"/>
      <c r="N36" s="1620"/>
      <c r="O36" s="1620"/>
      <c r="P36" s="1620"/>
      <c r="Q36" s="1630"/>
    </row>
    <row r="37" spans="2:17" s="6" customFormat="1">
      <c r="C37" s="6" t="s">
        <v>90</v>
      </c>
      <c r="D37" s="181">
        <f>Debt_Fraction</f>
        <v>0.55000000000000004</v>
      </c>
      <c r="E37" s="8"/>
      <c r="J37" s="1630"/>
      <c r="K37" s="1624"/>
      <c r="L37" s="1631"/>
      <c r="M37" s="1620"/>
      <c r="N37" s="1620"/>
      <c r="O37" s="1620"/>
      <c r="P37" s="1620"/>
      <c r="Q37" s="19"/>
    </row>
    <row r="38" spans="2:17" s="6" customFormat="1">
      <c r="D38" s="8"/>
      <c r="E38" s="8"/>
    </row>
    <row r="39" spans="2:17">
      <c r="D39" s="17"/>
      <c r="E39" s="17"/>
    </row>
    <row r="40" spans="2:17" s="1" customFormat="1" ht="25.5">
      <c r="B40" s="2" t="s">
        <v>21</v>
      </c>
      <c r="C40" s="2"/>
    </row>
    <row r="41" spans="2:17">
      <c r="D41" s="17"/>
      <c r="E41" s="17"/>
    </row>
    <row r="42" spans="2:17" s="18" customFormat="1">
      <c r="C42" s="18" t="s">
        <v>60</v>
      </c>
    </row>
    <row r="43" spans="2:17" s="56" customFormat="1" ht="4.5" customHeight="1"/>
    <row r="44" spans="2:17" s="56" customFormat="1">
      <c r="D44" s="71" t="s">
        <v>54</v>
      </c>
      <c r="E44" s="72">
        <f>(1+ATWACC)/(1+Escalation_Rate)-1</f>
        <v>7.9273027499999982E-2</v>
      </c>
    </row>
    <row r="45" spans="2:17" s="56" customFormat="1" ht="13.5" thickBot="1">
      <c r="C45" s="73"/>
      <c r="D45" s="74"/>
      <c r="E45" s="75"/>
      <c r="F45" s="75"/>
    </row>
    <row r="46" spans="2:17" s="56" customFormat="1" ht="39" thickTop="1">
      <c r="C46" s="76"/>
      <c r="D46" s="77" t="s">
        <v>47</v>
      </c>
      <c r="E46" s="77" t="s">
        <v>69</v>
      </c>
      <c r="F46" s="77" t="s">
        <v>69</v>
      </c>
    </row>
    <row r="47" spans="2:17" s="56" customFormat="1">
      <c r="C47" s="76"/>
      <c r="D47" s="77" t="s">
        <v>53</v>
      </c>
      <c r="E47" s="77" t="s">
        <v>52</v>
      </c>
      <c r="F47" s="77" t="s">
        <v>52</v>
      </c>
    </row>
    <row r="48" spans="2:17" s="42" customFormat="1">
      <c r="C48" s="78"/>
      <c r="D48" s="79" t="s">
        <v>46</v>
      </c>
      <c r="E48" s="79" t="s">
        <v>49</v>
      </c>
      <c r="F48" s="80" t="s">
        <v>48</v>
      </c>
      <c r="G48" s="56"/>
      <c r="H48" s="56"/>
      <c r="I48" s="56"/>
    </row>
    <row r="49" spans="3:54" s="42" customFormat="1" ht="4.5" customHeight="1">
      <c r="C49" s="78"/>
      <c r="D49" s="81"/>
      <c r="E49" s="81"/>
      <c r="F49" s="73"/>
      <c r="G49" s="56"/>
      <c r="H49" s="56"/>
      <c r="I49" s="56"/>
    </row>
    <row r="50" spans="3:54" s="42" customFormat="1">
      <c r="C50" s="82" t="s">
        <v>55</v>
      </c>
      <c r="D50" s="83">
        <f>Plant_Capacity*Installed_Cost/10^3</f>
        <v>345.09237326728731</v>
      </c>
      <c r="E50" s="83">
        <f>-PMT(E$44,Economic_Life,$D50,0,1)*(1+ATWACC)^0.5/(1-Tax_Rate)</f>
        <v>48.130082806450453</v>
      </c>
      <c r="F50" s="83">
        <f>E50/Plant_Capacity*10^3</f>
        <v>240.65041403225226</v>
      </c>
      <c r="G50" s="1721"/>
      <c r="H50" s="1107"/>
      <c r="I50" s="1107"/>
      <c r="J50" s="1715"/>
    </row>
    <row r="51" spans="3:54" s="42" customFormat="1">
      <c r="C51" s="82" t="s">
        <v>56</v>
      </c>
      <c r="D51" s="83">
        <f>(1-Tax_Rate)*NPV(ATWACC,$E$67:$BB$67)*(1+ATWACC)^0.5</f>
        <v>94.822702825262311</v>
      </c>
      <c r="E51" s="83">
        <f>-PMT(E$44,Economic_Life,$D51,0,1)*(1+ATWACC)^0.5/(1-Tax_Rate)</f>
        <v>13.224935966279558</v>
      </c>
      <c r="F51" s="1113">
        <f>E51/Plant_Capacity*10^3</f>
        <v>66.124679831397785</v>
      </c>
      <c r="G51" s="1721"/>
      <c r="H51" s="1716"/>
      <c r="I51" s="1715"/>
      <c r="J51" s="1715"/>
    </row>
    <row r="52" spans="3:54" s="42" customFormat="1">
      <c r="C52" s="82" t="s">
        <v>57</v>
      </c>
      <c r="D52" s="83">
        <f>-Tax_Rate*NPV(ATWACC,$E$70:$BB$70)*(1+ATWACC)^0.5</f>
        <v>-85.146893282026042</v>
      </c>
      <c r="E52" s="83">
        <f>-PMT(E$44,Economic_Life,$D52,0,1)*(1+ATWACC)^0.5/(1-Tax_Rate)</f>
        <v>-11.875449421195283</v>
      </c>
      <c r="F52" s="1113">
        <f>E52/Plant_Capacity*10^3</f>
        <v>-59.377247105976416</v>
      </c>
      <c r="G52" s="56"/>
      <c r="H52" s="56"/>
      <c r="I52" s="1717"/>
      <c r="J52" s="1717"/>
    </row>
    <row r="53" spans="3:54" s="42" customFormat="1" ht="4.5" customHeight="1">
      <c r="C53" s="82"/>
      <c r="D53" s="84"/>
      <c r="E53" s="84"/>
      <c r="F53" s="84"/>
      <c r="G53" s="56"/>
      <c r="H53" s="56"/>
      <c r="I53" s="56"/>
    </row>
    <row r="54" spans="3:54" s="56" customFormat="1">
      <c r="C54" s="85" t="s">
        <v>58</v>
      </c>
      <c r="D54" s="86">
        <f>SUM(D50:D52)</f>
        <v>354.76818281052357</v>
      </c>
      <c r="E54" s="86">
        <f>SUM(E50:E52)</f>
        <v>49.479569351534728</v>
      </c>
      <c r="F54" s="86">
        <f>SUM(F50:F52)</f>
        <v>247.39784675767365</v>
      </c>
      <c r="I54" s="1718"/>
    </row>
    <row r="55" spans="3:54" s="56" customFormat="1" ht="4.5" customHeight="1" thickBot="1">
      <c r="C55" s="85"/>
      <c r="D55" s="87"/>
      <c r="E55" s="88"/>
      <c r="F55" s="75"/>
    </row>
    <row r="56" spans="3:54" s="42" customFormat="1" ht="13.5" thickTop="1">
      <c r="C56" s="78"/>
      <c r="D56" s="78"/>
      <c r="E56" s="78"/>
      <c r="F56" s="89"/>
      <c r="G56" s="56"/>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row>
    <row r="57" spans="3:54" s="6" customFormat="1" ht="3.75" customHeight="1">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row>
    <row r="58" spans="3:54" s="6" customFormat="1" ht="20.25">
      <c r="C58" s="20" t="s">
        <v>22</v>
      </c>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row>
    <row r="59" spans="3:54" s="21" customFormat="1" ht="3.75" customHeight="1" thickBot="1"/>
    <row r="60" spans="3:54" s="19" customFormat="1" ht="13.5" thickTop="1">
      <c r="C60" s="41" t="s">
        <v>23</v>
      </c>
      <c r="D60" s="39" t="s">
        <v>51</v>
      </c>
      <c r="E60" s="38" t="s">
        <v>50</v>
      </c>
      <c r="F60" s="38" t="s">
        <v>50</v>
      </c>
      <c r="G60" s="38" t="s">
        <v>50</v>
      </c>
      <c r="H60" s="38" t="s">
        <v>50</v>
      </c>
      <c r="I60" s="38" t="s">
        <v>50</v>
      </c>
      <c r="J60" s="38" t="s">
        <v>50</v>
      </c>
      <c r="K60" s="38" t="s">
        <v>50</v>
      </c>
      <c r="L60" s="38" t="s">
        <v>50</v>
      </c>
      <c r="M60" s="38" t="s">
        <v>50</v>
      </c>
      <c r="N60" s="38" t="s">
        <v>50</v>
      </c>
      <c r="O60" s="38" t="s">
        <v>50</v>
      </c>
      <c r="P60" s="38" t="s">
        <v>50</v>
      </c>
      <c r="Q60" s="38" t="s">
        <v>50</v>
      </c>
      <c r="R60" s="38" t="s">
        <v>50</v>
      </c>
      <c r="S60" s="38" t="s">
        <v>50</v>
      </c>
      <c r="T60" s="38" t="s">
        <v>50</v>
      </c>
      <c r="U60" s="38" t="s">
        <v>50</v>
      </c>
      <c r="V60" s="38" t="s">
        <v>50</v>
      </c>
      <c r="W60" s="38" t="s">
        <v>50</v>
      </c>
      <c r="X60" s="38" t="s">
        <v>50</v>
      </c>
      <c r="Y60" s="38" t="s">
        <v>50</v>
      </c>
      <c r="Z60" s="38" t="s">
        <v>50</v>
      </c>
      <c r="AA60" s="38" t="s">
        <v>50</v>
      </c>
      <c r="AB60" s="38" t="s">
        <v>50</v>
      </c>
      <c r="AC60" s="38" t="s">
        <v>50</v>
      </c>
      <c r="AD60" s="38" t="s">
        <v>50</v>
      </c>
      <c r="AE60" s="38" t="s">
        <v>50</v>
      </c>
      <c r="AF60" s="38" t="s">
        <v>50</v>
      </c>
      <c r="AG60" s="38" t="s">
        <v>50</v>
      </c>
      <c r="AH60" s="38" t="s">
        <v>50</v>
      </c>
      <c r="AI60" s="38" t="s">
        <v>50</v>
      </c>
      <c r="AJ60" s="38" t="s">
        <v>50</v>
      </c>
      <c r="AK60" s="38" t="s">
        <v>50</v>
      </c>
      <c r="AL60" s="38" t="s">
        <v>50</v>
      </c>
      <c r="AM60" s="38" t="s">
        <v>50</v>
      </c>
      <c r="AN60" s="38" t="s">
        <v>50</v>
      </c>
      <c r="AO60" s="38" t="s">
        <v>50</v>
      </c>
      <c r="AP60" s="38" t="s">
        <v>50</v>
      </c>
      <c r="AQ60" s="38" t="s">
        <v>50</v>
      </c>
      <c r="AR60" s="38" t="s">
        <v>50</v>
      </c>
      <c r="AS60" s="38" t="s">
        <v>50</v>
      </c>
      <c r="AT60" s="38" t="s">
        <v>50</v>
      </c>
      <c r="AU60" s="38" t="s">
        <v>50</v>
      </c>
      <c r="AV60" s="38" t="s">
        <v>50</v>
      </c>
      <c r="AW60" s="38" t="s">
        <v>50</v>
      </c>
      <c r="AX60" s="38" t="s">
        <v>50</v>
      </c>
      <c r="AY60" s="38" t="s">
        <v>50</v>
      </c>
      <c r="AZ60" s="38" t="s">
        <v>50</v>
      </c>
      <c r="BA60" s="38" t="s">
        <v>50</v>
      </c>
      <c r="BB60" s="38" t="s">
        <v>50</v>
      </c>
    </row>
    <row r="61" spans="3:54" s="22" customFormat="1">
      <c r="D61" s="40">
        <v>0</v>
      </c>
      <c r="E61" s="22">
        <v>1</v>
      </c>
      <c r="F61" s="22">
        <v>2</v>
      </c>
      <c r="G61" s="22">
        <v>3</v>
      </c>
      <c r="H61" s="22">
        <v>4</v>
      </c>
      <c r="I61" s="22">
        <v>5</v>
      </c>
      <c r="J61" s="22">
        <v>6</v>
      </c>
      <c r="K61" s="22">
        <v>7</v>
      </c>
      <c r="L61" s="22">
        <v>8</v>
      </c>
      <c r="M61" s="22">
        <v>9</v>
      </c>
      <c r="N61" s="22">
        <v>10</v>
      </c>
      <c r="O61" s="22">
        <v>11</v>
      </c>
      <c r="P61" s="22">
        <v>12</v>
      </c>
      <c r="Q61" s="22">
        <v>13</v>
      </c>
      <c r="R61" s="22">
        <v>14</v>
      </c>
      <c r="S61" s="22">
        <v>15</v>
      </c>
      <c r="T61" s="22">
        <v>16</v>
      </c>
      <c r="U61" s="22">
        <v>17</v>
      </c>
      <c r="V61" s="22">
        <v>18</v>
      </c>
      <c r="W61" s="22">
        <v>19</v>
      </c>
      <c r="X61" s="22">
        <v>20</v>
      </c>
      <c r="Y61" s="22">
        <v>21</v>
      </c>
      <c r="Z61" s="22">
        <v>22</v>
      </c>
      <c r="AA61" s="22">
        <v>23</v>
      </c>
      <c r="AB61" s="22">
        <v>24</v>
      </c>
      <c r="AC61" s="22">
        <v>25</v>
      </c>
      <c r="AD61" s="22">
        <v>26</v>
      </c>
      <c r="AE61" s="22">
        <v>27</v>
      </c>
      <c r="AF61" s="22">
        <v>28</v>
      </c>
      <c r="AG61" s="22">
        <v>29</v>
      </c>
      <c r="AH61" s="22">
        <v>30</v>
      </c>
      <c r="AI61" s="22">
        <v>31</v>
      </c>
      <c r="AJ61" s="22">
        <v>32</v>
      </c>
      <c r="AK61" s="22">
        <v>33</v>
      </c>
      <c r="AL61" s="22">
        <v>34</v>
      </c>
      <c r="AM61" s="22">
        <v>35</v>
      </c>
      <c r="AN61" s="22">
        <v>36</v>
      </c>
      <c r="AO61" s="22">
        <v>37</v>
      </c>
      <c r="AP61" s="22">
        <v>38</v>
      </c>
      <c r="AQ61" s="22">
        <v>39</v>
      </c>
      <c r="AR61" s="22">
        <v>40</v>
      </c>
      <c r="AS61" s="22">
        <v>41</v>
      </c>
      <c r="AT61" s="22">
        <v>42</v>
      </c>
      <c r="AU61" s="22">
        <v>43</v>
      </c>
      <c r="AV61" s="22">
        <v>44</v>
      </c>
      <c r="AW61" s="22">
        <v>45</v>
      </c>
      <c r="AX61" s="22">
        <v>46</v>
      </c>
      <c r="AY61" s="22">
        <v>47</v>
      </c>
      <c r="AZ61" s="22">
        <v>48</v>
      </c>
      <c r="BA61" s="22">
        <v>49</v>
      </c>
      <c r="BB61" s="22">
        <v>50</v>
      </c>
    </row>
    <row r="62" spans="3:54" s="6" customFormat="1"/>
    <row r="63" spans="3:54" s="6" customFormat="1">
      <c r="C63" s="35" t="s">
        <v>61</v>
      </c>
      <c r="D63" s="23"/>
      <c r="E63" s="24">
        <f>IF(E$61&lt;=Economic_Life,$F$54*(1+Escalation_Rate)^(E$61-1),0)</f>
        <v>247.39784675767365</v>
      </c>
      <c r="F63" s="24">
        <f t="shared" ref="F63:X63" si="0">IF(F$61&lt;=Economic_Life,$F$54*(1+Escalation_Rate)^(F$61-1),0)</f>
        <v>247.39784675767365</v>
      </c>
      <c r="G63" s="24">
        <f t="shared" si="0"/>
        <v>247.39784675767365</v>
      </c>
      <c r="H63" s="24">
        <f t="shared" si="0"/>
        <v>247.39784675767365</v>
      </c>
      <c r="I63" s="24">
        <f t="shared" si="0"/>
        <v>247.39784675767365</v>
      </c>
      <c r="J63" s="24">
        <f t="shared" si="0"/>
        <v>247.39784675767365</v>
      </c>
      <c r="K63" s="24">
        <f t="shared" si="0"/>
        <v>247.39784675767365</v>
      </c>
      <c r="L63" s="24">
        <f t="shared" si="0"/>
        <v>247.39784675767365</v>
      </c>
      <c r="M63" s="24">
        <f t="shared" si="0"/>
        <v>247.39784675767365</v>
      </c>
      <c r="N63" s="24">
        <f t="shared" si="0"/>
        <v>247.39784675767365</v>
      </c>
      <c r="O63" s="24">
        <f t="shared" si="0"/>
        <v>247.39784675767365</v>
      </c>
      <c r="P63" s="24">
        <f t="shared" si="0"/>
        <v>247.39784675767365</v>
      </c>
      <c r="Q63" s="24">
        <f t="shared" si="0"/>
        <v>247.39784675767365</v>
      </c>
      <c r="R63" s="24">
        <f t="shared" si="0"/>
        <v>247.39784675767365</v>
      </c>
      <c r="S63" s="24">
        <f t="shared" si="0"/>
        <v>247.39784675767365</v>
      </c>
      <c r="T63" s="24">
        <f t="shared" si="0"/>
        <v>247.39784675767365</v>
      </c>
      <c r="U63" s="24">
        <f t="shared" si="0"/>
        <v>247.39784675767365</v>
      </c>
      <c r="V63" s="24">
        <f t="shared" si="0"/>
        <v>247.39784675767365</v>
      </c>
      <c r="W63" s="24">
        <f t="shared" si="0"/>
        <v>247.39784675767365</v>
      </c>
      <c r="X63" s="24">
        <f t="shared" si="0"/>
        <v>247.39784675767365</v>
      </c>
      <c r="Y63" s="24">
        <f t="shared" ref="Y63:AJ63" si="1">IF(Y$61&lt;=Economic_Life,$F$54*(1+Escalation_Rate)^(Y$61-1),0)</f>
        <v>0</v>
      </c>
      <c r="Z63" s="24">
        <f t="shared" si="1"/>
        <v>0</v>
      </c>
      <c r="AA63" s="24">
        <f t="shared" si="1"/>
        <v>0</v>
      </c>
      <c r="AB63" s="24">
        <f t="shared" si="1"/>
        <v>0</v>
      </c>
      <c r="AC63" s="24">
        <f t="shared" si="1"/>
        <v>0</v>
      </c>
      <c r="AD63" s="24">
        <f t="shared" si="1"/>
        <v>0</v>
      </c>
      <c r="AE63" s="24">
        <f t="shared" si="1"/>
        <v>0</v>
      </c>
      <c r="AF63" s="24">
        <f t="shared" si="1"/>
        <v>0</v>
      </c>
      <c r="AG63" s="24">
        <f t="shared" si="1"/>
        <v>0</v>
      </c>
      <c r="AH63" s="24">
        <f t="shared" si="1"/>
        <v>0</v>
      </c>
      <c r="AI63" s="24">
        <f t="shared" si="1"/>
        <v>0</v>
      </c>
      <c r="AJ63" s="24">
        <f t="shared" si="1"/>
        <v>0</v>
      </c>
      <c r="AK63" s="24">
        <f t="shared" ref="AK63:BB63" si="2">IF(AK$61&lt;=Economic_Life,$F$54*(1+Escalation_Rate)^(AK$61-1),0)</f>
        <v>0</v>
      </c>
      <c r="AL63" s="24">
        <f t="shared" si="2"/>
        <v>0</v>
      </c>
      <c r="AM63" s="24">
        <f t="shared" si="2"/>
        <v>0</v>
      </c>
      <c r="AN63" s="24">
        <f t="shared" si="2"/>
        <v>0</v>
      </c>
      <c r="AO63" s="24">
        <f t="shared" si="2"/>
        <v>0</v>
      </c>
      <c r="AP63" s="24">
        <f t="shared" si="2"/>
        <v>0</v>
      </c>
      <c r="AQ63" s="24">
        <f t="shared" si="2"/>
        <v>0</v>
      </c>
      <c r="AR63" s="24">
        <f t="shared" si="2"/>
        <v>0</v>
      </c>
      <c r="AS63" s="24">
        <f t="shared" si="2"/>
        <v>0</v>
      </c>
      <c r="AT63" s="24">
        <f t="shared" si="2"/>
        <v>0</v>
      </c>
      <c r="AU63" s="24">
        <f t="shared" si="2"/>
        <v>0</v>
      </c>
      <c r="AV63" s="24">
        <f t="shared" si="2"/>
        <v>0</v>
      </c>
      <c r="AW63" s="24">
        <f t="shared" si="2"/>
        <v>0</v>
      </c>
      <c r="AX63" s="24">
        <f t="shared" si="2"/>
        <v>0</v>
      </c>
      <c r="AY63" s="24">
        <f t="shared" si="2"/>
        <v>0</v>
      </c>
      <c r="AZ63" s="24">
        <f t="shared" si="2"/>
        <v>0</v>
      </c>
      <c r="BA63" s="24">
        <f t="shared" si="2"/>
        <v>0</v>
      </c>
      <c r="BB63" s="24">
        <f t="shared" si="2"/>
        <v>0</v>
      </c>
    </row>
    <row r="64" spans="3:54" s="22" customFormat="1">
      <c r="C64" s="22" t="s">
        <v>59</v>
      </c>
      <c r="D64" s="25"/>
      <c r="E64" s="26">
        <f t="shared" ref="E64:X64" si="3">E63*Plant_Capacity/10^3</f>
        <v>49.479569351534728</v>
      </c>
      <c r="F64" s="26">
        <f t="shared" si="3"/>
        <v>49.479569351534728</v>
      </c>
      <c r="G64" s="26">
        <f t="shared" si="3"/>
        <v>49.479569351534728</v>
      </c>
      <c r="H64" s="26">
        <f t="shared" si="3"/>
        <v>49.479569351534728</v>
      </c>
      <c r="I64" s="26">
        <f t="shared" si="3"/>
        <v>49.479569351534728</v>
      </c>
      <c r="J64" s="26">
        <f t="shared" si="3"/>
        <v>49.479569351534728</v>
      </c>
      <c r="K64" s="26">
        <f t="shared" si="3"/>
        <v>49.479569351534728</v>
      </c>
      <c r="L64" s="26">
        <f t="shared" si="3"/>
        <v>49.479569351534728</v>
      </c>
      <c r="M64" s="26">
        <f t="shared" si="3"/>
        <v>49.479569351534728</v>
      </c>
      <c r="N64" s="26">
        <f t="shared" si="3"/>
        <v>49.479569351534728</v>
      </c>
      <c r="O64" s="26">
        <f t="shared" si="3"/>
        <v>49.479569351534728</v>
      </c>
      <c r="P64" s="26">
        <f t="shared" si="3"/>
        <v>49.479569351534728</v>
      </c>
      <c r="Q64" s="26">
        <f t="shared" si="3"/>
        <v>49.479569351534728</v>
      </c>
      <c r="R64" s="26">
        <f t="shared" si="3"/>
        <v>49.479569351534728</v>
      </c>
      <c r="S64" s="26">
        <f t="shared" si="3"/>
        <v>49.479569351534728</v>
      </c>
      <c r="T64" s="26">
        <f t="shared" si="3"/>
        <v>49.479569351534728</v>
      </c>
      <c r="U64" s="26">
        <f t="shared" si="3"/>
        <v>49.479569351534728</v>
      </c>
      <c r="V64" s="26">
        <f t="shared" si="3"/>
        <v>49.479569351534728</v>
      </c>
      <c r="W64" s="26">
        <f t="shared" si="3"/>
        <v>49.479569351534728</v>
      </c>
      <c r="X64" s="26">
        <f t="shared" si="3"/>
        <v>49.479569351534728</v>
      </c>
      <c r="Y64" s="26">
        <f t="shared" ref="Y64:AJ64" si="4">Y63*Plant_Capacity/10^3</f>
        <v>0</v>
      </c>
      <c r="Z64" s="26">
        <f t="shared" si="4"/>
        <v>0</v>
      </c>
      <c r="AA64" s="26">
        <f t="shared" si="4"/>
        <v>0</v>
      </c>
      <c r="AB64" s="26">
        <f t="shared" si="4"/>
        <v>0</v>
      </c>
      <c r="AC64" s="26">
        <f t="shared" si="4"/>
        <v>0</v>
      </c>
      <c r="AD64" s="26">
        <f t="shared" si="4"/>
        <v>0</v>
      </c>
      <c r="AE64" s="26">
        <f t="shared" si="4"/>
        <v>0</v>
      </c>
      <c r="AF64" s="26">
        <f t="shared" si="4"/>
        <v>0</v>
      </c>
      <c r="AG64" s="26">
        <f t="shared" si="4"/>
        <v>0</v>
      </c>
      <c r="AH64" s="26">
        <f t="shared" si="4"/>
        <v>0</v>
      </c>
      <c r="AI64" s="26">
        <f t="shared" si="4"/>
        <v>0</v>
      </c>
      <c r="AJ64" s="26">
        <f t="shared" si="4"/>
        <v>0</v>
      </c>
      <c r="AK64" s="26">
        <f t="shared" ref="AK64:BB64" si="5">AK63*Plant_Capacity/10^3</f>
        <v>0</v>
      </c>
      <c r="AL64" s="26">
        <f t="shared" si="5"/>
        <v>0</v>
      </c>
      <c r="AM64" s="26">
        <f t="shared" si="5"/>
        <v>0</v>
      </c>
      <c r="AN64" s="26">
        <f t="shared" si="5"/>
        <v>0</v>
      </c>
      <c r="AO64" s="26">
        <f t="shared" si="5"/>
        <v>0</v>
      </c>
      <c r="AP64" s="26">
        <f t="shared" si="5"/>
        <v>0</v>
      </c>
      <c r="AQ64" s="26">
        <f t="shared" si="5"/>
        <v>0</v>
      </c>
      <c r="AR64" s="26">
        <f t="shared" si="5"/>
        <v>0</v>
      </c>
      <c r="AS64" s="26">
        <f t="shared" si="5"/>
        <v>0</v>
      </c>
      <c r="AT64" s="26">
        <f t="shared" si="5"/>
        <v>0</v>
      </c>
      <c r="AU64" s="26">
        <f t="shared" si="5"/>
        <v>0</v>
      </c>
      <c r="AV64" s="26">
        <f t="shared" si="5"/>
        <v>0</v>
      </c>
      <c r="AW64" s="26">
        <f t="shared" si="5"/>
        <v>0</v>
      </c>
      <c r="AX64" s="26">
        <f t="shared" si="5"/>
        <v>0</v>
      </c>
      <c r="AY64" s="26">
        <f t="shared" si="5"/>
        <v>0</v>
      </c>
      <c r="AZ64" s="26">
        <f t="shared" si="5"/>
        <v>0</v>
      </c>
      <c r="BA64" s="26">
        <f t="shared" si="5"/>
        <v>0</v>
      </c>
      <c r="BB64" s="26">
        <f t="shared" si="5"/>
        <v>0</v>
      </c>
    </row>
    <row r="65" spans="3:55" s="6" customFormat="1">
      <c r="D65" s="24"/>
    </row>
    <row r="66" spans="3:55" s="6" customFormat="1">
      <c r="C66" s="6" t="s">
        <v>24</v>
      </c>
      <c r="D66" s="23"/>
      <c r="E66" s="184">
        <f>IF(E$61&lt;=Economic_Life,'Annual FOM'!S14,0)</f>
        <v>7.0620000000000012</v>
      </c>
      <c r="F66" s="184">
        <f>IF(F$61&lt;=Economic_Life,'Annual FOM'!T14,0)</f>
        <v>7.2676119559182792</v>
      </c>
      <c r="G66" s="184">
        <f>IF(G$61&lt;=Economic_Life,'Annual FOM'!U14,0)</f>
        <v>7.4792103570952015</v>
      </c>
      <c r="H66" s="184">
        <f>IF(H$61&lt;=Economic_Life,'Annual FOM'!V14,0)</f>
        <v>7.6969695004323002</v>
      </c>
      <c r="I66" s="184">
        <f>IF(I$61&lt;=Economic_Life,'Annual FOM'!W14,0)</f>
        <v>7.9210687575304624</v>
      </c>
      <c r="J66" s="184">
        <f>IF(J$61&lt;=Economic_Life,'Annual FOM'!X14,0)</f>
        <v>38.668009496934374</v>
      </c>
      <c r="K66" s="184">
        <f>IF(K$61&lt;=Economic_Life,'Annual FOM'!Y14,0)</f>
        <v>8.3890313637192069</v>
      </c>
      <c r="L66" s="184">
        <f>IF(L$61&lt;=Economic_Life,'Annual FOM'!Z14,0)</f>
        <v>8.633280180903304</v>
      </c>
      <c r="M66" s="184">
        <f>IF(M$61&lt;=Economic_Life,'Annual FOM'!AA14,0)</f>
        <v>8.8846403655515669</v>
      </c>
      <c r="N66" s="184">
        <f>IF(N$61&lt;=Economic_Life,'Annual FOM'!AB14,0)</f>
        <v>9.1433189669663992</v>
      </c>
      <c r="O66" s="184">
        <f>IF(O$61&lt;=Economic_Life,'Annual FOM'!AC14,0)</f>
        <v>42.466006273187503</v>
      </c>
      <c r="P66" s="184">
        <f>IF(P$61&lt;=Economic_Life,'Annual FOM'!AD14,0)</f>
        <v>9.6834899342905825</v>
      </c>
      <c r="Q66" s="184">
        <f>IF(Q$61&lt;=Economic_Life,'Annual FOM'!AE14,0)</f>
        <v>9.9654272474461258</v>
      </c>
      <c r="R66" s="184">
        <f>IF(R$61&lt;=Economic_Life,'Annual FOM'!AF14,0)</f>
        <v>10.25557323837061</v>
      </c>
      <c r="S66" s="184">
        <f>IF(S$61&lt;=Economic_Life,'Annual FOM'!AG14,0)</f>
        <v>10.554166904839676</v>
      </c>
      <c r="T66" s="184">
        <f>IF(T$61&lt;=Economic_Life,'Annual FOM'!AH14,0)</f>
        <v>46.511137158088161</v>
      </c>
      <c r="U66" s="184">
        <f>IF(U$61&lt;=Economic_Life,'Annual FOM'!AI14,0)</f>
        <v>11.177688250522271</v>
      </c>
      <c r="V66" s="184">
        <f>IF(V$61&lt;=Economic_Life,'Annual FOM'!AJ14,0)</f>
        <v>11.503129533987954</v>
      </c>
      <c r="W66" s="184">
        <f>IF(W$61&lt;=Economic_Life,'Annual FOM'!AK14,0)</f>
        <v>11.838046124566342</v>
      </c>
      <c r="X66" s="184">
        <f>IF(X$61&lt;=Economic_Life,'Annual FOM'!AL14,0)</f>
        <v>12.182713898273917</v>
      </c>
      <c r="Y66" s="184">
        <f>IF(Y$61&lt;=Economic_Life,'Annual FOM'!AM14,0)</f>
        <v>0</v>
      </c>
      <c r="Z66" s="184">
        <f>IF(Z$61&lt;=Economic_Life,'Annual FOM'!AN14,0)</f>
        <v>0</v>
      </c>
      <c r="AA66" s="184">
        <f>IF(AA$61&lt;=Economic_Life,'Annual FOM'!AO14,0)</f>
        <v>0</v>
      </c>
      <c r="AB66" s="184">
        <f>IF(AB$61&lt;=Economic_Life,'Annual FOM'!AP14,0)</f>
        <v>0</v>
      </c>
      <c r="AC66" s="184">
        <f>IF(AC$61&lt;=Economic_Life,'Annual FOM'!AQ14,0)</f>
        <v>0</v>
      </c>
      <c r="AD66" s="184">
        <f>IF(AD$61&lt;=Economic_Life,'Annual FOM'!AR14,0)</f>
        <v>0</v>
      </c>
      <c r="AE66" s="184">
        <f>IF(AE$61&lt;=Economic_Life,'Annual FOM'!AS14,0)</f>
        <v>0</v>
      </c>
      <c r="AF66" s="184">
        <f>IF(AF$61&lt;=Economic_Life,'Annual FOM'!AT14,0)</f>
        <v>0</v>
      </c>
      <c r="AG66" s="184">
        <f>IF(AG$61&lt;=Economic_Life,'Annual FOM'!AU14,0)</f>
        <v>0</v>
      </c>
      <c r="AH66" s="184">
        <f>IF(AH$61&lt;=Economic_Life,'Annual FOM'!AV14,0)</f>
        <v>0</v>
      </c>
      <c r="AI66" s="184">
        <f>IF(AI$61&lt;=Economic_Life,'Annual FOM'!AW14,0)</f>
        <v>0</v>
      </c>
      <c r="AJ66" s="184">
        <f>IF(AJ$61&lt;=Economic_Life,'Annual FOM'!AX14,0)</f>
        <v>0</v>
      </c>
      <c r="AK66" s="184">
        <f>IF(AK$61&lt;=Economic_Life,'Annual FOM'!AY14,0)</f>
        <v>0</v>
      </c>
      <c r="AL66" s="184">
        <f>IF(AL$61&lt;=Economic_Life,'Annual FOM'!AZ14,0)</f>
        <v>0</v>
      </c>
      <c r="AM66" s="184">
        <f>IF(AM$61&lt;=Economic_Life,'Annual FOM'!BA14,0)</f>
        <v>0</v>
      </c>
      <c r="AN66" s="184">
        <f>IF(AN$61&lt;=Economic_Life,'Annual FOM'!BB14,0)</f>
        <v>0</v>
      </c>
      <c r="AO66" s="184">
        <f>IF(AO$61&lt;=Economic_Life,'Annual FOM'!BC14,0)</f>
        <v>0</v>
      </c>
      <c r="AP66" s="184">
        <f>IF(AP$61&lt;=Economic_Life,'Annual FOM'!BD14,0)</f>
        <v>0</v>
      </c>
      <c r="AQ66" s="184">
        <f>IF(AQ$61&lt;=Economic_Life,'Annual FOM'!BE14,0)</f>
        <v>0</v>
      </c>
      <c r="AR66" s="184">
        <f>IF(AR$61&lt;=Economic_Life,'Annual FOM'!BF14,0)</f>
        <v>0</v>
      </c>
      <c r="AS66" s="184">
        <f>IF(AS$61&lt;=Economic_Life,'Annual FOM'!BG14,0)</f>
        <v>0</v>
      </c>
      <c r="AT66" s="184">
        <f>IF(AT$61&lt;=Economic_Life,'Annual FOM'!BH14,0)</f>
        <v>0</v>
      </c>
      <c r="AU66" s="184">
        <f>IF(AU$61&lt;=Economic_Life,'Annual FOM'!BI14,0)</f>
        <v>0</v>
      </c>
      <c r="AV66" s="184">
        <f>IF(AV$61&lt;=Economic_Life,'Annual FOM'!BJ14,0)</f>
        <v>0</v>
      </c>
      <c r="AW66" s="184">
        <f>IF(AW$61&lt;=Economic_Life,'Annual FOM'!BK14,0)</f>
        <v>0</v>
      </c>
      <c r="AX66" s="184">
        <f>IF(AX$61&lt;=Economic_Life,'Annual FOM'!BL14,0)</f>
        <v>0</v>
      </c>
      <c r="AY66" s="184">
        <f>IF(AY$61&lt;=Economic_Life,'Annual FOM'!BM14,0)</f>
        <v>0</v>
      </c>
      <c r="AZ66" s="184">
        <f>IF(AZ$61&lt;=Economic_Life,'Annual FOM'!BN14,0)</f>
        <v>0</v>
      </c>
      <c r="BA66" s="184">
        <f>IF(BA$61&lt;=Economic_Life,'Annual FOM'!BO14,0)</f>
        <v>0</v>
      </c>
      <c r="BB66" s="184">
        <f>IF(BB$61&lt;=Economic_Life,'Annual FOM'!BP14,0)</f>
        <v>0</v>
      </c>
    </row>
    <row r="67" spans="3:55" s="28" customFormat="1">
      <c r="C67" s="28" t="s">
        <v>25</v>
      </c>
      <c r="E67" s="29">
        <f t="shared" ref="E67:X67" si="6">SUM(E66:E66)</f>
        <v>7.0620000000000012</v>
      </c>
      <c r="F67" s="29">
        <f t="shared" si="6"/>
        <v>7.2676119559182792</v>
      </c>
      <c r="G67" s="29">
        <f t="shared" si="6"/>
        <v>7.4792103570952015</v>
      </c>
      <c r="H67" s="29">
        <f t="shared" si="6"/>
        <v>7.6969695004323002</v>
      </c>
      <c r="I67" s="29">
        <f t="shared" si="6"/>
        <v>7.9210687575304624</v>
      </c>
      <c r="J67" s="29">
        <f t="shared" si="6"/>
        <v>38.668009496934374</v>
      </c>
      <c r="K67" s="29">
        <f t="shared" si="6"/>
        <v>8.3890313637192069</v>
      </c>
      <c r="L67" s="29">
        <f t="shared" si="6"/>
        <v>8.633280180903304</v>
      </c>
      <c r="M67" s="29">
        <f t="shared" si="6"/>
        <v>8.8846403655515669</v>
      </c>
      <c r="N67" s="29">
        <f t="shared" si="6"/>
        <v>9.1433189669663992</v>
      </c>
      <c r="O67" s="29">
        <f t="shared" si="6"/>
        <v>42.466006273187503</v>
      </c>
      <c r="P67" s="29">
        <f t="shared" si="6"/>
        <v>9.6834899342905825</v>
      </c>
      <c r="Q67" s="29">
        <f t="shared" si="6"/>
        <v>9.9654272474461258</v>
      </c>
      <c r="R67" s="29">
        <f t="shared" si="6"/>
        <v>10.25557323837061</v>
      </c>
      <c r="S67" s="29">
        <f t="shared" si="6"/>
        <v>10.554166904839676</v>
      </c>
      <c r="T67" s="29">
        <f t="shared" si="6"/>
        <v>46.511137158088161</v>
      </c>
      <c r="U67" s="29">
        <f t="shared" si="6"/>
        <v>11.177688250522271</v>
      </c>
      <c r="V67" s="29">
        <f t="shared" si="6"/>
        <v>11.503129533987954</v>
      </c>
      <c r="W67" s="29">
        <f t="shared" si="6"/>
        <v>11.838046124566342</v>
      </c>
      <c r="X67" s="29">
        <f t="shared" si="6"/>
        <v>12.182713898273917</v>
      </c>
      <c r="Y67" s="29">
        <f t="shared" ref="Y67:AJ67" si="7">SUM(Y66:Y66)</f>
        <v>0</v>
      </c>
      <c r="Z67" s="29">
        <f t="shared" si="7"/>
        <v>0</v>
      </c>
      <c r="AA67" s="29">
        <f t="shared" si="7"/>
        <v>0</v>
      </c>
      <c r="AB67" s="29">
        <f t="shared" si="7"/>
        <v>0</v>
      </c>
      <c r="AC67" s="29">
        <f t="shared" si="7"/>
        <v>0</v>
      </c>
      <c r="AD67" s="29">
        <f t="shared" si="7"/>
        <v>0</v>
      </c>
      <c r="AE67" s="29">
        <f t="shared" si="7"/>
        <v>0</v>
      </c>
      <c r="AF67" s="29">
        <f t="shared" si="7"/>
        <v>0</v>
      </c>
      <c r="AG67" s="29">
        <f t="shared" si="7"/>
        <v>0</v>
      </c>
      <c r="AH67" s="29">
        <f t="shared" si="7"/>
        <v>0</v>
      </c>
      <c r="AI67" s="29">
        <f t="shared" si="7"/>
        <v>0</v>
      </c>
      <c r="AJ67" s="29">
        <f t="shared" si="7"/>
        <v>0</v>
      </c>
      <c r="AK67" s="29">
        <f t="shared" ref="AK67:BB67" si="8">SUM(AK66:AK66)</f>
        <v>0</v>
      </c>
      <c r="AL67" s="29">
        <f t="shared" si="8"/>
        <v>0</v>
      </c>
      <c r="AM67" s="29">
        <f t="shared" si="8"/>
        <v>0</v>
      </c>
      <c r="AN67" s="29">
        <f t="shared" si="8"/>
        <v>0</v>
      </c>
      <c r="AO67" s="29">
        <f t="shared" si="8"/>
        <v>0</v>
      </c>
      <c r="AP67" s="29">
        <f t="shared" si="8"/>
        <v>0</v>
      </c>
      <c r="AQ67" s="29">
        <f t="shared" si="8"/>
        <v>0</v>
      </c>
      <c r="AR67" s="29">
        <f t="shared" si="8"/>
        <v>0</v>
      </c>
      <c r="AS67" s="29">
        <f t="shared" si="8"/>
        <v>0</v>
      </c>
      <c r="AT67" s="29">
        <f t="shared" si="8"/>
        <v>0</v>
      </c>
      <c r="AU67" s="29">
        <f t="shared" si="8"/>
        <v>0</v>
      </c>
      <c r="AV67" s="29">
        <f t="shared" si="8"/>
        <v>0</v>
      </c>
      <c r="AW67" s="29">
        <f t="shared" si="8"/>
        <v>0</v>
      </c>
      <c r="AX67" s="29">
        <f t="shared" si="8"/>
        <v>0</v>
      </c>
      <c r="AY67" s="29">
        <f t="shared" si="8"/>
        <v>0</v>
      </c>
      <c r="AZ67" s="29">
        <f t="shared" si="8"/>
        <v>0</v>
      </c>
      <c r="BA67" s="29">
        <f t="shared" si="8"/>
        <v>0</v>
      </c>
      <c r="BB67" s="29">
        <f t="shared" si="8"/>
        <v>0</v>
      </c>
    </row>
    <row r="68" spans="3:55" s="6" customFormat="1">
      <c r="E68" s="36"/>
      <c r="F68" s="36"/>
      <c r="G68" s="36"/>
      <c r="H68" s="36"/>
      <c r="I68" s="36"/>
      <c r="J68" s="36"/>
      <c r="K68" s="36"/>
      <c r="L68" s="36"/>
      <c r="M68" s="36"/>
      <c r="N68" s="36"/>
      <c r="O68" s="36"/>
      <c r="P68" s="36"/>
      <c r="Q68" s="36"/>
      <c r="R68" s="36"/>
      <c r="S68" s="36"/>
      <c r="T68" s="36"/>
      <c r="U68" s="36"/>
      <c r="V68" s="36"/>
      <c r="W68" s="36"/>
      <c r="X68" s="36"/>
    </row>
    <row r="69" spans="3:55" s="8" customFormat="1">
      <c r="C69" s="8" t="s">
        <v>26</v>
      </c>
      <c r="E69" s="185">
        <f>VLOOKUP(E$61,Tax_depreciation!$A$6:$L$55,MATCH(Tax_Depreciation,Tax_depreciation!$A$4:$L$4,0),0)</f>
        <v>0.25</v>
      </c>
      <c r="F69" s="185">
        <f>VLOOKUP(F$61,Tax_depreciation!$A$6:$L$55,MATCH(Tax_Depreciation,Tax_depreciation!$A$4:$L$4,0),0)</f>
        <v>0.21429999999999999</v>
      </c>
      <c r="G69" s="185">
        <f>VLOOKUP(G$61,Tax_depreciation!$A$6:$L$55,MATCH(Tax_Depreciation,Tax_depreciation!$A$4:$L$4,0),0)</f>
        <v>0.15310000000000001</v>
      </c>
      <c r="H69" s="185">
        <f>VLOOKUP(H$61,Tax_depreciation!$A$6:$L$55,MATCH(Tax_Depreciation,Tax_depreciation!$A$4:$L$4,0),0)</f>
        <v>0.10929999999999999</v>
      </c>
      <c r="I69" s="185">
        <f>VLOOKUP(I$61,Tax_depreciation!$A$6:$L$55,MATCH(Tax_Depreciation,Tax_depreciation!$A$4:$L$4,0),0)</f>
        <v>8.7499999999999994E-2</v>
      </c>
      <c r="J69" s="185">
        <f>VLOOKUP(J$61,Tax_depreciation!$A$6:$L$55,MATCH(Tax_Depreciation,Tax_depreciation!$A$4:$L$4,0),0)</f>
        <v>8.7400000000000005E-2</v>
      </c>
      <c r="K69" s="185">
        <f>VLOOKUP(K$61,Tax_depreciation!$A$6:$L$55,MATCH(Tax_Depreciation,Tax_depreciation!$A$4:$L$4,0),0)</f>
        <v>8.7499999999999994E-2</v>
      </c>
      <c r="L69" s="185">
        <f>VLOOKUP(L$61,Tax_depreciation!$A$6:$L$55,MATCH(Tax_Depreciation,Tax_depreciation!$A$4:$L$4,0),0)</f>
        <v>1.09E-2</v>
      </c>
      <c r="M69" s="185">
        <f>VLOOKUP(M$61,Tax_depreciation!$A$6:$L$55,MATCH(Tax_Depreciation,Tax_depreciation!$A$4:$L$4,0),0)</f>
        <v>0</v>
      </c>
      <c r="N69" s="185">
        <f>VLOOKUP(N$61,Tax_depreciation!$A$6:$L$55,MATCH(Tax_Depreciation,Tax_depreciation!$A$4:$L$4,0),0)</f>
        <v>0</v>
      </c>
      <c r="O69" s="185">
        <f>VLOOKUP(O$61,Tax_depreciation!$A$6:$L$55,MATCH(Tax_Depreciation,Tax_depreciation!$A$4:$L$4,0),0)</f>
        <v>0</v>
      </c>
      <c r="P69" s="185">
        <f>VLOOKUP(P$61,Tax_depreciation!$A$6:$L$55,MATCH(Tax_Depreciation,Tax_depreciation!$A$4:$L$4,0),0)</f>
        <v>0</v>
      </c>
      <c r="Q69" s="185">
        <f>VLOOKUP(Q$61,Tax_depreciation!$A$6:$L$55,MATCH(Tax_Depreciation,Tax_depreciation!$A$4:$L$4,0),0)</f>
        <v>0</v>
      </c>
      <c r="R69" s="185">
        <f>VLOOKUP(R$61,Tax_depreciation!$A$6:$L$55,MATCH(Tax_Depreciation,Tax_depreciation!$A$4:$L$4,0),0)</f>
        <v>0</v>
      </c>
      <c r="S69" s="185">
        <f>VLOOKUP(S$61,Tax_depreciation!$A$6:$L$55,MATCH(Tax_Depreciation,Tax_depreciation!$A$4:$L$4,0),0)</f>
        <v>0</v>
      </c>
      <c r="T69" s="185">
        <f>VLOOKUP(T$61,Tax_depreciation!$A$6:$L$55,MATCH(Tax_Depreciation,Tax_depreciation!$A$4:$L$4,0),0)</f>
        <v>0</v>
      </c>
      <c r="U69" s="185">
        <f>VLOOKUP(U$61,Tax_depreciation!$A$6:$L$55,MATCH(Tax_Depreciation,Tax_depreciation!$A$4:$L$4,0),0)</f>
        <v>0</v>
      </c>
      <c r="V69" s="185">
        <f>VLOOKUP(V$61,Tax_depreciation!$A$6:$L$55,MATCH(Tax_Depreciation,Tax_depreciation!$A$4:$L$4,0),0)</f>
        <v>0</v>
      </c>
      <c r="W69" s="185">
        <f>VLOOKUP(W$61,Tax_depreciation!$A$6:$L$55,MATCH(Tax_Depreciation,Tax_depreciation!$A$4:$L$4,0),0)</f>
        <v>0</v>
      </c>
      <c r="X69" s="185">
        <f>VLOOKUP(X$61,Tax_depreciation!$A$6:$L$55,MATCH(Tax_Depreciation,Tax_depreciation!$A$4:$L$4,0),0)</f>
        <v>0</v>
      </c>
      <c r="Y69" s="185">
        <f>VLOOKUP(Y$61,Tax_depreciation!$A$6:$L$55,MATCH(Tax_Depreciation,Tax_depreciation!$A$4:$L$4,0),0)</f>
        <v>0</v>
      </c>
      <c r="Z69" s="185">
        <f>VLOOKUP(Z$61,Tax_depreciation!$A$6:$L$55,MATCH(Tax_Depreciation,Tax_depreciation!$A$4:$L$4,0),0)</f>
        <v>0</v>
      </c>
      <c r="AA69" s="185">
        <f>VLOOKUP(AA$61,Tax_depreciation!$A$6:$L$55,MATCH(Tax_Depreciation,Tax_depreciation!$A$4:$L$4,0),0)</f>
        <v>0</v>
      </c>
      <c r="AB69" s="185">
        <f>VLOOKUP(AB$61,Tax_depreciation!$A$6:$L$55,MATCH(Tax_Depreciation,Tax_depreciation!$A$4:$L$4,0),0)</f>
        <v>0</v>
      </c>
      <c r="AC69" s="185">
        <f>VLOOKUP(AC$61,Tax_depreciation!$A$6:$L$55,MATCH(Tax_Depreciation,Tax_depreciation!$A$4:$L$4,0),0)</f>
        <v>0</v>
      </c>
      <c r="AD69" s="185">
        <f>VLOOKUP(AD$61,Tax_depreciation!$A$6:$L$55,MATCH(Tax_Depreciation,Tax_depreciation!$A$4:$L$4,0),0)</f>
        <v>0</v>
      </c>
      <c r="AE69" s="185">
        <f>VLOOKUP(AE$61,Tax_depreciation!$A$6:$L$55,MATCH(Tax_Depreciation,Tax_depreciation!$A$4:$L$4,0),0)</f>
        <v>0</v>
      </c>
      <c r="AF69" s="185">
        <f>VLOOKUP(AF$61,Tax_depreciation!$A$6:$L$55,MATCH(Tax_Depreciation,Tax_depreciation!$A$4:$L$4,0),0)</f>
        <v>0</v>
      </c>
      <c r="AG69" s="185">
        <f>VLOOKUP(AG$61,Tax_depreciation!$A$6:$L$55,MATCH(Tax_Depreciation,Tax_depreciation!$A$4:$L$4,0),0)</f>
        <v>0</v>
      </c>
      <c r="AH69" s="185">
        <f>VLOOKUP(AH$61,Tax_depreciation!$A$6:$L$55,MATCH(Tax_Depreciation,Tax_depreciation!$A$4:$L$4,0),0)</f>
        <v>0</v>
      </c>
      <c r="AI69" s="185">
        <f>VLOOKUP(AI$61,Tax_depreciation!$A$6:$L$55,MATCH(Tax_Depreciation,Tax_depreciation!$A$4:$L$4,0),0)</f>
        <v>0</v>
      </c>
      <c r="AJ69" s="185">
        <f>VLOOKUP(AJ$61,Tax_depreciation!$A$6:$L$55,MATCH(Tax_Depreciation,Tax_depreciation!$A$4:$L$4,0),0)</f>
        <v>0</v>
      </c>
      <c r="AK69" s="185">
        <f>VLOOKUP(AK$61,Tax_depreciation!$A$6:$L$55,MATCH(Tax_Depreciation,Tax_depreciation!$A$4:$L$4,0),0)</f>
        <v>0</v>
      </c>
      <c r="AL69" s="185">
        <f>VLOOKUP(AL$61,Tax_depreciation!$A$6:$L$55,MATCH(Tax_Depreciation,Tax_depreciation!$A$4:$L$4,0),0)</f>
        <v>0</v>
      </c>
      <c r="AM69" s="185">
        <f>VLOOKUP(AM$61,Tax_depreciation!$A$6:$L$55,MATCH(Tax_Depreciation,Tax_depreciation!$A$4:$L$4,0),0)</f>
        <v>0</v>
      </c>
      <c r="AN69" s="185">
        <f>VLOOKUP(AN$61,Tax_depreciation!$A$6:$L$55,MATCH(Tax_Depreciation,Tax_depreciation!$A$4:$L$4,0),0)</f>
        <v>0</v>
      </c>
      <c r="AO69" s="185">
        <f>VLOOKUP(AO$61,Tax_depreciation!$A$6:$L$55,MATCH(Tax_Depreciation,Tax_depreciation!$A$4:$L$4,0),0)</f>
        <v>0</v>
      </c>
      <c r="AP69" s="185">
        <f>VLOOKUP(AP$61,Tax_depreciation!$A$6:$L$55,MATCH(Tax_Depreciation,Tax_depreciation!$A$4:$L$4,0),0)</f>
        <v>0</v>
      </c>
      <c r="AQ69" s="185">
        <f>VLOOKUP(AQ$61,Tax_depreciation!$A$6:$L$55,MATCH(Tax_Depreciation,Tax_depreciation!$A$4:$L$4,0),0)</f>
        <v>0</v>
      </c>
      <c r="AR69" s="185">
        <f>VLOOKUP(AR$61,Tax_depreciation!$A$6:$L$55,MATCH(Tax_Depreciation,Tax_depreciation!$A$4:$L$4,0),0)</f>
        <v>0</v>
      </c>
      <c r="AS69" s="185">
        <f>VLOOKUP(AS$61,Tax_depreciation!$A$6:$L$55,MATCH(Tax_Depreciation,Tax_depreciation!$A$4:$L$4,0),0)</f>
        <v>0</v>
      </c>
      <c r="AT69" s="185">
        <f>VLOOKUP(AT$61,Tax_depreciation!$A$6:$L$55,MATCH(Tax_Depreciation,Tax_depreciation!$A$4:$L$4,0),0)</f>
        <v>0</v>
      </c>
      <c r="AU69" s="185">
        <f>VLOOKUP(AU$61,Tax_depreciation!$A$6:$L$55,MATCH(Tax_Depreciation,Tax_depreciation!$A$4:$L$4,0),0)</f>
        <v>0</v>
      </c>
      <c r="AV69" s="185">
        <f>VLOOKUP(AV$61,Tax_depreciation!$A$6:$L$55,MATCH(Tax_Depreciation,Tax_depreciation!$A$4:$L$4,0),0)</f>
        <v>0</v>
      </c>
      <c r="AW69" s="185">
        <f>VLOOKUP(AW$61,Tax_depreciation!$A$6:$L$55,MATCH(Tax_Depreciation,Tax_depreciation!$A$4:$L$4,0),0)</f>
        <v>0</v>
      </c>
      <c r="AX69" s="185">
        <f>VLOOKUP(AX$61,Tax_depreciation!$A$6:$L$55,MATCH(Tax_Depreciation,Tax_depreciation!$A$4:$L$4,0),0)</f>
        <v>0</v>
      </c>
      <c r="AY69" s="185">
        <f>VLOOKUP(AY$61,Tax_depreciation!$A$6:$L$55,MATCH(Tax_Depreciation,Tax_depreciation!$A$4:$L$4,0),0)</f>
        <v>0</v>
      </c>
      <c r="AZ69" s="185">
        <f>VLOOKUP(AZ$61,Tax_depreciation!$A$6:$L$55,MATCH(Tax_Depreciation,Tax_depreciation!$A$4:$L$4,0),0)</f>
        <v>0</v>
      </c>
      <c r="BA69" s="185">
        <f>VLOOKUP(BA$61,Tax_depreciation!$A$6:$L$55,MATCH(Tax_Depreciation,Tax_depreciation!$A$4:$L$4,0),0)</f>
        <v>0</v>
      </c>
      <c r="BB69" s="185">
        <f>VLOOKUP(BB$61,Tax_depreciation!$A$6:$L$55,MATCH(Tax_Depreciation,Tax_depreciation!$A$4:$L$4,0),0)</f>
        <v>0</v>
      </c>
    </row>
    <row r="70" spans="3:55" s="8" customFormat="1">
      <c r="C70" s="8" t="s">
        <v>27</v>
      </c>
      <c r="D70" s="27"/>
      <c r="E70" s="1025">
        <f>($D$31*Plant_Capacity*Depreciable_Cost+E69*Plant_Capacity*Depreciable_Cost*(1-$D$31))/10^3</f>
        <v>133.301004022245</v>
      </c>
      <c r="F70" s="27">
        <f>F69*Plant_Capacity*Depreciable_Cost*(1-$D$31)/10^3</f>
        <v>57.132810323934216</v>
      </c>
      <c r="G70" s="27">
        <f>G69*Plant_Capacity*Depreciable_Cost*(1-$D$31)/10^3</f>
        <v>40.816767431611432</v>
      </c>
      <c r="H70" s="27">
        <f>H69*Plant_Capacity*Depreciable_Cost*(1-$D$31)/10^3</f>
        <v>29.13959947926276</v>
      </c>
      <c r="I70" s="27">
        <f t="shared" ref="I70:AK70" si="9">I69*Plant_Capacity*Depreciable_Cost*(1-$D$31)/10^3</f>
        <v>23.327675703892876</v>
      </c>
      <c r="J70" s="27">
        <f t="shared" si="9"/>
        <v>23.301015503088426</v>
      </c>
      <c r="K70" s="27">
        <f t="shared" si="9"/>
        <v>23.327675703892876</v>
      </c>
      <c r="L70" s="27">
        <f t="shared" si="9"/>
        <v>2.9059618876849411</v>
      </c>
      <c r="M70" s="27">
        <f t="shared" si="9"/>
        <v>0</v>
      </c>
      <c r="N70" s="27">
        <f t="shared" si="9"/>
        <v>0</v>
      </c>
      <c r="O70" s="27">
        <f t="shared" si="9"/>
        <v>0</v>
      </c>
      <c r="P70" s="27">
        <f t="shared" si="9"/>
        <v>0</v>
      </c>
      <c r="Q70" s="27">
        <f t="shared" si="9"/>
        <v>0</v>
      </c>
      <c r="R70" s="27">
        <f t="shared" si="9"/>
        <v>0</v>
      </c>
      <c r="S70" s="27">
        <f t="shared" si="9"/>
        <v>0</v>
      </c>
      <c r="T70" s="27">
        <f t="shared" si="9"/>
        <v>0</v>
      </c>
      <c r="U70" s="27">
        <f t="shared" si="9"/>
        <v>0</v>
      </c>
      <c r="V70" s="27">
        <f t="shared" si="9"/>
        <v>0</v>
      </c>
      <c r="W70" s="27">
        <f t="shared" si="9"/>
        <v>0</v>
      </c>
      <c r="X70" s="27">
        <f t="shared" si="9"/>
        <v>0</v>
      </c>
      <c r="Y70" s="27">
        <f t="shared" si="9"/>
        <v>0</v>
      </c>
      <c r="Z70" s="27">
        <f t="shared" si="9"/>
        <v>0</v>
      </c>
      <c r="AA70" s="27">
        <f t="shared" si="9"/>
        <v>0</v>
      </c>
      <c r="AB70" s="27">
        <f t="shared" si="9"/>
        <v>0</v>
      </c>
      <c r="AC70" s="27">
        <f t="shared" si="9"/>
        <v>0</v>
      </c>
      <c r="AD70" s="27">
        <f t="shared" si="9"/>
        <v>0</v>
      </c>
      <c r="AE70" s="27">
        <f t="shared" si="9"/>
        <v>0</v>
      </c>
      <c r="AF70" s="27">
        <f t="shared" si="9"/>
        <v>0</v>
      </c>
      <c r="AG70" s="27">
        <f t="shared" si="9"/>
        <v>0</v>
      </c>
      <c r="AH70" s="27">
        <f t="shared" si="9"/>
        <v>0</v>
      </c>
      <c r="AI70" s="27">
        <f t="shared" si="9"/>
        <v>0</v>
      </c>
      <c r="AJ70" s="27">
        <f t="shared" si="9"/>
        <v>0</v>
      </c>
      <c r="AK70" s="27">
        <f t="shared" si="9"/>
        <v>0</v>
      </c>
      <c r="AL70" s="27">
        <f t="shared" ref="AL70:BB70" si="10">AL69*Plant_Capacity*Depreciable_Cost*(1-$D$31)/10^3</f>
        <v>0</v>
      </c>
      <c r="AM70" s="27">
        <f t="shared" si="10"/>
        <v>0</v>
      </c>
      <c r="AN70" s="27">
        <f t="shared" si="10"/>
        <v>0</v>
      </c>
      <c r="AO70" s="27">
        <f t="shared" si="10"/>
        <v>0</v>
      </c>
      <c r="AP70" s="27">
        <f t="shared" si="10"/>
        <v>0</v>
      </c>
      <c r="AQ70" s="27">
        <f t="shared" si="10"/>
        <v>0</v>
      </c>
      <c r="AR70" s="27">
        <f t="shared" si="10"/>
        <v>0</v>
      </c>
      <c r="AS70" s="27">
        <f t="shared" si="10"/>
        <v>0</v>
      </c>
      <c r="AT70" s="27">
        <f t="shared" si="10"/>
        <v>0</v>
      </c>
      <c r="AU70" s="27">
        <f t="shared" si="10"/>
        <v>0</v>
      </c>
      <c r="AV70" s="27">
        <f t="shared" si="10"/>
        <v>0</v>
      </c>
      <c r="AW70" s="27">
        <f t="shared" si="10"/>
        <v>0</v>
      </c>
      <c r="AX70" s="27">
        <f t="shared" si="10"/>
        <v>0</v>
      </c>
      <c r="AY70" s="27">
        <f t="shared" si="10"/>
        <v>0</v>
      </c>
      <c r="AZ70" s="27">
        <f t="shared" si="10"/>
        <v>0</v>
      </c>
      <c r="BA70" s="27">
        <f t="shared" si="10"/>
        <v>0</v>
      </c>
      <c r="BB70" s="27">
        <f t="shared" si="10"/>
        <v>0</v>
      </c>
    </row>
    <row r="71" spans="3:55" s="28" customFormat="1">
      <c r="C71" s="28" t="s">
        <v>75</v>
      </c>
      <c r="E71" s="186">
        <f t="shared" ref="E71:X71" si="11">Tax_Rate*(E64-E67-E70)</f>
        <v>-27.342281320683185</v>
      </c>
      <c r="F71" s="29">
        <f t="shared" si="11"/>
        <v>-4.4889386034843994</v>
      </c>
      <c r="G71" s="29">
        <f t="shared" si="11"/>
        <v>0.35608352167683133</v>
      </c>
      <c r="H71" s="29">
        <f t="shared" si="11"/>
        <v>3.8036466618679636</v>
      </c>
      <c r="I71" s="29">
        <f t="shared" si="11"/>
        <v>5.4847436681900117</v>
      </c>
      <c r="J71" s="29">
        <f t="shared" si="11"/>
        <v>-3.7574527318476365</v>
      </c>
      <c r="K71" s="29">
        <f t="shared" si="11"/>
        <v>5.3439571181181282</v>
      </c>
      <c r="L71" s="29">
        <f t="shared" si="11"/>
        <v>11.414347463074449</v>
      </c>
      <c r="M71" s="29">
        <f t="shared" si="11"/>
        <v>12.212984385433034</v>
      </c>
      <c r="N71" s="29">
        <f t="shared" si="11"/>
        <v>12.135160928197383</v>
      </c>
      <c r="O71" s="29">
        <f t="shared" si="11"/>
        <v>2.1100304521207627</v>
      </c>
      <c r="P71" s="29">
        <f t="shared" si="11"/>
        <v>11.972650492677902</v>
      </c>
      <c r="Q71" s="29">
        <f t="shared" si="11"/>
        <v>11.887829652015057</v>
      </c>
      <c r="R71" s="29">
        <f t="shared" si="11"/>
        <v>11.800539230645425</v>
      </c>
      <c r="S71" s="29">
        <f t="shared" si="11"/>
        <v>11.710707326088206</v>
      </c>
      <c r="T71" s="29">
        <f t="shared" si="11"/>
        <v>0.8930528253983997</v>
      </c>
      <c r="U71" s="29">
        <f t="shared" si="11"/>
        <v>11.523120929239598</v>
      </c>
      <c r="V71" s="29">
        <f t="shared" si="11"/>
        <v>11.425211919108948</v>
      </c>
      <c r="W71" s="29">
        <f t="shared" si="11"/>
        <v>11.324452262833439</v>
      </c>
      <c r="X71" s="29">
        <f t="shared" si="11"/>
        <v>11.220758963113516</v>
      </c>
      <c r="Y71" s="29">
        <f t="shared" ref="Y71:AJ71" si="12">Tax_Rate*(Y64-Y67-Y70)</f>
        <v>0</v>
      </c>
      <c r="Z71" s="29">
        <f t="shared" si="12"/>
        <v>0</v>
      </c>
      <c r="AA71" s="29">
        <f t="shared" si="12"/>
        <v>0</v>
      </c>
      <c r="AB71" s="29">
        <f t="shared" si="12"/>
        <v>0</v>
      </c>
      <c r="AC71" s="29">
        <f t="shared" si="12"/>
        <v>0</v>
      </c>
      <c r="AD71" s="29">
        <f t="shared" si="12"/>
        <v>0</v>
      </c>
      <c r="AE71" s="29">
        <f t="shared" si="12"/>
        <v>0</v>
      </c>
      <c r="AF71" s="29">
        <f t="shared" si="12"/>
        <v>0</v>
      </c>
      <c r="AG71" s="29">
        <f t="shared" si="12"/>
        <v>0</v>
      </c>
      <c r="AH71" s="29">
        <f t="shared" si="12"/>
        <v>0</v>
      </c>
      <c r="AI71" s="29">
        <f t="shared" si="12"/>
        <v>0</v>
      </c>
      <c r="AJ71" s="29">
        <f t="shared" si="12"/>
        <v>0</v>
      </c>
      <c r="AK71" s="29">
        <f t="shared" ref="AK71:BB71" si="13">Tax_Rate*(AK64-AK67-AK70)</f>
        <v>0</v>
      </c>
      <c r="AL71" s="29">
        <f t="shared" si="13"/>
        <v>0</v>
      </c>
      <c r="AM71" s="29">
        <f t="shared" si="13"/>
        <v>0</v>
      </c>
      <c r="AN71" s="29">
        <f t="shared" si="13"/>
        <v>0</v>
      </c>
      <c r="AO71" s="29">
        <f t="shared" si="13"/>
        <v>0</v>
      </c>
      <c r="AP71" s="29">
        <f t="shared" si="13"/>
        <v>0</v>
      </c>
      <c r="AQ71" s="29">
        <f t="shared" si="13"/>
        <v>0</v>
      </c>
      <c r="AR71" s="29">
        <f t="shared" si="13"/>
        <v>0</v>
      </c>
      <c r="AS71" s="29">
        <f t="shared" si="13"/>
        <v>0</v>
      </c>
      <c r="AT71" s="29">
        <f t="shared" si="13"/>
        <v>0</v>
      </c>
      <c r="AU71" s="29">
        <f t="shared" si="13"/>
        <v>0</v>
      </c>
      <c r="AV71" s="29">
        <f t="shared" si="13"/>
        <v>0</v>
      </c>
      <c r="AW71" s="29">
        <f t="shared" si="13"/>
        <v>0</v>
      </c>
      <c r="AX71" s="29">
        <f t="shared" si="13"/>
        <v>0</v>
      </c>
      <c r="AY71" s="29">
        <f t="shared" si="13"/>
        <v>0</v>
      </c>
      <c r="AZ71" s="29">
        <f t="shared" si="13"/>
        <v>0</v>
      </c>
      <c r="BA71" s="29">
        <f t="shared" si="13"/>
        <v>0</v>
      </c>
      <c r="BB71" s="29">
        <f t="shared" si="13"/>
        <v>0</v>
      </c>
    </row>
    <row r="72" spans="3:55" s="18" customFormat="1">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row>
    <row r="73" spans="3:55" s="18" customFormat="1">
      <c r="C73" s="18" t="s">
        <v>28</v>
      </c>
      <c r="D73" s="31">
        <f>-Plant_Capacity*Installed_Cost/10^3</f>
        <v>-345.09237326728731</v>
      </c>
      <c r="E73" s="30">
        <f t="shared" ref="E73:X73" si="14">E64-E67-E71</f>
        <v>69.759850672217908</v>
      </c>
      <c r="F73" s="30">
        <f t="shared" si="14"/>
        <v>46.700895999100851</v>
      </c>
      <c r="G73" s="30">
        <f t="shared" si="14"/>
        <v>41.644275472762693</v>
      </c>
      <c r="H73" s="30">
        <f t="shared" si="14"/>
        <v>37.97895318923446</v>
      </c>
      <c r="I73" s="30">
        <f t="shared" si="14"/>
        <v>36.073756925814251</v>
      </c>
      <c r="J73" s="30">
        <f t="shared" si="14"/>
        <v>14.56901258644799</v>
      </c>
      <c r="K73" s="30">
        <f t="shared" si="14"/>
        <v>35.746580869697397</v>
      </c>
      <c r="L73" s="30">
        <f t="shared" si="14"/>
        <v>29.431941707556973</v>
      </c>
      <c r="M73" s="30">
        <f t="shared" si="14"/>
        <v>28.381944600550128</v>
      </c>
      <c r="N73" s="30">
        <f t="shared" si="14"/>
        <v>28.201089456370948</v>
      </c>
      <c r="O73" s="30">
        <f t="shared" si="14"/>
        <v>4.9035326262264629</v>
      </c>
      <c r="P73" s="30">
        <f t="shared" si="14"/>
        <v>27.823428924566244</v>
      </c>
      <c r="Q73" s="30">
        <f t="shared" si="14"/>
        <v>27.626312452073549</v>
      </c>
      <c r="R73" s="30">
        <f t="shared" si="14"/>
        <v>27.423456882518693</v>
      </c>
      <c r="S73" s="30">
        <f t="shared" si="14"/>
        <v>27.214695120606848</v>
      </c>
      <c r="T73" s="30">
        <f t="shared" si="14"/>
        <v>2.0753793680481674</v>
      </c>
      <c r="U73" s="30">
        <f t="shared" si="14"/>
        <v>26.778760171772859</v>
      </c>
      <c r="V73" s="30">
        <f t="shared" si="14"/>
        <v>26.55122789843783</v>
      </c>
      <c r="W73" s="30">
        <f t="shared" si="14"/>
        <v>26.317070964134949</v>
      </c>
      <c r="X73" s="30">
        <f t="shared" si="14"/>
        <v>26.076096490147293</v>
      </c>
      <c r="Y73" s="30">
        <f t="shared" ref="Y73:AJ73" si="15">Y64-Y67-Y71</f>
        <v>0</v>
      </c>
      <c r="Z73" s="30">
        <f t="shared" si="15"/>
        <v>0</v>
      </c>
      <c r="AA73" s="30">
        <f t="shared" si="15"/>
        <v>0</v>
      </c>
      <c r="AB73" s="30">
        <f t="shared" si="15"/>
        <v>0</v>
      </c>
      <c r="AC73" s="30">
        <f t="shared" si="15"/>
        <v>0</v>
      </c>
      <c r="AD73" s="30">
        <f t="shared" si="15"/>
        <v>0</v>
      </c>
      <c r="AE73" s="30">
        <f t="shared" si="15"/>
        <v>0</v>
      </c>
      <c r="AF73" s="30">
        <f t="shared" si="15"/>
        <v>0</v>
      </c>
      <c r="AG73" s="30">
        <f t="shared" si="15"/>
        <v>0</v>
      </c>
      <c r="AH73" s="30">
        <f t="shared" si="15"/>
        <v>0</v>
      </c>
      <c r="AI73" s="30">
        <f t="shared" si="15"/>
        <v>0</v>
      </c>
      <c r="AJ73" s="30">
        <f t="shared" si="15"/>
        <v>0</v>
      </c>
      <c r="AK73" s="30">
        <f t="shared" ref="AK73:BB73" si="16">AK64-AK67-AK71</f>
        <v>0</v>
      </c>
      <c r="AL73" s="30">
        <f t="shared" si="16"/>
        <v>0</v>
      </c>
      <c r="AM73" s="30">
        <f t="shared" si="16"/>
        <v>0</v>
      </c>
      <c r="AN73" s="30">
        <f t="shared" si="16"/>
        <v>0</v>
      </c>
      <c r="AO73" s="30">
        <f t="shared" si="16"/>
        <v>0</v>
      </c>
      <c r="AP73" s="30">
        <f t="shared" si="16"/>
        <v>0</v>
      </c>
      <c r="AQ73" s="30">
        <f t="shared" si="16"/>
        <v>0</v>
      </c>
      <c r="AR73" s="30">
        <f t="shared" si="16"/>
        <v>0</v>
      </c>
      <c r="AS73" s="30">
        <f t="shared" si="16"/>
        <v>0</v>
      </c>
      <c r="AT73" s="30">
        <f t="shared" si="16"/>
        <v>0</v>
      </c>
      <c r="AU73" s="30">
        <f t="shared" si="16"/>
        <v>0</v>
      </c>
      <c r="AV73" s="30">
        <f t="shared" si="16"/>
        <v>0</v>
      </c>
      <c r="AW73" s="30">
        <f t="shared" si="16"/>
        <v>0</v>
      </c>
      <c r="AX73" s="30">
        <f t="shared" si="16"/>
        <v>0</v>
      </c>
      <c r="AY73" s="30">
        <f t="shared" si="16"/>
        <v>0</v>
      </c>
      <c r="AZ73" s="30">
        <f t="shared" si="16"/>
        <v>0</v>
      </c>
      <c r="BA73" s="30">
        <f t="shared" si="16"/>
        <v>0</v>
      </c>
      <c r="BB73" s="30">
        <f t="shared" si="16"/>
        <v>0</v>
      </c>
      <c r="BC73" s="30"/>
    </row>
    <row r="74" spans="3:55" s="18" customFormat="1">
      <c r="C74" s="61" t="s">
        <v>70</v>
      </c>
      <c r="D74" s="30">
        <f>NPV(ATWACC,$E$73:$BB$73)*(1+ATWACC)^0.5</f>
        <v>345.09237326728726</v>
      </c>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row>
    <row r="75" spans="3:55" s="9" customFormat="1">
      <c r="D75" s="64" t="b">
        <f>ABS((D73+D74)/D73)&lt;0.001</f>
        <v>1</v>
      </c>
    </row>
    <row r="76" spans="3:55" s="21" customFormat="1" ht="5.25" customHeight="1" thickBot="1"/>
    <row r="77" spans="3:55" s="6" customFormat="1" ht="13.5" thickTop="1"/>
    <row r="78" spans="3:55" s="42" customFormat="1"/>
    <row r="79" spans="3:55" s="42" customFormat="1">
      <c r="C79" s="43" t="str">
        <f>C86</f>
        <v>Interest Payments ($m)</v>
      </c>
      <c r="E79" s="44">
        <f t="shared" ref="E79:BB79" si="17">E86</f>
        <v>4.4091067540719049</v>
      </c>
      <c r="F79" s="44">
        <f t="shared" ref="F79:X79" si="18">F86</f>
        <v>7.4613042052188021</v>
      </c>
      <c r="G79" s="44">
        <f t="shared" si="18"/>
        <v>6.845566217088221</v>
      </c>
      <c r="H79" s="44">
        <f t="shared" si="18"/>
        <v>6.3117304550976101</v>
      </c>
      <c r="I79" s="44">
        <f t="shared" si="18"/>
        <v>5.8303244970954395</v>
      </c>
      <c r="J79" s="44">
        <f t="shared" si="18"/>
        <v>5.3600053547553106</v>
      </c>
      <c r="K79" s="44">
        <f t="shared" si="18"/>
        <v>5.4083002312832953</v>
      </c>
      <c r="L79" s="44">
        <f t="shared" si="18"/>
        <v>4.9129834487643942</v>
      </c>
      <c r="M79" s="44">
        <f t="shared" si="18"/>
        <v>4.5416348276649909</v>
      </c>
      <c r="N79" s="44">
        <f t="shared" si="18"/>
        <v>4.1679907023292149</v>
      </c>
      <c r="O79" s="44">
        <f t="shared" si="18"/>
        <v>3.769401781447514</v>
      </c>
      <c r="P79" s="44">
        <f t="shared" si="18"/>
        <v>3.9414573541387972</v>
      </c>
      <c r="Q79" s="44">
        <f t="shared" si="18"/>
        <v>3.5346729736634823</v>
      </c>
      <c r="R79" s="44">
        <f t="shared" si="18"/>
        <v>3.1007370246221129</v>
      </c>
      <c r="S79" s="44">
        <f t="shared" si="18"/>
        <v>2.6376454756321412</v>
      </c>
      <c r="T79" s="44">
        <f t="shared" si="18"/>
        <v>2.1432397490894912</v>
      </c>
      <c r="U79" s="44">
        <f t="shared" si="18"/>
        <v>2.2594922959941104</v>
      </c>
      <c r="V79" s="44">
        <f t="shared" si="18"/>
        <v>1.7463781404701613</v>
      </c>
      <c r="W79" s="44">
        <f t="shared" si="18"/>
        <v>1.1984695816504334</v>
      </c>
      <c r="X79" s="44">
        <f t="shared" si="18"/>
        <v>0.61317960933163318</v>
      </c>
      <c r="Y79" s="44">
        <f t="shared" si="17"/>
        <v>0</v>
      </c>
      <c r="Z79" s="44">
        <f t="shared" si="17"/>
        <v>0</v>
      </c>
      <c r="AA79" s="44">
        <f t="shared" si="17"/>
        <v>0</v>
      </c>
      <c r="AB79" s="44">
        <f t="shared" si="17"/>
        <v>0</v>
      </c>
      <c r="AC79" s="44">
        <f t="shared" si="17"/>
        <v>0</v>
      </c>
      <c r="AD79" s="44">
        <f t="shared" si="17"/>
        <v>0</v>
      </c>
      <c r="AE79" s="44">
        <f t="shared" si="17"/>
        <v>0</v>
      </c>
      <c r="AF79" s="44">
        <f t="shared" si="17"/>
        <v>0</v>
      </c>
      <c r="AG79" s="44">
        <f t="shared" si="17"/>
        <v>0</v>
      </c>
      <c r="AH79" s="44">
        <f t="shared" si="17"/>
        <v>0</v>
      </c>
      <c r="AI79" s="44">
        <f t="shared" si="17"/>
        <v>0</v>
      </c>
      <c r="AJ79" s="44">
        <f t="shared" si="17"/>
        <v>0</v>
      </c>
      <c r="AK79" s="44">
        <f t="shared" si="17"/>
        <v>0</v>
      </c>
      <c r="AL79" s="44">
        <f t="shared" si="17"/>
        <v>0</v>
      </c>
      <c r="AM79" s="44">
        <f t="shared" si="17"/>
        <v>0</v>
      </c>
      <c r="AN79" s="44">
        <f t="shared" si="17"/>
        <v>0</v>
      </c>
      <c r="AO79" s="44">
        <f t="shared" si="17"/>
        <v>0</v>
      </c>
      <c r="AP79" s="44">
        <f t="shared" si="17"/>
        <v>0</v>
      </c>
      <c r="AQ79" s="44">
        <f t="shared" si="17"/>
        <v>0</v>
      </c>
      <c r="AR79" s="44">
        <f t="shared" si="17"/>
        <v>0</v>
      </c>
      <c r="AS79" s="44">
        <f t="shared" si="17"/>
        <v>0</v>
      </c>
      <c r="AT79" s="44">
        <f t="shared" si="17"/>
        <v>0</v>
      </c>
      <c r="AU79" s="44">
        <f t="shared" si="17"/>
        <v>0</v>
      </c>
      <c r="AV79" s="44">
        <f t="shared" si="17"/>
        <v>0</v>
      </c>
      <c r="AW79" s="44">
        <f t="shared" si="17"/>
        <v>0</v>
      </c>
      <c r="AX79" s="44">
        <f t="shared" si="17"/>
        <v>0</v>
      </c>
      <c r="AY79" s="44">
        <f t="shared" si="17"/>
        <v>0</v>
      </c>
      <c r="AZ79" s="44">
        <f t="shared" si="17"/>
        <v>0</v>
      </c>
      <c r="BA79" s="44">
        <f t="shared" si="17"/>
        <v>0</v>
      </c>
      <c r="BB79" s="44">
        <f t="shared" si="17"/>
        <v>0</v>
      </c>
    </row>
    <row r="80" spans="3:55" s="42" customFormat="1">
      <c r="C80" s="42" t="s">
        <v>29</v>
      </c>
      <c r="E80" s="45">
        <f t="shared" ref="E80:X80" si="19">E64-E67-E70-E79</f>
        <v>-95.292541424782172</v>
      </c>
      <c r="F80" s="45">
        <f t="shared" si="19"/>
        <v>-22.382157133536566</v>
      </c>
      <c r="G80" s="45">
        <f t="shared" si="19"/>
        <v>-5.6619746542601295</v>
      </c>
      <c r="H80" s="45">
        <f t="shared" si="19"/>
        <v>6.3312699167420554</v>
      </c>
      <c r="I80" s="45">
        <f t="shared" si="19"/>
        <v>12.40050039301595</v>
      </c>
      <c r="J80" s="45">
        <f t="shared" si="19"/>
        <v>-17.849461003243384</v>
      </c>
      <c r="K80" s="45">
        <f t="shared" si="19"/>
        <v>12.354562052639352</v>
      </c>
      <c r="L80" s="45">
        <f t="shared" si="19"/>
        <v>33.027343834182091</v>
      </c>
      <c r="M80" s="45">
        <f t="shared" si="19"/>
        <v>36.053294158318167</v>
      </c>
      <c r="N80" s="45">
        <f t="shared" si="19"/>
        <v>36.168259682239118</v>
      </c>
      <c r="O80" s="45">
        <f t="shared" si="19"/>
        <v>3.2441612968997111</v>
      </c>
      <c r="P80" s="45">
        <f t="shared" si="19"/>
        <v>35.854622063105346</v>
      </c>
      <c r="Q80" s="45">
        <f t="shared" si="19"/>
        <v>35.979469130425123</v>
      </c>
      <c r="R80" s="45">
        <f t="shared" si="19"/>
        <v>36.123259088542007</v>
      </c>
      <c r="S80" s="45">
        <f t="shared" si="19"/>
        <v>36.287756971062912</v>
      </c>
      <c r="T80" s="45">
        <f t="shared" si="19"/>
        <v>0.82519244435707595</v>
      </c>
      <c r="U80" s="45">
        <f t="shared" si="19"/>
        <v>36.042388805018348</v>
      </c>
      <c r="V80" s="45">
        <f t="shared" si="19"/>
        <v>36.230061677076613</v>
      </c>
      <c r="W80" s="45">
        <f t="shared" si="19"/>
        <v>36.443053645317953</v>
      </c>
      <c r="X80" s="45">
        <f t="shared" si="19"/>
        <v>36.68367584392918</v>
      </c>
      <c r="Y80" s="45">
        <f t="shared" ref="Y80:AJ80" si="20">Y64-Y67-Y70-Y79</f>
        <v>0</v>
      </c>
      <c r="Z80" s="45">
        <f t="shared" si="20"/>
        <v>0</v>
      </c>
      <c r="AA80" s="45">
        <f t="shared" si="20"/>
        <v>0</v>
      </c>
      <c r="AB80" s="45">
        <f t="shared" si="20"/>
        <v>0</v>
      </c>
      <c r="AC80" s="45">
        <f t="shared" si="20"/>
        <v>0</v>
      </c>
      <c r="AD80" s="45">
        <f t="shared" si="20"/>
        <v>0</v>
      </c>
      <c r="AE80" s="45">
        <f t="shared" si="20"/>
        <v>0</v>
      </c>
      <c r="AF80" s="45">
        <f t="shared" si="20"/>
        <v>0</v>
      </c>
      <c r="AG80" s="45">
        <f t="shared" si="20"/>
        <v>0</v>
      </c>
      <c r="AH80" s="45">
        <f t="shared" si="20"/>
        <v>0</v>
      </c>
      <c r="AI80" s="45">
        <f t="shared" si="20"/>
        <v>0</v>
      </c>
      <c r="AJ80" s="45">
        <f t="shared" si="20"/>
        <v>0</v>
      </c>
      <c r="AK80" s="45">
        <f t="shared" ref="AK80:BB80" si="21">AK64-AK67-AK70-AK79</f>
        <v>0</v>
      </c>
      <c r="AL80" s="45">
        <f t="shared" si="21"/>
        <v>0</v>
      </c>
      <c r="AM80" s="45">
        <f t="shared" si="21"/>
        <v>0</v>
      </c>
      <c r="AN80" s="45">
        <f t="shared" si="21"/>
        <v>0</v>
      </c>
      <c r="AO80" s="45">
        <f t="shared" si="21"/>
        <v>0</v>
      </c>
      <c r="AP80" s="45">
        <f t="shared" si="21"/>
        <v>0</v>
      </c>
      <c r="AQ80" s="45">
        <f t="shared" si="21"/>
        <v>0</v>
      </c>
      <c r="AR80" s="45">
        <f t="shared" si="21"/>
        <v>0</v>
      </c>
      <c r="AS80" s="45">
        <f t="shared" si="21"/>
        <v>0</v>
      </c>
      <c r="AT80" s="45">
        <f t="shared" si="21"/>
        <v>0</v>
      </c>
      <c r="AU80" s="45">
        <f t="shared" si="21"/>
        <v>0</v>
      </c>
      <c r="AV80" s="45">
        <f t="shared" si="21"/>
        <v>0</v>
      </c>
      <c r="AW80" s="45">
        <f t="shared" si="21"/>
        <v>0</v>
      </c>
      <c r="AX80" s="45">
        <f t="shared" si="21"/>
        <v>0</v>
      </c>
      <c r="AY80" s="45">
        <f t="shared" si="21"/>
        <v>0</v>
      </c>
      <c r="AZ80" s="45">
        <f t="shared" si="21"/>
        <v>0</v>
      </c>
      <c r="BA80" s="45">
        <f t="shared" si="21"/>
        <v>0</v>
      </c>
      <c r="BB80" s="45">
        <f t="shared" si="21"/>
        <v>0</v>
      </c>
    </row>
    <row r="81" spans="3:54" s="46" customFormat="1">
      <c r="C81" s="46" t="s">
        <v>30</v>
      </c>
      <c r="E81" s="1114">
        <f>Tax_Rate*E80</f>
        <v>-28.668761087645716</v>
      </c>
      <c r="F81" s="47">
        <f t="shared" ref="F81:X81" si="22">Tax_Rate*F80</f>
        <v>-6.7336719736244763</v>
      </c>
      <c r="G81" s="47">
        <f t="shared" si="22"/>
        <v>-1.70340507473416</v>
      </c>
      <c r="H81" s="47">
        <f t="shared" si="22"/>
        <v>1.9047625544518474</v>
      </c>
      <c r="I81" s="47">
        <f t="shared" si="22"/>
        <v>3.7306905432388486</v>
      </c>
      <c r="J81" s="47">
        <f t="shared" si="22"/>
        <v>-5.3700103428257719</v>
      </c>
      <c r="K81" s="47">
        <f t="shared" si="22"/>
        <v>3.716869993536549</v>
      </c>
      <c r="L81" s="47">
        <f t="shared" si="22"/>
        <v>9.9362763925136814</v>
      </c>
      <c r="M81" s="47">
        <f t="shared" si="22"/>
        <v>10.84663354753002</v>
      </c>
      <c r="N81" s="47">
        <f t="shared" si="22"/>
        <v>10.881220925401639</v>
      </c>
      <c r="O81" s="47">
        <f t="shared" si="22"/>
        <v>0.9760059261722781</v>
      </c>
      <c r="P81" s="47">
        <f t="shared" si="22"/>
        <v>10.786863047685243</v>
      </c>
      <c r="Q81" s="47">
        <f t="shared" si="22"/>
        <v>10.824423287888399</v>
      </c>
      <c r="R81" s="47">
        <f t="shared" si="22"/>
        <v>10.867682496787863</v>
      </c>
      <c r="S81" s="47">
        <f t="shared" si="22"/>
        <v>10.917171684744277</v>
      </c>
      <c r="T81" s="47">
        <f t="shared" si="22"/>
        <v>0.24825914688482631</v>
      </c>
      <c r="U81" s="47">
        <f t="shared" si="22"/>
        <v>10.84335267198977</v>
      </c>
      <c r="V81" s="47">
        <f t="shared" si="22"/>
        <v>10.899814055548498</v>
      </c>
      <c r="W81" s="47">
        <f t="shared" si="22"/>
        <v>10.963892689193907</v>
      </c>
      <c r="X81" s="47">
        <f t="shared" si="22"/>
        <v>11.036283877646094</v>
      </c>
      <c r="Y81" s="47">
        <f t="shared" ref="Y81:AJ81" si="23">Tax_Rate*Y80</f>
        <v>0</v>
      </c>
      <c r="Z81" s="47">
        <f t="shared" si="23"/>
        <v>0</v>
      </c>
      <c r="AA81" s="47">
        <f t="shared" si="23"/>
        <v>0</v>
      </c>
      <c r="AB81" s="47">
        <f t="shared" si="23"/>
        <v>0</v>
      </c>
      <c r="AC81" s="47">
        <f t="shared" si="23"/>
        <v>0</v>
      </c>
      <c r="AD81" s="47">
        <f t="shared" si="23"/>
        <v>0</v>
      </c>
      <c r="AE81" s="47">
        <f t="shared" si="23"/>
        <v>0</v>
      </c>
      <c r="AF81" s="47">
        <f t="shared" si="23"/>
        <v>0</v>
      </c>
      <c r="AG81" s="47">
        <f t="shared" si="23"/>
        <v>0</v>
      </c>
      <c r="AH81" s="47">
        <f t="shared" si="23"/>
        <v>0</v>
      </c>
      <c r="AI81" s="47">
        <f t="shared" si="23"/>
        <v>0</v>
      </c>
      <c r="AJ81" s="47">
        <f t="shared" si="23"/>
        <v>0</v>
      </c>
      <c r="AK81" s="47">
        <f t="shared" ref="AK81:BB81" si="24">Tax_Rate*AK80</f>
        <v>0</v>
      </c>
      <c r="AL81" s="47">
        <f t="shared" si="24"/>
        <v>0</v>
      </c>
      <c r="AM81" s="47">
        <f t="shared" si="24"/>
        <v>0</v>
      </c>
      <c r="AN81" s="47">
        <f t="shared" si="24"/>
        <v>0</v>
      </c>
      <c r="AO81" s="47">
        <f t="shared" si="24"/>
        <v>0</v>
      </c>
      <c r="AP81" s="47">
        <f t="shared" si="24"/>
        <v>0</v>
      </c>
      <c r="AQ81" s="47">
        <f t="shared" si="24"/>
        <v>0</v>
      </c>
      <c r="AR81" s="47">
        <f t="shared" si="24"/>
        <v>0</v>
      </c>
      <c r="AS81" s="47">
        <f t="shared" si="24"/>
        <v>0</v>
      </c>
      <c r="AT81" s="47">
        <f t="shared" si="24"/>
        <v>0</v>
      </c>
      <c r="AU81" s="47">
        <f t="shared" si="24"/>
        <v>0</v>
      </c>
      <c r="AV81" s="47">
        <f t="shared" si="24"/>
        <v>0</v>
      </c>
      <c r="AW81" s="47">
        <f t="shared" si="24"/>
        <v>0</v>
      </c>
      <c r="AX81" s="47">
        <f t="shared" si="24"/>
        <v>0</v>
      </c>
      <c r="AY81" s="47">
        <f t="shared" si="24"/>
        <v>0</v>
      </c>
      <c r="AZ81" s="47">
        <f t="shared" si="24"/>
        <v>0</v>
      </c>
      <c r="BA81" s="47">
        <f t="shared" si="24"/>
        <v>0</v>
      </c>
      <c r="BB81" s="47">
        <f t="shared" si="24"/>
        <v>0</v>
      </c>
    </row>
    <row r="82" spans="3:54" s="46" customFormat="1">
      <c r="C82" s="48" t="str">
        <f>C94</f>
        <v>ROE Payments ($m)</v>
      </c>
      <c r="E82" s="49">
        <f t="shared" ref="E82:BB82" si="25">E94</f>
        <v>10.223310967871486</v>
      </c>
      <c r="F82" s="49">
        <f t="shared" ref="F82:X82" si="26">F94</f>
        <v>17.664673785663076</v>
      </c>
      <c r="G82" s="49">
        <f t="shared" si="26"/>
        <v>16.206911121307503</v>
      </c>
      <c r="H82" s="49">
        <f t="shared" si="26"/>
        <v>14.943052373383891</v>
      </c>
      <c r="I82" s="49">
        <f t="shared" si="26"/>
        <v>13.803321439931945</v>
      </c>
      <c r="J82" s="49">
        <f t="shared" si="26"/>
        <v>12.689838596171176</v>
      </c>
      <c r="K82" s="49">
        <f t="shared" si="26"/>
        <v>12.804176949885399</v>
      </c>
      <c r="L82" s="49">
        <f t="shared" si="26"/>
        <v>11.631512072123051</v>
      </c>
      <c r="M82" s="49">
        <f t="shared" si="26"/>
        <v>10.752342415980557</v>
      </c>
      <c r="N82" s="49">
        <f t="shared" si="26"/>
        <v>9.8677381424583324</v>
      </c>
      <c r="O82" s="49">
        <f t="shared" si="26"/>
        <v>8.9240769448583279</v>
      </c>
      <c r="P82" s="49">
        <f t="shared" si="26"/>
        <v>9.3314193451951386</v>
      </c>
      <c r="Q82" s="49">
        <f t="shared" si="26"/>
        <v>8.3683553573773715</v>
      </c>
      <c r="R82" s="49">
        <f t="shared" si="26"/>
        <v>7.341009899685619</v>
      </c>
      <c r="S82" s="49">
        <f t="shared" si="26"/>
        <v>6.2446384181310259</v>
      </c>
      <c r="T82" s="49">
        <f t="shared" si="26"/>
        <v>5.0741304697979439</v>
      </c>
      <c r="U82" s="49">
        <f t="shared" si="26"/>
        <v>5.3493589367442764</v>
      </c>
      <c r="V82" s="49">
        <f t="shared" si="26"/>
        <v>4.1345586923316775</v>
      </c>
      <c r="W82" s="49">
        <f t="shared" si="26"/>
        <v>2.8373825298648554</v>
      </c>
      <c r="X82" s="49">
        <f t="shared" si="26"/>
        <v>1.4517056901777927</v>
      </c>
      <c r="Y82" s="49">
        <f t="shared" si="25"/>
        <v>0</v>
      </c>
      <c r="Z82" s="49">
        <f t="shared" si="25"/>
        <v>0</v>
      </c>
      <c r="AA82" s="49">
        <f t="shared" si="25"/>
        <v>0</v>
      </c>
      <c r="AB82" s="49">
        <f t="shared" si="25"/>
        <v>0</v>
      </c>
      <c r="AC82" s="49">
        <f t="shared" si="25"/>
        <v>0</v>
      </c>
      <c r="AD82" s="49">
        <f t="shared" si="25"/>
        <v>0</v>
      </c>
      <c r="AE82" s="49">
        <f t="shared" si="25"/>
        <v>0</v>
      </c>
      <c r="AF82" s="49">
        <f t="shared" si="25"/>
        <v>0</v>
      </c>
      <c r="AG82" s="49">
        <f t="shared" si="25"/>
        <v>0</v>
      </c>
      <c r="AH82" s="49">
        <f t="shared" si="25"/>
        <v>0</v>
      </c>
      <c r="AI82" s="49">
        <f t="shared" si="25"/>
        <v>0</v>
      </c>
      <c r="AJ82" s="49">
        <f t="shared" si="25"/>
        <v>0</v>
      </c>
      <c r="AK82" s="49">
        <f t="shared" si="25"/>
        <v>0</v>
      </c>
      <c r="AL82" s="49">
        <f t="shared" si="25"/>
        <v>0</v>
      </c>
      <c r="AM82" s="49">
        <f t="shared" si="25"/>
        <v>0</v>
      </c>
      <c r="AN82" s="49">
        <f t="shared" si="25"/>
        <v>0</v>
      </c>
      <c r="AO82" s="49">
        <f t="shared" si="25"/>
        <v>0</v>
      </c>
      <c r="AP82" s="49">
        <f t="shared" si="25"/>
        <v>0</v>
      </c>
      <c r="AQ82" s="49">
        <f t="shared" si="25"/>
        <v>0</v>
      </c>
      <c r="AR82" s="49">
        <f t="shared" si="25"/>
        <v>0</v>
      </c>
      <c r="AS82" s="49">
        <f t="shared" si="25"/>
        <v>0</v>
      </c>
      <c r="AT82" s="49">
        <f t="shared" si="25"/>
        <v>0</v>
      </c>
      <c r="AU82" s="49">
        <f t="shared" si="25"/>
        <v>0</v>
      </c>
      <c r="AV82" s="49">
        <f t="shared" si="25"/>
        <v>0</v>
      </c>
      <c r="AW82" s="49">
        <f t="shared" si="25"/>
        <v>0</v>
      </c>
      <c r="AX82" s="49">
        <f t="shared" si="25"/>
        <v>0</v>
      </c>
      <c r="AY82" s="49">
        <f t="shared" si="25"/>
        <v>0</v>
      </c>
      <c r="AZ82" s="49">
        <f t="shared" si="25"/>
        <v>0</v>
      </c>
      <c r="BA82" s="49">
        <f t="shared" si="25"/>
        <v>0</v>
      </c>
      <c r="BB82" s="49">
        <f t="shared" si="25"/>
        <v>0</v>
      </c>
    </row>
    <row r="83" spans="3:54" s="50" customFormat="1">
      <c r="C83" s="50" t="s">
        <v>31</v>
      </c>
      <c r="E83" s="51">
        <f>E64-E67-E79-E81-E82</f>
        <v>56.453912717237046</v>
      </c>
      <c r="F83" s="51">
        <f t="shared" ref="F83:X83" si="27">F64-F67-F79-F81-F82</f>
        <v>23.819651378359048</v>
      </c>
      <c r="G83" s="51">
        <f t="shared" si="27"/>
        <v>20.651286730777958</v>
      </c>
      <c r="H83" s="51">
        <f t="shared" si="27"/>
        <v>18.623054468169073</v>
      </c>
      <c r="I83" s="51">
        <f t="shared" si="27"/>
        <v>18.194164113738029</v>
      </c>
      <c r="J83" s="51">
        <f t="shared" si="27"/>
        <v>-1.8682737535003611</v>
      </c>
      <c r="K83" s="51">
        <f t="shared" si="27"/>
        <v>19.161190813110284</v>
      </c>
      <c r="L83" s="51">
        <f t="shared" si="27"/>
        <v>14.365517257230294</v>
      </c>
      <c r="M83" s="51">
        <f t="shared" si="27"/>
        <v>14.454318194807591</v>
      </c>
      <c r="N83" s="51">
        <f t="shared" si="27"/>
        <v>15.419300614379146</v>
      </c>
      <c r="O83" s="51">
        <f t="shared" si="27"/>
        <v>-6.655921574130895</v>
      </c>
      <c r="P83" s="51">
        <f t="shared" si="27"/>
        <v>15.736339670224963</v>
      </c>
      <c r="Q83" s="51">
        <f t="shared" si="27"/>
        <v>16.786690485159351</v>
      </c>
      <c r="R83" s="51">
        <f t="shared" si="27"/>
        <v>17.914566692068522</v>
      </c>
      <c r="S83" s="51">
        <f t="shared" si="27"/>
        <v>19.125946868187611</v>
      </c>
      <c r="T83" s="51">
        <f t="shared" si="27"/>
        <v>-4.497197172325694</v>
      </c>
      <c r="U83" s="51">
        <f t="shared" si="27"/>
        <v>19.849677196284301</v>
      </c>
      <c r="V83" s="51">
        <f t="shared" si="27"/>
        <v>21.195688929196439</v>
      </c>
      <c r="W83" s="51">
        <f t="shared" si="27"/>
        <v>22.641778426259194</v>
      </c>
      <c r="X83" s="51">
        <f t="shared" si="27"/>
        <v>24.195686276105295</v>
      </c>
      <c r="Y83" s="51">
        <f t="shared" ref="Y83:AJ83" si="28">Y64-Y67-Y79-Y81-Y82</f>
        <v>0</v>
      </c>
      <c r="Z83" s="51">
        <f t="shared" si="28"/>
        <v>0</v>
      </c>
      <c r="AA83" s="51">
        <f t="shared" si="28"/>
        <v>0</v>
      </c>
      <c r="AB83" s="51">
        <f t="shared" si="28"/>
        <v>0</v>
      </c>
      <c r="AC83" s="51">
        <f t="shared" si="28"/>
        <v>0</v>
      </c>
      <c r="AD83" s="51">
        <f t="shared" si="28"/>
        <v>0</v>
      </c>
      <c r="AE83" s="51">
        <f t="shared" si="28"/>
        <v>0</v>
      </c>
      <c r="AF83" s="51">
        <f t="shared" si="28"/>
        <v>0</v>
      </c>
      <c r="AG83" s="51">
        <f t="shared" si="28"/>
        <v>0</v>
      </c>
      <c r="AH83" s="51">
        <f t="shared" si="28"/>
        <v>0</v>
      </c>
      <c r="AI83" s="51">
        <f t="shared" si="28"/>
        <v>0</v>
      </c>
      <c r="AJ83" s="51">
        <f t="shared" si="28"/>
        <v>0</v>
      </c>
      <c r="AK83" s="51">
        <f t="shared" ref="AK83:BB83" si="29">AK64-AK67-AK79-AK81-AK82</f>
        <v>0</v>
      </c>
      <c r="AL83" s="51">
        <f t="shared" si="29"/>
        <v>0</v>
      </c>
      <c r="AM83" s="51">
        <f t="shared" si="29"/>
        <v>0</v>
      </c>
      <c r="AN83" s="51">
        <f t="shared" si="29"/>
        <v>0</v>
      </c>
      <c r="AO83" s="51">
        <f t="shared" si="29"/>
        <v>0</v>
      </c>
      <c r="AP83" s="51">
        <f t="shared" si="29"/>
        <v>0</v>
      </c>
      <c r="AQ83" s="51">
        <f t="shared" si="29"/>
        <v>0</v>
      </c>
      <c r="AR83" s="51">
        <f t="shared" si="29"/>
        <v>0</v>
      </c>
      <c r="AS83" s="51">
        <f t="shared" si="29"/>
        <v>0</v>
      </c>
      <c r="AT83" s="51">
        <f t="shared" si="29"/>
        <v>0</v>
      </c>
      <c r="AU83" s="51">
        <f t="shared" si="29"/>
        <v>0</v>
      </c>
      <c r="AV83" s="51">
        <f t="shared" si="29"/>
        <v>0</v>
      </c>
      <c r="AW83" s="51">
        <f t="shared" si="29"/>
        <v>0</v>
      </c>
      <c r="AX83" s="51">
        <f t="shared" si="29"/>
        <v>0</v>
      </c>
      <c r="AY83" s="51">
        <f t="shared" si="29"/>
        <v>0</v>
      </c>
      <c r="AZ83" s="51">
        <f t="shared" si="29"/>
        <v>0</v>
      </c>
      <c r="BA83" s="51">
        <f t="shared" si="29"/>
        <v>0</v>
      </c>
      <c r="BB83" s="51">
        <f t="shared" si="29"/>
        <v>0</v>
      </c>
    </row>
    <row r="84" spans="3:54" s="42" customFormat="1">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row>
    <row r="85" spans="3:54" s="42" customFormat="1">
      <c r="C85" s="53" t="s">
        <v>32</v>
      </c>
      <c r="E85" s="45">
        <f t="shared" ref="E85:X85" si="30">IF(E$61&lt;=Economic_Life,D85-D87,0)</f>
        <v>189.80080529700808</v>
      </c>
      <c r="F85" s="45">
        <f t="shared" si="30"/>
        <v>158.75115330252771</v>
      </c>
      <c r="G85" s="45">
        <f t="shared" si="30"/>
        <v>145.65034504443022</v>
      </c>
      <c r="H85" s="45">
        <f t="shared" si="30"/>
        <v>134.29213734250234</v>
      </c>
      <c r="I85" s="45">
        <f t="shared" si="30"/>
        <v>124.04945738500935</v>
      </c>
      <c r="J85" s="45">
        <f t="shared" si="30"/>
        <v>114.04266712245342</v>
      </c>
      <c r="K85" s="45">
        <f t="shared" si="30"/>
        <v>115.07021768687862</v>
      </c>
      <c r="L85" s="45">
        <f t="shared" si="30"/>
        <v>104.53156273966796</v>
      </c>
      <c r="M85" s="45">
        <f t="shared" si="30"/>
        <v>96.630528248191297</v>
      </c>
      <c r="N85" s="45">
        <f t="shared" si="30"/>
        <v>88.680653241047125</v>
      </c>
      <c r="O85" s="45">
        <f t="shared" si="30"/>
        <v>80.200037903138593</v>
      </c>
      <c r="P85" s="45">
        <f t="shared" si="30"/>
        <v>83.86079476891058</v>
      </c>
      <c r="Q85" s="45">
        <f t="shared" si="30"/>
        <v>75.205807950286854</v>
      </c>
      <c r="R85" s="45">
        <f t="shared" si="30"/>
        <v>65.973128183449205</v>
      </c>
      <c r="S85" s="45">
        <f t="shared" si="30"/>
        <v>56.120116502811513</v>
      </c>
      <c r="T85" s="45">
        <f t="shared" si="30"/>
        <v>45.600845725308325</v>
      </c>
      <c r="U85" s="45">
        <f t="shared" si="30"/>
        <v>48.074304170087458</v>
      </c>
      <c r="V85" s="45">
        <f t="shared" si="30"/>
        <v>37.156981712131092</v>
      </c>
      <c r="W85" s="45">
        <f t="shared" si="30"/>
        <v>25.499352801073051</v>
      </c>
      <c r="X85" s="45">
        <f t="shared" si="30"/>
        <v>13.046374666630493</v>
      </c>
      <c r="Y85" s="45">
        <f t="shared" ref="Y85:AJ85" si="31">IF(Y$61&lt;=Economic_Life,X85-X87,0)</f>
        <v>0</v>
      </c>
      <c r="Z85" s="45">
        <f t="shared" si="31"/>
        <v>0</v>
      </c>
      <c r="AA85" s="45">
        <f t="shared" si="31"/>
        <v>0</v>
      </c>
      <c r="AB85" s="45">
        <f t="shared" si="31"/>
        <v>0</v>
      </c>
      <c r="AC85" s="45">
        <f t="shared" si="31"/>
        <v>0</v>
      </c>
      <c r="AD85" s="45">
        <f t="shared" si="31"/>
        <v>0</v>
      </c>
      <c r="AE85" s="45">
        <f t="shared" si="31"/>
        <v>0</v>
      </c>
      <c r="AF85" s="45">
        <f t="shared" si="31"/>
        <v>0</v>
      </c>
      <c r="AG85" s="45">
        <f t="shared" si="31"/>
        <v>0</v>
      </c>
      <c r="AH85" s="45">
        <f t="shared" si="31"/>
        <v>0</v>
      </c>
      <c r="AI85" s="45">
        <f t="shared" si="31"/>
        <v>0</v>
      </c>
      <c r="AJ85" s="45">
        <f t="shared" si="31"/>
        <v>0</v>
      </c>
      <c r="AK85" s="45">
        <f t="shared" ref="AK85:BB85" si="32">IF(AK$61&lt;=Economic_Life,AJ85-AJ87,0)</f>
        <v>0</v>
      </c>
      <c r="AL85" s="45">
        <f t="shared" si="32"/>
        <v>0</v>
      </c>
      <c r="AM85" s="45">
        <f t="shared" si="32"/>
        <v>0</v>
      </c>
      <c r="AN85" s="45">
        <f t="shared" si="32"/>
        <v>0</v>
      </c>
      <c r="AO85" s="45">
        <f t="shared" si="32"/>
        <v>0</v>
      </c>
      <c r="AP85" s="45">
        <f t="shared" si="32"/>
        <v>0</v>
      </c>
      <c r="AQ85" s="45">
        <f t="shared" si="32"/>
        <v>0</v>
      </c>
      <c r="AR85" s="45">
        <f t="shared" si="32"/>
        <v>0</v>
      </c>
      <c r="AS85" s="45">
        <f t="shared" si="32"/>
        <v>0</v>
      </c>
      <c r="AT85" s="45">
        <f t="shared" si="32"/>
        <v>0</v>
      </c>
      <c r="AU85" s="45">
        <f t="shared" si="32"/>
        <v>0</v>
      </c>
      <c r="AV85" s="45">
        <f t="shared" si="32"/>
        <v>0</v>
      </c>
      <c r="AW85" s="45">
        <f t="shared" si="32"/>
        <v>0</v>
      </c>
      <c r="AX85" s="45">
        <f t="shared" si="32"/>
        <v>0</v>
      </c>
      <c r="AY85" s="45">
        <f t="shared" si="32"/>
        <v>0</v>
      </c>
      <c r="AZ85" s="45">
        <f t="shared" si="32"/>
        <v>0</v>
      </c>
      <c r="BA85" s="45">
        <f t="shared" si="32"/>
        <v>0</v>
      </c>
      <c r="BB85" s="45">
        <f t="shared" si="32"/>
        <v>0</v>
      </c>
    </row>
    <row r="86" spans="3:54" s="42" customFormat="1">
      <c r="C86" s="42" t="s">
        <v>33</v>
      </c>
      <c r="E86" s="54">
        <f>E85*((1+Debt_Rate)^0.5-1)</f>
        <v>4.4091067540719049</v>
      </c>
      <c r="F86" s="45">
        <f t="shared" ref="F86:X86" si="33">F85*Debt_Rate</f>
        <v>7.4613042052188021</v>
      </c>
      <c r="G86" s="45">
        <f t="shared" si="33"/>
        <v>6.845566217088221</v>
      </c>
      <c r="H86" s="45">
        <f t="shared" si="33"/>
        <v>6.3117304550976101</v>
      </c>
      <c r="I86" s="45">
        <f t="shared" si="33"/>
        <v>5.8303244970954395</v>
      </c>
      <c r="J86" s="45">
        <f t="shared" si="33"/>
        <v>5.3600053547553106</v>
      </c>
      <c r="K86" s="45">
        <f t="shared" si="33"/>
        <v>5.4083002312832953</v>
      </c>
      <c r="L86" s="45">
        <f t="shared" si="33"/>
        <v>4.9129834487643942</v>
      </c>
      <c r="M86" s="45">
        <f t="shared" si="33"/>
        <v>4.5416348276649909</v>
      </c>
      <c r="N86" s="45">
        <f t="shared" si="33"/>
        <v>4.1679907023292149</v>
      </c>
      <c r="O86" s="45">
        <f t="shared" si="33"/>
        <v>3.769401781447514</v>
      </c>
      <c r="P86" s="45">
        <f t="shared" si="33"/>
        <v>3.9414573541387972</v>
      </c>
      <c r="Q86" s="45">
        <f t="shared" si="33"/>
        <v>3.5346729736634823</v>
      </c>
      <c r="R86" s="45">
        <f t="shared" si="33"/>
        <v>3.1007370246221129</v>
      </c>
      <c r="S86" s="45">
        <f t="shared" si="33"/>
        <v>2.6376454756321412</v>
      </c>
      <c r="T86" s="45">
        <f t="shared" si="33"/>
        <v>2.1432397490894912</v>
      </c>
      <c r="U86" s="45">
        <f t="shared" si="33"/>
        <v>2.2594922959941104</v>
      </c>
      <c r="V86" s="45">
        <f t="shared" si="33"/>
        <v>1.7463781404701613</v>
      </c>
      <c r="W86" s="45">
        <f t="shared" si="33"/>
        <v>1.1984695816504334</v>
      </c>
      <c r="X86" s="45">
        <f t="shared" si="33"/>
        <v>0.61317960933163318</v>
      </c>
      <c r="Y86" s="45">
        <f t="shared" ref="Y86:BB86" si="34">Y85*Debt_Rate</f>
        <v>0</v>
      </c>
      <c r="Z86" s="45">
        <f t="shared" si="34"/>
        <v>0</v>
      </c>
      <c r="AA86" s="45">
        <f t="shared" si="34"/>
        <v>0</v>
      </c>
      <c r="AB86" s="45">
        <f t="shared" si="34"/>
        <v>0</v>
      </c>
      <c r="AC86" s="45">
        <f t="shared" si="34"/>
        <v>0</v>
      </c>
      <c r="AD86" s="45">
        <f t="shared" si="34"/>
        <v>0</v>
      </c>
      <c r="AE86" s="45">
        <f t="shared" si="34"/>
        <v>0</v>
      </c>
      <c r="AF86" s="45">
        <f t="shared" si="34"/>
        <v>0</v>
      </c>
      <c r="AG86" s="45">
        <f t="shared" si="34"/>
        <v>0</v>
      </c>
      <c r="AH86" s="45">
        <f t="shared" si="34"/>
        <v>0</v>
      </c>
      <c r="AI86" s="45">
        <f t="shared" si="34"/>
        <v>0</v>
      </c>
      <c r="AJ86" s="45">
        <f t="shared" si="34"/>
        <v>0</v>
      </c>
      <c r="AK86" s="45">
        <f t="shared" si="34"/>
        <v>0</v>
      </c>
      <c r="AL86" s="45">
        <f t="shared" si="34"/>
        <v>0</v>
      </c>
      <c r="AM86" s="45">
        <f t="shared" si="34"/>
        <v>0</v>
      </c>
      <c r="AN86" s="45">
        <f t="shared" si="34"/>
        <v>0</v>
      </c>
      <c r="AO86" s="45">
        <f t="shared" si="34"/>
        <v>0</v>
      </c>
      <c r="AP86" s="45">
        <f t="shared" si="34"/>
        <v>0</v>
      </c>
      <c r="AQ86" s="45">
        <f t="shared" si="34"/>
        <v>0</v>
      </c>
      <c r="AR86" s="45">
        <f t="shared" si="34"/>
        <v>0</v>
      </c>
      <c r="AS86" s="45">
        <f t="shared" si="34"/>
        <v>0</v>
      </c>
      <c r="AT86" s="45">
        <f t="shared" si="34"/>
        <v>0</v>
      </c>
      <c r="AU86" s="45">
        <f t="shared" si="34"/>
        <v>0</v>
      </c>
      <c r="AV86" s="45">
        <f t="shared" si="34"/>
        <v>0</v>
      </c>
      <c r="AW86" s="45">
        <f t="shared" si="34"/>
        <v>0</v>
      </c>
      <c r="AX86" s="45">
        <f t="shared" si="34"/>
        <v>0</v>
      </c>
      <c r="AY86" s="45">
        <f t="shared" si="34"/>
        <v>0</v>
      </c>
      <c r="AZ86" s="45">
        <f t="shared" si="34"/>
        <v>0</v>
      </c>
      <c r="BA86" s="45">
        <f t="shared" si="34"/>
        <v>0</v>
      </c>
      <c r="BB86" s="45">
        <f t="shared" si="34"/>
        <v>0</v>
      </c>
    </row>
    <row r="87" spans="3:54" s="42" customFormat="1">
      <c r="C87" s="42" t="s">
        <v>34</v>
      </c>
      <c r="D87" s="55">
        <f>-Debt_Fraction*Plant_Capacity*Installed_Cost/10^3</f>
        <v>-189.80080529700808</v>
      </c>
      <c r="E87" s="1115">
        <f>E83*Debt_Fraction</f>
        <v>31.049651994480378</v>
      </c>
      <c r="F87" s="45">
        <f t="shared" ref="F87:X87" si="35">F83*Debt_Fraction</f>
        <v>13.100808258097477</v>
      </c>
      <c r="G87" s="45">
        <f t="shared" si="35"/>
        <v>11.358207701927878</v>
      </c>
      <c r="H87" s="45">
        <f t="shared" si="35"/>
        <v>10.242679957492991</v>
      </c>
      <c r="I87" s="45">
        <f t="shared" si="35"/>
        <v>10.006790262555917</v>
      </c>
      <c r="J87" s="45">
        <f t="shared" si="35"/>
        <v>-1.0275505644251988</v>
      </c>
      <c r="K87" s="45">
        <f t="shared" si="35"/>
        <v>10.538654947210658</v>
      </c>
      <c r="L87" s="45">
        <f t="shared" si="35"/>
        <v>7.901034491476663</v>
      </c>
      <c r="M87" s="45">
        <f t="shared" si="35"/>
        <v>7.9498750071441755</v>
      </c>
      <c r="N87" s="45">
        <f t="shared" si="35"/>
        <v>8.4806153379085316</v>
      </c>
      <c r="O87" s="45">
        <f t="shared" si="35"/>
        <v>-3.6607568657719924</v>
      </c>
      <c r="P87" s="45">
        <f t="shared" si="35"/>
        <v>8.6549868186237298</v>
      </c>
      <c r="Q87" s="45">
        <f t="shared" si="35"/>
        <v>9.2326797668376432</v>
      </c>
      <c r="R87" s="45">
        <f t="shared" si="35"/>
        <v>9.8530116806376888</v>
      </c>
      <c r="S87" s="45">
        <f t="shared" si="35"/>
        <v>10.519270777503188</v>
      </c>
      <c r="T87" s="45">
        <f t="shared" si="35"/>
        <v>-2.4734584447791321</v>
      </c>
      <c r="U87" s="45">
        <f t="shared" si="35"/>
        <v>10.917322457956367</v>
      </c>
      <c r="V87" s="45">
        <f t="shared" si="35"/>
        <v>11.657628911058042</v>
      </c>
      <c r="W87" s="45">
        <f t="shared" si="35"/>
        <v>12.452978134442558</v>
      </c>
      <c r="X87" s="45">
        <f t="shared" si="35"/>
        <v>13.307627451857913</v>
      </c>
      <c r="Y87" s="45">
        <f t="shared" ref="Y87:BB87" si="36">Y83*Debt_Fraction</f>
        <v>0</v>
      </c>
      <c r="Z87" s="45">
        <f t="shared" si="36"/>
        <v>0</v>
      </c>
      <c r="AA87" s="45">
        <f t="shared" si="36"/>
        <v>0</v>
      </c>
      <c r="AB87" s="45">
        <f t="shared" si="36"/>
        <v>0</v>
      </c>
      <c r="AC87" s="45">
        <f t="shared" si="36"/>
        <v>0</v>
      </c>
      <c r="AD87" s="45">
        <f t="shared" si="36"/>
        <v>0</v>
      </c>
      <c r="AE87" s="45">
        <f t="shared" si="36"/>
        <v>0</v>
      </c>
      <c r="AF87" s="45">
        <f t="shared" si="36"/>
        <v>0</v>
      </c>
      <c r="AG87" s="45">
        <f t="shared" si="36"/>
        <v>0</v>
      </c>
      <c r="AH87" s="45">
        <f t="shared" si="36"/>
        <v>0</v>
      </c>
      <c r="AI87" s="45">
        <f t="shared" si="36"/>
        <v>0</v>
      </c>
      <c r="AJ87" s="45">
        <f t="shared" si="36"/>
        <v>0</v>
      </c>
      <c r="AK87" s="45">
        <f t="shared" si="36"/>
        <v>0</v>
      </c>
      <c r="AL87" s="45">
        <f t="shared" si="36"/>
        <v>0</v>
      </c>
      <c r="AM87" s="45">
        <f t="shared" si="36"/>
        <v>0</v>
      </c>
      <c r="AN87" s="45">
        <f t="shared" si="36"/>
        <v>0</v>
      </c>
      <c r="AO87" s="45">
        <f t="shared" si="36"/>
        <v>0</v>
      </c>
      <c r="AP87" s="45">
        <f t="shared" si="36"/>
        <v>0</v>
      </c>
      <c r="AQ87" s="45">
        <f t="shared" si="36"/>
        <v>0</v>
      </c>
      <c r="AR87" s="45">
        <f t="shared" si="36"/>
        <v>0</v>
      </c>
      <c r="AS87" s="45">
        <f t="shared" si="36"/>
        <v>0</v>
      </c>
      <c r="AT87" s="45">
        <f t="shared" si="36"/>
        <v>0</v>
      </c>
      <c r="AU87" s="45">
        <f t="shared" si="36"/>
        <v>0</v>
      </c>
      <c r="AV87" s="45">
        <f t="shared" si="36"/>
        <v>0</v>
      </c>
      <c r="AW87" s="45">
        <f t="shared" si="36"/>
        <v>0</v>
      </c>
      <c r="AX87" s="45">
        <f t="shared" si="36"/>
        <v>0</v>
      </c>
      <c r="AY87" s="45">
        <f t="shared" si="36"/>
        <v>0</v>
      </c>
      <c r="AZ87" s="45">
        <f t="shared" si="36"/>
        <v>0</v>
      </c>
      <c r="BA87" s="45">
        <f t="shared" si="36"/>
        <v>0</v>
      </c>
      <c r="BB87" s="45">
        <f t="shared" si="36"/>
        <v>0</v>
      </c>
    </row>
    <row r="88" spans="3:54" s="56" customFormat="1">
      <c r="C88" s="56" t="s">
        <v>35</v>
      </c>
      <c r="D88" s="57">
        <f>D86+D87</f>
        <v>-189.80080529700808</v>
      </c>
      <c r="E88" s="57">
        <f t="shared" ref="E88:X88" si="37">E86+E87</f>
        <v>35.458758748552285</v>
      </c>
      <c r="F88" s="57">
        <f t="shared" si="37"/>
        <v>20.562112463316279</v>
      </c>
      <c r="G88" s="57">
        <f t="shared" si="37"/>
        <v>18.203773919016101</v>
      </c>
      <c r="H88" s="57">
        <f t="shared" si="37"/>
        <v>16.554410412590599</v>
      </c>
      <c r="I88" s="57">
        <f t="shared" si="37"/>
        <v>15.837114759651357</v>
      </c>
      <c r="J88" s="57">
        <f t="shared" si="37"/>
        <v>4.3324547903301118</v>
      </c>
      <c r="K88" s="57">
        <f t="shared" si="37"/>
        <v>15.946955178493953</v>
      </c>
      <c r="L88" s="57">
        <f t="shared" si="37"/>
        <v>12.814017940241058</v>
      </c>
      <c r="M88" s="57">
        <f t="shared" si="37"/>
        <v>12.491509834809166</v>
      </c>
      <c r="N88" s="57">
        <f t="shared" si="37"/>
        <v>12.648606040237746</v>
      </c>
      <c r="O88" s="57">
        <f t="shared" si="37"/>
        <v>0.10864491567552159</v>
      </c>
      <c r="P88" s="57">
        <f t="shared" si="37"/>
        <v>12.596444172762528</v>
      </c>
      <c r="Q88" s="57">
        <f t="shared" si="37"/>
        <v>12.767352740501126</v>
      </c>
      <c r="R88" s="57">
        <f t="shared" si="37"/>
        <v>12.953748705259802</v>
      </c>
      <c r="S88" s="57">
        <f t="shared" si="37"/>
        <v>13.156916253135329</v>
      </c>
      <c r="T88" s="57">
        <f t="shared" si="37"/>
        <v>-0.33021869568964091</v>
      </c>
      <c r="U88" s="57">
        <f t="shared" si="37"/>
        <v>13.176814753950477</v>
      </c>
      <c r="V88" s="57">
        <f t="shared" si="37"/>
        <v>13.404007051528204</v>
      </c>
      <c r="W88" s="57">
        <f t="shared" si="37"/>
        <v>13.651447716092992</v>
      </c>
      <c r="X88" s="57">
        <f t="shared" si="37"/>
        <v>13.920807061189546</v>
      </c>
      <c r="Y88" s="57">
        <f t="shared" ref="Y88:BB88" si="38">Y86+Y87</f>
        <v>0</v>
      </c>
      <c r="Z88" s="57">
        <f t="shared" si="38"/>
        <v>0</v>
      </c>
      <c r="AA88" s="57">
        <f t="shared" si="38"/>
        <v>0</v>
      </c>
      <c r="AB88" s="57">
        <f t="shared" si="38"/>
        <v>0</v>
      </c>
      <c r="AC88" s="57">
        <f t="shared" si="38"/>
        <v>0</v>
      </c>
      <c r="AD88" s="57">
        <f t="shared" si="38"/>
        <v>0</v>
      </c>
      <c r="AE88" s="57">
        <f t="shared" si="38"/>
        <v>0</v>
      </c>
      <c r="AF88" s="57">
        <f t="shared" si="38"/>
        <v>0</v>
      </c>
      <c r="AG88" s="57">
        <f t="shared" si="38"/>
        <v>0</v>
      </c>
      <c r="AH88" s="57">
        <f t="shared" si="38"/>
        <v>0</v>
      </c>
      <c r="AI88" s="57">
        <f t="shared" si="38"/>
        <v>0</v>
      </c>
      <c r="AJ88" s="57">
        <f t="shared" si="38"/>
        <v>0</v>
      </c>
      <c r="AK88" s="57">
        <f t="shared" si="38"/>
        <v>0</v>
      </c>
      <c r="AL88" s="57">
        <f t="shared" si="38"/>
        <v>0</v>
      </c>
      <c r="AM88" s="57">
        <f t="shared" si="38"/>
        <v>0</v>
      </c>
      <c r="AN88" s="57">
        <f t="shared" si="38"/>
        <v>0</v>
      </c>
      <c r="AO88" s="57">
        <f t="shared" si="38"/>
        <v>0</v>
      </c>
      <c r="AP88" s="57">
        <f t="shared" si="38"/>
        <v>0</v>
      </c>
      <c r="AQ88" s="57">
        <f t="shared" si="38"/>
        <v>0</v>
      </c>
      <c r="AR88" s="57">
        <f t="shared" si="38"/>
        <v>0</v>
      </c>
      <c r="AS88" s="57">
        <f t="shared" si="38"/>
        <v>0</v>
      </c>
      <c r="AT88" s="57">
        <f t="shared" si="38"/>
        <v>0</v>
      </c>
      <c r="AU88" s="57">
        <f t="shared" si="38"/>
        <v>0</v>
      </c>
      <c r="AV88" s="57">
        <f t="shared" si="38"/>
        <v>0</v>
      </c>
      <c r="AW88" s="57">
        <f t="shared" si="38"/>
        <v>0</v>
      </c>
      <c r="AX88" s="57">
        <f t="shared" si="38"/>
        <v>0</v>
      </c>
      <c r="AY88" s="57">
        <f t="shared" si="38"/>
        <v>0</v>
      </c>
      <c r="AZ88" s="57">
        <f t="shared" si="38"/>
        <v>0</v>
      </c>
      <c r="BA88" s="57">
        <f t="shared" si="38"/>
        <v>0</v>
      </c>
      <c r="BB88" s="57">
        <f t="shared" si="38"/>
        <v>0</v>
      </c>
    </row>
    <row r="89" spans="3:54" s="56" customFormat="1">
      <c r="C89" s="62" t="s">
        <v>71</v>
      </c>
      <c r="D89" s="57">
        <f>NPV(Debt_Rate,$E$88:$BB$88)*(1+Debt_Rate)^0.5</f>
        <v>189.90748962758306</v>
      </c>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row>
    <row r="90" spans="3:54" s="56" customFormat="1">
      <c r="D90" s="63" t="b">
        <f>ABS((D88+D89)/D88)&lt;0.001</f>
        <v>1</v>
      </c>
      <c r="E90" s="57"/>
      <c r="F90" s="57"/>
      <c r="G90" s="57"/>
      <c r="H90" s="57"/>
      <c r="I90" s="57"/>
      <c r="J90" s="57"/>
      <c r="K90" s="57"/>
      <c r="L90" s="57"/>
      <c r="M90" s="57"/>
      <c r="N90" s="57"/>
      <c r="O90" s="57"/>
      <c r="P90" s="57"/>
      <c r="Q90" s="57"/>
      <c r="R90" s="57"/>
      <c r="S90" s="57"/>
      <c r="T90" s="57"/>
      <c r="U90" s="57"/>
      <c r="V90" s="57"/>
      <c r="W90" s="57"/>
      <c r="X90" s="57"/>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row>
    <row r="91" spans="3:54" s="50" customFormat="1" ht="3.75" customHeight="1">
      <c r="D91" s="51"/>
      <c r="E91" s="51"/>
      <c r="F91" s="51"/>
      <c r="G91" s="51"/>
      <c r="H91" s="51"/>
      <c r="I91" s="51"/>
      <c r="J91" s="51"/>
      <c r="K91" s="51"/>
      <c r="L91" s="51"/>
      <c r="M91" s="51"/>
      <c r="N91" s="51"/>
      <c r="O91" s="51"/>
      <c r="P91" s="51"/>
      <c r="Q91" s="51"/>
      <c r="R91" s="51"/>
      <c r="S91" s="51"/>
      <c r="T91" s="51"/>
      <c r="U91" s="51"/>
      <c r="V91" s="51"/>
      <c r="W91" s="51"/>
      <c r="X91" s="51"/>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row>
    <row r="92" spans="3:54" s="42" customFormat="1">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row>
    <row r="93" spans="3:54" s="42" customFormat="1">
      <c r="C93" s="42" t="s">
        <v>36</v>
      </c>
      <c r="E93" s="45">
        <f t="shared" ref="E93:X93" si="39">IF(E$61&lt;=Economic_Life,D93-D95,0)</f>
        <v>155.29156797027929</v>
      </c>
      <c r="F93" s="45">
        <f t="shared" si="39"/>
        <v>129.88730724752261</v>
      </c>
      <c r="G93" s="45">
        <f t="shared" si="39"/>
        <v>119.16846412726105</v>
      </c>
      <c r="H93" s="45">
        <f t="shared" si="39"/>
        <v>109.87538509841096</v>
      </c>
      <c r="I93" s="45">
        <f t="shared" si="39"/>
        <v>101.49501058773488</v>
      </c>
      <c r="J93" s="45">
        <f t="shared" si="39"/>
        <v>93.307636736552766</v>
      </c>
      <c r="K93" s="45">
        <f t="shared" si="39"/>
        <v>94.148359925627929</v>
      </c>
      <c r="L93" s="45">
        <f t="shared" si="39"/>
        <v>85.525824059728308</v>
      </c>
      <c r="M93" s="45">
        <f t="shared" si="39"/>
        <v>79.061341293974678</v>
      </c>
      <c r="N93" s="45">
        <f t="shared" si="39"/>
        <v>72.556898106311266</v>
      </c>
      <c r="O93" s="45">
        <f t="shared" si="39"/>
        <v>65.618212829840644</v>
      </c>
      <c r="P93" s="45">
        <f t="shared" si="39"/>
        <v>68.613377538199543</v>
      </c>
      <c r="Q93" s="45">
        <f t="shared" si="39"/>
        <v>61.532024686598312</v>
      </c>
      <c r="R93" s="45">
        <f t="shared" si="39"/>
        <v>53.978013968276606</v>
      </c>
      <c r="S93" s="45">
        <f t="shared" si="39"/>
        <v>45.916458956845773</v>
      </c>
      <c r="T93" s="45">
        <f t="shared" si="39"/>
        <v>37.309782866161349</v>
      </c>
      <c r="U93" s="45">
        <f t="shared" si="39"/>
        <v>39.333521593707914</v>
      </c>
      <c r="V93" s="45">
        <f t="shared" si="39"/>
        <v>30.40116685537998</v>
      </c>
      <c r="W93" s="45">
        <f t="shared" si="39"/>
        <v>20.863106837241581</v>
      </c>
      <c r="X93" s="45">
        <f t="shared" si="39"/>
        <v>10.674306545424946</v>
      </c>
      <c r="Y93" s="45">
        <f t="shared" ref="Y93:AJ93" si="40">IF(Y$61&lt;=Economic_Life,X93-X95,0)</f>
        <v>0</v>
      </c>
      <c r="Z93" s="45">
        <f t="shared" si="40"/>
        <v>0</v>
      </c>
      <c r="AA93" s="45">
        <f t="shared" si="40"/>
        <v>0</v>
      </c>
      <c r="AB93" s="45">
        <f t="shared" si="40"/>
        <v>0</v>
      </c>
      <c r="AC93" s="45">
        <f t="shared" si="40"/>
        <v>0</v>
      </c>
      <c r="AD93" s="45">
        <f t="shared" si="40"/>
        <v>0</v>
      </c>
      <c r="AE93" s="45">
        <f t="shared" si="40"/>
        <v>0</v>
      </c>
      <c r="AF93" s="45">
        <f t="shared" si="40"/>
        <v>0</v>
      </c>
      <c r="AG93" s="45">
        <f t="shared" si="40"/>
        <v>0</v>
      </c>
      <c r="AH93" s="45">
        <f t="shared" si="40"/>
        <v>0</v>
      </c>
      <c r="AI93" s="45">
        <f t="shared" si="40"/>
        <v>0</v>
      </c>
      <c r="AJ93" s="45">
        <f t="shared" si="40"/>
        <v>0</v>
      </c>
      <c r="AK93" s="45">
        <f t="shared" ref="AK93:BB93" si="41">IF(AK$61&lt;=Economic_Life,AJ93-AJ95,0)</f>
        <v>0</v>
      </c>
      <c r="AL93" s="45">
        <f t="shared" si="41"/>
        <v>0</v>
      </c>
      <c r="AM93" s="45">
        <f t="shared" si="41"/>
        <v>0</v>
      </c>
      <c r="AN93" s="45">
        <f t="shared" si="41"/>
        <v>0</v>
      </c>
      <c r="AO93" s="45">
        <f t="shared" si="41"/>
        <v>0</v>
      </c>
      <c r="AP93" s="45">
        <f t="shared" si="41"/>
        <v>0</v>
      </c>
      <c r="AQ93" s="45">
        <f t="shared" si="41"/>
        <v>0</v>
      </c>
      <c r="AR93" s="45">
        <f t="shared" si="41"/>
        <v>0</v>
      </c>
      <c r="AS93" s="45">
        <f t="shared" si="41"/>
        <v>0</v>
      </c>
      <c r="AT93" s="45">
        <f t="shared" si="41"/>
        <v>0</v>
      </c>
      <c r="AU93" s="45">
        <f t="shared" si="41"/>
        <v>0</v>
      </c>
      <c r="AV93" s="45">
        <f t="shared" si="41"/>
        <v>0</v>
      </c>
      <c r="AW93" s="45">
        <f t="shared" si="41"/>
        <v>0</v>
      </c>
      <c r="AX93" s="45">
        <f t="shared" si="41"/>
        <v>0</v>
      </c>
      <c r="AY93" s="45">
        <f t="shared" si="41"/>
        <v>0</v>
      </c>
      <c r="AZ93" s="45">
        <f t="shared" si="41"/>
        <v>0</v>
      </c>
      <c r="BA93" s="45">
        <f t="shared" si="41"/>
        <v>0</v>
      </c>
      <c r="BB93" s="45">
        <f t="shared" si="41"/>
        <v>0</v>
      </c>
    </row>
    <row r="94" spans="3:54" s="42" customFormat="1">
      <c r="C94" s="42" t="s">
        <v>37</v>
      </c>
      <c r="E94" s="54">
        <f>E93*((1+Equity_Rate)^0.5-1)</f>
        <v>10.223310967871486</v>
      </c>
      <c r="F94" s="45">
        <f t="shared" ref="F94:X94" si="42">F93*Equity_Rate</f>
        <v>17.664673785663076</v>
      </c>
      <c r="G94" s="45">
        <f t="shared" si="42"/>
        <v>16.206911121307503</v>
      </c>
      <c r="H94" s="45">
        <f t="shared" si="42"/>
        <v>14.943052373383891</v>
      </c>
      <c r="I94" s="45">
        <f t="shared" si="42"/>
        <v>13.803321439931945</v>
      </c>
      <c r="J94" s="45">
        <f t="shared" si="42"/>
        <v>12.689838596171176</v>
      </c>
      <c r="K94" s="45">
        <f t="shared" si="42"/>
        <v>12.804176949885399</v>
      </c>
      <c r="L94" s="45">
        <f t="shared" si="42"/>
        <v>11.631512072123051</v>
      </c>
      <c r="M94" s="45">
        <f t="shared" si="42"/>
        <v>10.752342415980557</v>
      </c>
      <c r="N94" s="45">
        <f t="shared" si="42"/>
        <v>9.8677381424583324</v>
      </c>
      <c r="O94" s="45">
        <f t="shared" si="42"/>
        <v>8.9240769448583279</v>
      </c>
      <c r="P94" s="45">
        <f t="shared" si="42"/>
        <v>9.3314193451951386</v>
      </c>
      <c r="Q94" s="45">
        <f t="shared" si="42"/>
        <v>8.3683553573773715</v>
      </c>
      <c r="R94" s="45">
        <f t="shared" si="42"/>
        <v>7.341009899685619</v>
      </c>
      <c r="S94" s="45">
        <f t="shared" si="42"/>
        <v>6.2446384181310259</v>
      </c>
      <c r="T94" s="45">
        <f t="shared" si="42"/>
        <v>5.0741304697979439</v>
      </c>
      <c r="U94" s="45">
        <f t="shared" si="42"/>
        <v>5.3493589367442764</v>
      </c>
      <c r="V94" s="45">
        <f t="shared" si="42"/>
        <v>4.1345586923316775</v>
      </c>
      <c r="W94" s="45">
        <f t="shared" si="42"/>
        <v>2.8373825298648554</v>
      </c>
      <c r="X94" s="45">
        <f t="shared" si="42"/>
        <v>1.4517056901777927</v>
      </c>
      <c r="Y94" s="45">
        <f t="shared" ref="Y94:BB94" si="43">Y93*Equity_Rate</f>
        <v>0</v>
      </c>
      <c r="Z94" s="45">
        <f t="shared" si="43"/>
        <v>0</v>
      </c>
      <c r="AA94" s="45">
        <f t="shared" si="43"/>
        <v>0</v>
      </c>
      <c r="AB94" s="45">
        <f t="shared" si="43"/>
        <v>0</v>
      </c>
      <c r="AC94" s="45">
        <f t="shared" si="43"/>
        <v>0</v>
      </c>
      <c r="AD94" s="45">
        <f t="shared" si="43"/>
        <v>0</v>
      </c>
      <c r="AE94" s="45">
        <f t="shared" si="43"/>
        <v>0</v>
      </c>
      <c r="AF94" s="45">
        <f t="shared" si="43"/>
        <v>0</v>
      </c>
      <c r="AG94" s="45">
        <f t="shared" si="43"/>
        <v>0</v>
      </c>
      <c r="AH94" s="45">
        <f t="shared" si="43"/>
        <v>0</v>
      </c>
      <c r="AI94" s="45">
        <f t="shared" si="43"/>
        <v>0</v>
      </c>
      <c r="AJ94" s="45">
        <f t="shared" si="43"/>
        <v>0</v>
      </c>
      <c r="AK94" s="45">
        <f t="shared" si="43"/>
        <v>0</v>
      </c>
      <c r="AL94" s="45">
        <f t="shared" si="43"/>
        <v>0</v>
      </c>
      <c r="AM94" s="45">
        <f t="shared" si="43"/>
        <v>0</v>
      </c>
      <c r="AN94" s="45">
        <f t="shared" si="43"/>
        <v>0</v>
      </c>
      <c r="AO94" s="45">
        <f t="shared" si="43"/>
        <v>0</v>
      </c>
      <c r="AP94" s="45">
        <f t="shared" si="43"/>
        <v>0</v>
      </c>
      <c r="AQ94" s="45">
        <f t="shared" si="43"/>
        <v>0</v>
      </c>
      <c r="AR94" s="45">
        <f t="shared" si="43"/>
        <v>0</v>
      </c>
      <c r="AS94" s="45">
        <f t="shared" si="43"/>
        <v>0</v>
      </c>
      <c r="AT94" s="45">
        <f t="shared" si="43"/>
        <v>0</v>
      </c>
      <c r="AU94" s="45">
        <f t="shared" si="43"/>
        <v>0</v>
      </c>
      <c r="AV94" s="45">
        <f t="shared" si="43"/>
        <v>0</v>
      </c>
      <c r="AW94" s="45">
        <f t="shared" si="43"/>
        <v>0</v>
      </c>
      <c r="AX94" s="45">
        <f t="shared" si="43"/>
        <v>0</v>
      </c>
      <c r="AY94" s="45">
        <f t="shared" si="43"/>
        <v>0</v>
      </c>
      <c r="AZ94" s="45">
        <f t="shared" si="43"/>
        <v>0</v>
      </c>
      <c r="BA94" s="45">
        <f t="shared" si="43"/>
        <v>0</v>
      </c>
      <c r="BB94" s="45">
        <f t="shared" si="43"/>
        <v>0</v>
      </c>
    </row>
    <row r="95" spans="3:54" s="42" customFormat="1">
      <c r="C95" s="42" t="s">
        <v>38</v>
      </c>
      <c r="D95" s="55">
        <f>-(1-Debt_Fraction)*Plant_Capacity*Installed_Cost/10^3</f>
        <v>-155.29156797027929</v>
      </c>
      <c r="E95" s="45">
        <f t="shared" ref="E95:X95" si="44">E83*(1-Debt_Fraction)</f>
        <v>25.404260722756668</v>
      </c>
      <c r="F95" s="45">
        <f t="shared" si="44"/>
        <v>10.718843120261571</v>
      </c>
      <c r="G95" s="45">
        <f t="shared" si="44"/>
        <v>9.2930790288500802</v>
      </c>
      <c r="H95" s="45">
        <f t="shared" si="44"/>
        <v>8.3803745106760825</v>
      </c>
      <c r="I95" s="45">
        <f t="shared" si="44"/>
        <v>8.1873738511821124</v>
      </c>
      <c r="J95" s="45">
        <f t="shared" si="44"/>
        <v>-0.84072318907516241</v>
      </c>
      <c r="K95" s="45">
        <f t="shared" si="44"/>
        <v>8.6225358658996267</v>
      </c>
      <c r="L95" s="45">
        <f t="shared" si="44"/>
        <v>6.4644827657536315</v>
      </c>
      <c r="M95" s="45">
        <f t="shared" si="44"/>
        <v>6.5044431876634157</v>
      </c>
      <c r="N95" s="45">
        <f t="shared" si="44"/>
        <v>6.9386852764706148</v>
      </c>
      <c r="O95" s="45">
        <f t="shared" si="44"/>
        <v>-2.9951647083589026</v>
      </c>
      <c r="P95" s="45">
        <f t="shared" si="44"/>
        <v>7.081352851601233</v>
      </c>
      <c r="Q95" s="45">
        <f t="shared" si="44"/>
        <v>7.5540107183217069</v>
      </c>
      <c r="R95" s="45">
        <f t="shared" si="44"/>
        <v>8.0615550114308334</v>
      </c>
      <c r="S95" s="45">
        <f t="shared" si="44"/>
        <v>8.6066760906844237</v>
      </c>
      <c r="T95" s="45">
        <f t="shared" si="44"/>
        <v>-2.0237387275465619</v>
      </c>
      <c r="U95" s="45">
        <f t="shared" si="44"/>
        <v>8.932354738327934</v>
      </c>
      <c r="V95" s="45">
        <f t="shared" si="44"/>
        <v>9.5380600181383972</v>
      </c>
      <c r="W95" s="45">
        <f t="shared" si="44"/>
        <v>10.188800291816635</v>
      </c>
      <c r="X95" s="45">
        <f t="shared" si="44"/>
        <v>10.888058824247382</v>
      </c>
      <c r="Y95" s="45">
        <f t="shared" ref="Y95:BB95" si="45">Y83*(1-Debt_Fraction)</f>
        <v>0</v>
      </c>
      <c r="Z95" s="45">
        <f t="shared" si="45"/>
        <v>0</v>
      </c>
      <c r="AA95" s="45">
        <f t="shared" si="45"/>
        <v>0</v>
      </c>
      <c r="AB95" s="45">
        <f t="shared" si="45"/>
        <v>0</v>
      </c>
      <c r="AC95" s="45">
        <f t="shared" si="45"/>
        <v>0</v>
      </c>
      <c r="AD95" s="45">
        <f t="shared" si="45"/>
        <v>0</v>
      </c>
      <c r="AE95" s="45">
        <f t="shared" si="45"/>
        <v>0</v>
      </c>
      <c r="AF95" s="45">
        <f t="shared" si="45"/>
        <v>0</v>
      </c>
      <c r="AG95" s="45">
        <f t="shared" si="45"/>
        <v>0</v>
      </c>
      <c r="AH95" s="45">
        <f t="shared" si="45"/>
        <v>0</v>
      </c>
      <c r="AI95" s="45">
        <f t="shared" si="45"/>
        <v>0</v>
      </c>
      <c r="AJ95" s="45">
        <f t="shared" si="45"/>
        <v>0</v>
      </c>
      <c r="AK95" s="45">
        <f t="shared" si="45"/>
        <v>0</v>
      </c>
      <c r="AL95" s="45">
        <f t="shared" si="45"/>
        <v>0</v>
      </c>
      <c r="AM95" s="45">
        <f t="shared" si="45"/>
        <v>0</v>
      </c>
      <c r="AN95" s="45">
        <f t="shared" si="45"/>
        <v>0</v>
      </c>
      <c r="AO95" s="45">
        <f t="shared" si="45"/>
        <v>0</v>
      </c>
      <c r="AP95" s="45">
        <f t="shared" si="45"/>
        <v>0</v>
      </c>
      <c r="AQ95" s="45">
        <f t="shared" si="45"/>
        <v>0</v>
      </c>
      <c r="AR95" s="45">
        <f t="shared" si="45"/>
        <v>0</v>
      </c>
      <c r="AS95" s="45">
        <f t="shared" si="45"/>
        <v>0</v>
      </c>
      <c r="AT95" s="45">
        <f t="shared" si="45"/>
        <v>0</v>
      </c>
      <c r="AU95" s="45">
        <f t="shared" si="45"/>
        <v>0</v>
      </c>
      <c r="AV95" s="45">
        <f t="shared" si="45"/>
        <v>0</v>
      </c>
      <c r="AW95" s="45">
        <f t="shared" si="45"/>
        <v>0</v>
      </c>
      <c r="AX95" s="45">
        <f t="shared" si="45"/>
        <v>0</v>
      </c>
      <c r="AY95" s="45">
        <f t="shared" si="45"/>
        <v>0</v>
      </c>
      <c r="AZ95" s="45">
        <f t="shared" si="45"/>
        <v>0</v>
      </c>
      <c r="BA95" s="45">
        <f t="shared" si="45"/>
        <v>0</v>
      </c>
      <c r="BB95" s="45">
        <f t="shared" si="45"/>
        <v>0</v>
      </c>
    </row>
    <row r="96" spans="3:54" s="56" customFormat="1">
      <c r="C96" s="56" t="s">
        <v>39</v>
      </c>
      <c r="D96" s="57">
        <f t="shared" ref="D96:X96" si="46">D94+D95</f>
        <v>-155.29156797027929</v>
      </c>
      <c r="E96" s="57">
        <f t="shared" si="46"/>
        <v>35.627571690628152</v>
      </c>
      <c r="F96" s="57">
        <f t="shared" si="46"/>
        <v>28.383516905924647</v>
      </c>
      <c r="G96" s="57">
        <f t="shared" si="46"/>
        <v>25.499990150157583</v>
      </c>
      <c r="H96" s="57">
        <f t="shared" si="46"/>
        <v>23.323426884059973</v>
      </c>
      <c r="I96" s="57">
        <f t="shared" si="46"/>
        <v>21.990695291114058</v>
      </c>
      <c r="J96" s="57">
        <f t="shared" si="46"/>
        <v>11.849115407096013</v>
      </c>
      <c r="K96" s="57">
        <f t="shared" si="46"/>
        <v>21.426712815785024</v>
      </c>
      <c r="L96" s="57">
        <f t="shared" si="46"/>
        <v>18.095994837876681</v>
      </c>
      <c r="M96" s="57">
        <f t="shared" si="46"/>
        <v>17.256785603643973</v>
      </c>
      <c r="N96" s="57">
        <f t="shared" si="46"/>
        <v>16.806423418928947</v>
      </c>
      <c r="O96" s="57">
        <f t="shared" si="46"/>
        <v>5.9289122364994249</v>
      </c>
      <c r="P96" s="57">
        <f t="shared" si="46"/>
        <v>16.412772196796372</v>
      </c>
      <c r="Q96" s="57">
        <f t="shared" si="46"/>
        <v>15.922366075699077</v>
      </c>
      <c r="R96" s="57">
        <f t="shared" si="46"/>
        <v>15.402564911116453</v>
      </c>
      <c r="S96" s="57">
        <f t="shared" si="46"/>
        <v>14.851314508815449</v>
      </c>
      <c r="T96" s="57">
        <f t="shared" si="46"/>
        <v>3.050391742251382</v>
      </c>
      <c r="U96" s="57">
        <f t="shared" si="46"/>
        <v>14.281713675072211</v>
      </c>
      <c r="V96" s="57">
        <f t="shared" si="46"/>
        <v>13.672618710470076</v>
      </c>
      <c r="W96" s="57">
        <f t="shared" si="46"/>
        <v>13.026182821681491</v>
      </c>
      <c r="X96" s="57">
        <f t="shared" si="46"/>
        <v>12.339764514425175</v>
      </c>
      <c r="Y96" s="57">
        <f t="shared" ref="Y96:BB96" si="47">Y94+Y95</f>
        <v>0</v>
      </c>
      <c r="Z96" s="57">
        <f t="shared" si="47"/>
        <v>0</v>
      </c>
      <c r="AA96" s="57">
        <f t="shared" si="47"/>
        <v>0</v>
      </c>
      <c r="AB96" s="57">
        <f t="shared" si="47"/>
        <v>0</v>
      </c>
      <c r="AC96" s="57">
        <f t="shared" si="47"/>
        <v>0</v>
      </c>
      <c r="AD96" s="57">
        <f t="shared" si="47"/>
        <v>0</v>
      </c>
      <c r="AE96" s="57">
        <f t="shared" si="47"/>
        <v>0</v>
      </c>
      <c r="AF96" s="57">
        <f t="shared" si="47"/>
        <v>0</v>
      </c>
      <c r="AG96" s="57">
        <f t="shared" si="47"/>
        <v>0</v>
      </c>
      <c r="AH96" s="57">
        <f t="shared" si="47"/>
        <v>0</v>
      </c>
      <c r="AI96" s="57">
        <f t="shared" si="47"/>
        <v>0</v>
      </c>
      <c r="AJ96" s="57">
        <f t="shared" si="47"/>
        <v>0</v>
      </c>
      <c r="AK96" s="57">
        <f t="shared" si="47"/>
        <v>0</v>
      </c>
      <c r="AL96" s="57">
        <f t="shared" si="47"/>
        <v>0</v>
      </c>
      <c r="AM96" s="57">
        <f t="shared" si="47"/>
        <v>0</v>
      </c>
      <c r="AN96" s="57">
        <f t="shared" si="47"/>
        <v>0</v>
      </c>
      <c r="AO96" s="57">
        <f t="shared" si="47"/>
        <v>0</v>
      </c>
      <c r="AP96" s="57">
        <f t="shared" si="47"/>
        <v>0</v>
      </c>
      <c r="AQ96" s="57">
        <f t="shared" si="47"/>
        <v>0</v>
      </c>
      <c r="AR96" s="57">
        <f t="shared" si="47"/>
        <v>0</v>
      </c>
      <c r="AS96" s="57">
        <f t="shared" si="47"/>
        <v>0</v>
      </c>
      <c r="AT96" s="57">
        <f t="shared" si="47"/>
        <v>0</v>
      </c>
      <c r="AU96" s="57">
        <f t="shared" si="47"/>
        <v>0</v>
      </c>
      <c r="AV96" s="57">
        <f t="shared" si="47"/>
        <v>0</v>
      </c>
      <c r="AW96" s="57">
        <f t="shared" si="47"/>
        <v>0</v>
      </c>
      <c r="AX96" s="57">
        <f t="shared" si="47"/>
        <v>0</v>
      </c>
      <c r="AY96" s="57">
        <f t="shared" si="47"/>
        <v>0</v>
      </c>
      <c r="AZ96" s="57">
        <f t="shared" si="47"/>
        <v>0</v>
      </c>
      <c r="BA96" s="57">
        <f t="shared" si="47"/>
        <v>0</v>
      </c>
      <c r="BB96" s="57">
        <f t="shared" si="47"/>
        <v>0</v>
      </c>
    </row>
    <row r="97" spans="3:54" s="56" customFormat="1">
      <c r="C97" s="62" t="s">
        <v>72</v>
      </c>
      <c r="D97" s="57">
        <f>NPV(Equity_Rate,$E$96:$BB$96)*(1+Equity_Rate)^0.5</f>
        <v>155.30935212760477</v>
      </c>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row>
    <row r="98" spans="3:54" s="56" customFormat="1">
      <c r="D98" s="63" t="b">
        <f>ABS((D96+D97)/D96)&lt;0.001</f>
        <v>1</v>
      </c>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row>
    <row r="99" spans="3:54" s="60" customFormat="1" ht="4.5" customHeight="1"/>
    <row r="100" spans="3:54" s="32" customFormat="1" ht="13.5" thickBot="1">
      <c r="C100" s="32" t="s">
        <v>3</v>
      </c>
      <c r="D100" s="33"/>
      <c r="E100" s="34">
        <f t="shared" ref="E100:BB100" si="48">IF(AND(ABS(E85)&gt;0.01,ABS(E93)&gt;0.01),E85/(E85+E93),"-")</f>
        <v>0.55000000000000004</v>
      </c>
      <c r="F100" s="34">
        <f t="shared" ref="F100:X100" si="49">IF(AND(ABS(F85)&gt;0.01,ABS(F93)&gt;0.01),F85/(F85+F93),"-")</f>
        <v>0.55000000000000004</v>
      </c>
      <c r="G100" s="34">
        <f t="shared" si="49"/>
        <v>0.55000000000000004</v>
      </c>
      <c r="H100" s="34">
        <f t="shared" si="49"/>
        <v>0.55000000000000016</v>
      </c>
      <c r="I100" s="34">
        <f t="shared" si="49"/>
        <v>0.55000000000000004</v>
      </c>
      <c r="J100" s="34">
        <f t="shared" si="49"/>
        <v>0.55000000000000004</v>
      </c>
      <c r="K100" s="34">
        <f t="shared" si="49"/>
        <v>0.55000000000000004</v>
      </c>
      <c r="L100" s="34">
        <f t="shared" si="49"/>
        <v>0.55000000000000004</v>
      </c>
      <c r="M100" s="34">
        <f t="shared" si="49"/>
        <v>0.55000000000000004</v>
      </c>
      <c r="N100" s="34">
        <f t="shared" si="49"/>
        <v>0.55000000000000004</v>
      </c>
      <c r="O100" s="34">
        <f t="shared" si="49"/>
        <v>0.55000000000000004</v>
      </c>
      <c r="P100" s="34">
        <f t="shared" si="49"/>
        <v>0.55000000000000016</v>
      </c>
      <c r="Q100" s="34">
        <f t="shared" si="49"/>
        <v>0.55000000000000004</v>
      </c>
      <c r="R100" s="34">
        <f t="shared" si="49"/>
        <v>0.55000000000000016</v>
      </c>
      <c r="S100" s="34">
        <f t="shared" si="49"/>
        <v>0.55000000000000004</v>
      </c>
      <c r="T100" s="34">
        <f t="shared" si="49"/>
        <v>0.55000000000000004</v>
      </c>
      <c r="U100" s="34">
        <f t="shared" si="49"/>
        <v>0.55000000000000004</v>
      </c>
      <c r="V100" s="34">
        <f t="shared" si="49"/>
        <v>0.55000000000000004</v>
      </c>
      <c r="W100" s="34">
        <f t="shared" si="49"/>
        <v>0.55000000000000004</v>
      </c>
      <c r="X100" s="34">
        <f t="shared" si="49"/>
        <v>0.55000000000000004</v>
      </c>
      <c r="Y100" s="34" t="str">
        <f t="shared" si="48"/>
        <v>-</v>
      </c>
      <c r="Z100" s="34" t="str">
        <f t="shared" si="48"/>
        <v>-</v>
      </c>
      <c r="AA100" s="34" t="str">
        <f t="shared" si="48"/>
        <v>-</v>
      </c>
      <c r="AB100" s="34" t="str">
        <f t="shared" si="48"/>
        <v>-</v>
      </c>
      <c r="AC100" s="34" t="str">
        <f t="shared" si="48"/>
        <v>-</v>
      </c>
      <c r="AD100" s="34" t="str">
        <f t="shared" si="48"/>
        <v>-</v>
      </c>
      <c r="AE100" s="34" t="str">
        <f t="shared" si="48"/>
        <v>-</v>
      </c>
      <c r="AF100" s="34" t="str">
        <f t="shared" si="48"/>
        <v>-</v>
      </c>
      <c r="AG100" s="34" t="str">
        <f t="shared" si="48"/>
        <v>-</v>
      </c>
      <c r="AH100" s="34" t="str">
        <f t="shared" si="48"/>
        <v>-</v>
      </c>
      <c r="AI100" s="34" t="str">
        <f t="shared" si="48"/>
        <v>-</v>
      </c>
      <c r="AJ100" s="34" t="str">
        <f t="shared" si="48"/>
        <v>-</v>
      </c>
      <c r="AK100" s="34" t="str">
        <f t="shared" si="48"/>
        <v>-</v>
      </c>
      <c r="AL100" s="34" t="str">
        <f t="shared" si="48"/>
        <v>-</v>
      </c>
      <c r="AM100" s="34" t="str">
        <f t="shared" si="48"/>
        <v>-</v>
      </c>
      <c r="AN100" s="34" t="str">
        <f t="shared" si="48"/>
        <v>-</v>
      </c>
      <c r="AO100" s="34" t="str">
        <f t="shared" si="48"/>
        <v>-</v>
      </c>
      <c r="AP100" s="34" t="str">
        <f t="shared" si="48"/>
        <v>-</v>
      </c>
      <c r="AQ100" s="34" t="str">
        <f t="shared" si="48"/>
        <v>-</v>
      </c>
      <c r="AR100" s="34" t="str">
        <f t="shared" si="48"/>
        <v>-</v>
      </c>
      <c r="AS100" s="34" t="str">
        <f t="shared" si="48"/>
        <v>-</v>
      </c>
      <c r="AT100" s="34" t="str">
        <f t="shared" si="48"/>
        <v>-</v>
      </c>
      <c r="AU100" s="34" t="str">
        <f t="shared" si="48"/>
        <v>-</v>
      </c>
      <c r="AV100" s="34" t="str">
        <f t="shared" si="48"/>
        <v>-</v>
      </c>
      <c r="AW100" s="34" t="str">
        <f t="shared" si="48"/>
        <v>-</v>
      </c>
      <c r="AX100" s="34" t="str">
        <f t="shared" si="48"/>
        <v>-</v>
      </c>
      <c r="AY100" s="34" t="str">
        <f t="shared" si="48"/>
        <v>-</v>
      </c>
      <c r="AZ100" s="34" t="str">
        <f t="shared" si="48"/>
        <v>-</v>
      </c>
      <c r="BA100" s="34" t="str">
        <f t="shared" si="48"/>
        <v>-</v>
      </c>
      <c r="BB100" s="34" t="str">
        <f t="shared" si="48"/>
        <v>-</v>
      </c>
    </row>
    <row r="101" spans="3:54" s="6" customFormat="1" ht="4.5" customHeight="1" thickTop="1"/>
    <row r="102" spans="3:54" s="117" customFormat="1"/>
    <row r="103" spans="3:54" s="116" customFormat="1">
      <c r="E103" s="187" t="s">
        <v>305</v>
      </c>
      <c r="R103" s="99"/>
      <c r="W103" s="118"/>
    </row>
    <row r="104" spans="3:54" s="116" customFormat="1">
      <c r="E104" s="193" t="s">
        <v>189</v>
      </c>
      <c r="F104" s="194" t="s">
        <v>209</v>
      </c>
      <c r="G104" s="194" t="s">
        <v>210</v>
      </c>
      <c r="H104" s="194" t="s">
        <v>303</v>
      </c>
      <c r="I104" s="194" t="s">
        <v>211</v>
      </c>
      <c r="J104" s="194" t="s">
        <v>210</v>
      </c>
      <c r="K104" s="194" t="s">
        <v>311</v>
      </c>
      <c r="L104" s="194" t="s">
        <v>69</v>
      </c>
      <c r="M104" s="194" t="s">
        <v>303</v>
      </c>
    </row>
    <row r="105" spans="3:54" s="116" customFormat="1">
      <c r="E105" s="195"/>
      <c r="F105" s="196" t="s">
        <v>164</v>
      </c>
      <c r="G105" s="196" t="s">
        <v>164</v>
      </c>
      <c r="H105" s="196" t="s">
        <v>304</v>
      </c>
      <c r="I105" s="196" t="s">
        <v>164</v>
      </c>
      <c r="J105" s="196" t="s">
        <v>168</v>
      </c>
      <c r="K105" s="194" t="s">
        <v>163</v>
      </c>
      <c r="L105" s="196" t="s">
        <v>304</v>
      </c>
      <c r="M105" s="196" t="s">
        <v>802</v>
      </c>
    </row>
    <row r="106" spans="3:54" s="116" customFormat="1">
      <c r="E106" s="197"/>
      <c r="F106" s="198">
        <f>overnight_cost</f>
        <v>327.58205316634218</v>
      </c>
      <c r="G106" s="198">
        <f>'Construction Costs'!F32</f>
        <v>345.09237326728731</v>
      </c>
      <c r="H106" s="198">
        <f>rev_requirements_year</f>
        <v>247.39784675767365</v>
      </c>
      <c r="I106" s="199">
        <f>G106-F106</f>
        <v>17.510320100945137</v>
      </c>
      <c r="J106" s="199">
        <f>Installed_Cost</f>
        <v>1725.4618663364367</v>
      </c>
      <c r="K106" s="214">
        <f>ATWACC</f>
        <v>7.9273027499999996E-2</v>
      </c>
      <c r="L106" s="1292">
        <f>F51</f>
        <v>66.124679831397785</v>
      </c>
      <c r="M106" s="198">
        <f>H106*1000/365</f>
        <v>677.80231988403739</v>
      </c>
    </row>
    <row r="107" spans="3:54" s="116" customFormat="1">
      <c r="E107" s="197">
        <v>1</v>
      </c>
      <c r="F107" s="200">
        <f t="dataTable" ref="F107:L111" dt2D="0" dtr="0" r1="D7" ca="1"/>
        <v>327.58205316634218</v>
      </c>
      <c r="G107" s="200">
        <v>345.09237326728731</v>
      </c>
      <c r="H107" s="200">
        <v>247.39784675767365</v>
      </c>
      <c r="I107" s="200">
        <v>17.510320100945137</v>
      </c>
      <c r="J107" s="200">
        <v>1725.4618663364367</v>
      </c>
      <c r="K107" s="213">
        <v>7.9273027499999996E-2</v>
      </c>
      <c r="L107" s="1299">
        <v>66.124679831397785</v>
      </c>
      <c r="M107" s="200">
        <f t="shared" ref="M107:M110" si="50">H107*1000/365</f>
        <v>677.80231988403739</v>
      </c>
      <c r="O107" s="1725"/>
    </row>
    <row r="108" spans="3:54" s="116" customFormat="1">
      <c r="E108" s="197">
        <v>2</v>
      </c>
      <c r="F108" s="200">
        <v>312.35852472928639</v>
      </c>
      <c r="G108" s="200">
        <v>329.19436508127995</v>
      </c>
      <c r="H108" s="200">
        <v>240.89640008592897</v>
      </c>
      <c r="I108" s="200">
        <v>16.835840351993568</v>
      </c>
      <c r="J108" s="200">
        <v>1645.9718254063998</v>
      </c>
      <c r="K108" s="213">
        <v>7.9936726250000006E-2</v>
      </c>
      <c r="L108" s="1299">
        <v>68.556573183103268</v>
      </c>
      <c r="M108" s="200">
        <f t="shared" si="50"/>
        <v>659.99013722172322</v>
      </c>
      <c r="O108" s="1725"/>
    </row>
    <row r="109" spans="3:54" s="116" customFormat="1">
      <c r="E109" s="197">
        <v>3</v>
      </c>
      <c r="F109" s="200">
        <v>315.65740344298575</v>
      </c>
      <c r="G109" s="200">
        <v>332.59570248430032</v>
      </c>
      <c r="H109" s="200">
        <v>238.35200004355173</v>
      </c>
      <c r="I109" s="200">
        <v>16.938299041314565</v>
      </c>
      <c r="J109" s="200">
        <v>1662.9785124215016</v>
      </c>
      <c r="K109" s="213">
        <v>7.9581392149999999E-2</v>
      </c>
      <c r="L109" s="1299">
        <v>63.925621772636774</v>
      </c>
      <c r="M109" s="200">
        <f t="shared" si="50"/>
        <v>653.01917820151164</v>
      </c>
      <c r="O109" s="1725"/>
    </row>
    <row r="110" spans="3:54" s="116" customFormat="1" ht="13.5" customHeight="1">
      <c r="E110" s="197">
        <v>4</v>
      </c>
      <c r="F110" s="200">
        <v>320.99251773157766</v>
      </c>
      <c r="G110" s="200">
        <v>338.21710108067049</v>
      </c>
      <c r="H110" s="200">
        <v>241.51702159614987</v>
      </c>
      <c r="I110" s="200">
        <v>17.224583349092825</v>
      </c>
      <c r="J110" s="200">
        <v>1691.0855054033525</v>
      </c>
      <c r="K110" s="213">
        <v>7.9581392149999999E-2</v>
      </c>
      <c r="L110" s="1299">
        <v>64.14255893731854</v>
      </c>
      <c r="M110" s="200">
        <f t="shared" si="50"/>
        <v>661.69047012643796</v>
      </c>
      <c r="O110" s="1725"/>
    </row>
    <row r="111" spans="3:54" s="116" customFormat="1" hidden="1" outlineLevel="1">
      <c r="E111" s="197">
        <v>5</v>
      </c>
      <c r="F111" s="200" t="e">
        <v>#N/A</v>
      </c>
      <c r="G111" s="200" t="e">
        <v>#N/A</v>
      </c>
      <c r="H111" s="200" t="e">
        <v>#N/A</v>
      </c>
      <c r="I111" s="200" t="e">
        <v>#N/A</v>
      </c>
      <c r="J111" s="200" t="e">
        <v>#N/A</v>
      </c>
      <c r="K111" s="213" t="e">
        <v>#N/A</v>
      </c>
      <c r="L111" s="213" t="e">
        <v>#N/A</v>
      </c>
    </row>
    <row r="112" spans="3:54" s="116" customFormat="1" collapsed="1"/>
    <row r="113" spans="6:14" s="116" customFormat="1">
      <c r="H113" s="118"/>
      <c r="M113" s="1293"/>
    </row>
    <row r="114" spans="6:14" s="116" customFormat="1">
      <c r="H114" s="118"/>
    </row>
    <row r="115" spans="6:14" s="116" customFormat="1">
      <c r="H115" s="118"/>
    </row>
    <row r="116" spans="6:14" s="116" customFormat="1">
      <c r="H116" s="118"/>
    </row>
    <row r="117" spans="6:14" s="116" customFormat="1">
      <c r="L117" s="1720"/>
      <c r="M117" s="1720"/>
    </row>
    <row r="118" spans="6:14" s="116" customFormat="1">
      <c r="F118" s="1293"/>
      <c r="G118" s="1293"/>
      <c r="H118" s="1294"/>
      <c r="I118" s="1293"/>
      <c r="J118" s="1293"/>
      <c r="K118" s="1295"/>
      <c r="L118" s="1293"/>
      <c r="M118" s="1293"/>
      <c r="N118" s="1293"/>
    </row>
    <row r="119" spans="6:14" s="116" customFormat="1">
      <c r="F119" s="1293"/>
      <c r="G119" s="1293"/>
      <c r="H119" s="1294"/>
      <c r="I119" s="1293"/>
      <c r="J119" s="1293"/>
      <c r="K119" s="1295"/>
    </row>
    <row r="120" spans="6:14" s="115" customFormat="1">
      <c r="F120" s="1296"/>
      <c r="G120" s="1296"/>
      <c r="H120" s="1297"/>
      <c r="I120" s="1296"/>
      <c r="J120" s="1296"/>
      <c r="K120" s="1298"/>
    </row>
    <row r="121" spans="6:14" s="115" customFormat="1">
      <c r="F121" s="1296"/>
      <c r="G121" s="1296"/>
      <c r="H121" s="1297"/>
      <c r="I121" s="1296"/>
      <c r="J121" s="1296"/>
      <c r="K121" s="1298"/>
    </row>
    <row r="122" spans="6:14" s="115" customFormat="1"/>
    <row r="123" spans="6:14" s="115" customFormat="1"/>
    <row r="124" spans="6:14" s="115" customFormat="1"/>
    <row r="125" spans="6:14" s="115" customFormat="1"/>
    <row r="126" spans="6:14" s="115" customFormat="1"/>
    <row r="127" spans="6:14" s="115" customFormat="1"/>
    <row r="128" spans="6:14"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sheetData>
  <dataConsolidate/>
  <phoneticPr fontId="61" type="noConversion"/>
  <conditionalFormatting sqref="D75">
    <cfRule type="cellIs" dxfId="129" priority="8" stopIfTrue="1" operator="equal">
      <formula>FALSE</formula>
    </cfRule>
  </conditionalFormatting>
  <conditionalFormatting sqref="D90">
    <cfRule type="cellIs" dxfId="128" priority="6" stopIfTrue="1" operator="equal">
      <formula>FALSE</formula>
    </cfRule>
  </conditionalFormatting>
  <conditionalFormatting sqref="D98">
    <cfRule type="cellIs" dxfId="127" priority="5" stopIfTrue="1" operator="equal">
      <formula>FALSE</formula>
    </cfRule>
  </conditionalFormatting>
  <dataValidations count="5">
    <dataValidation type="list" allowBlank="1" showInputMessage="1" showErrorMessage="1" sqref="D8">
      <formula1>$F$8:$G$8</formula1>
    </dataValidation>
    <dataValidation type="list" allowBlank="1" showInputMessage="1" showErrorMessage="1" sqref="D6">
      <formula1>$E$6:$G$6</formula1>
    </dataValidation>
    <dataValidation type="list" allowBlank="1" showInputMessage="1" showErrorMessage="1" sqref="D7">
      <formula1>areas</formula1>
    </dataValidation>
    <dataValidation type="list" allowBlank="1" showInputMessage="1" showErrorMessage="1" sqref="N7:Q8 M8">
      <formula1>"Single, Dual"</formula1>
    </dataValidation>
    <dataValidation type="list" allowBlank="1" showInputMessage="1" showErrorMessage="1" sqref="D19">
      <formula1>$E$1:$G$1</formula1>
    </dataValidation>
  </dataValidations>
  <pageMargins left="0.7" right="0.48" top="0.56000000000000005" bottom="0.85" header="0.5" footer="0.5"/>
  <pageSetup paperSize="5" scale="27" fitToWidth="4" orientation="landscape" r:id="rId1"/>
  <headerFooter alignWithMargins="0">
    <oddFooter>&amp;R&amp;F [&amp;A]&amp;D &amp;TPage &amp;P of &amp;N</oddFooter>
  </headerFooter>
  <rowBreaks count="1" manualBreakCount="1">
    <brk id="38" min="1" max="60"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'O&amp;M Costs_2026$'!$B$2:$B$3</xm:f>
          </x14:formula1>
          <xm:sqref>I15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AS35"/>
  <sheetViews>
    <sheetView zoomScale="132" zoomScaleNormal="85" workbookViewId="0">
      <selection activeCell="C11" sqref="C11"/>
    </sheetView>
  </sheetViews>
  <sheetFormatPr defaultColWidth="9.140625" defaultRowHeight="15" outlineLevelRow="1" outlineLevelCol="1"/>
  <cols>
    <col min="1" max="1" width="11.7109375" style="411" customWidth="1" outlineLevel="1"/>
    <col min="2" max="2" width="20.28515625" style="411" customWidth="1" outlineLevel="1"/>
    <col min="3" max="3" width="9.140625" style="416"/>
    <col min="4" max="4" width="34" style="416" customWidth="1"/>
    <col min="5" max="5" width="1.7109375" style="416" customWidth="1"/>
    <col min="6" max="45" width="9.85546875" style="416" customWidth="1"/>
    <col min="46" max="16384" width="9.140625" style="416"/>
  </cols>
  <sheetData>
    <row r="1" spans="1:36" s="411" customFormat="1" outlineLevel="1"/>
    <row r="2" spans="1:36" s="411" customFormat="1" outlineLevel="1"/>
    <row r="3" spans="1:36" s="411" customFormat="1" outlineLevel="1">
      <c r="A3" s="412"/>
      <c r="B3" s="412" t="s">
        <v>103</v>
      </c>
      <c r="C3" s="412"/>
      <c r="D3" s="412"/>
      <c r="E3" s="412"/>
      <c r="F3" s="413" t="s">
        <v>89</v>
      </c>
      <c r="J3" s="413" t="s">
        <v>627</v>
      </c>
    </row>
    <row r="4" spans="1:36" s="411" customFormat="1" outlineLevel="1">
      <c r="A4" s="412"/>
      <c r="B4" s="412" t="s">
        <v>102</v>
      </c>
      <c r="F4" s="412" t="s">
        <v>84</v>
      </c>
      <c r="G4" s="1288">
        <f>RIGHT(Region,1)*1</f>
        <v>1</v>
      </c>
      <c r="H4" s="414"/>
      <c r="I4" s="414"/>
      <c r="J4" s="412" t="s">
        <v>628</v>
      </c>
      <c r="K4" s="1312">
        <f>2022</f>
        <v>2022</v>
      </c>
      <c r="L4" s="414"/>
      <c r="M4" s="414"/>
      <c r="N4" s="414"/>
      <c r="O4" s="414"/>
    </row>
    <row r="5" spans="1:36" s="411" customFormat="1" outlineLevel="1">
      <c r="A5" s="412"/>
      <c r="B5" s="415">
        <f>INDEX('Capital Drawdown Schedule'!$C$8:$C$10,MATCH($G$5,'Capital Drawdown Schedule'!$A$8:$A$10,0),1)</f>
        <v>16</v>
      </c>
      <c r="F5" s="412" t="s">
        <v>85</v>
      </c>
      <c r="G5" s="1289" t="str">
        <f>IF(Technology="BESS", "BESS", IF(Technology="Single Cycle","CT","CC"))</f>
        <v>BESS</v>
      </c>
      <c r="H5" s="414"/>
      <c r="I5" s="414"/>
      <c r="J5" s="1311" t="s">
        <v>629</v>
      </c>
      <c r="K5" s="1312">
        <f>6</f>
        <v>6</v>
      </c>
      <c r="L5" s="414"/>
      <c r="M5" s="414"/>
      <c r="N5" s="414"/>
      <c r="O5" s="414"/>
    </row>
    <row r="6" spans="1:36" s="411" customFormat="1" outlineLevel="1">
      <c r="F6" s="412" t="s">
        <v>86</v>
      </c>
      <c r="G6" s="1290">
        <f>CONE_Calculations!D37</f>
        <v>0.55000000000000004</v>
      </c>
      <c r="J6" s="412" t="s">
        <v>630</v>
      </c>
      <c r="K6" s="1312">
        <f>1</f>
        <v>1</v>
      </c>
    </row>
    <row r="7" spans="1:36" s="411" customFormat="1" outlineLevel="1">
      <c r="F7" s="412" t="s">
        <v>87</v>
      </c>
      <c r="G7" s="1291">
        <f>CONE_Calculations!Interest_During_Construction</f>
        <v>4.7E-2</v>
      </c>
      <c r="J7" s="412"/>
    </row>
    <row r="8" spans="1:36" s="411" customFormat="1" outlineLevel="1">
      <c r="F8" s="412"/>
      <c r="G8" s="412"/>
      <c r="J8" s="412"/>
    </row>
    <row r="9" spans="1:36" s="411" customFormat="1" outlineLevel="1">
      <c r="F9" s="412" t="s">
        <v>88</v>
      </c>
      <c r="G9" s="1291">
        <f>CONE_Calculations!ATWACC</f>
        <v>7.9273027499999996E-2</v>
      </c>
      <c r="J9" s="412"/>
    </row>
    <row r="10" spans="1:36" s="411" customFormat="1" outlineLevel="1"/>
    <row r="13" spans="1:36">
      <c r="A13" s="417"/>
      <c r="D13" s="418" t="s">
        <v>177</v>
      </c>
      <c r="E13" s="418"/>
      <c r="F13" s="419">
        <f>IF(Technology="BESS", INDEX('BESS_Capital Costs_Nominal$'!$H$48:$K$48, 1, MATCH('Construction Costs'!$G$4&amp;"_"&amp;'Construction Costs'!$G$5, 'BESS_Capital Costs_Nominal$'!$H$1:$K$1, 0))/1000000, INDEX('Capital Costs_Nominal$'!$H$59:$O$59,1,MATCH('Construction Costs'!$G$4&amp;"_"&amp;'Construction Costs'!$G$5,'Capital Costs_Nominal$'!$H$1:$O$1,0))/1000000)</f>
        <v>327.58205316634212</v>
      </c>
    </row>
    <row r="14" spans="1:36">
      <c r="D14" s="418" t="s">
        <v>181</v>
      </c>
      <c r="F14" s="419">
        <f>IF(Technology="BESS", INDEX('BESS_Capital Costs_Nominal$'!$H$52:$K$52, 1, MATCH('Construction Costs'!$G$4&amp;"_"&amp;'Construction Costs'!$G$5, 'BESS_Capital Costs_Nominal$'!$H$1:$K$1, 0))/1000000, INDEX('Capital Costs_Nominal$'!$H$62:$O$62,1,MATCH('Construction Costs'!$G$4&amp;"_"&amp;'Construction Costs'!$G$5,'Capital Costs_Nominal$'!$H$1:$O$1,0))/1000000)</f>
        <v>0.42</v>
      </c>
    </row>
    <row r="16" spans="1:36">
      <c r="F16" s="418"/>
      <c r="AJ16" s="420"/>
    </row>
    <row r="17" spans="1:45">
      <c r="D17" s="418" t="s">
        <v>78</v>
      </c>
      <c r="F17" s="416">
        <v>1</v>
      </c>
      <c r="G17" s="421">
        <f>F17+1</f>
        <v>2</v>
      </c>
      <c r="H17" s="421">
        <f t="shared" ref="H17:AS17" si="0">G17+1</f>
        <v>3</v>
      </c>
      <c r="I17" s="421">
        <f t="shared" si="0"/>
        <v>4</v>
      </c>
      <c r="J17" s="421">
        <f t="shared" si="0"/>
        <v>5</v>
      </c>
      <c r="K17" s="421">
        <f t="shared" si="0"/>
        <v>6</v>
      </c>
      <c r="L17" s="421">
        <f t="shared" si="0"/>
        <v>7</v>
      </c>
      <c r="M17" s="421">
        <f t="shared" si="0"/>
        <v>8</v>
      </c>
      <c r="N17" s="421">
        <f t="shared" si="0"/>
        <v>9</v>
      </c>
      <c r="O17" s="421">
        <f t="shared" si="0"/>
        <v>10</v>
      </c>
      <c r="P17" s="421">
        <f t="shared" si="0"/>
        <v>11</v>
      </c>
      <c r="Q17" s="421">
        <f t="shared" si="0"/>
        <v>12</v>
      </c>
      <c r="R17" s="421">
        <f t="shared" si="0"/>
        <v>13</v>
      </c>
      <c r="S17" s="421">
        <f t="shared" si="0"/>
        <v>14</v>
      </c>
      <c r="T17" s="421">
        <f t="shared" si="0"/>
        <v>15</v>
      </c>
      <c r="U17" s="421">
        <f t="shared" si="0"/>
        <v>16</v>
      </c>
      <c r="V17" s="421">
        <f t="shared" si="0"/>
        <v>17</v>
      </c>
      <c r="W17" s="421">
        <f t="shared" si="0"/>
        <v>18</v>
      </c>
      <c r="X17" s="421">
        <f t="shared" si="0"/>
        <v>19</v>
      </c>
      <c r="Y17" s="421">
        <f t="shared" si="0"/>
        <v>20</v>
      </c>
      <c r="Z17" s="421">
        <f t="shared" si="0"/>
        <v>21</v>
      </c>
      <c r="AA17" s="421">
        <f t="shared" si="0"/>
        <v>22</v>
      </c>
      <c r="AB17" s="421">
        <f t="shared" si="0"/>
        <v>23</v>
      </c>
      <c r="AC17" s="421">
        <f t="shared" si="0"/>
        <v>24</v>
      </c>
      <c r="AD17" s="421">
        <f t="shared" si="0"/>
        <v>25</v>
      </c>
      <c r="AE17" s="421">
        <f t="shared" si="0"/>
        <v>26</v>
      </c>
      <c r="AF17" s="421">
        <f t="shared" si="0"/>
        <v>27</v>
      </c>
      <c r="AG17" s="421">
        <f t="shared" si="0"/>
        <v>28</v>
      </c>
      <c r="AH17" s="421">
        <f t="shared" si="0"/>
        <v>29</v>
      </c>
      <c r="AI17" s="421">
        <f t="shared" si="0"/>
        <v>30</v>
      </c>
      <c r="AJ17" s="421">
        <f t="shared" si="0"/>
        <v>31</v>
      </c>
      <c r="AK17" s="421">
        <f t="shared" si="0"/>
        <v>32</v>
      </c>
      <c r="AL17" s="421">
        <f t="shared" si="0"/>
        <v>33</v>
      </c>
      <c r="AM17" s="421">
        <f t="shared" si="0"/>
        <v>34</v>
      </c>
      <c r="AN17" s="421">
        <f t="shared" si="0"/>
        <v>35</v>
      </c>
      <c r="AO17" s="421">
        <f t="shared" si="0"/>
        <v>36</v>
      </c>
      <c r="AP17" s="421">
        <f t="shared" si="0"/>
        <v>37</v>
      </c>
      <c r="AQ17" s="421">
        <f t="shared" si="0"/>
        <v>38</v>
      </c>
      <c r="AR17" s="421">
        <f t="shared" si="0"/>
        <v>39</v>
      </c>
      <c r="AS17" s="421">
        <f t="shared" si="0"/>
        <v>40</v>
      </c>
    </row>
    <row r="18" spans="1:45">
      <c r="D18" s="418" t="s">
        <v>79</v>
      </c>
      <c r="F18" s="422">
        <f>IF(F17=$B$5,DATE($K$4,$K$5,$K$6),IF(F17&gt;$B$5,EDATE(E18,1),EDATE(G18,-1)))</f>
        <v>44256</v>
      </c>
      <c r="G18" s="422">
        <f t="shared" ref="G18:AS18" si="1">IF(G17=$B$5,DATE($K$4,$K$5,$K$6),IF(G17&gt;$B$5,EDATE(F18,1),EDATE(H18,-1)))</f>
        <v>44287</v>
      </c>
      <c r="H18" s="422">
        <f t="shared" si="1"/>
        <v>44317</v>
      </c>
      <c r="I18" s="422">
        <f t="shared" si="1"/>
        <v>44348</v>
      </c>
      <c r="J18" s="422">
        <f t="shared" si="1"/>
        <v>44378</v>
      </c>
      <c r="K18" s="422">
        <f t="shared" si="1"/>
        <v>44409</v>
      </c>
      <c r="L18" s="422">
        <f t="shared" si="1"/>
        <v>44440</v>
      </c>
      <c r="M18" s="422">
        <f t="shared" si="1"/>
        <v>44470</v>
      </c>
      <c r="N18" s="422">
        <f t="shared" si="1"/>
        <v>44501</v>
      </c>
      <c r="O18" s="422">
        <f t="shared" si="1"/>
        <v>44531</v>
      </c>
      <c r="P18" s="422">
        <f t="shared" si="1"/>
        <v>44562</v>
      </c>
      <c r="Q18" s="422">
        <f t="shared" si="1"/>
        <v>44593</v>
      </c>
      <c r="R18" s="422">
        <f t="shared" si="1"/>
        <v>44621</v>
      </c>
      <c r="S18" s="422">
        <f t="shared" si="1"/>
        <v>44652</v>
      </c>
      <c r="T18" s="422">
        <f t="shared" si="1"/>
        <v>44682</v>
      </c>
      <c r="U18" s="422">
        <f t="shared" si="1"/>
        <v>44713</v>
      </c>
      <c r="V18" s="422">
        <f t="shared" si="1"/>
        <v>44743</v>
      </c>
      <c r="W18" s="422">
        <f t="shared" si="1"/>
        <v>44774</v>
      </c>
      <c r="X18" s="422">
        <f t="shared" si="1"/>
        <v>44805</v>
      </c>
      <c r="Y18" s="422">
        <f t="shared" si="1"/>
        <v>44835</v>
      </c>
      <c r="Z18" s="422">
        <f t="shared" si="1"/>
        <v>44866</v>
      </c>
      <c r="AA18" s="422">
        <f t="shared" si="1"/>
        <v>44896</v>
      </c>
      <c r="AB18" s="422">
        <f t="shared" si="1"/>
        <v>44927</v>
      </c>
      <c r="AC18" s="422">
        <f t="shared" si="1"/>
        <v>44958</v>
      </c>
      <c r="AD18" s="422">
        <f t="shared" si="1"/>
        <v>44986</v>
      </c>
      <c r="AE18" s="422">
        <f t="shared" si="1"/>
        <v>45017</v>
      </c>
      <c r="AF18" s="422">
        <f t="shared" si="1"/>
        <v>45047</v>
      </c>
      <c r="AG18" s="422">
        <f t="shared" si="1"/>
        <v>45078</v>
      </c>
      <c r="AH18" s="422">
        <f t="shared" si="1"/>
        <v>45108</v>
      </c>
      <c r="AI18" s="422">
        <f t="shared" si="1"/>
        <v>45139</v>
      </c>
      <c r="AJ18" s="422">
        <f t="shared" si="1"/>
        <v>45170</v>
      </c>
      <c r="AK18" s="422">
        <f t="shared" si="1"/>
        <v>45200</v>
      </c>
      <c r="AL18" s="422">
        <f t="shared" si="1"/>
        <v>45231</v>
      </c>
      <c r="AM18" s="422">
        <f t="shared" si="1"/>
        <v>45261</v>
      </c>
      <c r="AN18" s="422">
        <f t="shared" si="1"/>
        <v>45292</v>
      </c>
      <c r="AO18" s="422">
        <f t="shared" si="1"/>
        <v>45323</v>
      </c>
      <c r="AP18" s="422">
        <f t="shared" si="1"/>
        <v>45352</v>
      </c>
      <c r="AQ18" s="422">
        <f t="shared" si="1"/>
        <v>45383</v>
      </c>
      <c r="AR18" s="422">
        <f t="shared" si="1"/>
        <v>45413</v>
      </c>
      <c r="AS18" s="422">
        <f t="shared" si="1"/>
        <v>45444</v>
      </c>
    </row>
    <row r="20" spans="1:45">
      <c r="D20" s="418" t="s">
        <v>172</v>
      </c>
      <c r="E20" s="418"/>
      <c r="F20" s="423">
        <f>INDEX('Capital Drawdown Schedule'!F8:F10,MATCH($G$5,'Capital Drawdown Schedule'!$A$8:$A$10,0),1)</f>
        <v>9.5999999999999992E-3</v>
      </c>
      <c r="G20" s="423">
        <f>INDEX('Capital Drawdown Schedule'!G8:G10,MATCH($G$5,'Capital Drawdown Schedule'!$A$8:$A$10,0),1)</f>
        <v>1.5502999999999999E-2</v>
      </c>
      <c r="H20" s="423">
        <f>INDEX('Capital Drawdown Schedule'!H8:H10,MATCH($G$5,'Capital Drawdown Schedule'!$A$8:$A$10,0),1)</f>
        <v>0.37262800000000001</v>
      </c>
      <c r="I20" s="423">
        <f>INDEX('Capital Drawdown Schedule'!I8:I10,MATCH($G$5,'Capital Drawdown Schedule'!$A$8:$A$10,0),1)</f>
        <v>1.7845E-2</v>
      </c>
      <c r="J20" s="423">
        <f>INDEX('Capital Drawdown Schedule'!J8:J10,MATCH($G$5,'Capital Drawdown Schedule'!$A$8:$A$10,0),1)</f>
        <v>1.8693999999999999E-2</v>
      </c>
      <c r="K20" s="423">
        <f>INDEX('Capital Drawdown Schedule'!K8:K10,MATCH($G$5,'Capital Drawdown Schedule'!$A$8:$A$10,0),1)</f>
        <v>2.1326000000000001E-2</v>
      </c>
      <c r="L20" s="423">
        <f>INDEX('Capital Drawdown Schedule'!L8:L10,MATCH($G$5,'Capital Drawdown Schedule'!$A$8:$A$10,0),1)</f>
        <v>2.5287E-2</v>
      </c>
      <c r="M20" s="423">
        <f>INDEX('Capital Drawdown Schedule'!M8:M10,MATCH($G$5,'Capital Drawdown Schedule'!$A$8:$A$10,0),1)</f>
        <v>2.9177999999999999E-2</v>
      </c>
      <c r="N20" s="423">
        <f>INDEX('Capital Drawdown Schedule'!N8:N10,MATCH($G$5,'Capital Drawdown Schedule'!$A$8:$A$10,0),1)</f>
        <v>3.1455999999999998E-2</v>
      </c>
      <c r="O20" s="423">
        <f>INDEX('Capital Drawdown Schedule'!O8:O10,MATCH($G$5,'Capital Drawdown Schedule'!$A$8:$A$10,0),1)</f>
        <v>3.1001000000000001E-2</v>
      </c>
      <c r="P20" s="423">
        <f>INDEX('Capital Drawdown Schedule'!P8:P10,MATCH($G$5,'Capital Drawdown Schedule'!$A$8:$A$10,0),1)</f>
        <v>2.7458E-2</v>
      </c>
      <c r="Q20" s="423">
        <f>INDEX('Capital Drawdown Schedule'!Q8:Q10,MATCH($G$5,'Capital Drawdown Schedule'!$A$8:$A$10,0),1)</f>
        <v>0.30551099999999998</v>
      </c>
      <c r="R20" s="423">
        <f>INDEX('Capital Drawdown Schedule'!R8:R10,MATCH($G$5,'Capital Drawdown Schedule'!$A$8:$A$10,0),1)</f>
        <v>1.3971000000000001E-2</v>
      </c>
      <c r="S20" s="423">
        <f>INDEX('Capital Drawdown Schedule'!S8:S10,MATCH($G$5,'Capital Drawdown Schedule'!$A$8:$A$10,0),1)</f>
        <v>7.0559999999999998E-3</v>
      </c>
      <c r="T20" s="423">
        <f>INDEX('Capital Drawdown Schedule'!T8:T10,MATCH($G$5,'Capital Drawdown Schedule'!$A$8:$A$10,0),1)</f>
        <v>2.2269999999999998E-3</v>
      </c>
      <c r="U20" s="423">
        <f>INDEX('Capital Drawdown Schedule'!U8:U10,MATCH($G$5,'Capital Drawdown Schedule'!$A$8:$A$10,0),1)</f>
        <v>7.1259000000000003E-2</v>
      </c>
      <c r="V20" s="423">
        <f>INDEX('Capital Drawdown Schedule'!V8:V10,MATCH($G$5,'Capital Drawdown Schedule'!$A$8:$A$10,0),1)</f>
        <v>0</v>
      </c>
      <c r="W20" s="423">
        <f>INDEX('Capital Drawdown Schedule'!W8:W10,MATCH($G$5,'Capital Drawdown Schedule'!$A$8:$A$10,0),1)</f>
        <v>0</v>
      </c>
      <c r="X20" s="423">
        <f>INDEX('Capital Drawdown Schedule'!X8:X10,MATCH($G$5,'Capital Drawdown Schedule'!$A$8:$A$10,0),1)</f>
        <v>0</v>
      </c>
      <c r="Y20" s="423">
        <f>INDEX('Capital Drawdown Schedule'!Y8:Y10,MATCH($G$5,'Capital Drawdown Schedule'!$A$8:$A$10,0),1)</f>
        <v>0</v>
      </c>
      <c r="Z20" s="423">
        <f>INDEX('Capital Drawdown Schedule'!Z8:Z10,MATCH($G$5,'Capital Drawdown Schedule'!$A$8:$A$10,0),1)</f>
        <v>0</v>
      </c>
      <c r="AA20" s="423">
        <f>INDEX('Capital Drawdown Schedule'!AA8:AA10,MATCH($G$5,'Capital Drawdown Schedule'!$A$8:$A$10,0),1)</f>
        <v>0</v>
      </c>
      <c r="AB20" s="423">
        <f>INDEX('Capital Drawdown Schedule'!AB8:AB10,MATCH($G$5,'Capital Drawdown Schedule'!$A$8:$A$10,0),1)</f>
        <v>0</v>
      </c>
      <c r="AC20" s="423">
        <f>INDEX('Capital Drawdown Schedule'!AC8:AC10,MATCH($G$5,'Capital Drawdown Schedule'!$A$8:$A$10,0),1)</f>
        <v>0</v>
      </c>
      <c r="AD20" s="423">
        <f>INDEX('Capital Drawdown Schedule'!AD8:AD10,MATCH($G$5,'Capital Drawdown Schedule'!$A$8:$A$10,0),1)</f>
        <v>0</v>
      </c>
      <c r="AE20" s="423">
        <f>INDEX('Capital Drawdown Schedule'!AE8:AE10,MATCH($G$5,'Capital Drawdown Schedule'!$A$8:$A$10,0),1)</f>
        <v>0</v>
      </c>
      <c r="AF20" s="423">
        <f>INDEX('Capital Drawdown Schedule'!AF8:AF10,MATCH($G$5,'Capital Drawdown Schedule'!$A$8:$A$10,0),1)</f>
        <v>0</v>
      </c>
      <c r="AG20" s="423">
        <f>INDEX('Capital Drawdown Schedule'!AG8:AG10,MATCH($G$5,'Capital Drawdown Schedule'!$A$8:$A$10,0),1)</f>
        <v>0</v>
      </c>
      <c r="AH20" s="423">
        <f>INDEX('Capital Drawdown Schedule'!AH8:AH10,MATCH($G$5,'Capital Drawdown Schedule'!$A$8:$A$10,0),1)</f>
        <v>0</v>
      </c>
      <c r="AI20" s="423">
        <f>INDEX('Capital Drawdown Schedule'!AI8:AI10,MATCH($G$5,'Capital Drawdown Schedule'!$A$8:$A$10,0),1)</f>
        <v>0</v>
      </c>
      <c r="AJ20" s="423">
        <f>INDEX('Capital Drawdown Schedule'!AJ8:AJ10,MATCH($G$5,'Capital Drawdown Schedule'!$A$8:$A$10,0),1)</f>
        <v>0</v>
      </c>
      <c r="AK20" s="423">
        <f>INDEX('Capital Drawdown Schedule'!AK8:AK10,MATCH($G$5,'Capital Drawdown Schedule'!$A$8:$A$10,0),1)</f>
        <v>0</v>
      </c>
      <c r="AL20" s="423">
        <f>INDEX('Capital Drawdown Schedule'!AL8:AL10,MATCH($G$5,'Capital Drawdown Schedule'!$A$8:$A$10,0),1)</f>
        <v>0</v>
      </c>
      <c r="AM20" s="423">
        <f>INDEX('Capital Drawdown Schedule'!AM8:AM10,MATCH($G$5,'Capital Drawdown Schedule'!$A$8:$A$10,0),1)</f>
        <v>0</v>
      </c>
      <c r="AN20" s="423">
        <f>INDEX('Capital Drawdown Schedule'!AN8:AN10,MATCH($G$5,'Capital Drawdown Schedule'!$A$8:$A$10,0),1)</f>
        <v>0</v>
      </c>
      <c r="AO20" s="423">
        <f>INDEX('Capital Drawdown Schedule'!AO8:AO10,MATCH($G$5,'Capital Drawdown Schedule'!$A$8:$A$10,0),1)</f>
        <v>0</v>
      </c>
      <c r="AP20" s="423">
        <f>INDEX('Capital Drawdown Schedule'!AP8:AP10,MATCH($G$5,'Capital Drawdown Schedule'!$A$8:$A$10,0),1)</f>
        <v>0</v>
      </c>
      <c r="AQ20" s="423">
        <f>INDEX('Capital Drawdown Schedule'!AQ8:AQ10,MATCH($G$5,'Capital Drawdown Schedule'!$A$8:$A$10,0),1)</f>
        <v>0</v>
      </c>
      <c r="AR20" s="423">
        <f>INDEX('Capital Drawdown Schedule'!AR8:AR10,MATCH($G$5,'Capital Drawdown Schedule'!$A$8:$A$10,0),1)</f>
        <v>0</v>
      </c>
      <c r="AS20" s="423">
        <f>INDEX('Capital Drawdown Schedule'!AS8:AS10,MATCH($G$5,'Capital Drawdown Schedule'!$A$8:$A$10,0),1)</f>
        <v>0</v>
      </c>
    </row>
    <row r="21" spans="1:45">
      <c r="D21" s="418"/>
      <c r="E21" s="418"/>
    </row>
    <row r="22" spans="1:45">
      <c r="D22" s="418"/>
      <c r="E22" s="418"/>
    </row>
    <row r="23" spans="1:45">
      <c r="A23" s="424"/>
      <c r="D23" s="418" t="s">
        <v>178</v>
      </c>
      <c r="E23" s="418"/>
      <c r="F23" s="425">
        <f>$F$13*F20</f>
        <v>3.144787710396884</v>
      </c>
      <c r="G23" s="425">
        <f>$F$13*G20</f>
        <v>5.0785045702378016</v>
      </c>
      <c r="H23" s="425">
        <f t="shared" ref="H23:AS23" si="2">$F$13*H20</f>
        <v>122.06624530726774</v>
      </c>
      <c r="I23" s="425">
        <f t="shared" si="2"/>
        <v>5.845701738753375</v>
      </c>
      <c r="J23" s="425">
        <f t="shared" si="2"/>
        <v>6.1238189018915996</v>
      </c>
      <c r="K23" s="425">
        <f>$F$13*K20</f>
        <v>6.9860148658254122</v>
      </c>
      <c r="L23" s="425">
        <f t="shared" si="2"/>
        <v>8.2835673784172936</v>
      </c>
      <c r="M23" s="425">
        <f t="shared" si="2"/>
        <v>9.5581891472875302</v>
      </c>
      <c r="N23" s="425">
        <f t="shared" si="2"/>
        <v>10.304421064400458</v>
      </c>
      <c r="O23" s="425">
        <f t="shared" si="2"/>
        <v>10.155371230209772</v>
      </c>
      <c r="P23" s="425">
        <f t="shared" si="2"/>
        <v>8.9947480158414219</v>
      </c>
      <c r="Q23" s="425">
        <f t="shared" si="2"/>
        <v>100.07992064490234</v>
      </c>
      <c r="R23" s="425">
        <f t="shared" si="2"/>
        <v>4.5766488647869661</v>
      </c>
      <c r="S23" s="425">
        <f t="shared" si="2"/>
        <v>2.31141896714171</v>
      </c>
      <c r="T23" s="425">
        <f t="shared" si="2"/>
        <v>0.72952523240144385</v>
      </c>
      <c r="U23" s="425">
        <f t="shared" si="2"/>
        <v>23.343169526580375</v>
      </c>
      <c r="V23" s="425">
        <f t="shared" si="2"/>
        <v>0</v>
      </c>
      <c r="W23" s="425">
        <f t="shared" si="2"/>
        <v>0</v>
      </c>
      <c r="X23" s="425">
        <f t="shared" si="2"/>
        <v>0</v>
      </c>
      <c r="Y23" s="425">
        <f t="shared" si="2"/>
        <v>0</v>
      </c>
      <c r="Z23" s="425">
        <f t="shared" si="2"/>
        <v>0</v>
      </c>
      <c r="AA23" s="425">
        <f t="shared" si="2"/>
        <v>0</v>
      </c>
      <c r="AB23" s="425">
        <f t="shared" si="2"/>
        <v>0</v>
      </c>
      <c r="AC23" s="425">
        <f t="shared" si="2"/>
        <v>0</v>
      </c>
      <c r="AD23" s="425">
        <f t="shared" si="2"/>
        <v>0</v>
      </c>
      <c r="AE23" s="425">
        <f t="shared" si="2"/>
        <v>0</v>
      </c>
      <c r="AF23" s="425">
        <f t="shared" si="2"/>
        <v>0</v>
      </c>
      <c r="AG23" s="425">
        <f t="shared" si="2"/>
        <v>0</v>
      </c>
      <c r="AH23" s="425">
        <f t="shared" si="2"/>
        <v>0</v>
      </c>
      <c r="AI23" s="425">
        <f t="shared" si="2"/>
        <v>0</v>
      </c>
      <c r="AJ23" s="425">
        <f t="shared" si="2"/>
        <v>0</v>
      </c>
      <c r="AK23" s="425">
        <f t="shared" si="2"/>
        <v>0</v>
      </c>
      <c r="AL23" s="425">
        <f t="shared" si="2"/>
        <v>0</v>
      </c>
      <c r="AM23" s="425">
        <f t="shared" si="2"/>
        <v>0</v>
      </c>
      <c r="AN23" s="425">
        <f t="shared" si="2"/>
        <v>0</v>
      </c>
      <c r="AO23" s="425">
        <f t="shared" si="2"/>
        <v>0</v>
      </c>
      <c r="AP23" s="425">
        <f t="shared" si="2"/>
        <v>0</v>
      </c>
      <c r="AQ23" s="425">
        <f t="shared" si="2"/>
        <v>0</v>
      </c>
      <c r="AR23" s="425">
        <f t="shared" si="2"/>
        <v>0</v>
      </c>
      <c r="AS23" s="425">
        <f t="shared" si="2"/>
        <v>0</v>
      </c>
    </row>
    <row r="24" spans="1:45">
      <c r="D24" s="418" t="s">
        <v>182</v>
      </c>
      <c r="E24" s="418"/>
      <c r="F24" s="425">
        <f>$F$14*F21</f>
        <v>0</v>
      </c>
      <c r="G24" s="425">
        <f t="shared" ref="G24:AS24" si="3">$F$14*G21</f>
        <v>0</v>
      </c>
      <c r="H24" s="425">
        <f t="shared" si="3"/>
        <v>0</v>
      </c>
      <c r="I24" s="425">
        <f t="shared" si="3"/>
        <v>0</v>
      </c>
      <c r="J24" s="425">
        <f t="shared" si="3"/>
        <v>0</v>
      </c>
      <c r="K24" s="425">
        <f t="shared" si="3"/>
        <v>0</v>
      </c>
      <c r="L24" s="425">
        <f t="shared" si="3"/>
        <v>0</v>
      </c>
      <c r="M24" s="425">
        <f t="shared" si="3"/>
        <v>0</v>
      </c>
      <c r="N24" s="425">
        <f t="shared" si="3"/>
        <v>0</v>
      </c>
      <c r="O24" s="425">
        <f t="shared" si="3"/>
        <v>0</v>
      </c>
      <c r="P24" s="425">
        <f t="shared" si="3"/>
        <v>0</v>
      </c>
      <c r="Q24" s="425">
        <f t="shared" si="3"/>
        <v>0</v>
      </c>
      <c r="R24" s="425">
        <f t="shared" si="3"/>
        <v>0</v>
      </c>
      <c r="S24" s="425">
        <f t="shared" si="3"/>
        <v>0</v>
      </c>
      <c r="T24" s="425">
        <f t="shared" si="3"/>
        <v>0</v>
      </c>
      <c r="U24" s="425">
        <f t="shared" si="3"/>
        <v>0</v>
      </c>
      <c r="V24" s="425">
        <f t="shared" si="3"/>
        <v>0</v>
      </c>
      <c r="W24" s="425">
        <f t="shared" si="3"/>
        <v>0</v>
      </c>
      <c r="X24" s="425">
        <f t="shared" si="3"/>
        <v>0</v>
      </c>
      <c r="Y24" s="425">
        <f t="shared" si="3"/>
        <v>0</v>
      </c>
      <c r="Z24" s="425">
        <f t="shared" si="3"/>
        <v>0</v>
      </c>
      <c r="AA24" s="425">
        <f t="shared" si="3"/>
        <v>0</v>
      </c>
      <c r="AB24" s="425">
        <f t="shared" si="3"/>
        <v>0</v>
      </c>
      <c r="AC24" s="425">
        <f t="shared" si="3"/>
        <v>0</v>
      </c>
      <c r="AD24" s="425">
        <f t="shared" si="3"/>
        <v>0</v>
      </c>
      <c r="AE24" s="425">
        <f t="shared" si="3"/>
        <v>0</v>
      </c>
      <c r="AF24" s="425">
        <f t="shared" si="3"/>
        <v>0</v>
      </c>
      <c r="AG24" s="425">
        <f t="shared" si="3"/>
        <v>0</v>
      </c>
      <c r="AH24" s="425">
        <f t="shared" si="3"/>
        <v>0</v>
      </c>
      <c r="AI24" s="425">
        <f t="shared" si="3"/>
        <v>0</v>
      </c>
      <c r="AJ24" s="425">
        <f t="shared" si="3"/>
        <v>0</v>
      </c>
      <c r="AK24" s="425">
        <f t="shared" si="3"/>
        <v>0</v>
      </c>
      <c r="AL24" s="425">
        <f t="shared" si="3"/>
        <v>0</v>
      </c>
      <c r="AM24" s="425">
        <f t="shared" si="3"/>
        <v>0</v>
      </c>
      <c r="AN24" s="425">
        <f t="shared" si="3"/>
        <v>0</v>
      </c>
      <c r="AO24" s="425">
        <f t="shared" si="3"/>
        <v>0</v>
      </c>
      <c r="AP24" s="425">
        <f t="shared" si="3"/>
        <v>0</v>
      </c>
      <c r="AQ24" s="425">
        <f t="shared" si="3"/>
        <v>0</v>
      </c>
      <c r="AR24" s="425">
        <f t="shared" si="3"/>
        <v>0</v>
      </c>
      <c r="AS24" s="425">
        <f t="shared" si="3"/>
        <v>0</v>
      </c>
    </row>
    <row r="26" spans="1:45">
      <c r="A26" s="426">
        <f>(1+$G$7)^(1/12)-1</f>
        <v>3.8347448817659391E-3</v>
      </c>
      <c r="B26" s="411" t="s">
        <v>183</v>
      </c>
      <c r="D26" s="418" t="s">
        <v>80</v>
      </c>
      <c r="E26" s="418"/>
      <c r="F26" s="427">
        <f t="shared" ref="F26:AS26" si="4">IF(F$17&lt;=$B$5,E29*$A26*$G$6,0)</f>
        <v>0</v>
      </c>
      <c r="G26" s="427">
        <f t="shared" si="4"/>
        <v>6.6327022171766828E-3</v>
      </c>
      <c r="H26" s="427">
        <f t="shared" si="4"/>
        <v>1.735781448791985E-2</v>
      </c>
      <c r="I26" s="427">
        <f t="shared" si="4"/>
        <v>0.27484552420820302</v>
      </c>
      <c r="J26" s="427">
        <f t="shared" si="4"/>
        <v>0.28775442971783971</v>
      </c>
      <c r="K26" s="427">
        <f t="shared" si="4"/>
        <v>0.30127714112744064</v>
      </c>
      <c r="L26" s="427">
        <f t="shared" si="4"/>
        <v>0.31664683927651854</v>
      </c>
      <c r="M26" s="427">
        <f t="shared" si="4"/>
        <v>0.33478563437588416</v>
      </c>
      <c r="N26" s="427">
        <f t="shared" si="4"/>
        <v>0.35565100330106697</v>
      </c>
      <c r="O26" s="427">
        <f t="shared" si="4"/>
        <v>0.37813426454154792</v>
      </c>
      <c r="P26" s="427">
        <f t="shared" si="4"/>
        <v>0.40035058299722598</v>
      </c>
      <c r="Q26" s="427">
        <f t="shared" si="4"/>
        <v>0.42016587644329656</v>
      </c>
      <c r="R26" s="427">
        <f t="shared" si="4"/>
        <v>0.63213158226591681</v>
      </c>
      <c r="S26" s="427">
        <f t="shared" si="4"/>
        <v>0.64311747155368504</v>
      </c>
      <c r="T26" s="427">
        <f t="shared" si="4"/>
        <v>0.64934891297113806</v>
      </c>
      <c r="U26" s="427">
        <f t="shared" si="4"/>
        <v>0.65225710978549989</v>
      </c>
      <c r="V26" s="427">
        <f t="shared" si="4"/>
        <v>0</v>
      </c>
      <c r="W26" s="427">
        <f t="shared" si="4"/>
        <v>0</v>
      </c>
      <c r="X26" s="427">
        <f t="shared" si="4"/>
        <v>0</v>
      </c>
      <c r="Y26" s="427">
        <f t="shared" si="4"/>
        <v>0</v>
      </c>
      <c r="Z26" s="427">
        <f t="shared" si="4"/>
        <v>0</v>
      </c>
      <c r="AA26" s="427">
        <f t="shared" si="4"/>
        <v>0</v>
      </c>
      <c r="AB26" s="427">
        <f t="shared" si="4"/>
        <v>0</v>
      </c>
      <c r="AC26" s="427">
        <f t="shared" si="4"/>
        <v>0</v>
      </c>
      <c r="AD26" s="427">
        <f t="shared" si="4"/>
        <v>0</v>
      </c>
      <c r="AE26" s="427">
        <f t="shared" si="4"/>
        <v>0</v>
      </c>
      <c r="AF26" s="427">
        <f t="shared" si="4"/>
        <v>0</v>
      </c>
      <c r="AG26" s="427">
        <f t="shared" si="4"/>
        <v>0</v>
      </c>
      <c r="AH26" s="427">
        <f t="shared" si="4"/>
        <v>0</v>
      </c>
      <c r="AI26" s="427">
        <f t="shared" si="4"/>
        <v>0</v>
      </c>
      <c r="AJ26" s="427">
        <f t="shared" si="4"/>
        <v>0</v>
      </c>
      <c r="AK26" s="427">
        <f t="shared" si="4"/>
        <v>0</v>
      </c>
      <c r="AL26" s="427">
        <f t="shared" si="4"/>
        <v>0</v>
      </c>
      <c r="AM26" s="427">
        <f t="shared" si="4"/>
        <v>0</v>
      </c>
      <c r="AN26" s="427">
        <f t="shared" si="4"/>
        <v>0</v>
      </c>
      <c r="AO26" s="427">
        <f t="shared" si="4"/>
        <v>0</v>
      </c>
      <c r="AP26" s="427">
        <f t="shared" si="4"/>
        <v>0</v>
      </c>
      <c r="AQ26" s="427">
        <f t="shared" si="4"/>
        <v>0</v>
      </c>
      <c r="AR26" s="427">
        <f t="shared" si="4"/>
        <v>0</v>
      </c>
      <c r="AS26" s="427">
        <f t="shared" si="4"/>
        <v>0</v>
      </c>
    </row>
    <row r="27" spans="1:45">
      <c r="A27" s="428"/>
      <c r="D27" s="418" t="s">
        <v>81</v>
      </c>
      <c r="E27" s="418"/>
      <c r="F27" s="425">
        <f>F26+(F23-F24)</f>
        <v>3.144787710396884</v>
      </c>
      <c r="G27" s="425">
        <f t="shared" ref="G27:AS27" si="5">G26+(G23-G24)</f>
        <v>5.0851372724549782</v>
      </c>
      <c r="H27" s="425">
        <f t="shared" si="5"/>
        <v>122.08360312175566</v>
      </c>
      <c r="I27" s="425">
        <f t="shared" si="5"/>
        <v>6.120547262961578</v>
      </c>
      <c r="J27" s="425">
        <f t="shared" si="5"/>
        <v>6.4115733316094392</v>
      </c>
      <c r="K27" s="425">
        <f t="shared" si="5"/>
        <v>7.2872920069528533</v>
      </c>
      <c r="L27" s="425">
        <f t="shared" si="5"/>
        <v>8.6002142176938126</v>
      </c>
      <c r="M27" s="425">
        <f t="shared" si="5"/>
        <v>9.8929747816634137</v>
      </c>
      <c r="N27" s="425">
        <f t="shared" si="5"/>
        <v>10.660072067701526</v>
      </c>
      <c r="O27" s="425">
        <f t="shared" si="5"/>
        <v>10.533505494751319</v>
      </c>
      <c r="P27" s="425">
        <f t="shared" si="5"/>
        <v>9.3950985988386471</v>
      </c>
      <c r="Q27" s="425">
        <f t="shared" si="5"/>
        <v>100.50008652134564</v>
      </c>
      <c r="R27" s="425">
        <f t="shared" si="5"/>
        <v>5.2087804470528827</v>
      </c>
      <c r="S27" s="425">
        <f t="shared" si="5"/>
        <v>2.9545364386953952</v>
      </c>
      <c r="T27" s="425">
        <f t="shared" si="5"/>
        <v>1.3788741453725819</v>
      </c>
      <c r="U27" s="425">
        <f t="shared" si="5"/>
        <v>23.995426636365874</v>
      </c>
      <c r="V27" s="425">
        <f t="shared" si="5"/>
        <v>0</v>
      </c>
      <c r="W27" s="425">
        <f t="shared" si="5"/>
        <v>0</v>
      </c>
      <c r="X27" s="425">
        <f t="shared" si="5"/>
        <v>0</v>
      </c>
      <c r="Y27" s="425">
        <f t="shared" si="5"/>
        <v>0</v>
      </c>
      <c r="Z27" s="425">
        <f t="shared" si="5"/>
        <v>0</v>
      </c>
      <c r="AA27" s="425">
        <f t="shared" si="5"/>
        <v>0</v>
      </c>
      <c r="AB27" s="425">
        <f t="shared" si="5"/>
        <v>0</v>
      </c>
      <c r="AC27" s="425">
        <f t="shared" si="5"/>
        <v>0</v>
      </c>
      <c r="AD27" s="425">
        <f t="shared" si="5"/>
        <v>0</v>
      </c>
      <c r="AE27" s="425">
        <f t="shared" si="5"/>
        <v>0</v>
      </c>
      <c r="AF27" s="425">
        <f t="shared" si="5"/>
        <v>0</v>
      </c>
      <c r="AG27" s="425">
        <f t="shared" si="5"/>
        <v>0</v>
      </c>
      <c r="AH27" s="425">
        <f t="shared" si="5"/>
        <v>0</v>
      </c>
      <c r="AI27" s="425">
        <f t="shared" si="5"/>
        <v>0</v>
      </c>
      <c r="AJ27" s="425">
        <f t="shared" si="5"/>
        <v>0</v>
      </c>
      <c r="AK27" s="425">
        <f t="shared" si="5"/>
        <v>0</v>
      </c>
      <c r="AL27" s="425">
        <f t="shared" si="5"/>
        <v>0</v>
      </c>
      <c r="AM27" s="425">
        <f t="shared" si="5"/>
        <v>0</v>
      </c>
      <c r="AN27" s="425">
        <f t="shared" si="5"/>
        <v>0</v>
      </c>
      <c r="AO27" s="425">
        <f t="shared" si="5"/>
        <v>0</v>
      </c>
      <c r="AP27" s="425">
        <f t="shared" si="5"/>
        <v>0</v>
      </c>
      <c r="AQ27" s="425">
        <f t="shared" si="5"/>
        <v>0</v>
      </c>
      <c r="AR27" s="425">
        <f t="shared" si="5"/>
        <v>0</v>
      </c>
      <c r="AS27" s="425">
        <f t="shared" si="5"/>
        <v>0</v>
      </c>
    </row>
    <row r="28" spans="1:45">
      <c r="G28" s="429"/>
    </row>
    <row r="29" spans="1:45">
      <c r="D29" s="430" t="s">
        <v>82</v>
      </c>
      <c r="E29" s="430"/>
      <c r="F29" s="431">
        <f>F27+E29</f>
        <v>3.144787710396884</v>
      </c>
      <c r="G29" s="431">
        <f t="shared" ref="G29:AS29" si="6">G27+F29</f>
        <v>8.2299249828518626</v>
      </c>
      <c r="H29" s="431">
        <f t="shared" si="6"/>
        <v>130.31352810460751</v>
      </c>
      <c r="I29" s="431">
        <f t="shared" si="6"/>
        <v>136.43407536756908</v>
      </c>
      <c r="J29" s="431">
        <f t="shared" si="6"/>
        <v>142.84564869917853</v>
      </c>
      <c r="K29" s="431">
        <f t="shared" si="6"/>
        <v>150.13294070613136</v>
      </c>
      <c r="L29" s="431">
        <f t="shared" si="6"/>
        <v>158.73315492382517</v>
      </c>
      <c r="M29" s="431">
        <f t="shared" si="6"/>
        <v>168.62612970548858</v>
      </c>
      <c r="N29" s="431">
        <f t="shared" si="6"/>
        <v>179.2862017731901</v>
      </c>
      <c r="O29" s="431">
        <f t="shared" si="6"/>
        <v>189.81970726794142</v>
      </c>
      <c r="P29" s="431">
        <f t="shared" si="6"/>
        <v>199.21480586678007</v>
      </c>
      <c r="Q29" s="431">
        <f t="shared" si="6"/>
        <v>299.71489238812569</v>
      </c>
      <c r="R29" s="431">
        <f t="shared" si="6"/>
        <v>304.92367283517859</v>
      </c>
      <c r="S29" s="431">
        <f t="shared" si="6"/>
        <v>307.87820927387401</v>
      </c>
      <c r="T29" s="431">
        <f t="shared" si="6"/>
        <v>309.25708341924661</v>
      </c>
      <c r="U29" s="431">
        <f t="shared" si="6"/>
        <v>333.2525100556125</v>
      </c>
      <c r="V29" s="431">
        <f t="shared" si="6"/>
        <v>333.2525100556125</v>
      </c>
      <c r="W29" s="431">
        <f t="shared" si="6"/>
        <v>333.2525100556125</v>
      </c>
      <c r="X29" s="431">
        <f t="shared" si="6"/>
        <v>333.2525100556125</v>
      </c>
      <c r="Y29" s="431">
        <f t="shared" si="6"/>
        <v>333.2525100556125</v>
      </c>
      <c r="Z29" s="431">
        <f t="shared" si="6"/>
        <v>333.2525100556125</v>
      </c>
      <c r="AA29" s="431">
        <f t="shared" si="6"/>
        <v>333.2525100556125</v>
      </c>
      <c r="AB29" s="431">
        <f t="shared" si="6"/>
        <v>333.2525100556125</v>
      </c>
      <c r="AC29" s="431">
        <f t="shared" si="6"/>
        <v>333.2525100556125</v>
      </c>
      <c r="AD29" s="431">
        <f t="shared" si="6"/>
        <v>333.2525100556125</v>
      </c>
      <c r="AE29" s="431">
        <f t="shared" si="6"/>
        <v>333.2525100556125</v>
      </c>
      <c r="AF29" s="431">
        <f t="shared" si="6"/>
        <v>333.2525100556125</v>
      </c>
      <c r="AG29" s="431">
        <f t="shared" si="6"/>
        <v>333.2525100556125</v>
      </c>
      <c r="AH29" s="431">
        <f t="shared" si="6"/>
        <v>333.2525100556125</v>
      </c>
      <c r="AI29" s="431">
        <f t="shared" si="6"/>
        <v>333.2525100556125</v>
      </c>
      <c r="AJ29" s="431">
        <f t="shared" si="6"/>
        <v>333.2525100556125</v>
      </c>
      <c r="AK29" s="431">
        <f t="shared" si="6"/>
        <v>333.2525100556125</v>
      </c>
      <c r="AL29" s="431">
        <f t="shared" si="6"/>
        <v>333.2525100556125</v>
      </c>
      <c r="AM29" s="431">
        <f t="shared" si="6"/>
        <v>333.2525100556125</v>
      </c>
      <c r="AN29" s="431">
        <f t="shared" si="6"/>
        <v>333.2525100556125</v>
      </c>
      <c r="AO29" s="431">
        <f t="shared" si="6"/>
        <v>333.2525100556125</v>
      </c>
      <c r="AP29" s="431">
        <f t="shared" si="6"/>
        <v>333.2525100556125</v>
      </c>
      <c r="AQ29" s="431">
        <f t="shared" si="6"/>
        <v>333.2525100556125</v>
      </c>
      <c r="AR29" s="431">
        <f t="shared" si="6"/>
        <v>333.2525100556125</v>
      </c>
      <c r="AS29" s="431">
        <f t="shared" si="6"/>
        <v>333.2525100556125</v>
      </c>
    </row>
    <row r="30" spans="1:45">
      <c r="D30" s="418"/>
      <c r="E30" s="418"/>
      <c r="F30" s="432"/>
      <c r="G30" s="432"/>
      <c r="H30" s="432"/>
      <c r="I30" s="432"/>
      <c r="J30" s="432"/>
      <c r="K30" s="432"/>
      <c r="L30" s="432"/>
      <c r="M30" s="432"/>
      <c r="N30" s="432"/>
      <c r="O30" s="432"/>
      <c r="P30" s="432"/>
      <c r="Q30" s="432"/>
      <c r="R30" s="432"/>
      <c r="S30" s="432"/>
      <c r="T30" s="432"/>
      <c r="U30" s="432"/>
      <c r="V30" s="432"/>
      <c r="W30" s="432"/>
      <c r="X30" s="432"/>
      <c r="Y30" s="432"/>
      <c r="Z30" s="432"/>
      <c r="AA30" s="432"/>
      <c r="AB30" s="432"/>
      <c r="AC30" s="432"/>
      <c r="AD30" s="432"/>
      <c r="AE30" s="432"/>
      <c r="AF30" s="432"/>
      <c r="AG30" s="432"/>
      <c r="AH30" s="432"/>
      <c r="AI30" s="432"/>
      <c r="AJ30" s="432"/>
      <c r="AK30" s="432"/>
      <c r="AL30" s="432"/>
      <c r="AM30" s="432"/>
      <c r="AN30" s="432"/>
      <c r="AO30" s="432"/>
      <c r="AP30" s="432"/>
      <c r="AQ30" s="432"/>
      <c r="AR30" s="432"/>
      <c r="AS30" s="432"/>
    </row>
    <row r="31" spans="1:45">
      <c r="D31" s="430" t="s">
        <v>203</v>
      </c>
      <c r="E31" s="418"/>
      <c r="F31" s="433">
        <f>SUM(F23:AS23)</f>
        <v>327.58205316634218</v>
      </c>
      <c r="G31" s="432"/>
      <c r="H31" s="432"/>
      <c r="I31" s="432"/>
      <c r="J31" s="432"/>
      <c r="K31" s="432"/>
      <c r="L31" s="432"/>
      <c r="M31" s="432"/>
      <c r="N31" s="432"/>
      <c r="O31" s="432"/>
      <c r="P31" s="432"/>
      <c r="Q31" s="432"/>
      <c r="R31" s="432"/>
      <c r="S31" s="432"/>
      <c r="T31" s="432"/>
      <c r="U31" s="432"/>
      <c r="V31" s="432"/>
      <c r="W31" s="432"/>
      <c r="X31" s="432"/>
      <c r="Y31" s="432"/>
      <c r="Z31" s="432"/>
      <c r="AA31" s="432"/>
      <c r="AB31" s="432"/>
      <c r="AC31" s="432"/>
      <c r="AD31" s="432"/>
      <c r="AE31" s="432"/>
      <c r="AF31" s="432"/>
      <c r="AG31" s="432"/>
      <c r="AH31" s="432"/>
      <c r="AI31" s="432"/>
      <c r="AJ31" s="432"/>
      <c r="AK31" s="432"/>
      <c r="AL31" s="432"/>
      <c r="AM31" s="432"/>
      <c r="AN31" s="432"/>
      <c r="AO31" s="432"/>
      <c r="AP31" s="432"/>
      <c r="AQ31" s="432"/>
      <c r="AR31" s="432"/>
      <c r="AS31" s="432"/>
    </row>
    <row r="32" spans="1:45">
      <c r="A32" s="426">
        <f>(1+$G$9)^(1/12)-1</f>
        <v>6.3775582207508119E-3</v>
      </c>
      <c r="B32" s="411" t="s">
        <v>184</v>
      </c>
      <c r="D32" s="430" t="s">
        <v>83</v>
      </c>
      <c r="F32" s="433">
        <f>NPV($A32,F23:AS23)*(1+$A32)^B$5</f>
        <v>345.09237326728731</v>
      </c>
      <c r="G32" s="429"/>
      <c r="H32" s="429"/>
    </row>
    <row r="33" spans="4:14">
      <c r="D33" s="430" t="s">
        <v>91</v>
      </c>
      <c r="F33" s="433">
        <f>SUM(F27:AS27)</f>
        <v>333.2525100556125</v>
      </c>
    </row>
    <row r="34" spans="4:14">
      <c r="I34" s="434"/>
    </row>
    <row r="35" spans="4:14">
      <c r="H35" s="435"/>
      <c r="N35" s="429"/>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
  <sheetViews>
    <sheetView workbookViewId="0">
      <selection activeCell="H26" sqref="H26"/>
    </sheetView>
  </sheetViews>
  <sheetFormatPr defaultColWidth="9.140625" defaultRowHeight="12.75"/>
  <cols>
    <col min="1" max="16384" width="9.140625" style="934"/>
  </cols>
  <sheetData/>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V78"/>
  <sheetViews>
    <sheetView topLeftCell="B7" zoomScaleNormal="100" workbookViewId="0">
      <pane xSplit="2" topLeftCell="H1" activePane="topRight" state="frozen"/>
      <selection activeCell="B1" sqref="B1"/>
      <selection pane="topRight" activeCell="H7" sqref="H7"/>
    </sheetView>
  </sheetViews>
  <sheetFormatPr defaultColWidth="9.140625" defaultRowHeight="15" outlineLevelRow="1" outlineLevelCol="1"/>
  <cols>
    <col min="1" max="1" width="13.7109375" style="436" hidden="1" customWidth="1" outlineLevel="1"/>
    <col min="2" max="2" width="6.5703125" style="256" customWidth="1" collapsed="1"/>
    <col min="3" max="3" width="25.5703125" style="256" customWidth="1"/>
    <col min="4" max="4" width="1.7109375" style="256" hidden="1" customWidth="1" outlineLevel="1"/>
    <col min="5" max="5" width="16" style="256" hidden="1" customWidth="1" outlineLevel="1"/>
    <col min="6" max="6" width="21.5703125" style="256" hidden="1" customWidth="1" outlineLevel="1"/>
    <col min="7" max="7" width="1.85546875" style="256" hidden="1" customWidth="1" outlineLevel="1"/>
    <col min="8" max="8" width="15.85546875" style="257" bestFit="1" customWidth="1" collapsed="1"/>
    <col min="9" max="9" width="14.7109375" style="257" customWidth="1"/>
    <col min="10" max="11" width="15.85546875" style="257" bestFit="1" customWidth="1"/>
    <col min="12" max="15" width="20.28515625" style="257" bestFit="1" customWidth="1"/>
    <col min="16" max="16" width="1.7109375" style="256" customWidth="1"/>
    <col min="17" max="17" width="25.42578125" style="256" bestFit="1" customWidth="1"/>
    <col min="18" max="18" width="14.7109375" style="256" hidden="1" customWidth="1" outlineLevel="1"/>
    <col min="19" max="19" width="8.85546875" style="443" hidden="1" customWidth="1" outlineLevel="1"/>
    <col min="20" max="20" width="25.42578125" style="256" hidden="1" customWidth="1" outlineLevel="1"/>
    <col min="21" max="21" width="9.140625" style="256" hidden="1" customWidth="1" outlineLevel="1"/>
    <col min="22" max="22" width="9.140625" style="256" collapsed="1"/>
    <col min="23" max="16384" width="9.140625" style="256"/>
  </cols>
  <sheetData>
    <row r="1" spans="1:21" s="255" customFormat="1" hidden="1" outlineLevel="1">
      <c r="A1" s="436"/>
      <c r="E1" s="438" t="s">
        <v>546</v>
      </c>
      <c r="F1" s="436">
        <v>5</v>
      </c>
      <c r="H1" s="437" t="str">
        <f t="shared" ref="H1:O1" si="0">H2&amp;"_"&amp;H3</f>
        <v>1_CT</v>
      </c>
      <c r="I1" s="437" t="str">
        <f t="shared" si="0"/>
        <v>2_CT</v>
      </c>
      <c r="J1" s="437" t="str">
        <f t="shared" si="0"/>
        <v>3_CT</v>
      </c>
      <c r="K1" s="437" t="str">
        <f t="shared" si="0"/>
        <v>4_CT</v>
      </c>
      <c r="L1" s="437" t="str">
        <f t="shared" si="0"/>
        <v>1_CC</v>
      </c>
      <c r="M1" s="437" t="str">
        <f t="shared" si="0"/>
        <v>2_CC</v>
      </c>
      <c r="N1" s="437" t="str">
        <f t="shared" si="0"/>
        <v>3_CC</v>
      </c>
      <c r="O1" s="437" t="str">
        <f t="shared" si="0"/>
        <v>4_CC</v>
      </c>
      <c r="S1" s="438"/>
    </row>
    <row r="2" spans="1:21" s="255" customFormat="1" hidden="1" outlineLevel="1">
      <c r="A2" s="436"/>
      <c r="E2" s="438" t="s">
        <v>547</v>
      </c>
      <c r="F2" s="436">
        <v>12</v>
      </c>
      <c r="H2" s="438">
        <v>1</v>
      </c>
      <c r="I2" s="438">
        <v>2</v>
      </c>
      <c r="J2" s="438">
        <v>3</v>
      </c>
      <c r="K2" s="438">
        <v>4</v>
      </c>
      <c r="L2" s="438">
        <v>1</v>
      </c>
      <c r="M2" s="438">
        <v>2</v>
      </c>
      <c r="N2" s="438">
        <v>3</v>
      </c>
      <c r="O2" s="438">
        <v>4</v>
      </c>
      <c r="S2" s="438"/>
    </row>
    <row r="3" spans="1:21" s="255" customFormat="1" hidden="1" outlineLevel="1">
      <c r="A3" s="436"/>
      <c r="H3" s="438" t="s">
        <v>76</v>
      </c>
      <c r="I3" s="438" t="s">
        <v>76</v>
      </c>
      <c r="J3" s="438" t="s">
        <v>76</v>
      </c>
      <c r="K3" s="438" t="s">
        <v>76</v>
      </c>
      <c r="L3" s="438" t="s">
        <v>77</v>
      </c>
      <c r="M3" s="438" t="s">
        <v>77</v>
      </c>
      <c r="N3" s="438" t="s">
        <v>77</v>
      </c>
      <c r="O3" s="438" t="s">
        <v>77</v>
      </c>
      <c r="S3" s="438"/>
    </row>
    <row r="4" spans="1:21" s="255" customFormat="1" hidden="1" outlineLevel="1">
      <c r="A4" s="436"/>
      <c r="B4" s="1169" t="s">
        <v>572</v>
      </c>
      <c r="C4" s="1170"/>
      <c r="G4" s="438" t="s">
        <v>545</v>
      </c>
      <c r="H4" s="439">
        <f>$F$1-('Capital Drawdown Schedule'!$C$8-'Capital Drawdown Schedule'!$D$8)/$F$2</f>
        <v>4.416666666666667</v>
      </c>
      <c r="I4" s="439">
        <f>$F$1-('Capital Drawdown Schedule'!$C$8-'Capital Drawdown Schedule'!$D$8)/$F$2</f>
        <v>4.416666666666667</v>
      </c>
      <c r="J4" s="439">
        <f>$F$1-('Capital Drawdown Schedule'!$C$8-'Capital Drawdown Schedule'!$D$8)/$F$2</f>
        <v>4.416666666666667</v>
      </c>
      <c r="K4" s="439">
        <f>$F$1-('Capital Drawdown Schedule'!$C$8-'Capital Drawdown Schedule'!$D$8)/$F$2</f>
        <v>4.416666666666667</v>
      </c>
      <c r="L4" s="439">
        <f>$F$1-('Capital Drawdown Schedule'!$C$9-'Capital Drawdown Schedule'!$D$9)/$F$2</f>
        <v>4</v>
      </c>
      <c r="M4" s="439">
        <f>$F$1-('Capital Drawdown Schedule'!$C$9-'Capital Drawdown Schedule'!$D$9)/$F$2</f>
        <v>4</v>
      </c>
      <c r="N4" s="439">
        <f>$F$1-('Capital Drawdown Schedule'!$C$9-'Capital Drawdown Schedule'!$D$9)/$F$2</f>
        <v>4</v>
      </c>
      <c r="O4" s="439">
        <f>$F$1-('Capital Drawdown Schedule'!$C$9-'Capital Drawdown Schedule'!$D$9)/$F$2</f>
        <v>4</v>
      </c>
      <c r="S4" s="438"/>
    </row>
    <row r="5" spans="1:21" s="255" customFormat="1" hidden="1" outlineLevel="1">
      <c r="A5" s="436"/>
      <c r="B5" s="255">
        <v>7</v>
      </c>
      <c r="G5" s="438" t="s">
        <v>548</v>
      </c>
      <c r="H5" s="440">
        <f>(($F$1*$F$2-$B$5)/12)</f>
        <v>4.416666666666667</v>
      </c>
      <c r="I5" s="440">
        <f t="shared" ref="I5:O5" si="1">($F$1*$F$2-$B$5)/12</f>
        <v>4.416666666666667</v>
      </c>
      <c r="J5" s="440">
        <f t="shared" si="1"/>
        <v>4.416666666666667</v>
      </c>
      <c r="K5" s="440">
        <f t="shared" si="1"/>
        <v>4.416666666666667</v>
      </c>
      <c r="L5" s="440">
        <f t="shared" si="1"/>
        <v>4.416666666666667</v>
      </c>
      <c r="M5" s="440">
        <f t="shared" si="1"/>
        <v>4.416666666666667</v>
      </c>
      <c r="N5" s="440">
        <f t="shared" si="1"/>
        <v>4.416666666666667</v>
      </c>
      <c r="O5" s="440">
        <f t="shared" si="1"/>
        <v>4.416666666666667</v>
      </c>
      <c r="S5" s="438"/>
    </row>
    <row r="6" spans="1:21" s="255" customFormat="1" hidden="1" outlineLevel="1">
      <c r="A6" s="436"/>
      <c r="B6" s="255">
        <v>8</v>
      </c>
      <c r="G6" s="438" t="s">
        <v>549</v>
      </c>
      <c r="H6" s="440">
        <f t="shared" ref="H6:O6" si="2">($F$1*$F$2-$B$6)/12</f>
        <v>4.333333333333333</v>
      </c>
      <c r="I6" s="440">
        <f t="shared" si="2"/>
        <v>4.333333333333333</v>
      </c>
      <c r="J6" s="440">
        <f t="shared" si="2"/>
        <v>4.333333333333333</v>
      </c>
      <c r="K6" s="440">
        <f t="shared" si="2"/>
        <v>4.333333333333333</v>
      </c>
      <c r="L6" s="440">
        <f t="shared" si="2"/>
        <v>4.333333333333333</v>
      </c>
      <c r="M6" s="440">
        <f t="shared" si="2"/>
        <v>4.333333333333333</v>
      </c>
      <c r="N6" s="440">
        <f t="shared" si="2"/>
        <v>4.333333333333333</v>
      </c>
      <c r="O6" s="440">
        <f t="shared" si="2"/>
        <v>4.333333333333333</v>
      </c>
      <c r="P6" s="440">
        <f>4-(12-8)/12</f>
        <v>3.6666666666666665</v>
      </c>
      <c r="S6" s="438"/>
    </row>
    <row r="7" spans="1:21" collapsed="1">
      <c r="A7" s="441"/>
      <c r="C7" s="219"/>
      <c r="D7" s="219"/>
      <c r="E7" s="219"/>
      <c r="F7" s="219"/>
      <c r="G7" s="219"/>
      <c r="H7" s="444"/>
      <c r="I7" s="444"/>
      <c r="J7" s="444"/>
      <c r="K7" s="444"/>
      <c r="L7" s="261"/>
      <c r="M7" s="444"/>
      <c r="N7" s="444"/>
      <c r="O7" s="444"/>
      <c r="P7" s="219"/>
    </row>
    <row r="8" spans="1:21" ht="6" customHeight="1" thickBot="1">
      <c r="A8" s="441"/>
      <c r="C8" s="445"/>
      <c r="D8" s="445"/>
      <c r="E8" s="445"/>
      <c r="F8" s="445"/>
      <c r="G8" s="445"/>
      <c r="H8" s="446"/>
      <c r="I8" s="446"/>
      <c r="J8" s="446"/>
      <c r="K8" s="446"/>
      <c r="L8" s="446"/>
      <c r="M8" s="446"/>
      <c r="N8" s="446"/>
      <c r="O8" s="446"/>
      <c r="P8" s="445"/>
    </row>
    <row r="9" spans="1:21" ht="6" customHeight="1" thickTop="1">
      <c r="A9" s="441"/>
      <c r="C9" s="447"/>
      <c r="D9" s="447"/>
      <c r="E9" s="447"/>
      <c r="F9" s="447"/>
      <c r="G9" s="447"/>
      <c r="H9" s="448"/>
      <c r="I9" s="448"/>
      <c r="J9" s="448"/>
      <c r="K9" s="448"/>
      <c r="L9" s="829"/>
      <c r="M9" s="449"/>
      <c r="N9" s="449"/>
      <c r="O9" s="449"/>
      <c r="P9" s="447"/>
      <c r="Q9" s="759"/>
    </row>
    <row r="10" spans="1:21" ht="12.75" customHeight="1" outlineLevel="1">
      <c r="A10" s="441"/>
      <c r="C10" s="270"/>
      <c r="D10" s="270"/>
      <c r="E10" s="271"/>
      <c r="F10" s="271"/>
      <c r="G10" s="271"/>
      <c r="H10" s="450" t="s">
        <v>616</v>
      </c>
      <c r="I10" s="450"/>
      <c r="J10" s="450"/>
      <c r="K10" s="450"/>
      <c r="L10" s="830" t="s">
        <v>616</v>
      </c>
      <c r="M10" s="451"/>
      <c r="N10" s="451"/>
      <c r="O10" s="451"/>
      <c r="P10" s="452"/>
      <c r="Q10" s="759"/>
    </row>
    <row r="11" spans="1:21" ht="12.75" customHeight="1">
      <c r="A11" s="441"/>
      <c r="C11" s="270"/>
      <c r="D11" s="270"/>
      <c r="E11" s="271"/>
      <c r="F11" s="271"/>
      <c r="G11" s="271"/>
      <c r="H11" s="453" t="s">
        <v>189</v>
      </c>
      <c r="I11" s="453"/>
      <c r="J11" s="453"/>
      <c r="K11" s="453"/>
      <c r="L11" s="831" t="s">
        <v>189</v>
      </c>
      <c r="M11" s="453"/>
      <c r="N11" s="453"/>
      <c r="O11" s="453"/>
      <c r="P11" s="452"/>
      <c r="Q11" s="759"/>
    </row>
    <row r="12" spans="1:21" ht="12.75" customHeight="1">
      <c r="A12" s="441"/>
      <c r="C12" s="270"/>
      <c r="D12" s="270"/>
      <c r="E12" s="454" t="s">
        <v>166</v>
      </c>
      <c r="F12" s="454" t="s">
        <v>174</v>
      </c>
      <c r="G12" s="454"/>
      <c r="H12" s="455">
        <v>1</v>
      </c>
      <c r="I12" s="455">
        <v>2</v>
      </c>
      <c r="J12" s="455">
        <v>3</v>
      </c>
      <c r="K12" s="455">
        <v>4</v>
      </c>
      <c r="L12" s="832">
        <v>1</v>
      </c>
      <c r="M12" s="455">
        <v>2</v>
      </c>
      <c r="N12" s="455">
        <v>3</v>
      </c>
      <c r="O12" s="455">
        <v>4</v>
      </c>
      <c r="P12" s="452"/>
      <c r="Q12" s="759"/>
      <c r="R12" s="456" t="s">
        <v>299</v>
      </c>
      <c r="S12" s="456"/>
      <c r="T12" s="456"/>
      <c r="U12" s="456"/>
    </row>
    <row r="13" spans="1:21">
      <c r="A13" s="441"/>
      <c r="C13" s="270" t="s">
        <v>124</v>
      </c>
      <c r="D13" s="270"/>
      <c r="E13" s="457" t="s">
        <v>308</v>
      </c>
      <c r="F13" s="457" t="s">
        <v>309</v>
      </c>
      <c r="G13" s="457"/>
      <c r="H13" s="1282" t="str">
        <f>'Cost Assumptions'!D7</f>
        <v>EMAAC</v>
      </c>
      <c r="I13" s="1282" t="str">
        <f>'Cost Assumptions'!E7</f>
        <v>SWMAAC</v>
      </c>
      <c r="J13" s="1282" t="str">
        <f>'Cost Assumptions'!F7</f>
        <v>Rest of RTO</v>
      </c>
      <c r="K13" s="1282" t="str">
        <f>'Cost Assumptions'!G7</f>
        <v>WMAAC</v>
      </c>
      <c r="L13" s="1283" t="str">
        <f>'Cost Assumptions'!H7</f>
        <v>EMAAC</v>
      </c>
      <c r="M13" s="1282" t="str">
        <f>'Cost Assumptions'!I7</f>
        <v>SWMAAC</v>
      </c>
      <c r="N13" s="1282" t="str">
        <f>'Cost Assumptions'!J7</f>
        <v>Rest of RTO</v>
      </c>
      <c r="O13" s="1282" t="str">
        <f>'Cost Assumptions'!K7</f>
        <v>WMAAC</v>
      </c>
      <c r="P13" s="452"/>
      <c r="Q13" s="759"/>
    </row>
    <row r="14" spans="1:21" ht="45" outlineLevel="1">
      <c r="A14" s="458" t="s">
        <v>179</v>
      </c>
      <c r="C14" s="270"/>
      <c r="D14" s="270"/>
      <c r="E14" s="459" t="s">
        <v>167</v>
      </c>
      <c r="F14" s="459" t="s">
        <v>174</v>
      </c>
      <c r="G14" s="459"/>
      <c r="H14" s="1284" t="str">
        <f>'Cost Assumptions'!D8</f>
        <v>Frame-Type 
Combustion Turbine</v>
      </c>
      <c r="I14" s="1284" t="str">
        <f>'Cost Assumptions'!E8</f>
        <v>Frame-Type 
Combustion Turbine</v>
      </c>
      <c r="J14" s="1284" t="str">
        <f>'Cost Assumptions'!F8</f>
        <v>Frame-Type 
Combustion Turbine</v>
      </c>
      <c r="K14" s="1284" t="str">
        <f>'Cost Assumptions'!G8</f>
        <v>Frame-Type 
Combustion Turbine</v>
      </c>
      <c r="L14" s="1285" t="str">
        <f>'Cost Assumptions'!H8</f>
        <v>Combined Cycle Dry ACC</v>
      </c>
      <c r="M14" s="1284" t="str">
        <f>'Cost Assumptions'!I8</f>
        <v>Combined Cycle Dry ACC</v>
      </c>
      <c r="N14" s="1284" t="str">
        <f>'Cost Assumptions'!J8</f>
        <v>Combined Cycle Dry ACC</v>
      </c>
      <c r="O14" s="1284" t="str">
        <f>'Cost Assumptions'!K8</f>
        <v>Combined Cycle Dry ACC</v>
      </c>
      <c r="P14" s="461"/>
      <c r="Q14" s="759"/>
      <c r="R14" s="256" t="s">
        <v>275</v>
      </c>
    </row>
    <row r="15" spans="1:21" outlineLevel="1">
      <c r="A15" s="441"/>
      <c r="C15" s="270"/>
      <c r="D15" s="270"/>
      <c r="E15" s="462"/>
      <c r="F15" s="463"/>
      <c r="G15" s="463"/>
      <c r="H15" s="1286">
        <f>'Cost Assumptions'!D13</f>
        <v>360.589</v>
      </c>
      <c r="I15" s="1286">
        <f>'Cost Assumptions'!E13</f>
        <v>362.83800000000002</v>
      </c>
      <c r="J15" s="1286">
        <f>'Cost Assumptions'!F13</f>
        <v>352.92700000000002</v>
      </c>
      <c r="K15" s="1286">
        <f>'Cost Assumptions'!G13</f>
        <v>349.94</v>
      </c>
      <c r="L15" s="1287">
        <f>'Cost Assumptions'!H17</f>
        <v>1170.73</v>
      </c>
      <c r="M15" s="1286">
        <f>'Cost Assumptions'!I17</f>
        <v>1173.6579999999999</v>
      </c>
      <c r="N15" s="1286">
        <f>'Cost Assumptions'!J17</f>
        <v>1144.0940000000001</v>
      </c>
      <c r="O15" s="1286">
        <f>'Cost Assumptions'!K17</f>
        <v>1133.424</v>
      </c>
      <c r="P15" s="452"/>
      <c r="Q15" s="759"/>
    </row>
    <row r="16" spans="1:21" ht="6" customHeight="1">
      <c r="A16" s="441"/>
      <c r="C16" s="282"/>
      <c r="D16" s="282"/>
      <c r="E16" s="464"/>
      <c r="F16" s="465"/>
      <c r="G16" s="465"/>
      <c r="H16" s="284"/>
      <c r="I16" s="284"/>
      <c r="J16" s="284"/>
      <c r="K16" s="284"/>
      <c r="L16" s="793"/>
      <c r="M16" s="284"/>
      <c r="N16" s="284"/>
      <c r="O16" s="284"/>
      <c r="P16" s="466"/>
      <c r="Q16" s="759"/>
    </row>
    <row r="17" spans="1:21" ht="6" customHeight="1">
      <c r="A17" s="441"/>
      <c r="C17" s="278"/>
      <c r="D17" s="278"/>
      <c r="E17" s="462"/>
      <c r="F17" s="463"/>
      <c r="G17" s="463"/>
      <c r="H17" s="272"/>
      <c r="I17" s="272"/>
      <c r="J17" s="272"/>
      <c r="K17" s="272"/>
      <c r="L17" s="287"/>
      <c r="M17" s="272"/>
      <c r="N17" s="272"/>
      <c r="O17" s="272"/>
      <c r="P17" s="452"/>
      <c r="Q17" s="759"/>
    </row>
    <row r="18" spans="1:21">
      <c r="A18" s="441"/>
      <c r="C18" s="289" t="s">
        <v>128</v>
      </c>
      <c r="D18" s="289"/>
      <c r="E18" s="462"/>
      <c r="F18" s="463"/>
      <c r="G18" s="463"/>
      <c r="H18" s="298"/>
      <c r="I18" s="298"/>
      <c r="J18" s="298"/>
      <c r="K18" s="298"/>
      <c r="L18" s="297"/>
      <c r="M18" s="298"/>
      <c r="N18" s="298"/>
      <c r="O18" s="298"/>
      <c r="P18" s="298"/>
      <c r="Q18" s="759"/>
    </row>
    <row r="19" spans="1:21">
      <c r="A19" s="441">
        <v>1</v>
      </c>
      <c r="C19" s="300" t="s">
        <v>129</v>
      </c>
      <c r="D19" s="300"/>
      <c r="E19" s="815">
        <f>'Capital Costs Data'!C14</f>
        <v>0</v>
      </c>
      <c r="F19" s="467">
        <f>(1+CONE_Calculations!Inflation+'Capital Costs_Nominal$'!$E19)^(1/12)-1</f>
        <v>2.3944839450136257E-3</v>
      </c>
      <c r="G19" s="467"/>
      <c r="H19" s="819">
        <f>ROUND(INDEX('Capital Cost Escalation'!$AV:$AV,MATCH('Capital Costs_Nominal$'!H$3&amp;"_"&amp;'Capital Costs_Nominal$'!H$13&amp;"_"&amp;'Capital Costs_Nominal$'!$C19,'Capital Cost Escalation'!$A:$A,0),1), -3)</f>
        <v>78555000</v>
      </c>
      <c r="I19" s="819">
        <f>ROUND(INDEX('Capital Cost Escalation'!$AV:$AV,MATCH('Capital Costs_Nominal$'!I$3&amp;"_"&amp;'Capital Costs_Nominal$'!I$13&amp;"_"&amp;'Capital Costs_Nominal$'!$C19,'Capital Cost Escalation'!$A:$A,0),1), -3)</f>
        <v>78555000</v>
      </c>
      <c r="J19" s="819">
        <f>ROUND(INDEX('Capital Cost Escalation'!$AV:$AV,MATCH('Capital Costs_Nominal$'!J$3&amp;"_"&amp;'Capital Costs_Nominal$'!J$13&amp;"_"&amp;'Capital Costs_Nominal$'!$C19,'Capital Cost Escalation'!$A:$A,0),1), -3)</f>
        <v>78555000</v>
      </c>
      <c r="K19" s="819">
        <f>ROUND(INDEX('Capital Cost Escalation'!$AV:$AV,MATCH('Capital Costs_Nominal$'!K$3&amp;"_"&amp;'Capital Costs_Nominal$'!K$13&amp;"_"&amp;'Capital Costs_Nominal$'!$C19,'Capital Cost Escalation'!$A:$A,0),1), -3)</f>
        <v>78555000</v>
      </c>
      <c r="L19" s="833">
        <f>ROUND(INDEX('Capital Cost Escalation'!$AV:$AV,MATCH('Capital Costs_Nominal$'!L$3&amp;"_"&amp;'Capital Costs_Nominal$'!L$13&amp;"_"&amp;'Capital Costs_Nominal$'!$C19,'Capital Cost Escalation'!$A:$A,0),1), -3)</f>
        <v>155271000</v>
      </c>
      <c r="M19" s="819">
        <f>ROUND(INDEX('Capital Cost Escalation'!$AV:$AV,MATCH('Capital Costs_Nominal$'!M$3&amp;"_"&amp;'Capital Costs_Nominal$'!M$13&amp;"_"&amp;'Capital Costs_Nominal$'!$C19,'Capital Cost Escalation'!$A:$A,0),1), -3)</f>
        <v>155271000</v>
      </c>
      <c r="N19" s="819">
        <f>ROUND(INDEX('Capital Cost Escalation'!$AV:$AV,MATCH('Capital Costs_Nominal$'!N$3&amp;"_"&amp;'Capital Costs_Nominal$'!N$13&amp;"_"&amp;'Capital Costs_Nominal$'!$C19,'Capital Cost Escalation'!$A:$A,0),1), -3)</f>
        <v>155271000</v>
      </c>
      <c r="O19" s="819">
        <f>ROUND(INDEX('Capital Cost Escalation'!$AV:$AV,MATCH('Capital Costs_Nominal$'!O$3&amp;"_"&amp;'Capital Costs_Nominal$'!O$13&amp;"_"&amp;'Capital Costs_Nominal$'!$C19,'Capital Cost Escalation'!$A:$A,0),1), -3)</f>
        <v>155271000</v>
      </c>
      <c r="P19" s="298"/>
      <c r="Q19" s="759"/>
      <c r="R19" s="1741" t="s">
        <v>276</v>
      </c>
      <c r="T19" s="256" t="s">
        <v>129</v>
      </c>
      <c r="U19" s="256" t="s">
        <v>291</v>
      </c>
    </row>
    <row r="20" spans="1:21">
      <c r="A20" s="441">
        <v>1</v>
      </c>
      <c r="C20" s="300" t="s">
        <v>130</v>
      </c>
      <c r="D20" s="300"/>
      <c r="E20" s="815">
        <f>'Capital Costs Data'!C15</f>
        <v>0</v>
      </c>
      <c r="F20" s="467">
        <f>(1+CONE_Calculations!Inflation+'Capital Costs_Nominal$'!$E20)^(1/12)-1</f>
        <v>2.3944839450136257E-3</v>
      </c>
      <c r="G20" s="467"/>
      <c r="H20" s="819">
        <f>ROUND(INDEX('Capital Cost Escalation'!$AV:$AV,MATCH('Capital Costs_Nominal$'!H$3&amp;"_"&amp;'Capital Costs_Nominal$'!H$13&amp;"_"&amp;'Capital Costs_Nominal$'!$C20,'Capital Cost Escalation'!$A:$A,0),1), -3)</f>
        <v>33531000</v>
      </c>
      <c r="I20" s="819">
        <f>ROUND(INDEX('Capital Cost Escalation'!$AV:$AV,MATCH('Capital Costs_Nominal$'!I$3&amp;"_"&amp;'Capital Costs_Nominal$'!I$13&amp;"_"&amp;'Capital Costs_Nominal$'!$C20,'Capital Cost Escalation'!$A:$A,0),1), -3)</f>
        <v>33531000</v>
      </c>
      <c r="J20" s="819">
        <f>ROUND(INDEX('Capital Cost Escalation'!$AV:$AV,MATCH('Capital Costs_Nominal$'!J$3&amp;"_"&amp;'Capital Costs_Nominal$'!J$13&amp;"_"&amp;'Capital Costs_Nominal$'!$C20,'Capital Cost Escalation'!$A:$A,0),1), -3)</f>
        <v>33531000</v>
      </c>
      <c r="K20" s="819">
        <f>ROUND(INDEX('Capital Cost Escalation'!$AV:$AV,MATCH('Capital Costs_Nominal$'!K$3&amp;"_"&amp;'Capital Costs_Nominal$'!K$13&amp;"_"&amp;'Capital Costs_Nominal$'!$C20,'Capital Cost Escalation'!$A:$A,0),1), -3)</f>
        <v>33531000</v>
      </c>
      <c r="L20" s="833">
        <f>ROUND(INDEX('Capital Cost Escalation'!$AV:$AV,MATCH('Capital Costs_Nominal$'!L$3&amp;"_"&amp;'Capital Costs_Nominal$'!L$13&amp;"_"&amp;'Capital Costs_Nominal$'!$C20,'Capital Cost Escalation'!$A:$A,0),1), -3)</f>
        <v>80719000</v>
      </c>
      <c r="M20" s="819">
        <f>ROUND(INDEX('Capital Cost Escalation'!$AV:$AV,MATCH('Capital Costs_Nominal$'!M$3&amp;"_"&amp;'Capital Costs_Nominal$'!M$13&amp;"_"&amp;'Capital Costs_Nominal$'!$C20,'Capital Cost Escalation'!$A:$A,0),1), -3)</f>
        <v>80719000</v>
      </c>
      <c r="N20" s="819">
        <f>ROUND(INDEX('Capital Cost Escalation'!$AV:$AV,MATCH('Capital Costs_Nominal$'!N$3&amp;"_"&amp;'Capital Costs_Nominal$'!N$13&amp;"_"&amp;'Capital Costs_Nominal$'!$C20,'Capital Cost Escalation'!$A:$A,0),1), -3)</f>
        <v>80719000</v>
      </c>
      <c r="O20" s="819">
        <f>ROUND(INDEX('Capital Cost Escalation'!$AV:$AV,MATCH('Capital Costs_Nominal$'!O$3&amp;"_"&amp;'Capital Costs_Nominal$'!O$13&amp;"_"&amp;'Capital Costs_Nominal$'!$C20,'Capital Cost Escalation'!$A:$A,0),1), -3)</f>
        <v>80719000</v>
      </c>
      <c r="P20" s="298"/>
      <c r="Q20" s="759"/>
      <c r="R20" s="1741" t="s">
        <v>276</v>
      </c>
      <c r="T20" s="256" t="s">
        <v>187</v>
      </c>
      <c r="U20" s="256" t="s">
        <v>292</v>
      </c>
    </row>
    <row r="21" spans="1:21">
      <c r="A21" s="441">
        <v>1</v>
      </c>
      <c r="C21" s="300" t="s">
        <v>135</v>
      </c>
      <c r="D21" s="300"/>
      <c r="E21" s="815">
        <f>'Capital Costs Data'!C16</f>
        <v>0</v>
      </c>
      <c r="F21" s="467">
        <f>(1+CONE_Calculations!Inflation+'Capital Costs_Nominal$'!$E21)^(1/12)-1</f>
        <v>2.3944839450136257E-3</v>
      </c>
      <c r="G21" s="467"/>
      <c r="H21" s="819">
        <f>ROUND(INDEX('Capital Cost Escalation'!$AV:$AV,MATCH('Capital Costs_Nominal$'!H$3&amp;"_"&amp;'Capital Costs_Nominal$'!H$13&amp;"_"&amp;'Capital Costs_Nominal$'!$C21,'Capital Cost Escalation'!$A:$A,0),1), -3)</f>
        <v>0</v>
      </c>
      <c r="I21" s="819">
        <f>ROUND(INDEX('Capital Cost Escalation'!$AV:$AV,MATCH('Capital Costs_Nominal$'!I$3&amp;"_"&amp;'Capital Costs_Nominal$'!I$13&amp;"_"&amp;'Capital Costs_Nominal$'!$C21,'Capital Cost Escalation'!$A:$A,0),1), -3)</f>
        <v>0</v>
      </c>
      <c r="J21" s="819">
        <f>ROUND(INDEX('Capital Cost Escalation'!$AV:$AV,MATCH('Capital Costs_Nominal$'!J$3&amp;"_"&amp;'Capital Costs_Nominal$'!J$13&amp;"_"&amp;'Capital Costs_Nominal$'!$C21,'Capital Cost Escalation'!$A:$A,0),1), -3)</f>
        <v>0</v>
      </c>
      <c r="K21" s="819">
        <f>ROUND(INDEX('Capital Cost Escalation'!$AV:$AV,MATCH('Capital Costs_Nominal$'!K$3&amp;"_"&amp;'Capital Costs_Nominal$'!K$13&amp;"_"&amp;'Capital Costs_Nominal$'!$C21,'Capital Cost Escalation'!$A:$A,0),1), -3)</f>
        <v>0</v>
      </c>
      <c r="L21" s="833">
        <f>ROUND(INDEX('Capital Cost Escalation'!$AV:$AV,MATCH('Capital Costs_Nominal$'!L$3&amp;"_"&amp;'Capital Costs_Nominal$'!L$13&amp;"_"&amp;'Capital Costs_Nominal$'!$C21,'Capital Cost Escalation'!$A:$A,0),1), -3)</f>
        <v>84755000</v>
      </c>
      <c r="M21" s="819">
        <f>ROUND(INDEX('Capital Cost Escalation'!$AV:$AV,MATCH('Capital Costs_Nominal$'!M$3&amp;"_"&amp;'Capital Costs_Nominal$'!M$13&amp;"_"&amp;'Capital Costs_Nominal$'!$C21,'Capital Cost Escalation'!$A:$A,0),1), -3)</f>
        <v>84755000</v>
      </c>
      <c r="N21" s="819">
        <f>ROUND(INDEX('Capital Cost Escalation'!$AV:$AV,MATCH('Capital Costs_Nominal$'!N$3&amp;"_"&amp;'Capital Costs_Nominal$'!N$13&amp;"_"&amp;'Capital Costs_Nominal$'!$C21,'Capital Cost Escalation'!$A:$A,0),1), -3)</f>
        <v>84755000</v>
      </c>
      <c r="O21" s="819">
        <f>ROUND(INDEX('Capital Cost Escalation'!$AV:$AV,MATCH('Capital Costs_Nominal$'!O$3&amp;"_"&amp;'Capital Costs_Nominal$'!O$13&amp;"_"&amp;'Capital Costs_Nominal$'!$C21,'Capital Cost Escalation'!$A:$A,0),1), -3)</f>
        <v>84755000</v>
      </c>
      <c r="P21" s="298"/>
      <c r="Q21" s="759"/>
      <c r="R21" s="1741" t="s">
        <v>276</v>
      </c>
      <c r="U21" s="256" t="s">
        <v>292</v>
      </c>
    </row>
    <row r="22" spans="1:21">
      <c r="A22" s="441">
        <v>1</v>
      </c>
      <c r="C22" s="300" t="s">
        <v>131</v>
      </c>
      <c r="D22" s="300"/>
      <c r="E22" s="816"/>
      <c r="F22" s="469"/>
      <c r="G22" s="469"/>
      <c r="H22" s="820">
        <f>ROUND((H19+H20)*'Cost Assumptions'!D$52,-3)</f>
        <v>0</v>
      </c>
      <c r="I22" s="820">
        <f>ROUND((I19+I20)*'Cost Assumptions'!E$52,-3)</f>
        <v>0</v>
      </c>
      <c r="J22" s="820">
        <f>ROUND((J19+J20)*'Cost Assumptions'!F$52,-3)</f>
        <v>0</v>
      </c>
      <c r="K22" s="820">
        <f>ROUND((K19+K20)*'Cost Assumptions'!G$52,-3)</f>
        <v>0</v>
      </c>
      <c r="L22" s="834">
        <f>ROUND((L19+L20)*'Cost Assumptions'!H$52,-3)</f>
        <v>0</v>
      </c>
      <c r="M22" s="820">
        <f>ROUND((M19+M20)*'Cost Assumptions'!I$52,-3)</f>
        <v>0</v>
      </c>
      <c r="N22" s="820">
        <f>ROUND((N19+N20)*'Cost Assumptions'!J$52,-3)</f>
        <v>0</v>
      </c>
      <c r="O22" s="820">
        <f>ROUND((O19+O20)*'Cost Assumptions'!K$52,-3)</f>
        <v>0</v>
      </c>
      <c r="P22" s="298"/>
      <c r="Q22" s="759"/>
      <c r="R22" s="1741" t="s">
        <v>276</v>
      </c>
      <c r="T22" s="256" t="s">
        <v>199</v>
      </c>
    </row>
    <row r="23" spans="1:21">
      <c r="A23" s="441"/>
      <c r="C23" s="289" t="s">
        <v>132</v>
      </c>
      <c r="D23" s="289"/>
      <c r="E23" s="816"/>
      <c r="F23" s="469"/>
      <c r="G23" s="469"/>
      <c r="H23" s="821">
        <f t="shared" ref="H23:O23" si="3">SUM(H$19:H$22)</f>
        <v>112086000</v>
      </c>
      <c r="I23" s="821">
        <f t="shared" si="3"/>
        <v>112086000</v>
      </c>
      <c r="J23" s="821">
        <f t="shared" si="3"/>
        <v>112086000</v>
      </c>
      <c r="K23" s="821">
        <f t="shared" si="3"/>
        <v>112086000</v>
      </c>
      <c r="L23" s="835">
        <f t="shared" si="3"/>
        <v>320745000</v>
      </c>
      <c r="M23" s="821">
        <f t="shared" si="3"/>
        <v>320745000</v>
      </c>
      <c r="N23" s="821">
        <f t="shared" si="3"/>
        <v>320745000</v>
      </c>
      <c r="O23" s="821">
        <f t="shared" si="3"/>
        <v>320745000</v>
      </c>
      <c r="P23" s="298"/>
      <c r="Q23" s="759"/>
      <c r="R23" s="1741"/>
    </row>
    <row r="24" spans="1:21" ht="6" customHeight="1">
      <c r="A24" s="441"/>
      <c r="C24" s="300"/>
      <c r="D24" s="300"/>
      <c r="E24" s="816"/>
      <c r="F24" s="469"/>
      <c r="G24" s="469"/>
      <c r="H24" s="822"/>
      <c r="I24" s="822"/>
      <c r="J24" s="822"/>
      <c r="K24" s="822"/>
      <c r="L24" s="297"/>
      <c r="M24" s="298"/>
      <c r="N24" s="298"/>
      <c r="O24" s="298"/>
      <c r="P24" s="298"/>
      <c r="Q24" s="759"/>
      <c r="R24" s="1741"/>
    </row>
    <row r="25" spans="1:21">
      <c r="A25" s="441"/>
      <c r="C25" s="289" t="s">
        <v>104</v>
      </c>
      <c r="D25" s="289"/>
      <c r="E25" s="816"/>
      <c r="F25" s="469"/>
      <c r="G25" s="469"/>
      <c r="H25" s="822"/>
      <c r="I25" s="822"/>
      <c r="J25" s="822"/>
      <c r="K25" s="822"/>
      <c r="L25" s="297"/>
      <c r="M25" s="298"/>
      <c r="N25" s="298"/>
      <c r="O25" s="298"/>
      <c r="P25" s="298"/>
      <c r="Q25" s="759"/>
      <c r="R25" s="1741"/>
    </row>
    <row r="26" spans="1:21">
      <c r="A26" s="441"/>
      <c r="C26" s="261" t="s">
        <v>133</v>
      </c>
      <c r="D26" s="261"/>
      <c r="E26" s="816"/>
      <c r="F26" s="469"/>
      <c r="G26" s="469"/>
      <c r="H26" s="822"/>
      <c r="I26" s="822"/>
      <c r="J26" s="822"/>
      <c r="K26" s="822"/>
      <c r="L26" s="297"/>
      <c r="M26" s="298"/>
      <c r="N26" s="298"/>
      <c r="O26" s="298"/>
      <c r="P26" s="298"/>
      <c r="Q26" s="759"/>
      <c r="R26" s="1741"/>
    </row>
    <row r="27" spans="1:21">
      <c r="A27" s="441">
        <v>1</v>
      </c>
      <c r="C27" s="300" t="s">
        <v>134</v>
      </c>
      <c r="D27" s="300"/>
      <c r="E27" s="815">
        <f>'Capital Costs Data'!C22</f>
        <v>0</v>
      </c>
      <c r="F27" s="467">
        <f>(1+CONE_Calculations!Inflation+'Capital Costs_Nominal$'!$E27)^(1/12)-1</f>
        <v>2.3944839450136257E-3</v>
      </c>
      <c r="G27" s="467"/>
      <c r="H27" s="819">
        <f>ROUND(INDEX('Capital Cost Escalation'!$AV:$AV,MATCH('Capital Costs_Nominal$'!H$3&amp;"_"&amp;'Capital Costs_Nominal$'!H$13&amp;"_"&amp;'Capital Costs_Nominal$'!$C27,'Capital Cost Escalation'!$A:$A,0),1), -3)</f>
        <v>0</v>
      </c>
      <c r="I27" s="819">
        <f>ROUND(INDEX('Capital Cost Escalation'!$AV:$AV,MATCH('Capital Costs_Nominal$'!I$3&amp;"_"&amp;'Capital Costs_Nominal$'!I$13&amp;"_"&amp;'Capital Costs_Nominal$'!$C27,'Capital Cost Escalation'!$A:$A,0),1), -3)</f>
        <v>0</v>
      </c>
      <c r="J27" s="819">
        <f>ROUND(INDEX('Capital Cost Escalation'!$AV:$AV,MATCH('Capital Costs_Nominal$'!J$3&amp;"_"&amp;'Capital Costs_Nominal$'!J$13&amp;"_"&amp;'Capital Costs_Nominal$'!$C27,'Capital Cost Escalation'!$A:$A,0),1), -3)</f>
        <v>0</v>
      </c>
      <c r="K27" s="819">
        <f>ROUND(INDEX('Capital Cost Escalation'!$AV:$AV,MATCH('Capital Costs_Nominal$'!K$3&amp;"_"&amp;'Capital Costs_Nominal$'!K$13&amp;"_"&amp;'Capital Costs_Nominal$'!$C27,'Capital Cost Escalation'!$A:$A,0),1), -3)</f>
        <v>0</v>
      </c>
      <c r="L27" s="833">
        <f>ROUND(INDEX('Capital Cost Escalation'!$AV:$AV,MATCH('Capital Costs_Nominal$'!L$3&amp;"_"&amp;'Capital Costs_Nominal$'!L$13&amp;"_"&amp;'Capital Costs_Nominal$'!$C27,'Capital Cost Escalation'!$A:$A,0),1), -3)</f>
        <v>61660000</v>
      </c>
      <c r="M27" s="819">
        <f>ROUND(INDEX('Capital Cost Escalation'!$AV:$AV,MATCH('Capital Costs_Nominal$'!M$3&amp;"_"&amp;'Capital Costs_Nominal$'!M$13&amp;"_"&amp;'Capital Costs_Nominal$'!$C27,'Capital Cost Escalation'!$A:$A,0),1), -3)</f>
        <v>61660000</v>
      </c>
      <c r="N27" s="819">
        <f>ROUND(INDEX('Capital Cost Escalation'!$AV:$AV,MATCH('Capital Costs_Nominal$'!N$3&amp;"_"&amp;'Capital Costs_Nominal$'!N$13&amp;"_"&amp;'Capital Costs_Nominal$'!$C27,'Capital Cost Escalation'!$A:$A,0),1), -3)</f>
        <v>61660000</v>
      </c>
      <c r="O27" s="819">
        <f>ROUND(INDEX('Capital Cost Escalation'!$AV:$AV,MATCH('Capital Costs_Nominal$'!O$3&amp;"_"&amp;'Capital Costs_Nominal$'!O$13&amp;"_"&amp;'Capital Costs_Nominal$'!$C27,'Capital Cost Escalation'!$A:$A,0),1), -3)</f>
        <v>61660000</v>
      </c>
      <c r="P27" s="298"/>
      <c r="Q27" s="759"/>
      <c r="R27" s="1741" t="s">
        <v>276</v>
      </c>
      <c r="U27" s="256" t="s">
        <v>292</v>
      </c>
    </row>
    <row r="28" spans="1:21">
      <c r="A28" s="441">
        <v>1</v>
      </c>
      <c r="C28" s="261" t="s">
        <v>136</v>
      </c>
      <c r="D28" s="300"/>
      <c r="E28" s="815">
        <f>'Capital Costs Data'!C23</f>
        <v>0</v>
      </c>
      <c r="F28" s="467">
        <f>(1+CONE_Calculations!Inflation+'Capital Costs_Nominal$'!$E28)^(1/12)-1</f>
        <v>2.3944839450136257E-3</v>
      </c>
      <c r="G28" s="467"/>
      <c r="H28" s="819">
        <f>ROUND(INDEX('Capital Cost Escalation'!$AV:$AV,MATCH('Capital Costs_Nominal$'!H$3&amp;"_"&amp;'Capital Costs_Nominal$'!H$13&amp;"_"&amp;'Capital Costs_Nominal$'!$C28,'Capital Cost Escalation'!$A:$A,0),1), -3)</f>
        <v>24141000</v>
      </c>
      <c r="I28" s="819">
        <f>ROUND(INDEX('Capital Cost Escalation'!$AV:$AV,MATCH('Capital Costs_Nominal$'!I$3&amp;"_"&amp;'Capital Costs_Nominal$'!I$13&amp;"_"&amp;'Capital Costs_Nominal$'!$C28,'Capital Cost Escalation'!$A:$A,0),1), -3)</f>
        <v>24141000</v>
      </c>
      <c r="J28" s="819">
        <f>ROUND(INDEX('Capital Cost Escalation'!$AV:$AV,MATCH('Capital Costs_Nominal$'!J$3&amp;"_"&amp;'Capital Costs_Nominal$'!J$13&amp;"_"&amp;'Capital Costs_Nominal$'!$C28,'Capital Cost Escalation'!$A:$A,0),1), -3)</f>
        <v>24141000</v>
      </c>
      <c r="K28" s="819">
        <f>ROUND(INDEX('Capital Cost Escalation'!$AV:$AV,MATCH('Capital Costs_Nominal$'!K$3&amp;"_"&amp;'Capital Costs_Nominal$'!K$13&amp;"_"&amp;'Capital Costs_Nominal$'!$C28,'Capital Cost Escalation'!$A:$A,0),1), -3)</f>
        <v>24141000</v>
      </c>
      <c r="L28" s="833">
        <f>ROUND(INDEX('Capital Cost Escalation'!$AV:$AV,MATCH('Capital Costs_Nominal$'!L$3&amp;"_"&amp;'Capital Costs_Nominal$'!L$13&amp;"_"&amp;'Capital Costs_Nominal$'!$C28,'Capital Cost Escalation'!$A:$A,0),1), -3)</f>
        <v>86340000</v>
      </c>
      <c r="M28" s="819">
        <f>ROUND(INDEX('Capital Cost Escalation'!$AV:$AV,MATCH('Capital Costs_Nominal$'!M$3&amp;"_"&amp;'Capital Costs_Nominal$'!M$13&amp;"_"&amp;'Capital Costs_Nominal$'!$C28,'Capital Cost Escalation'!$A:$A,0),1), -3)</f>
        <v>86340000</v>
      </c>
      <c r="N28" s="819">
        <f>ROUND(INDEX('Capital Cost Escalation'!$AV:$AV,MATCH('Capital Costs_Nominal$'!N$3&amp;"_"&amp;'Capital Costs_Nominal$'!N$13&amp;"_"&amp;'Capital Costs_Nominal$'!$C28,'Capital Cost Escalation'!$A:$A,0),1), -3)</f>
        <v>86340000</v>
      </c>
      <c r="O28" s="819">
        <f>ROUND(INDEX('Capital Cost Escalation'!$AV:$AV,MATCH('Capital Costs_Nominal$'!O$3&amp;"_"&amp;'Capital Costs_Nominal$'!O$13&amp;"_"&amp;'Capital Costs_Nominal$'!$C28,'Capital Cost Escalation'!$A:$A,0),1), -3)</f>
        <v>86340000</v>
      </c>
      <c r="P28" s="298"/>
      <c r="Q28" s="759"/>
      <c r="R28" s="1741" t="s">
        <v>276</v>
      </c>
      <c r="U28" s="256" t="s">
        <v>292</v>
      </c>
    </row>
    <row r="29" spans="1:21">
      <c r="A29" s="441"/>
      <c r="C29" s="304" t="s">
        <v>137</v>
      </c>
      <c r="D29" s="304"/>
      <c r="E29" s="816"/>
      <c r="F29" s="469"/>
      <c r="G29" s="469"/>
      <c r="H29" s="823">
        <f t="shared" ref="H29:O29" si="4">SUM(H$27:H$28)</f>
        <v>24141000</v>
      </c>
      <c r="I29" s="823">
        <f t="shared" si="4"/>
        <v>24141000</v>
      </c>
      <c r="J29" s="823">
        <f t="shared" si="4"/>
        <v>24141000</v>
      </c>
      <c r="K29" s="823">
        <f t="shared" si="4"/>
        <v>24141000</v>
      </c>
      <c r="L29" s="836">
        <f t="shared" si="4"/>
        <v>148000000</v>
      </c>
      <c r="M29" s="823">
        <f t="shared" si="4"/>
        <v>148000000</v>
      </c>
      <c r="N29" s="823">
        <f t="shared" si="4"/>
        <v>148000000</v>
      </c>
      <c r="O29" s="823">
        <f t="shared" si="4"/>
        <v>148000000</v>
      </c>
      <c r="P29" s="305"/>
      <c r="Q29" s="759"/>
      <c r="R29" s="1741"/>
      <c r="T29" s="256" t="s">
        <v>133</v>
      </c>
    </row>
    <row r="30" spans="1:21">
      <c r="A30" s="441">
        <v>1</v>
      </c>
      <c r="C30" s="261" t="s">
        <v>138</v>
      </c>
      <c r="D30" s="261"/>
      <c r="E30" s="815">
        <f>'Capital Costs Data'!C25</f>
        <v>1.6E-2</v>
      </c>
      <c r="F30" s="467">
        <f>(1+CONE_Calculations!Inflation+'Capital Costs_Nominal$'!$E30)^(1/12)-1</f>
        <v>3.6840339826600399E-3</v>
      </c>
      <c r="G30" s="467"/>
      <c r="H30" s="819">
        <f>ROUND(INDEX('Capital Cost Escalation'!$AV:$AV,MATCH('Capital Costs_Nominal$'!H$3&amp;"_"&amp;'Capital Costs_Nominal$'!H$13&amp;"_"&amp;'Capital Costs_Nominal$'!$C30,'Capital Cost Escalation'!$A:$A,0),1), -3)</f>
        <v>50571000</v>
      </c>
      <c r="I30" s="819">
        <f>ROUND(INDEX('Capital Cost Escalation'!$AV:$AV,MATCH('Capital Costs_Nominal$'!I$3&amp;"_"&amp;'Capital Costs_Nominal$'!I$13&amp;"_"&amp;'Capital Costs_Nominal$'!$C30,'Capital Cost Escalation'!$A:$A,0),1), -3)</f>
        <v>37849000</v>
      </c>
      <c r="J30" s="819">
        <f>ROUND(INDEX('Capital Cost Escalation'!$AV:$AV,MATCH('Capital Costs_Nominal$'!J$3&amp;"_"&amp;'Capital Costs_Nominal$'!J$13&amp;"_"&amp;'Capital Costs_Nominal$'!$C30,'Capital Cost Escalation'!$A:$A,0),1), -3)</f>
        <v>40627000</v>
      </c>
      <c r="K30" s="819">
        <f>ROUND(INDEX('Capital Cost Escalation'!$AV:$AV,MATCH('Capital Costs_Nominal$'!K$3&amp;"_"&amp;'Capital Costs_Nominal$'!K$13&amp;"_"&amp;'Capital Costs_Nominal$'!$C30,'Capital Cost Escalation'!$A:$A,0),1), -3)</f>
        <v>44979000</v>
      </c>
      <c r="L30" s="833">
        <f>ROUND(INDEX('Capital Cost Escalation'!$AV:$AV,MATCH('Capital Costs_Nominal$'!L$3&amp;"_"&amp;'Capital Costs_Nominal$'!L$13&amp;"_"&amp;'Capital Costs_Nominal$'!$C30,'Capital Cost Escalation'!$A:$A,0),1), -3)</f>
        <v>365528000</v>
      </c>
      <c r="M30" s="819">
        <f>ROUND(INDEX('Capital Cost Escalation'!$AV:$AV,MATCH('Capital Costs_Nominal$'!M$3&amp;"_"&amp;'Capital Costs_Nominal$'!M$13&amp;"_"&amp;'Capital Costs_Nominal$'!$C30,'Capital Cost Escalation'!$A:$A,0),1), -3)</f>
        <v>283274000</v>
      </c>
      <c r="N30" s="819">
        <f>ROUND(INDEX('Capital Cost Escalation'!$AV:$AV,MATCH('Capital Costs_Nominal$'!N$3&amp;"_"&amp;'Capital Costs_Nominal$'!N$13&amp;"_"&amp;'Capital Costs_Nominal$'!$C30,'Capital Cost Escalation'!$A:$A,0),1), -3)</f>
        <v>297064000</v>
      </c>
      <c r="O30" s="819">
        <f>ROUND(INDEX('Capital Cost Escalation'!$AV:$AV,MATCH('Capital Costs_Nominal$'!O$3&amp;"_"&amp;'Capital Costs_Nominal$'!O$13&amp;"_"&amp;'Capital Costs_Nominal$'!$C30,'Capital Cost Escalation'!$A:$A,0),1), -3)</f>
        <v>330467000</v>
      </c>
      <c r="P30" s="298"/>
      <c r="Q30" s="759"/>
      <c r="R30" s="1741" t="s">
        <v>276</v>
      </c>
      <c r="T30" s="256" t="s">
        <v>186</v>
      </c>
      <c r="U30" s="256" t="s">
        <v>186</v>
      </c>
    </row>
    <row r="31" spans="1:21" ht="12.75" customHeight="1">
      <c r="A31" s="441">
        <v>1</v>
      </c>
      <c r="C31" s="306" t="s">
        <v>139</v>
      </c>
      <c r="D31" s="306"/>
      <c r="E31" s="815">
        <f>'Capital Costs Data'!C26</f>
        <v>1.6E-2</v>
      </c>
      <c r="F31" s="467">
        <f>(1+CONE_Calculations!Inflation+'Capital Costs_Nominal$'!$E31)^(1/12)-1</f>
        <v>3.6840339826600399E-3</v>
      </c>
      <c r="G31" s="467"/>
      <c r="H31" s="819">
        <f>ROUND(INDEX('Capital Cost Escalation'!$AV:$AV,MATCH('Capital Costs_Nominal$'!H$3&amp;"_"&amp;'Capital Costs_Nominal$'!H$13&amp;"_"&amp;'Capital Costs_Nominal$'!$C31,'Capital Cost Escalation'!$A:$A,0),1), -3)</f>
        <v>16403000</v>
      </c>
      <c r="I31" s="819">
        <f>ROUND(INDEX('Capital Cost Escalation'!$AV:$AV,MATCH('Capital Costs_Nominal$'!I$3&amp;"_"&amp;'Capital Costs_Nominal$'!I$13&amp;"_"&amp;'Capital Costs_Nominal$'!$C31,'Capital Cost Escalation'!$A:$A,0),1), -3)</f>
        <v>15385000</v>
      </c>
      <c r="J31" s="819">
        <f>ROUND(INDEX('Capital Cost Escalation'!$AV:$AV,MATCH('Capital Costs_Nominal$'!J$3&amp;"_"&amp;'Capital Costs_Nominal$'!J$13&amp;"_"&amp;'Capital Costs_Nominal$'!$C31,'Capital Cost Escalation'!$A:$A,0),1), -3)</f>
        <v>15607000</v>
      </c>
      <c r="K31" s="819">
        <f>ROUND(INDEX('Capital Cost Escalation'!$AV:$AV,MATCH('Capital Costs_Nominal$'!K$3&amp;"_"&amp;'Capital Costs_Nominal$'!K$13&amp;"_"&amp;'Capital Costs_Nominal$'!$C31,'Capital Cost Escalation'!$A:$A,0),1), -3)</f>
        <v>15955000</v>
      </c>
      <c r="L31" s="833">
        <f>ROUND(INDEX('Capital Cost Escalation'!$AV:$AV,MATCH('Capital Costs_Nominal$'!L$3&amp;"_"&amp;'Capital Costs_Nominal$'!L$13&amp;"_"&amp;'Capital Costs_Nominal$'!$C31,'Capital Cost Escalation'!$A:$A,0),1), -3)</f>
        <v>75542000</v>
      </c>
      <c r="M31" s="819">
        <f>ROUND(INDEX('Capital Cost Escalation'!$AV:$AV,MATCH('Capital Costs_Nominal$'!M$3&amp;"_"&amp;'Capital Costs_Nominal$'!M$13&amp;"_"&amp;'Capital Costs_Nominal$'!$C31,'Capital Cost Escalation'!$A:$A,0),1), -3)</f>
        <v>68961000</v>
      </c>
      <c r="N31" s="819">
        <f>ROUND(INDEX('Capital Cost Escalation'!$AV:$AV,MATCH('Capital Costs_Nominal$'!N$3&amp;"_"&amp;'Capital Costs_Nominal$'!N$13&amp;"_"&amp;'Capital Costs_Nominal$'!$C31,'Capital Cost Escalation'!$A:$A,0),1), -3)</f>
        <v>70064000</v>
      </c>
      <c r="O31" s="819">
        <f>ROUND(INDEX('Capital Cost Escalation'!$AV:$AV,MATCH('Capital Costs_Nominal$'!O$3&amp;"_"&amp;'Capital Costs_Nominal$'!O$13&amp;"_"&amp;'Capital Costs_Nominal$'!$C31,'Capital Cost Escalation'!$A:$A,0),1), -3)</f>
        <v>72737000</v>
      </c>
      <c r="P31" s="298"/>
      <c r="Q31" s="759"/>
      <c r="R31" s="1741" t="s">
        <v>276</v>
      </c>
      <c r="T31" s="256" t="s">
        <v>186</v>
      </c>
      <c r="U31" s="256" t="s">
        <v>186</v>
      </c>
    </row>
    <row r="32" spans="1:21">
      <c r="A32" s="441">
        <v>1</v>
      </c>
      <c r="C32" s="261" t="s">
        <v>140</v>
      </c>
      <c r="D32" s="261"/>
      <c r="E32" s="815">
        <f>'Capital Costs Data'!C27</f>
        <v>0</v>
      </c>
      <c r="F32" s="467">
        <f>(1+CONE_Calculations!Inflation+'Capital Costs_Nominal$'!$E32)^(1/12)-1</f>
        <v>2.3944839450136257E-3</v>
      </c>
      <c r="G32" s="467"/>
      <c r="H32" s="819">
        <f>ROUND(INDEX('Capital Cost Escalation'!$AV:$AV,MATCH('Capital Costs_Nominal$'!H$3&amp;"_"&amp;'Capital Costs_Nominal$'!H$13&amp;"_"&amp;'Capital Costs_Nominal$'!$C32,'Capital Cost Escalation'!$A:$A,0),1), -3)</f>
        <v>8107000</v>
      </c>
      <c r="I32" s="819">
        <f>ROUND(INDEX('Capital Cost Escalation'!$AV:$AV,MATCH('Capital Costs_Nominal$'!I$3&amp;"_"&amp;'Capital Costs_Nominal$'!I$13&amp;"_"&amp;'Capital Costs_Nominal$'!$C32,'Capital Cost Escalation'!$A:$A,0),1), -3)</f>
        <v>8107000</v>
      </c>
      <c r="J32" s="819">
        <f>ROUND(INDEX('Capital Cost Escalation'!$AV:$AV,MATCH('Capital Costs_Nominal$'!J$3&amp;"_"&amp;'Capital Costs_Nominal$'!J$13&amp;"_"&amp;'Capital Costs_Nominal$'!$C32,'Capital Cost Escalation'!$A:$A,0),1), -3)</f>
        <v>8107000</v>
      </c>
      <c r="K32" s="819">
        <f>ROUND(INDEX('Capital Cost Escalation'!$AV:$AV,MATCH('Capital Costs_Nominal$'!K$3&amp;"_"&amp;'Capital Costs_Nominal$'!K$13&amp;"_"&amp;'Capital Costs_Nominal$'!$C32,'Capital Cost Escalation'!$A:$A,0),1), -3)</f>
        <v>8107000</v>
      </c>
      <c r="L32" s="833">
        <f>ROUND(INDEX('Capital Cost Escalation'!$AV:$AV,MATCH('Capital Costs_Nominal$'!L$3&amp;"_"&amp;'Capital Costs_Nominal$'!L$13&amp;"_"&amp;'Capital Costs_Nominal$'!$C32,'Capital Cost Escalation'!$A:$A,0),1), -3)</f>
        <v>75461000</v>
      </c>
      <c r="M32" s="819">
        <f>ROUND(INDEX('Capital Cost Escalation'!$AV:$AV,MATCH('Capital Costs_Nominal$'!M$3&amp;"_"&amp;'Capital Costs_Nominal$'!M$13&amp;"_"&amp;'Capital Costs_Nominal$'!$C32,'Capital Cost Escalation'!$A:$A,0),1), -3)</f>
        <v>75461000</v>
      </c>
      <c r="N32" s="819">
        <f>ROUND(INDEX('Capital Cost Escalation'!$AV:$AV,MATCH('Capital Costs_Nominal$'!N$3&amp;"_"&amp;'Capital Costs_Nominal$'!N$13&amp;"_"&amp;'Capital Costs_Nominal$'!$C32,'Capital Cost Escalation'!$A:$A,0),1), -3)</f>
        <v>75461000</v>
      </c>
      <c r="O32" s="819">
        <f>ROUND(INDEX('Capital Cost Escalation'!$AV:$AV,MATCH('Capital Costs_Nominal$'!O$3&amp;"_"&amp;'Capital Costs_Nominal$'!O$13&amp;"_"&amp;'Capital Costs_Nominal$'!$C32,'Capital Cost Escalation'!$A:$A,0),1), -3)</f>
        <v>75461000</v>
      </c>
      <c r="P32" s="298"/>
      <c r="Q32" s="759"/>
      <c r="R32" s="1741" t="s">
        <v>277</v>
      </c>
      <c r="T32" s="256" t="s">
        <v>140</v>
      </c>
      <c r="U32" s="256" t="s">
        <v>292</v>
      </c>
    </row>
    <row r="33" spans="1:21">
      <c r="A33" s="441">
        <v>1</v>
      </c>
      <c r="C33" s="261" t="s">
        <v>131</v>
      </c>
      <c r="D33" s="261"/>
      <c r="E33" s="816"/>
      <c r="F33" s="469"/>
      <c r="G33" s="469"/>
      <c r="H33" s="820">
        <f>ROUND((H29+H32)*'Cost Assumptions'!D$52,-3)</f>
        <v>0</v>
      </c>
      <c r="I33" s="820">
        <f>ROUND((I29+I32)*'Cost Assumptions'!E$52,-3)</f>
        <v>0</v>
      </c>
      <c r="J33" s="820">
        <f>ROUND((J29+J32)*'Cost Assumptions'!F$52,-3)</f>
        <v>0</v>
      </c>
      <c r="K33" s="820">
        <f>ROUND((K29+K32)*'Cost Assumptions'!G$52,-3)</f>
        <v>0</v>
      </c>
      <c r="L33" s="834">
        <f>ROUND((L29+L32)*'Cost Assumptions'!H$52,-3)</f>
        <v>0</v>
      </c>
      <c r="M33" s="820">
        <f>ROUND((M29+M32)*'Cost Assumptions'!I$52,-3)</f>
        <v>0</v>
      </c>
      <c r="N33" s="820">
        <f>ROUND((N29+N32)*'Cost Assumptions'!J$52,-3)</f>
        <v>0</v>
      </c>
      <c r="O33" s="820">
        <f>ROUND((O29+O32)*'Cost Assumptions'!K$52,-3)</f>
        <v>0</v>
      </c>
      <c r="P33" s="298"/>
      <c r="Q33" s="759"/>
      <c r="R33" s="1741" t="s">
        <v>276</v>
      </c>
      <c r="T33" s="256" t="s">
        <v>198</v>
      </c>
    </row>
    <row r="34" spans="1:21">
      <c r="A34" s="441">
        <v>1</v>
      </c>
      <c r="C34" s="261" t="s">
        <v>141</v>
      </c>
      <c r="D34" s="261"/>
      <c r="E34" s="816"/>
      <c r="F34" s="469"/>
      <c r="G34" s="469"/>
      <c r="H34" s="820">
        <f>ROUND((H23+SUM(H29:H33))*'Cost Assumptions'!D$34,-3)</f>
        <v>21131000</v>
      </c>
      <c r="I34" s="820">
        <f>ROUND((I23+SUM(I29:I33))*'Cost Assumptions'!E$34,-3)</f>
        <v>19757000</v>
      </c>
      <c r="J34" s="820">
        <f>ROUND((J23+SUM(J29:J33))*'Cost Assumptions'!F$34,-3)</f>
        <v>20057000</v>
      </c>
      <c r="K34" s="1320">
        <f>ROUND((K23+SUM(K29:K33))*'Cost Assumptions'!G$34,-3)</f>
        <v>20527000</v>
      </c>
      <c r="L34" s="820">
        <f>ROUND((L23+SUM(L29:L33))*'Cost Assumptions'!H$34,-3)</f>
        <v>98528000</v>
      </c>
      <c r="M34" s="820">
        <f>ROUND((M23+SUM(M29:M33))*'Cost Assumptions'!I$34,-3)</f>
        <v>89644000</v>
      </c>
      <c r="N34" s="820">
        <f>ROUND((N23+SUM(N29:N33))*'Cost Assumptions'!J$34,-3)</f>
        <v>91133000</v>
      </c>
      <c r="O34" s="820">
        <f>ROUND((O23+SUM(O29:O33))*'Cost Assumptions'!K$34,-3)</f>
        <v>94741000</v>
      </c>
      <c r="P34" s="298"/>
      <c r="Q34" s="759"/>
      <c r="R34" s="1741" t="s">
        <v>276</v>
      </c>
      <c r="T34" s="256" t="s">
        <v>141</v>
      </c>
      <c r="U34" s="256" t="s">
        <v>186</v>
      </c>
    </row>
    <row r="35" spans="1:21">
      <c r="A35" s="441">
        <v>1</v>
      </c>
      <c r="C35" s="261" t="s">
        <v>142</v>
      </c>
      <c r="D35" s="261"/>
      <c r="E35" s="816"/>
      <c r="F35" s="469"/>
      <c r="G35" s="469"/>
      <c r="H35" s="820">
        <f>ROUND((H23+SUM(H$29:H$34))*'Cost Assumptions'!D$35,-3)</f>
        <v>23244000</v>
      </c>
      <c r="I35" s="820">
        <f>ROUND((I23+SUM(I$29:I$34))*'Cost Assumptions'!E$35,-3)</f>
        <v>21733000</v>
      </c>
      <c r="J35" s="820">
        <f>ROUND((J23+SUM(J$29:J$34))*'Cost Assumptions'!F$35,-3)</f>
        <v>22063000</v>
      </c>
      <c r="K35" s="1320">
        <f>ROUND((K23+SUM(K$29:K$34))*'Cost Assumptions'!G$35,-3)</f>
        <v>22580000</v>
      </c>
      <c r="L35" s="820">
        <f>ROUND((L23+SUM(L$29:L$34))*'Cost Assumptions'!H$35,-3)</f>
        <v>108380000</v>
      </c>
      <c r="M35" s="820">
        <f>ROUND((M23+SUM(M$29:M$34))*'Cost Assumptions'!I$35,-3)</f>
        <v>98609000</v>
      </c>
      <c r="N35" s="820">
        <f>ROUND((N23+SUM(N$29:N$34))*'Cost Assumptions'!J$35,-3)</f>
        <v>100247000</v>
      </c>
      <c r="O35" s="820">
        <f>ROUND((O23+SUM(O$29:O$34))*'Cost Assumptions'!K$35,-3)</f>
        <v>104215000</v>
      </c>
      <c r="P35" s="298"/>
      <c r="Q35" s="759"/>
      <c r="R35" s="1741" t="s">
        <v>276</v>
      </c>
      <c r="T35" s="256" t="s">
        <v>142</v>
      </c>
      <c r="U35" s="256" t="s">
        <v>292</v>
      </c>
    </row>
    <row r="36" spans="1:21">
      <c r="A36" s="441"/>
      <c r="C36" s="289" t="s">
        <v>143</v>
      </c>
      <c r="D36" s="289"/>
      <c r="E36" s="816"/>
      <c r="F36" s="469"/>
      <c r="G36" s="469"/>
      <c r="H36" s="821">
        <f t="shared" ref="H36:O36" si="5">ROUND(SUM(H$29:H$35),-3)</f>
        <v>143597000</v>
      </c>
      <c r="I36" s="821">
        <f t="shared" si="5"/>
        <v>126972000</v>
      </c>
      <c r="J36" s="821">
        <f t="shared" si="5"/>
        <v>130602000</v>
      </c>
      <c r="K36" s="821">
        <f t="shared" si="5"/>
        <v>136289000</v>
      </c>
      <c r="L36" s="835">
        <f t="shared" si="5"/>
        <v>871439000</v>
      </c>
      <c r="M36" s="821">
        <f t="shared" si="5"/>
        <v>763949000</v>
      </c>
      <c r="N36" s="821">
        <f t="shared" si="5"/>
        <v>781969000</v>
      </c>
      <c r="O36" s="821">
        <f t="shared" si="5"/>
        <v>825621000</v>
      </c>
      <c r="P36" s="298"/>
      <c r="Q36" s="759"/>
      <c r="R36" s="1741"/>
    </row>
    <row r="37" spans="1:21" ht="6" customHeight="1">
      <c r="A37" s="441"/>
      <c r="C37" s="261"/>
      <c r="D37" s="261"/>
      <c r="E37" s="816"/>
      <c r="F37" s="469"/>
      <c r="G37" s="469"/>
      <c r="H37" s="820"/>
      <c r="I37" s="820"/>
      <c r="J37" s="820"/>
      <c r="K37" s="820"/>
      <c r="L37" s="297"/>
      <c r="M37" s="298"/>
      <c r="N37" s="298"/>
      <c r="O37" s="298"/>
      <c r="P37" s="298"/>
      <c r="Q37" s="759"/>
      <c r="R37" s="1741"/>
    </row>
    <row r="38" spans="1:21" s="260" customFormat="1">
      <c r="A38" s="470"/>
      <c r="C38" s="289" t="s">
        <v>144</v>
      </c>
      <c r="D38" s="289"/>
      <c r="E38" s="817"/>
      <c r="F38" s="471"/>
      <c r="G38" s="471"/>
      <c r="H38" s="821">
        <f t="shared" ref="H38:O38" si="6">ROUND(H23+H36,-3)</f>
        <v>255683000</v>
      </c>
      <c r="I38" s="821">
        <f t="shared" si="6"/>
        <v>239058000</v>
      </c>
      <c r="J38" s="821">
        <f t="shared" si="6"/>
        <v>242688000</v>
      </c>
      <c r="K38" s="821">
        <f t="shared" si="6"/>
        <v>248375000</v>
      </c>
      <c r="L38" s="835">
        <f t="shared" si="6"/>
        <v>1192184000</v>
      </c>
      <c r="M38" s="821">
        <f t="shared" si="6"/>
        <v>1084694000</v>
      </c>
      <c r="N38" s="821">
        <f t="shared" si="6"/>
        <v>1102714000</v>
      </c>
      <c r="O38" s="821">
        <f t="shared" si="6"/>
        <v>1146366000</v>
      </c>
      <c r="P38" s="308"/>
      <c r="Q38" s="843"/>
      <c r="R38" s="1742"/>
    </row>
    <row r="39" spans="1:21" ht="6" customHeight="1">
      <c r="A39" s="441"/>
      <c r="C39" s="309"/>
      <c r="D39" s="309"/>
      <c r="E39" s="1016"/>
      <c r="F39" s="1017"/>
      <c r="G39" s="1017"/>
      <c r="H39" s="1018"/>
      <c r="I39" s="1018"/>
      <c r="J39" s="1018"/>
      <c r="K39" s="1018"/>
      <c r="L39" s="310"/>
      <c r="M39" s="311"/>
      <c r="N39" s="311"/>
      <c r="O39" s="311"/>
      <c r="P39" s="313"/>
      <c r="Q39" s="759"/>
      <c r="R39" s="1741"/>
    </row>
    <row r="40" spans="1:21" ht="6" customHeight="1">
      <c r="A40" s="441"/>
      <c r="C40" s="292"/>
      <c r="D40" s="292"/>
      <c r="E40" s="816"/>
      <c r="F40" s="469"/>
      <c r="G40" s="469"/>
      <c r="H40" s="824"/>
      <c r="I40" s="824"/>
      <c r="J40" s="824"/>
      <c r="K40" s="824"/>
      <c r="L40" s="314"/>
      <c r="M40" s="305"/>
      <c r="N40" s="305"/>
      <c r="O40" s="305"/>
      <c r="P40" s="316"/>
      <c r="Q40" s="759"/>
      <c r="R40" s="1741"/>
    </row>
    <row r="41" spans="1:21">
      <c r="A41" s="441"/>
      <c r="C41" s="289" t="s">
        <v>145</v>
      </c>
      <c r="D41" s="289"/>
      <c r="E41" s="816"/>
      <c r="F41" s="469"/>
      <c r="G41" s="469"/>
      <c r="H41" s="824"/>
      <c r="I41" s="824"/>
      <c r="J41" s="824"/>
      <c r="K41" s="824"/>
      <c r="L41" s="314"/>
      <c r="M41" s="305"/>
      <c r="N41" s="305"/>
      <c r="O41" s="305"/>
      <c r="P41" s="305"/>
      <c r="Q41" s="759"/>
      <c r="R41" s="1741"/>
    </row>
    <row r="42" spans="1:21">
      <c r="A42" s="441">
        <v>1</v>
      </c>
      <c r="C42" s="261" t="s">
        <v>146</v>
      </c>
      <c r="D42" s="261"/>
      <c r="E42" s="818"/>
      <c r="F42" s="469"/>
      <c r="G42" s="469"/>
      <c r="H42" s="820">
        <f>ROUND(H$38*'Cost Assumptions'!D$36,-3)</f>
        <v>12784000</v>
      </c>
      <c r="I42" s="820">
        <f>ROUND(I$38*'Cost Assumptions'!E$36,-3)</f>
        <v>11953000</v>
      </c>
      <c r="J42" s="820">
        <f>ROUND(J$38*'Cost Assumptions'!F$36,-3)</f>
        <v>12134000</v>
      </c>
      <c r="K42" s="820">
        <f>ROUND(K$38*'Cost Assumptions'!G$36,-3)</f>
        <v>12419000</v>
      </c>
      <c r="L42" s="834">
        <f>ROUND(L$38*'Cost Assumptions'!H$36,-3)</f>
        <v>59609000</v>
      </c>
      <c r="M42" s="820">
        <f>ROUND(M$38*'Cost Assumptions'!I$36,-3)</f>
        <v>54235000</v>
      </c>
      <c r="N42" s="820">
        <f>ROUND(N$38*'Cost Assumptions'!J$36,-3)</f>
        <v>55136000</v>
      </c>
      <c r="O42" s="820">
        <f>ROUND(O$38*'Cost Assumptions'!K$36,-3)</f>
        <v>57318000</v>
      </c>
      <c r="P42" s="298"/>
      <c r="Q42" s="759"/>
      <c r="R42" s="1741" t="s">
        <v>276</v>
      </c>
      <c r="T42" s="256" t="s">
        <v>146</v>
      </c>
      <c r="U42" s="256" t="s">
        <v>186</v>
      </c>
    </row>
    <row r="43" spans="1:21">
      <c r="A43" s="441">
        <v>1</v>
      </c>
      <c r="C43" s="261" t="s">
        <v>147</v>
      </c>
      <c r="D43" s="261"/>
      <c r="E43" s="818"/>
      <c r="F43" s="469"/>
      <c r="G43" s="469"/>
      <c r="H43" s="820">
        <f>ROUND(H$38*'Cost Assumptions'!D$37,-3)</f>
        <v>2557000</v>
      </c>
      <c r="I43" s="820">
        <f>ROUND(I$38*'Cost Assumptions'!E$37,-3)</f>
        <v>2391000</v>
      </c>
      <c r="J43" s="820">
        <f>ROUND(J$38*'Cost Assumptions'!F$37,-3)</f>
        <v>2427000</v>
      </c>
      <c r="K43" s="820">
        <f>ROUND(K$38*'Cost Assumptions'!G$37,-3)</f>
        <v>2484000</v>
      </c>
      <c r="L43" s="834">
        <f>ROUND(L$38*'Cost Assumptions'!H$37,-3)</f>
        <v>11922000</v>
      </c>
      <c r="M43" s="820">
        <f>ROUND(M$38*'Cost Assumptions'!I$37,-3)</f>
        <v>10847000</v>
      </c>
      <c r="N43" s="820">
        <f>ROUND(N$38*'Cost Assumptions'!J$37,-3)</f>
        <v>11027000</v>
      </c>
      <c r="O43" s="820">
        <f>ROUND(O$38*'Cost Assumptions'!K$37,-3)</f>
        <v>11464000</v>
      </c>
      <c r="P43" s="298"/>
      <c r="Q43" s="759"/>
      <c r="R43" s="1741" t="s">
        <v>276</v>
      </c>
      <c r="T43" s="256" t="s">
        <v>201</v>
      </c>
      <c r="U43" s="256" t="s">
        <v>186</v>
      </c>
    </row>
    <row r="44" spans="1:21">
      <c r="A44" s="436">
        <v>1</v>
      </c>
      <c r="C44" s="261" t="s">
        <v>148</v>
      </c>
      <c r="D44" s="261"/>
      <c r="E44" s="816"/>
      <c r="F44" s="469"/>
      <c r="G44" s="469"/>
      <c r="H44" s="825">
        <f>ROUND('Capital Costs'!D40,-3)</f>
        <v>-551000</v>
      </c>
      <c r="I44" s="825">
        <f>ROUND('Capital Costs'!E40,-3)</f>
        <v>-555000</v>
      </c>
      <c r="J44" s="825">
        <f>ROUND('Capital Costs'!F40,-3)</f>
        <v>123000</v>
      </c>
      <c r="K44" s="825">
        <f>ROUND('Capital Costs'!G40,-3)</f>
        <v>-532000</v>
      </c>
      <c r="L44" s="837">
        <f>ROUND('Capital Costs'!H40,-3)</f>
        <v>-13918000</v>
      </c>
      <c r="M44" s="825">
        <f>ROUND('Capital Costs'!I40,-3)</f>
        <v>-13994000</v>
      </c>
      <c r="N44" s="825">
        <f>ROUND('Capital Costs'!J40,-3)</f>
        <v>-9784000</v>
      </c>
      <c r="O44" s="825">
        <f>ROUND('Capital Costs'!K40,-3)</f>
        <v>-13490000</v>
      </c>
      <c r="P44" s="298"/>
      <c r="Q44" s="845"/>
      <c r="R44" s="1741" t="s">
        <v>276</v>
      </c>
      <c r="T44" s="256" t="s">
        <v>200</v>
      </c>
      <c r="U44" s="256" t="s">
        <v>292</v>
      </c>
    </row>
    <row r="45" spans="1:21">
      <c r="A45" s="436">
        <v>1</v>
      </c>
      <c r="C45" s="261" t="s">
        <v>149</v>
      </c>
      <c r="D45" s="261"/>
      <c r="E45" s="815">
        <f>'Capital Costs Data'!C43</f>
        <v>2E-3</v>
      </c>
      <c r="F45" s="467">
        <f>(1+CONE_Calculations!Inflation+'Capital Costs_Nominal$'!$E45)^(1/12)-1</f>
        <v>2.5566787230133503E-3</v>
      </c>
      <c r="G45" s="467"/>
      <c r="H45" s="825">
        <f>ROUND('Capital Costs'!D41*(1+'Capital Costs_Nominal$'!$F45)^('Capital Costs_Nominal$'!H$5*12), -3)</f>
        <v>7793000</v>
      </c>
      <c r="I45" s="825">
        <f>ROUND('Capital Costs'!E41*(1+'Capital Costs_Nominal$'!$F45)^('Capital Costs_Nominal$'!I$5*12), -3)</f>
        <v>7843000</v>
      </c>
      <c r="J45" s="825">
        <f>ROUND('Capital Costs'!F41*(1+'Capital Costs_Nominal$'!$F45)^('Capital Costs_Nominal$'!J$5*12), -3)</f>
        <v>7629000</v>
      </c>
      <c r="K45" s="825">
        <f>ROUND('Capital Costs'!G41*(1+'Capital Costs_Nominal$'!$F45)^('Capital Costs_Nominal$'!K$5*12), -3)</f>
        <v>7563000</v>
      </c>
      <c r="L45" s="837">
        <f>ROUND('Capital Costs'!H41*(1+'Capital Costs_Nominal$'!$F45)^('Capital Costs_Nominal$'!L$5*12), -3)</f>
        <v>25305000</v>
      </c>
      <c r="M45" s="825">
        <f>ROUND('Capital Costs'!I41*(1+'Capital Costs_Nominal$'!$F45)^('Capital Costs_Nominal$'!M$5*12), -3)</f>
        <v>25368000</v>
      </c>
      <c r="N45" s="825">
        <f>ROUND('Capital Costs'!J41*(1+'Capital Costs_Nominal$'!$F45)^('Capital Costs_Nominal$'!N$5*12), -3)</f>
        <v>24729000</v>
      </c>
      <c r="O45" s="825">
        <f>ROUND('Capital Costs'!K41*(1+'Capital Costs_Nominal$'!$F45)^('Capital Costs_Nominal$'!O$5*12), -3)</f>
        <v>24499000</v>
      </c>
      <c r="P45" s="298"/>
      <c r="Q45" s="845"/>
      <c r="R45" s="1741" t="s">
        <v>276</v>
      </c>
      <c r="T45" s="256" t="s">
        <v>149</v>
      </c>
      <c r="U45" s="256" t="s">
        <v>292</v>
      </c>
    </row>
    <row r="46" spans="1:21">
      <c r="A46" s="436">
        <v>1</v>
      </c>
      <c r="C46" s="261" t="s">
        <v>98</v>
      </c>
      <c r="D46" s="261"/>
      <c r="E46" s="815">
        <f>'Capital Costs Data'!C44</f>
        <v>2E-3</v>
      </c>
      <c r="F46" s="467">
        <f>(1+CONE_Calculations!Inflation+'Capital Costs_Nominal$'!$E46)^(1/12)-1</f>
        <v>2.5566787230133503E-3</v>
      </c>
      <c r="G46" s="467"/>
      <c r="H46" s="825">
        <f>ROUND('Capital Costs'!D42*(1+'Capital Costs_Nominal$'!$F46)^('Capital Costs_Nominal$'!H$6*12), -3)</f>
        <v>33748000</v>
      </c>
      <c r="I46" s="825">
        <f>ROUND('Capital Costs'!E42*(1+'Capital Costs_Nominal$'!$F46)^('Capital Costs_Nominal$'!I$6*12), -3)</f>
        <v>33748000</v>
      </c>
      <c r="J46" s="825">
        <f>ROUND('Capital Costs'!F42*(1+'Capital Costs_Nominal$'!$F46)^('Capital Costs_Nominal$'!J$6*12), -3)</f>
        <v>33748000</v>
      </c>
      <c r="K46" s="825">
        <f>ROUND('Capital Costs'!G42*(1+'Capital Costs_Nominal$'!$F46)^('Capital Costs_Nominal$'!K$6*12), -3)</f>
        <v>33748000</v>
      </c>
      <c r="L46" s="837">
        <f>ROUND('Capital Costs'!H42*(1+'Capital Costs_Nominal$'!$F46)^('Capital Costs_Nominal$'!L$6*12), -3)</f>
        <v>33748000</v>
      </c>
      <c r="M46" s="825">
        <f>ROUND('Capital Costs'!I42*(1+'Capital Costs_Nominal$'!$F46)^('Capital Costs_Nominal$'!M$6*12), -3)</f>
        <v>33748000</v>
      </c>
      <c r="N46" s="825">
        <f>ROUND('Capital Costs'!J42*(1+'Capital Costs_Nominal$'!$F46)^('Capital Costs_Nominal$'!N$6*12), -3)</f>
        <v>33748000</v>
      </c>
      <c r="O46" s="825">
        <f>ROUND('Capital Costs'!K42*(1+'Capital Costs_Nominal$'!$F46)^('Capital Costs_Nominal$'!O$6*12), -3)</f>
        <v>33748000</v>
      </c>
      <c r="P46" s="298"/>
      <c r="Q46" s="845"/>
      <c r="R46" s="1741" t="s">
        <v>276</v>
      </c>
      <c r="T46" s="256" t="s">
        <v>98</v>
      </c>
      <c r="U46" s="256" t="s">
        <v>292</v>
      </c>
    </row>
    <row r="47" spans="1:21">
      <c r="A47" s="436">
        <v>0</v>
      </c>
      <c r="C47" s="261" t="s">
        <v>150</v>
      </c>
      <c r="D47" s="261"/>
      <c r="E47" s="815">
        <f>'Capital Costs Data'!C45</f>
        <v>0</v>
      </c>
      <c r="F47" s="467">
        <f>(1+CONE_Calculations!Inflation+'Capital Costs_Nominal$'!$E47)^(1/12)-1</f>
        <v>2.3944839450136257E-3</v>
      </c>
      <c r="G47" s="467"/>
      <c r="H47" s="825">
        <f>ROUND('Capital Costs'!D43, -3)</f>
        <v>366000</v>
      </c>
      <c r="I47" s="825">
        <f>ROUND('Capital Costs'!E43, -3)</f>
        <v>295000</v>
      </c>
      <c r="J47" s="825">
        <f>ROUND('Capital Costs'!F43, -3)</f>
        <v>164000</v>
      </c>
      <c r="K47" s="825">
        <f>ROUND('Capital Costs'!G43, -3)</f>
        <v>306000</v>
      </c>
      <c r="L47" s="837">
        <f>ROUND('Capital Costs'!H43, -3)</f>
        <v>2196000</v>
      </c>
      <c r="M47" s="825">
        <f>ROUND('Capital Costs'!I43, -3)</f>
        <v>1770000</v>
      </c>
      <c r="N47" s="825">
        <f>ROUND('Capital Costs'!J43, -3)</f>
        <v>984000</v>
      </c>
      <c r="O47" s="825">
        <f>ROUND('Capital Costs'!K43, -3)</f>
        <v>1836000</v>
      </c>
      <c r="P47" s="298"/>
      <c r="Q47" s="845"/>
      <c r="R47" s="1741" t="s">
        <v>277</v>
      </c>
      <c r="T47" s="256" t="s">
        <v>150</v>
      </c>
      <c r="U47" s="256" t="s">
        <v>292</v>
      </c>
    </row>
    <row r="48" spans="1:21">
      <c r="A48" s="436">
        <v>1</v>
      </c>
      <c r="C48" s="261" t="s">
        <v>151</v>
      </c>
      <c r="D48" s="261"/>
      <c r="E48" s="815">
        <f>'Capital Costs Data'!C46</f>
        <v>0.06</v>
      </c>
      <c r="F48" s="467">
        <f>(1+CONE_Calculations!Inflation+'Capital Costs_Nominal$'!$E48)^(1/12)-1</f>
        <v>7.139169665384637E-3</v>
      </c>
      <c r="G48" s="467"/>
      <c r="H48" s="825">
        <f>ROUND('Capital Costs'!D44, -3)</f>
        <v>0</v>
      </c>
      <c r="I48" s="825">
        <f>ROUND('Capital Costs'!E44, -3)</f>
        <v>0</v>
      </c>
      <c r="J48" s="825">
        <f>ROUND('Capital Costs'!F44, -3)</f>
        <v>0</v>
      </c>
      <c r="K48" s="825">
        <f>ROUND('Capital Costs'!G44, -3)</f>
        <v>0</v>
      </c>
      <c r="L48" s="837">
        <f>ROUND('Capital Costs'!H44, -3)</f>
        <v>0</v>
      </c>
      <c r="M48" s="825">
        <f>ROUND('Capital Costs'!I44, -3)</f>
        <v>0</v>
      </c>
      <c r="N48" s="825">
        <f>ROUND('Capital Costs'!J44, -3)</f>
        <v>0</v>
      </c>
      <c r="O48" s="825">
        <f>ROUND('Capital Costs'!K44, -3)</f>
        <v>0</v>
      </c>
      <c r="P48" s="298"/>
      <c r="Q48" s="1109"/>
      <c r="R48" s="1741" t="s">
        <v>276</v>
      </c>
      <c r="T48" s="256" t="s">
        <v>202</v>
      </c>
      <c r="U48" s="256" t="s">
        <v>292</v>
      </c>
    </row>
    <row r="49" spans="1:21">
      <c r="A49" s="441">
        <v>1</v>
      </c>
      <c r="C49" s="261" t="s">
        <v>152</v>
      </c>
      <c r="D49" s="261"/>
      <c r="E49" s="472"/>
      <c r="F49" s="463"/>
      <c r="G49" s="463"/>
      <c r="H49" s="820">
        <f>ROUND(H$38*'Cost Assumptions'!D$38,-3)</f>
        <v>1278000</v>
      </c>
      <c r="I49" s="820">
        <f>ROUND(I$38*'Cost Assumptions'!E$38,-3)</f>
        <v>1195000</v>
      </c>
      <c r="J49" s="820">
        <f>ROUND(J$38*'Cost Assumptions'!F$38,-3)</f>
        <v>1213000</v>
      </c>
      <c r="K49" s="820">
        <f>ROUND(K$38*'Cost Assumptions'!G$38,-3)</f>
        <v>1242000</v>
      </c>
      <c r="L49" s="834">
        <f>ROUND(L$38*'Cost Assumptions'!H$38,-3)</f>
        <v>5961000</v>
      </c>
      <c r="M49" s="820">
        <f>ROUND(M$38*'Cost Assumptions'!I$38,-3)</f>
        <v>5423000</v>
      </c>
      <c r="N49" s="820">
        <f>ROUND(N$38*'Cost Assumptions'!J$38,-3)</f>
        <v>5514000</v>
      </c>
      <c r="O49" s="820">
        <f>ROUND(O$38*'Cost Assumptions'!K$38,-3)</f>
        <v>5732000</v>
      </c>
      <c r="P49" s="298"/>
      <c r="Q49" s="759"/>
      <c r="R49" s="1741" t="s">
        <v>276</v>
      </c>
      <c r="T49" s="256" t="s">
        <v>202</v>
      </c>
      <c r="U49" s="256" t="s">
        <v>292</v>
      </c>
    </row>
    <row r="50" spans="1:21">
      <c r="A50" s="441">
        <v>1</v>
      </c>
      <c r="C50" s="261" t="s">
        <v>114</v>
      </c>
      <c r="D50" s="261"/>
      <c r="E50" s="472"/>
      <c r="F50" s="463"/>
      <c r="G50" s="463"/>
      <c r="H50" s="820">
        <f>ROUND(SUM(H$42:H$49)*'Cost Assumptions'!D$39,-3)</f>
        <v>4638000</v>
      </c>
      <c r="I50" s="820">
        <f>ROUND(SUM(I$42:I$49)*'Cost Assumptions'!E$39,-3)</f>
        <v>4550000</v>
      </c>
      <c r="J50" s="820">
        <f>ROUND(SUM(J$42:J$49)*'Cost Assumptions'!F$39,-3)</f>
        <v>4595000</v>
      </c>
      <c r="K50" s="820">
        <f>ROUND(SUM(K$42:K$49)*'Cost Assumptions'!G$39,-3)</f>
        <v>4578000</v>
      </c>
      <c r="L50" s="834">
        <f>ROUND(SUM(L$42:L$49)*'Cost Assumptions'!H$39,-3)</f>
        <v>9986000</v>
      </c>
      <c r="M50" s="820">
        <f>ROUND(SUM(M$42:M$49)*'Cost Assumptions'!I$39,-3)</f>
        <v>9392000</v>
      </c>
      <c r="N50" s="820">
        <f>ROUND(SUM(N$42:N$49)*'Cost Assumptions'!J$39,-3)</f>
        <v>9708000</v>
      </c>
      <c r="O50" s="820">
        <f>ROUND(SUM(O$42:O$49)*'Cost Assumptions'!K$39,-3)</f>
        <v>9689000</v>
      </c>
      <c r="P50" s="298"/>
      <c r="Q50" s="759"/>
      <c r="R50" s="1741" t="s">
        <v>276</v>
      </c>
      <c r="T50" s="256" t="s">
        <v>114</v>
      </c>
      <c r="U50" s="256" t="s">
        <v>292</v>
      </c>
    </row>
    <row r="51" spans="1:21">
      <c r="A51" s="441"/>
      <c r="C51" s="261" t="s">
        <v>490</v>
      </c>
      <c r="D51" s="261"/>
      <c r="E51" s="472"/>
      <c r="F51" s="463"/>
      <c r="G51" s="463"/>
      <c r="H51" s="834">
        <f>'Capital Costs'!D47*(1+CONE_Calculations!Inflation)^('Capital Costs_Nominal$'!$F$1)</f>
        <v>0</v>
      </c>
      <c r="I51" s="834">
        <f>'Capital Costs'!E47*(1+CONE_Calculations!Inflation)^('Capital Costs_Nominal$'!$F$1)</f>
        <v>0</v>
      </c>
      <c r="J51" s="834">
        <f>'Capital Costs'!F47*(1+CONE_Calculations!Inflation)^('Capital Costs_Nominal$'!$F$1)</f>
        <v>0</v>
      </c>
      <c r="K51" s="834">
        <f>'Capital Costs'!G47*(1+CONE_Calculations!Inflation)^('Capital Costs_Nominal$'!$F$1)</f>
        <v>0</v>
      </c>
      <c r="L51" s="834">
        <f>'Capital Costs'!H47*(1+CONE_Calculations!Inflation)^('Capital Costs_Nominal$'!$F$1)</f>
        <v>2308607.3980292017</v>
      </c>
      <c r="M51" s="834">
        <f>'Capital Costs'!I47*(1+CONE_Calculations!Inflation)^('Capital Costs_Nominal$'!$F$1)</f>
        <v>2308607.3980292017</v>
      </c>
      <c r="N51" s="834">
        <f>'Capital Costs'!J47*(1+CONE_Calculations!Inflation)^('Capital Costs_Nominal$'!$F$1)</f>
        <v>2308607.3980292017</v>
      </c>
      <c r="O51" s="834">
        <f>'Capital Costs'!K47*(1+CONE_Calculations!Inflation)^('Capital Costs_Nominal$'!$F$1)</f>
        <v>2308607.3980292017</v>
      </c>
      <c r="P51" s="298"/>
      <c r="Q51" s="759"/>
      <c r="R51" s="1741"/>
    </row>
    <row r="52" spans="1:21">
      <c r="A52" s="441"/>
      <c r="C52" s="317" t="s">
        <v>154</v>
      </c>
      <c r="D52" s="317"/>
      <c r="E52" s="472"/>
      <c r="F52" s="463"/>
      <c r="G52" s="463"/>
      <c r="H52" s="820">
        <f t="shared" ref="H52:O52" si="7">SUM(H$42:H$51)</f>
        <v>62613000</v>
      </c>
      <c r="I52" s="820">
        <f t="shared" si="7"/>
        <v>61420000</v>
      </c>
      <c r="J52" s="820">
        <f t="shared" si="7"/>
        <v>62033000</v>
      </c>
      <c r="K52" s="820">
        <f t="shared" si="7"/>
        <v>61808000</v>
      </c>
      <c r="L52" s="834">
        <f t="shared" si="7"/>
        <v>137117607.39802921</v>
      </c>
      <c r="M52" s="820">
        <f t="shared" si="7"/>
        <v>129097607.39802921</v>
      </c>
      <c r="N52" s="820">
        <f t="shared" si="7"/>
        <v>133370607.39802921</v>
      </c>
      <c r="O52" s="820">
        <f t="shared" si="7"/>
        <v>133104607.39802921</v>
      </c>
      <c r="P52" s="298"/>
      <c r="Q52" s="759"/>
      <c r="R52" s="1741"/>
    </row>
    <row r="53" spans="1:21">
      <c r="A53" s="441">
        <v>1</v>
      </c>
      <c r="C53" s="261" t="s">
        <v>115</v>
      </c>
      <c r="D53" s="261"/>
      <c r="E53" s="472"/>
      <c r="F53" s="463"/>
      <c r="G53" s="463"/>
      <c r="H53" s="820">
        <f>ROUND(SUM(H$38,H$52)*'Cost Assumptions'!D$40*'Cost Assumptions'!D$42,-3)</f>
        <v>7003000</v>
      </c>
      <c r="I53" s="820">
        <f>ROUND(SUM(I$38,I$52)*'Cost Assumptions'!E$40*'Cost Assumptions'!E$42,-3)</f>
        <v>6611000</v>
      </c>
      <c r="J53" s="820">
        <f>ROUND(SUM(J$38,J$52)*'Cost Assumptions'!F$40*'Cost Assumptions'!F$42,-3)</f>
        <v>6704000</v>
      </c>
      <c r="K53" s="820">
        <f>ROUND(SUM(K$38,K$52)*'Cost Assumptions'!G$40*'Cost Assumptions'!G$42,-3)</f>
        <v>6824000</v>
      </c>
      <c r="L53" s="834">
        <f>ROUND(SUM(L$38,L$52)*'Cost Assumptions'!H$40*'Cost Assumptions'!H$42,-3)</f>
        <v>29245000</v>
      </c>
      <c r="M53" s="820">
        <f>ROUND(SUM(M$38,M$52)*'Cost Assumptions'!I$40*'Cost Assumptions'!I$42,-3)</f>
        <v>26703000</v>
      </c>
      <c r="N53" s="820">
        <f>ROUND(SUM(N$38,N$52)*'Cost Assumptions'!J$40*'Cost Assumptions'!J$42,-3)</f>
        <v>27194000</v>
      </c>
      <c r="O53" s="820">
        <f>ROUND(SUM(O$38,O$52)*'Cost Assumptions'!K$40*'Cost Assumptions'!K$42,-3)</f>
        <v>28148000</v>
      </c>
      <c r="P53" s="298"/>
      <c r="Q53" s="759"/>
      <c r="R53" s="1741" t="s">
        <v>276</v>
      </c>
      <c r="T53" s="256" t="s">
        <v>115</v>
      </c>
      <c r="U53" s="256" t="s">
        <v>292</v>
      </c>
    </row>
    <row r="54" spans="1:21" s="260" customFormat="1">
      <c r="A54" s="470"/>
      <c r="C54" s="289" t="s">
        <v>155</v>
      </c>
      <c r="D54" s="289"/>
      <c r="E54" s="473"/>
      <c r="F54" s="474"/>
      <c r="G54" s="474"/>
      <c r="H54" s="821">
        <f t="shared" ref="H54:O54" si="8">SUM(H$52:H$53)</f>
        <v>69616000</v>
      </c>
      <c r="I54" s="821">
        <f t="shared" si="8"/>
        <v>68031000</v>
      </c>
      <c r="J54" s="821">
        <f t="shared" si="8"/>
        <v>68737000</v>
      </c>
      <c r="K54" s="821">
        <f t="shared" si="8"/>
        <v>68632000</v>
      </c>
      <c r="L54" s="835">
        <f t="shared" si="8"/>
        <v>166362607.39802921</v>
      </c>
      <c r="M54" s="821">
        <f t="shared" si="8"/>
        <v>155800607.39802921</v>
      </c>
      <c r="N54" s="821">
        <f t="shared" si="8"/>
        <v>160564607.39802921</v>
      </c>
      <c r="O54" s="821">
        <f t="shared" si="8"/>
        <v>161252607.39802921</v>
      </c>
      <c r="P54" s="318"/>
      <c r="Q54" s="843"/>
    </row>
    <row r="55" spans="1:21" s="260" customFormat="1" ht="6" customHeight="1">
      <c r="A55" s="470"/>
      <c r="C55" s="289"/>
      <c r="D55" s="289"/>
      <c r="E55" s="473"/>
      <c r="F55" s="474"/>
      <c r="G55" s="474"/>
      <c r="H55" s="821"/>
      <c r="I55" s="821"/>
      <c r="J55" s="821"/>
      <c r="K55" s="821"/>
      <c r="L55" s="782"/>
      <c r="M55" s="308"/>
      <c r="N55" s="308"/>
      <c r="O55" s="308"/>
      <c r="P55" s="318"/>
      <c r="Q55" s="843"/>
    </row>
    <row r="56" spans="1:21" s="260" customFormat="1">
      <c r="A56" s="470"/>
      <c r="C56" s="289" t="s">
        <v>116</v>
      </c>
      <c r="D56" s="289"/>
      <c r="E56" s="473"/>
      <c r="F56" s="474"/>
      <c r="G56" s="474"/>
      <c r="H56" s="821">
        <f t="shared" ref="H56:O56" si="9">SUM(H23,H36,H54)</f>
        <v>325299000</v>
      </c>
      <c r="I56" s="821">
        <f t="shared" si="9"/>
        <v>307089000</v>
      </c>
      <c r="J56" s="821">
        <f t="shared" si="9"/>
        <v>311425000</v>
      </c>
      <c r="K56" s="821">
        <f t="shared" si="9"/>
        <v>317007000</v>
      </c>
      <c r="L56" s="835">
        <f t="shared" si="9"/>
        <v>1358546607.3980293</v>
      </c>
      <c r="M56" s="821">
        <f t="shared" si="9"/>
        <v>1240494607.3980293</v>
      </c>
      <c r="N56" s="821">
        <f t="shared" si="9"/>
        <v>1263278607.3980293</v>
      </c>
      <c r="O56" s="821">
        <f t="shared" si="9"/>
        <v>1307618607.3980293</v>
      </c>
      <c r="P56" s="318"/>
      <c r="Q56" s="843"/>
    </row>
    <row r="57" spans="1:21" ht="6" customHeight="1">
      <c r="A57" s="441"/>
      <c r="C57" s="319"/>
      <c r="D57" s="319"/>
      <c r="E57" s="464"/>
      <c r="F57" s="465"/>
      <c r="G57" s="465"/>
      <c r="H57" s="826"/>
      <c r="I57" s="826"/>
      <c r="J57" s="826"/>
      <c r="K57" s="826"/>
      <c r="L57" s="310"/>
      <c r="M57" s="311"/>
      <c r="N57" s="311"/>
      <c r="O57" s="311"/>
      <c r="P57" s="313"/>
      <c r="Q57" s="759"/>
    </row>
    <row r="58" spans="1:21" ht="6" customHeight="1">
      <c r="A58" s="441"/>
      <c r="C58" s="320"/>
      <c r="D58" s="320"/>
      <c r="E58" s="462"/>
      <c r="F58" s="463"/>
      <c r="G58" s="463"/>
      <c r="H58" s="823"/>
      <c r="I58" s="823"/>
      <c r="J58" s="823"/>
      <c r="K58" s="823"/>
      <c r="L58" s="314"/>
      <c r="M58" s="305"/>
      <c r="N58" s="305"/>
      <c r="O58" s="305"/>
      <c r="P58" s="316"/>
      <c r="Q58" s="759"/>
    </row>
    <row r="59" spans="1:21" s="260" customFormat="1">
      <c r="A59" s="470"/>
      <c r="C59" s="290" t="s">
        <v>156</v>
      </c>
      <c r="D59" s="290"/>
      <c r="E59" s="473"/>
      <c r="F59" s="474"/>
      <c r="G59" s="474"/>
      <c r="H59" s="821">
        <f t="shared" ref="H59:O59" si="10">H$38+H$54</f>
        <v>325299000</v>
      </c>
      <c r="I59" s="821">
        <f t="shared" si="10"/>
        <v>307089000</v>
      </c>
      <c r="J59" s="821">
        <f t="shared" si="10"/>
        <v>311425000</v>
      </c>
      <c r="K59" s="821">
        <f t="shared" si="10"/>
        <v>317007000</v>
      </c>
      <c r="L59" s="835">
        <f t="shared" si="10"/>
        <v>1358546607.3980293</v>
      </c>
      <c r="M59" s="821">
        <f t="shared" si="10"/>
        <v>1240494607.3980293</v>
      </c>
      <c r="N59" s="821">
        <f t="shared" si="10"/>
        <v>1263278607.3980293</v>
      </c>
      <c r="O59" s="821">
        <f t="shared" si="10"/>
        <v>1307618607.3980293</v>
      </c>
      <c r="P59" s="318"/>
      <c r="Q59" s="843"/>
    </row>
    <row r="60" spans="1:21">
      <c r="A60" s="441"/>
      <c r="C60" s="290" t="s">
        <v>157</v>
      </c>
      <c r="D60" s="290"/>
      <c r="E60" s="473"/>
      <c r="F60" s="474"/>
      <c r="G60" s="474"/>
      <c r="H60" s="821">
        <f>H$59/('Cost Assumptions'!D13*10^3)</f>
        <v>902.13234458067222</v>
      </c>
      <c r="I60" s="821">
        <f>I$59/('Cost Assumptions'!E13*10^3)</f>
        <v>846.35291783109813</v>
      </c>
      <c r="J60" s="821">
        <f>J$59/('Cost Assumptions'!F13*10^3)</f>
        <v>882.40627665211218</v>
      </c>
      <c r="K60" s="821">
        <f>K$59/('Cost Assumptions'!G13*10^3)</f>
        <v>905.88958107104077</v>
      </c>
      <c r="L60" s="835">
        <f>L$59/('Cost Assumptions'!H$17*10^3)</f>
        <v>1160.4269194417409</v>
      </c>
      <c r="M60" s="821">
        <f>M$59/('Cost Assumptions'!I$17*10^3)</f>
        <v>1056.9472601030534</v>
      </c>
      <c r="N60" s="821">
        <f>N$59/('Cost Assumptions'!J$17*10^3)</f>
        <v>1104.1737893897086</v>
      </c>
      <c r="O60" s="821">
        <f>O$59/('Cost Assumptions'!K$17*10^3)</f>
        <v>1153.6888290684062</v>
      </c>
      <c r="P60" s="316"/>
      <c r="Q60" s="759"/>
    </row>
    <row r="61" spans="1:21">
      <c r="A61" s="441"/>
      <c r="C61" s="290" t="s">
        <v>68</v>
      </c>
      <c r="D61" s="290"/>
      <c r="E61" s="473"/>
      <c r="F61" s="474"/>
      <c r="G61" s="474"/>
      <c r="H61" s="200">
        <v>945.22994211246385</v>
      </c>
      <c r="I61" s="200">
        <v>887.12127561820864</v>
      </c>
      <c r="J61" s="200">
        <v>924.72403105584215</v>
      </c>
      <c r="K61" s="200">
        <v>949.33352953671533</v>
      </c>
      <c r="L61" s="200">
        <v>1255.3052433703517</v>
      </c>
      <c r="M61" s="200">
        <v>1144.0960447434343</v>
      </c>
      <c r="N61" s="200">
        <v>1194.8076202754946</v>
      </c>
      <c r="O61" s="200">
        <v>1248.3869999844178</v>
      </c>
      <c r="P61" s="316"/>
      <c r="Q61" s="843" t="s">
        <v>712</v>
      </c>
    </row>
    <row r="62" spans="1:21" outlineLevel="1">
      <c r="A62" s="441"/>
      <c r="C62" s="290" t="s">
        <v>180</v>
      </c>
      <c r="D62" s="290"/>
      <c r="E62" s="462"/>
      <c r="F62" s="463"/>
      <c r="G62" s="463"/>
      <c r="H62" s="821">
        <f t="shared" ref="H62:O62" si="11">SUMIFS(H19:H54,$A$19:$A$54,0)</f>
        <v>366000</v>
      </c>
      <c r="I62" s="821">
        <f t="shared" si="11"/>
        <v>295000</v>
      </c>
      <c r="J62" s="821">
        <f t="shared" si="11"/>
        <v>164000</v>
      </c>
      <c r="K62" s="821">
        <f t="shared" si="11"/>
        <v>306000</v>
      </c>
      <c r="L62" s="835">
        <f t="shared" si="11"/>
        <v>2196000</v>
      </c>
      <c r="M62" s="821">
        <f t="shared" si="11"/>
        <v>1770000</v>
      </c>
      <c r="N62" s="821">
        <f t="shared" si="11"/>
        <v>984000</v>
      </c>
      <c r="O62" s="821">
        <f t="shared" si="11"/>
        <v>1836000</v>
      </c>
      <c r="P62" s="316"/>
      <c r="Q62" s="759"/>
    </row>
    <row r="63" spans="1:21" ht="6" customHeight="1" thickBot="1">
      <c r="C63" s="322"/>
      <c r="D63" s="322"/>
      <c r="E63" s="322"/>
      <c r="F63" s="322"/>
      <c r="G63" s="322"/>
      <c r="H63" s="324"/>
      <c r="I63" s="324"/>
      <c r="J63" s="324"/>
      <c r="K63" s="324"/>
      <c r="L63" s="323"/>
      <c r="M63" s="324"/>
      <c r="N63" s="324"/>
      <c r="O63" s="324"/>
      <c r="P63" s="324"/>
      <c r="Q63" s="759"/>
    </row>
    <row r="64" spans="1:21" ht="6" customHeight="1" thickTop="1">
      <c r="C64" s="290" t="s">
        <v>123</v>
      </c>
      <c r="D64" s="290"/>
      <c r="E64" s="290"/>
      <c r="F64" s="290"/>
      <c r="G64" s="290"/>
      <c r="H64" s="327"/>
      <c r="I64" s="327"/>
      <c r="J64" s="327"/>
      <c r="K64" s="327"/>
      <c r="L64" s="327"/>
      <c r="M64" s="327"/>
      <c r="N64" s="327"/>
      <c r="O64" s="327"/>
      <c r="P64" s="327"/>
    </row>
    <row r="65" spans="6:7" customFormat="1" ht="12.75"/>
    <row r="66" spans="6:7" customFormat="1" ht="12.75"/>
    <row r="67" spans="6:7" customFormat="1" ht="12.75"/>
    <row r="68" spans="6:7" customFormat="1" ht="12.75"/>
    <row r="69" spans="6:7" customFormat="1" ht="12.75"/>
    <row r="70" spans="6:7" customFormat="1" ht="12.75"/>
    <row r="71" spans="6:7" customFormat="1" ht="12.75"/>
    <row r="72" spans="6:7" customFormat="1" ht="12.75"/>
    <row r="73" spans="6:7" customFormat="1" ht="12.75"/>
    <row r="74" spans="6:7" customFormat="1" ht="12.75"/>
    <row r="75" spans="6:7" customFormat="1" ht="12.75"/>
    <row r="76" spans="6:7" customFormat="1" ht="12.75"/>
    <row r="77" spans="6:7">
      <c r="F77" s="257"/>
      <c r="G77" s="257"/>
    </row>
    <row r="78" spans="6:7">
      <c r="F78" s="257"/>
      <c r="G78" s="257"/>
    </row>
  </sheetData>
  <pageMargins left="0.7" right="0.7" top="0.75" bottom="0.75" header="0.3" footer="0.3"/>
  <pageSetup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R68"/>
  <sheetViews>
    <sheetView topLeftCell="B7" zoomScaleNormal="100" workbookViewId="0">
      <selection activeCell="B7" sqref="B7"/>
    </sheetView>
  </sheetViews>
  <sheetFormatPr defaultColWidth="9.28515625" defaultRowHeight="15" outlineLevelRow="1" outlineLevelCol="1"/>
  <cols>
    <col min="1" max="1" width="13.7109375" style="436" hidden="1" customWidth="1" outlineLevel="1"/>
    <col min="2" max="2" width="6.42578125" style="256" customWidth="1" collapsed="1"/>
    <col min="3" max="3" width="41.42578125" style="256" bestFit="1" customWidth="1"/>
    <col min="4" max="4" width="1.7109375" style="256" hidden="1" customWidth="1" outlineLevel="1"/>
    <col min="5" max="5" width="16.5703125" style="256" hidden="1" customWidth="1" outlineLevel="1"/>
    <col min="6" max="6" width="14.85546875" style="256" hidden="1" customWidth="1" outlineLevel="1"/>
    <col min="7" max="7" width="1.7109375" style="256" hidden="1" customWidth="1" outlineLevel="1"/>
    <col min="8" max="8" width="15.7109375" style="257" customWidth="1" collapsed="1"/>
    <col min="9" max="9" width="14.7109375" style="257" customWidth="1"/>
    <col min="10" max="11" width="15.7109375" style="257" customWidth="1"/>
    <col min="12" max="12" width="1.7109375" style="256" customWidth="1"/>
    <col min="13" max="13" width="25.42578125" style="256" customWidth="1"/>
    <col min="14" max="14" width="14.7109375" style="256" hidden="1" customWidth="1" outlineLevel="1"/>
    <col min="15" max="15" width="8.7109375" style="443" hidden="1" customWidth="1" outlineLevel="1"/>
    <col min="16" max="16" width="25.42578125" style="256" hidden="1" customWidth="1" outlineLevel="1"/>
    <col min="17" max="17" width="9.28515625" style="256" hidden="1" customWidth="1" outlineLevel="1"/>
    <col min="18" max="18" width="9.28515625" style="256" collapsed="1"/>
    <col min="19" max="16384" width="9.28515625" style="256"/>
  </cols>
  <sheetData>
    <row r="1" spans="1:17" s="255" customFormat="1" hidden="1" outlineLevel="1">
      <c r="A1" s="436"/>
      <c r="E1" s="438" t="s">
        <v>546</v>
      </c>
      <c r="F1" s="436">
        <v>5</v>
      </c>
      <c r="H1" s="437" t="str">
        <f t="shared" ref="H1:K1" si="0">H2&amp;"_"&amp;H3</f>
        <v>1_BESS</v>
      </c>
      <c r="I1" s="437" t="str">
        <f t="shared" si="0"/>
        <v>2_BESS</v>
      </c>
      <c r="J1" s="437" t="str">
        <f t="shared" si="0"/>
        <v>3_BESS</v>
      </c>
      <c r="K1" s="437" t="str">
        <f t="shared" si="0"/>
        <v>4_BESS</v>
      </c>
      <c r="O1" s="438"/>
    </row>
    <row r="2" spans="1:17" s="255" customFormat="1" hidden="1" outlineLevel="1">
      <c r="A2" s="436"/>
      <c r="E2" s="438" t="s">
        <v>547</v>
      </c>
      <c r="F2" s="436">
        <v>12</v>
      </c>
      <c r="H2" s="438">
        <v>1</v>
      </c>
      <c r="I2" s="438">
        <v>2</v>
      </c>
      <c r="J2" s="438">
        <v>3</v>
      </c>
      <c r="K2" s="438">
        <v>4</v>
      </c>
      <c r="O2" s="438"/>
    </row>
    <row r="3" spans="1:17" s="255" customFormat="1" hidden="1" outlineLevel="1">
      <c r="A3" s="436"/>
      <c r="H3" s="438" t="s">
        <v>700</v>
      </c>
      <c r="I3" s="438" t="s">
        <v>700</v>
      </c>
      <c r="J3" s="438" t="s">
        <v>700</v>
      </c>
      <c r="K3" s="438" t="s">
        <v>700</v>
      </c>
      <c r="O3" s="438"/>
    </row>
    <row r="4" spans="1:17" s="255" customFormat="1" hidden="1" outlineLevel="1">
      <c r="A4" s="436"/>
      <c r="B4" s="1169" t="s">
        <v>572</v>
      </c>
      <c r="C4" s="1170"/>
      <c r="G4" s="438" t="s">
        <v>545</v>
      </c>
      <c r="H4" s="439">
        <v>4.333333333333333</v>
      </c>
      <c r="I4" s="439">
        <v>4.333333333333333</v>
      </c>
      <c r="J4" s="439">
        <v>4.333333333333333</v>
      </c>
      <c r="K4" s="439">
        <v>4.333333333333333</v>
      </c>
      <c r="O4" s="438"/>
    </row>
    <row r="5" spans="1:17" s="255" customFormat="1" hidden="1" outlineLevel="1">
      <c r="A5" s="436"/>
      <c r="B5" s="255">
        <v>7</v>
      </c>
      <c r="G5" s="438" t="s">
        <v>548</v>
      </c>
      <c r="H5" s="440">
        <f>(($F$1*$F$2-$B$5)/12)</f>
        <v>4.416666666666667</v>
      </c>
      <c r="I5" s="440">
        <f t="shared" ref="I5:K5" si="1">($F$1*$F$2-$B$5)/12</f>
        <v>4.416666666666667</v>
      </c>
      <c r="J5" s="440">
        <f t="shared" si="1"/>
        <v>4.416666666666667</v>
      </c>
      <c r="K5" s="440">
        <f t="shared" si="1"/>
        <v>4.416666666666667</v>
      </c>
      <c r="O5" s="438"/>
    </row>
    <row r="6" spans="1:17" s="255" customFormat="1" hidden="1" outlineLevel="1">
      <c r="A6" s="436"/>
      <c r="B6" s="255">
        <v>8</v>
      </c>
      <c r="G6" s="438" t="s">
        <v>549</v>
      </c>
      <c r="H6" s="440">
        <f>($F$1*$F$2-$B$6)/12</f>
        <v>4.333333333333333</v>
      </c>
      <c r="I6" s="440">
        <f t="shared" ref="I6:K6" si="2">($F$1*$F$2-$B$6)/12</f>
        <v>4.333333333333333</v>
      </c>
      <c r="J6" s="440">
        <f t="shared" si="2"/>
        <v>4.333333333333333</v>
      </c>
      <c r="K6" s="440">
        <f t="shared" si="2"/>
        <v>4.333333333333333</v>
      </c>
      <c r="L6" s="440">
        <f>4-(12-8)/12</f>
        <v>3.6666666666666665</v>
      </c>
      <c r="O6" s="438"/>
    </row>
    <row r="7" spans="1:17" collapsed="1">
      <c r="A7" s="441"/>
      <c r="B7"/>
      <c r="C7" s="219"/>
      <c r="D7" s="219"/>
      <c r="E7" s="219"/>
      <c r="F7" s="219"/>
      <c r="G7" s="219"/>
      <c r="H7" s="444"/>
      <c r="I7" s="444"/>
      <c r="J7" s="444"/>
      <c r="K7" s="444"/>
      <c r="L7" s="219"/>
    </row>
    <row r="8" spans="1:17" ht="6" customHeight="1" thickBot="1">
      <c r="A8" s="441"/>
      <c r="B8"/>
      <c r="C8" s="445"/>
      <c r="D8" s="445"/>
      <c r="E8" s="445"/>
      <c r="F8" s="445"/>
      <c r="G8" s="445"/>
      <c r="H8" s="446"/>
      <c r="I8" s="446"/>
      <c r="J8" s="446"/>
      <c r="K8" s="446"/>
      <c r="L8" s="445"/>
    </row>
    <row r="9" spans="1:17" ht="6" customHeight="1" thickTop="1">
      <c r="A9" s="441"/>
      <c r="B9"/>
      <c r="C9" s="447"/>
      <c r="D9" s="447"/>
      <c r="E9" s="447"/>
      <c r="F9" s="447"/>
      <c r="G9" s="447"/>
      <c r="H9" s="448"/>
      <c r="I9" s="448"/>
      <c r="J9" s="448"/>
      <c r="K9" s="448"/>
      <c r="L9" s="447"/>
      <c r="M9" s="759"/>
    </row>
    <row r="10" spans="1:17" ht="12.75" customHeight="1" outlineLevel="1">
      <c r="A10" s="441"/>
      <c r="B10"/>
      <c r="C10" s="270"/>
      <c r="D10" s="270"/>
      <c r="E10" s="271"/>
      <c r="F10" s="271"/>
      <c r="G10" s="271"/>
      <c r="H10" s="450" t="s">
        <v>616</v>
      </c>
      <c r="I10" s="450"/>
      <c r="J10" s="450"/>
      <c r="K10" s="450"/>
      <c r="L10" s="452"/>
      <c r="M10" s="759"/>
    </row>
    <row r="11" spans="1:17" ht="12.75" customHeight="1">
      <c r="A11" s="441"/>
      <c r="B11"/>
      <c r="C11" s="270"/>
      <c r="D11" s="270"/>
      <c r="E11" s="271"/>
      <c r="F11" s="271"/>
      <c r="G11" s="271"/>
      <c r="H11" s="453" t="s">
        <v>189</v>
      </c>
      <c r="I11" s="453"/>
      <c r="J11" s="453"/>
      <c r="K11" s="453"/>
      <c r="L11" s="452"/>
      <c r="M11" s="759"/>
    </row>
    <row r="12" spans="1:17" ht="12.75" customHeight="1">
      <c r="A12" s="441"/>
      <c r="B12"/>
      <c r="C12" s="270"/>
      <c r="D12" s="270"/>
      <c r="E12" s="454" t="s">
        <v>166</v>
      </c>
      <c r="F12" s="454" t="s">
        <v>174</v>
      </c>
      <c r="G12" s="454"/>
      <c r="H12" s="455">
        <v>1</v>
      </c>
      <c r="I12" s="455">
        <v>2</v>
      </c>
      <c r="J12" s="455">
        <v>3</v>
      </c>
      <c r="K12" s="455">
        <v>4</v>
      </c>
      <c r="L12" s="452"/>
      <c r="M12" s="759"/>
      <c r="N12" s="456" t="s">
        <v>299</v>
      </c>
      <c r="O12" s="456"/>
      <c r="P12" s="456"/>
      <c r="Q12" s="456"/>
    </row>
    <row r="13" spans="1:17">
      <c r="A13" s="441"/>
      <c r="B13"/>
      <c r="C13" s="270" t="s">
        <v>124</v>
      </c>
      <c r="D13" s="270"/>
      <c r="E13" s="457" t="s">
        <v>308</v>
      </c>
      <c r="F13" s="457" t="s">
        <v>309</v>
      </c>
      <c r="G13" s="457"/>
      <c r="H13" s="1282" t="str">
        <f>'Cost Assumptions BESS'!D7</f>
        <v>EMAAC</v>
      </c>
      <c r="I13" s="1282" t="str">
        <f>'Cost Assumptions BESS'!E7</f>
        <v>SWMAAC</v>
      </c>
      <c r="J13" s="1282" t="str">
        <f>'Cost Assumptions BESS'!F7</f>
        <v>Rest of RTO</v>
      </c>
      <c r="K13" s="1282" t="str">
        <f>'Cost Assumptions BESS'!G7</f>
        <v>WMAAC</v>
      </c>
      <c r="L13" s="452"/>
      <c r="M13" s="759"/>
    </row>
    <row r="14" spans="1:17" ht="30" outlineLevel="1">
      <c r="A14" s="458" t="s">
        <v>179</v>
      </c>
      <c r="B14"/>
      <c r="C14" s="270"/>
      <c r="D14" s="270"/>
      <c r="E14" s="459" t="s">
        <v>167</v>
      </c>
      <c r="F14" s="459" t="s">
        <v>174</v>
      </c>
      <c r="G14" s="459"/>
      <c r="H14" s="1282" t="str">
        <f>'Cost Assumptions BESS'!D8</f>
        <v>Lithium-Ion 4-hour Batteries</v>
      </c>
      <c r="I14" s="1282" t="str">
        <f>'Cost Assumptions BESS'!E8</f>
        <v>Lithium-Ion 4-hour Batteries</v>
      </c>
      <c r="J14" s="1282" t="str">
        <f>'Cost Assumptions BESS'!F8</f>
        <v>Lithium-Ion 4-hour Batteries</v>
      </c>
      <c r="K14" s="1282" t="str">
        <f>'Cost Assumptions BESS'!G8</f>
        <v>Lithium-Ion 4-hour Batteries</v>
      </c>
      <c r="L14" s="461"/>
      <c r="M14" s="759"/>
      <c r="N14" s="256" t="s">
        <v>275</v>
      </c>
    </row>
    <row r="15" spans="1:17" outlineLevel="1">
      <c r="A15" s="441"/>
      <c r="B15"/>
      <c r="C15" s="270"/>
      <c r="D15" s="270"/>
      <c r="E15" s="462"/>
      <c r="F15" s="463"/>
      <c r="G15" s="463"/>
      <c r="H15" s="1286">
        <f>'Cost Assumptions BESS'!D13</f>
        <v>200</v>
      </c>
      <c r="I15" s="1286">
        <f>'Cost Assumptions BESS'!E13</f>
        <v>200</v>
      </c>
      <c r="J15" s="1286">
        <f>'Cost Assumptions BESS'!F13</f>
        <v>200</v>
      </c>
      <c r="K15" s="1286">
        <f>'Cost Assumptions BESS'!G13</f>
        <v>200</v>
      </c>
      <c r="L15" s="1286"/>
      <c r="M15" s="759"/>
    </row>
    <row r="16" spans="1:17" ht="6" customHeight="1">
      <c r="A16" s="441"/>
      <c r="B16"/>
      <c r="C16" s="282"/>
      <c r="D16" s="282"/>
      <c r="E16" s="464"/>
      <c r="F16" s="465"/>
      <c r="G16" s="465"/>
      <c r="H16" s="284"/>
      <c r="I16" s="284"/>
      <c r="J16" s="284"/>
      <c r="K16" s="284"/>
      <c r="L16" s="466"/>
      <c r="M16" s="759"/>
    </row>
    <row r="17" spans="1:17" ht="6" customHeight="1">
      <c r="A17" s="441"/>
      <c r="B17"/>
      <c r="C17" s="278"/>
      <c r="D17" s="278"/>
      <c r="E17" s="462"/>
      <c r="F17" s="463"/>
      <c r="G17" s="463"/>
      <c r="H17" s="272"/>
      <c r="I17" s="272"/>
      <c r="J17" s="272"/>
      <c r="K17" s="272"/>
      <c r="L17" s="452"/>
      <c r="M17" s="759"/>
    </row>
    <row r="18" spans="1:17">
      <c r="A18" s="441"/>
      <c r="B18"/>
      <c r="C18" s="289" t="s">
        <v>104</v>
      </c>
      <c r="D18" s="289"/>
      <c r="E18" s="816"/>
      <c r="F18" s="469"/>
      <c r="G18" s="469"/>
      <c r="H18" s="822"/>
      <c r="I18" s="822"/>
      <c r="J18" s="822"/>
      <c r="K18" s="822"/>
      <c r="L18" s="298"/>
      <c r="M18" s="759"/>
      <c r="N18" s="468"/>
    </row>
    <row r="19" spans="1:17">
      <c r="A19" s="441">
        <v>1</v>
      </c>
      <c r="B19"/>
      <c r="C19" s="300" t="s">
        <v>647</v>
      </c>
      <c r="D19" s="300"/>
      <c r="E19" s="1639">
        <v>-3.2218337510267481E-2</v>
      </c>
      <c r="F19" s="467">
        <f>(1+CONE_Calculations!Inflation+E19)^(1/12)-1</f>
        <v>-2.5895842177414696E-4</v>
      </c>
      <c r="G19" s="467"/>
      <c r="H19" s="819">
        <f t="array" ref="H19">INDEX('Capital Cost Escalation'!$AV:$AV, MATCH(1, ('BESS_Capital Costs_Nominal$'!$C19='Capital Cost Escalation'!$E:$E)*                                                                               ('BESS_Capital Costs_Nominal$'!H$13='Capital Cost Escalation'!$C:$C), 0))</f>
        <v>193516068.754363</v>
      </c>
      <c r="I19" s="819">
        <f t="array" ref="I19">INDEX('Capital Cost Escalation'!$AV:$AV, MATCH(1, ('BESS_Capital Costs_Nominal$'!$C19='Capital Cost Escalation'!$E:$E)*                                                                               ('BESS_Capital Costs_Nominal$'!I$13='Capital Cost Escalation'!$C:$C), 0))</f>
        <v>193516068.754363</v>
      </c>
      <c r="J19" s="819">
        <f t="array" ref="J19">INDEX('Capital Cost Escalation'!$AV:$AV, MATCH(1, ('BESS_Capital Costs_Nominal$'!$C19='Capital Cost Escalation'!$E:$E)*                                                                               ('BESS_Capital Costs_Nominal$'!J$13='Capital Cost Escalation'!$C:$C), 0))</f>
        <v>193516068.754363</v>
      </c>
      <c r="K19" s="819">
        <f t="array" ref="K19">INDEX('Capital Cost Escalation'!$AV:$AV, MATCH(1, ('BESS_Capital Costs_Nominal$'!$C19='Capital Cost Escalation'!$E:$E)*                                                                               ('BESS_Capital Costs_Nominal$'!K$13='Capital Cost Escalation'!$C:$C), 0))</f>
        <v>193516068.754363</v>
      </c>
      <c r="L19" s="298"/>
      <c r="M19" s="759"/>
      <c r="N19" s="468" t="s">
        <v>276</v>
      </c>
      <c r="P19" s="256" t="s">
        <v>133</v>
      </c>
      <c r="Q19" s="256" t="s">
        <v>292</v>
      </c>
    </row>
    <row r="20" spans="1:17">
      <c r="A20" s="441">
        <v>1</v>
      </c>
      <c r="B20"/>
      <c r="C20" s="300" t="s">
        <v>645</v>
      </c>
      <c r="D20" s="300"/>
      <c r="E20" s="1639">
        <v>-3.2218337510267481E-2</v>
      </c>
      <c r="F20" s="467">
        <f>(1+CONE_Calculations!Inflation+E20)^(1/12)-1</f>
        <v>-2.5895842177414696E-4</v>
      </c>
      <c r="G20" s="467"/>
      <c r="H20" s="819">
        <f t="array" ref="H20">INDEX('Capital Cost Escalation'!$AV:$AV, MATCH(1, ('BESS_Capital Costs_Nominal$'!$C20='Capital Cost Escalation'!$E:$E)*                                                                               ('BESS_Capital Costs_Nominal$'!H$13='Capital Cost Escalation'!$C:$C), 0))</f>
        <v>28963943.740016133</v>
      </c>
      <c r="I20" s="819">
        <f t="array" ref="I20">INDEX('Capital Cost Escalation'!$AV:$AV, MATCH(1, ('BESS_Capital Costs_Nominal$'!$C20='Capital Cost Escalation'!$E:$E)*                                                                               ('BESS_Capital Costs_Nominal$'!I$13='Capital Cost Escalation'!$C:$C), 0))</f>
        <v>28963943.740016133</v>
      </c>
      <c r="J20" s="819">
        <f t="array" ref="J20">INDEX('Capital Cost Escalation'!$AV:$AV, MATCH(1, ('BESS_Capital Costs_Nominal$'!$C20='Capital Cost Escalation'!$E:$E)*                                                                               ('BESS_Capital Costs_Nominal$'!J$13='Capital Cost Escalation'!$C:$C), 0))</f>
        <v>28963943.740016133</v>
      </c>
      <c r="K20" s="819">
        <f t="array" ref="K20">INDEX('Capital Cost Escalation'!$AV:$AV, MATCH(1, ('BESS_Capital Costs_Nominal$'!$C20='Capital Cost Escalation'!$E:$E)*                                                                               ('BESS_Capital Costs_Nominal$'!K$13='Capital Cost Escalation'!$C:$C), 0))</f>
        <v>28963943.740016133</v>
      </c>
      <c r="L20" s="298"/>
      <c r="M20" s="759"/>
      <c r="N20" s="468" t="s">
        <v>276</v>
      </c>
      <c r="P20" s="256" t="s">
        <v>133</v>
      </c>
      <c r="Q20" s="256" t="s">
        <v>292</v>
      </c>
    </row>
    <row r="21" spans="1:17">
      <c r="A21" s="441"/>
      <c r="B21"/>
      <c r="C21" s="304" t="s">
        <v>643</v>
      </c>
      <c r="D21" s="304"/>
      <c r="E21" s="816"/>
      <c r="F21" s="469"/>
      <c r="G21" s="469"/>
      <c r="H21" s="823">
        <f>SUM(H$19:H$20)</f>
        <v>222480012.49437913</v>
      </c>
      <c r="I21" s="823">
        <f t="shared" ref="I21:K21" si="3">SUM(I$19:I$20)</f>
        <v>222480012.49437913</v>
      </c>
      <c r="J21" s="823">
        <f t="shared" si="3"/>
        <v>222480012.49437913</v>
      </c>
      <c r="K21" s="823">
        <f t="shared" si="3"/>
        <v>222480012.49437913</v>
      </c>
      <c r="L21" s="305"/>
      <c r="M21" s="759"/>
      <c r="N21" s="468"/>
    </row>
    <row r="22" spans="1:17">
      <c r="A22" s="441">
        <v>1</v>
      </c>
      <c r="B22"/>
      <c r="C22" s="261" t="s">
        <v>642</v>
      </c>
      <c r="D22" s="261"/>
      <c r="E22" s="1639">
        <v>-3.2218337510267481E-2</v>
      </c>
      <c r="F22" s="467">
        <f>(1+CONE_Calculations!Inflation+E22)^(1/12)-1</f>
        <v>-2.5895842177414696E-4</v>
      </c>
      <c r="G22" s="467"/>
      <c r="H22" s="819">
        <f t="array" ref="H22">INDEX('Capital Cost Escalation'!$AV:$AV, MATCH(1, ('BESS_Capital Costs_Nominal$'!$C22='Capital Cost Escalation'!$E:$E)*                                                                               ('BESS_Capital Costs_Nominal$'!H$13='Capital Cost Escalation'!$C:$C), 0))</f>
        <v>11794373.39507417</v>
      </c>
      <c r="I22" s="819">
        <f t="array" ref="I22">INDEX('Capital Cost Escalation'!$AV:$AV, MATCH(1, ('BESS_Capital Costs_Nominal$'!$C22='Capital Cost Escalation'!$E:$E)*                                                                               ('BESS_Capital Costs_Nominal$'!I$13='Capital Cost Escalation'!$C:$C), 0))</f>
        <v>9411996.5975648966</v>
      </c>
      <c r="J22" s="819">
        <f t="array" ref="J22">INDEX('Capital Cost Escalation'!$AV:$AV, MATCH(1, ('BESS_Capital Costs_Nominal$'!$C22='Capital Cost Escalation'!$E:$E)*                                                                               ('BESS_Capital Costs_Nominal$'!J$13='Capital Cost Escalation'!$C:$C), 0))</f>
        <v>9955742.0846465528</v>
      </c>
      <c r="K22" s="819">
        <f t="array" ref="K22">INDEX('Capital Cost Escalation'!$AV:$AV, MATCH(1, ('BESS_Capital Costs_Nominal$'!$C22='Capital Cost Escalation'!$E:$E)*                                                                               ('BESS_Capital Costs_Nominal$'!K$13='Capital Cost Escalation'!$C:$C), 0))</f>
        <v>10768449.683465565</v>
      </c>
      <c r="L22" s="298"/>
      <c r="M22" s="759"/>
      <c r="N22" s="468" t="s">
        <v>276</v>
      </c>
      <c r="P22" s="256" t="s">
        <v>186</v>
      </c>
      <c r="Q22" s="256" t="s">
        <v>186</v>
      </c>
    </row>
    <row r="23" spans="1:17" ht="12.75" customHeight="1">
      <c r="A23" s="441">
        <v>1</v>
      </c>
      <c r="B23"/>
      <c r="C23" s="306" t="s">
        <v>640</v>
      </c>
      <c r="D23" s="306"/>
      <c r="E23" s="1639">
        <v>-3.2218337510267481E-2</v>
      </c>
      <c r="F23" s="467">
        <f>(1+CONE_Calculations!Inflation+E23)^(1/12)-1</f>
        <v>-2.5895842177414696E-4</v>
      </c>
      <c r="G23" s="467"/>
      <c r="H23" s="819">
        <f t="array" ref="H23">INDEX('Capital Cost Escalation'!$AV:$AV, MATCH(1, ('BESS_Capital Costs_Nominal$'!$C23='Capital Cost Escalation'!$E:$E)*                                                                               ('BESS_Capital Costs_Nominal$'!H$13='Capital Cost Escalation'!$C:$C), 0))</f>
        <v>58738917.765608609</v>
      </c>
      <c r="I23" s="819">
        <f t="array" ref="I23">INDEX('Capital Cost Escalation'!$AV:$AV, MATCH(1, ('BESS_Capital Costs_Nominal$'!$C23='Capital Cost Escalation'!$E:$E)*                                                                               ('BESS_Capital Costs_Nominal$'!I$13='Capital Cost Escalation'!$C:$C), 0))</f>
        <v>46874195.879826903</v>
      </c>
      <c r="J23" s="819">
        <f t="array" ref="J23">INDEX('Capital Cost Escalation'!$AV:$AV, MATCH(1, ('BESS_Capital Costs_Nominal$'!$C23='Capital Cost Escalation'!$E:$E)*                                                                               ('BESS_Capital Costs_Nominal$'!J$13='Capital Cost Escalation'!$C:$C), 0))</f>
        <v>49581971.446415342</v>
      </c>
      <c r="K23" s="819">
        <f t="array" ref="K23">INDEX('Capital Cost Escalation'!$AV:$AV, MATCH(1, ('BESS_Capital Costs_Nominal$'!$C23='Capital Cost Escalation'!$E:$E)*                                                                               ('BESS_Capital Costs_Nominal$'!K$13='Capital Cost Escalation'!$C:$C), 0))</f>
        <v>53629328.300992817</v>
      </c>
      <c r="L23" s="298"/>
      <c r="M23" s="759"/>
      <c r="N23" s="468" t="s">
        <v>277</v>
      </c>
      <c r="P23" s="256" t="s">
        <v>140</v>
      </c>
      <c r="Q23" s="256" t="s">
        <v>292</v>
      </c>
    </row>
    <row r="24" spans="1:17">
      <c r="A24" s="441">
        <v>1</v>
      </c>
      <c r="B24"/>
      <c r="C24" s="261" t="s">
        <v>131</v>
      </c>
      <c r="D24" s="261"/>
      <c r="E24" s="815"/>
      <c r="F24" s="467">
        <f>(1+CONE_Calculations!Inflation+E24)^(1/12)-1</f>
        <v>2.3944839450136257E-3</v>
      </c>
      <c r="G24" s="467"/>
      <c r="H24" s="820">
        <v>0</v>
      </c>
      <c r="I24" s="820">
        <v>0</v>
      </c>
      <c r="J24" s="820">
        <v>0</v>
      </c>
      <c r="K24" s="820">
        <v>0</v>
      </c>
      <c r="L24" s="298"/>
      <c r="M24" s="759"/>
      <c r="N24" s="468" t="s">
        <v>276</v>
      </c>
      <c r="P24" s="256" t="s">
        <v>198</v>
      </c>
      <c r="Q24" s="256" t="s">
        <v>292</v>
      </c>
    </row>
    <row r="25" spans="1:17">
      <c r="A25" s="441">
        <v>1</v>
      </c>
      <c r="B25"/>
      <c r="C25" s="261" t="s">
        <v>141</v>
      </c>
      <c r="D25" s="261"/>
      <c r="E25" s="816"/>
      <c r="F25" s="469"/>
      <c r="G25" s="469"/>
      <c r="H25" s="1476" t="s">
        <v>638</v>
      </c>
      <c r="I25" s="1476" t="s">
        <v>638</v>
      </c>
      <c r="J25" s="1476" t="s">
        <v>638</v>
      </c>
      <c r="K25" s="1476" t="s">
        <v>638</v>
      </c>
      <c r="L25" s="298"/>
      <c r="M25" s="759"/>
      <c r="N25" s="468" t="s">
        <v>276</v>
      </c>
      <c r="P25" s="256" t="s">
        <v>141</v>
      </c>
      <c r="Q25" s="256" t="s">
        <v>292</v>
      </c>
    </row>
    <row r="26" spans="1:17">
      <c r="A26" s="441">
        <v>1</v>
      </c>
      <c r="B26"/>
      <c r="C26" s="261" t="s">
        <v>142</v>
      </c>
      <c r="D26" s="261"/>
      <c r="E26" s="816"/>
      <c r="F26" s="469"/>
      <c r="G26" s="469"/>
      <c r="H26" s="1476" t="s">
        <v>638</v>
      </c>
      <c r="I26" s="1476" t="s">
        <v>638</v>
      </c>
      <c r="J26" s="1476" t="s">
        <v>638</v>
      </c>
      <c r="K26" s="1476" t="s">
        <v>638</v>
      </c>
      <c r="L26" s="298"/>
      <c r="M26" s="759"/>
      <c r="N26" s="468" t="s">
        <v>276</v>
      </c>
      <c r="P26" s="256" t="s">
        <v>705</v>
      </c>
      <c r="Q26" s="256" t="s">
        <v>292</v>
      </c>
    </row>
    <row r="27" spans="1:17">
      <c r="A27" s="441"/>
      <c r="B27"/>
      <c r="C27" s="317" t="s">
        <v>726</v>
      </c>
      <c r="D27" s="261"/>
      <c r="E27" s="816"/>
      <c r="F27" s="469"/>
      <c r="G27" s="469"/>
      <c r="H27" s="821">
        <f>H21+H22+H23</f>
        <v>293013303.6550619</v>
      </c>
      <c r="I27" s="821">
        <f t="shared" ref="I27:K27" si="4">I21+I22+I23</f>
        <v>278766204.97177094</v>
      </c>
      <c r="J27" s="821">
        <f t="shared" si="4"/>
        <v>282017726.02544105</v>
      </c>
      <c r="K27" s="821">
        <f t="shared" si="4"/>
        <v>286877790.47883749</v>
      </c>
      <c r="L27" s="298"/>
      <c r="M27" s="759"/>
      <c r="N27" s="468"/>
    </row>
    <row r="28" spans="1:17">
      <c r="A28" s="441">
        <v>1</v>
      </c>
      <c r="B28"/>
      <c r="C28" s="261" t="s">
        <v>636</v>
      </c>
      <c r="D28" s="289"/>
      <c r="E28" s="1639">
        <v>-3.2218337510267481E-2</v>
      </c>
      <c r="F28" s="467">
        <f>(1+CONE_Calculations!Inflation+E28)^(1/12)-1</f>
        <v>-2.5895842177414696E-4</v>
      </c>
      <c r="G28" s="469"/>
      <c r="H28" s="825">
        <v>0</v>
      </c>
      <c r="I28" s="825">
        <v>0</v>
      </c>
      <c r="J28" s="825">
        <v>0</v>
      </c>
      <c r="K28" s="825">
        <v>0</v>
      </c>
      <c r="L28" s="298"/>
      <c r="M28" s="759"/>
      <c r="N28" s="468"/>
    </row>
    <row r="29" spans="1:17">
      <c r="A29" s="441"/>
      <c r="B29"/>
      <c r="C29" s="289" t="s">
        <v>143</v>
      </c>
      <c r="D29" s="289"/>
      <c r="E29" s="816"/>
      <c r="F29" s="469"/>
      <c r="G29" s="469"/>
      <c r="H29" s="821">
        <f>H27+H28</f>
        <v>293013303.6550619</v>
      </c>
      <c r="I29" s="821">
        <f t="shared" ref="I29:K29" si="5">I27+I28</f>
        <v>278766204.97177094</v>
      </c>
      <c r="J29" s="821">
        <f t="shared" si="5"/>
        <v>282017726.02544105</v>
      </c>
      <c r="K29" s="821">
        <f t="shared" si="5"/>
        <v>286877790.47883749</v>
      </c>
      <c r="L29" s="298"/>
      <c r="M29" s="759"/>
      <c r="N29" s="468"/>
    </row>
    <row r="30" spans="1:17" ht="6" customHeight="1">
      <c r="A30" s="441"/>
      <c r="B30"/>
      <c r="C30" s="309"/>
      <c r="D30" s="309"/>
      <c r="E30" s="1016"/>
      <c r="F30" s="1017"/>
      <c r="G30" s="1017"/>
      <c r="H30" s="1018"/>
      <c r="I30" s="1018"/>
      <c r="J30" s="1018"/>
      <c r="K30" s="1018"/>
      <c r="L30" s="313"/>
      <c r="M30" s="759"/>
      <c r="N30" s="468"/>
    </row>
    <row r="31" spans="1:17" ht="6" customHeight="1">
      <c r="A31" s="441"/>
      <c r="B31"/>
      <c r="C31" s="292"/>
      <c r="D31" s="292"/>
      <c r="E31" s="816"/>
      <c r="F31" s="469"/>
      <c r="G31" s="469"/>
      <c r="H31" s="824"/>
      <c r="I31" s="824"/>
      <c r="J31" s="824"/>
      <c r="K31" s="824"/>
      <c r="L31" s="316"/>
      <c r="M31" s="759"/>
      <c r="N31" s="468"/>
    </row>
    <row r="32" spans="1:17">
      <c r="A32" s="441"/>
      <c r="B32"/>
      <c r="C32" s="289" t="s">
        <v>145</v>
      </c>
      <c r="D32" s="289"/>
      <c r="E32" s="816"/>
      <c r="F32" s="469"/>
      <c r="G32" s="469"/>
      <c r="H32" s="824"/>
      <c r="I32" s="824"/>
      <c r="J32" s="824"/>
      <c r="K32" s="824"/>
      <c r="L32" s="305"/>
      <c r="M32" s="759"/>
      <c r="N32" s="468"/>
    </row>
    <row r="33" spans="1:17">
      <c r="A33" s="441">
        <v>1</v>
      </c>
      <c r="B33"/>
      <c r="C33" s="261" t="s">
        <v>146</v>
      </c>
      <c r="D33" s="261"/>
      <c r="E33" s="1639">
        <v>-3.2218337510267481E-2</v>
      </c>
      <c r="F33" s="467">
        <f>(1+CONE_Calculations!Inflation+E33)^(1/12)-1</f>
        <v>-2.5895842177414696E-4</v>
      </c>
      <c r="G33" s="469"/>
      <c r="H33" s="819">
        <f t="array" ref="H33">INDEX('Capital Cost Escalation'!$AV:$AV, MATCH(1, ('BESS_Capital Costs_Nominal$'!$C33='Capital Cost Escalation'!$E:$E)*                                                                               ('BESS_Capital Costs_Nominal$'!H$13='Capital Cost Escalation'!$C:$C), 0))</f>
        <v>14650837.847351609</v>
      </c>
      <c r="I33" s="819">
        <f t="array" ref="I33">INDEX('Capital Cost Escalation'!$AV:$AV, MATCH(1, ('BESS_Capital Costs_Nominal$'!$C33='Capital Cost Escalation'!$E:$E)*                                                                               ('BESS_Capital Costs_Nominal$'!I$13='Capital Cost Escalation'!$C:$C), 0))</f>
        <v>13938473.046638573</v>
      </c>
      <c r="J33" s="819">
        <f t="array" ref="J33">INDEX('Capital Cost Escalation'!$AV:$AV, MATCH(1, ('BESS_Capital Costs_Nominal$'!$C33='Capital Cost Escalation'!$E:$E)*                                                                               ('BESS_Capital Costs_Nominal$'!J$13='Capital Cost Escalation'!$C:$C), 0))</f>
        <v>14101271.096663019</v>
      </c>
      <c r="K33" s="819">
        <f t="array" ref="K33">INDEX('Capital Cost Escalation'!$AV:$AV, MATCH(1, ('BESS_Capital Costs_Nominal$'!$C33='Capital Cost Escalation'!$E:$E)*                                                                               ('BESS_Capital Costs_Nominal$'!K$13='Capital Cost Escalation'!$C:$C), 0))</f>
        <v>14343988.189426741</v>
      </c>
      <c r="L33" s="298"/>
      <c r="M33" s="759"/>
      <c r="N33" s="468" t="s">
        <v>276</v>
      </c>
      <c r="P33" s="256" t="s">
        <v>146</v>
      </c>
      <c r="Q33" s="256" t="s">
        <v>186</v>
      </c>
    </row>
    <row r="34" spans="1:17">
      <c r="A34" s="441">
        <v>1</v>
      </c>
      <c r="B34"/>
      <c r="C34" s="261" t="s">
        <v>147</v>
      </c>
      <c r="D34" s="261"/>
      <c r="E34" s="1639">
        <v>-3.2218337510267481E-2</v>
      </c>
      <c r="F34" s="467">
        <f>(1+CONE_Calculations!Inflation+E34)^(1/12)-1</f>
        <v>-2.5895842177414696E-4</v>
      </c>
      <c r="G34" s="469"/>
      <c r="H34" s="819">
        <f t="array" ref="H34">INDEX('Capital Cost Escalation'!$AV:$AV, MATCH(1, ('BESS_Capital Costs_Nominal$'!$C34='Capital Cost Escalation'!$E:$E)*                                                                               ('BESS_Capital Costs_Nominal$'!H$13='Capital Cost Escalation'!$C:$C), 0))</f>
        <v>2930364.9004400484</v>
      </c>
      <c r="I34" s="819">
        <f t="array" ref="I34">INDEX('Capital Cost Escalation'!$AV:$AV, MATCH(1, ('BESS_Capital Costs_Nominal$'!$C34='Capital Cost Escalation'!$E:$E)*                                                                               ('BESS_Capital Costs_Nominal$'!I$13='Capital Cost Escalation'!$C:$C), 0))</f>
        <v>2787299.9473882606</v>
      </c>
      <c r="J34" s="819">
        <f t="array" ref="J34">INDEX('Capital Cost Escalation'!$AV:$AV, MATCH(1, ('BESS_Capital Costs_Nominal$'!$C34='Capital Cost Escalation'!$E:$E)*                                                                               ('BESS_Capital Costs_Nominal$'!J$13='Capital Cost Escalation'!$C:$C), 0))</f>
        <v>2819859.5573931504</v>
      </c>
      <c r="K34" s="819">
        <f t="array" ref="K34">INDEX('Capital Cost Escalation'!$AV:$AV, MATCH(1, ('BESS_Capital Costs_Nominal$'!$C34='Capital Cost Escalation'!$E:$E)*                                                                               ('BESS_Capital Costs_Nominal$'!K$13='Capital Cost Escalation'!$C:$C), 0))</f>
        <v>2869192.2998248008</v>
      </c>
      <c r="L34" s="298"/>
      <c r="M34" s="759"/>
      <c r="N34" s="468" t="s">
        <v>276</v>
      </c>
      <c r="P34" s="256" t="s">
        <v>201</v>
      </c>
      <c r="Q34" s="256" t="s">
        <v>186</v>
      </c>
    </row>
    <row r="35" spans="1:17">
      <c r="A35" s="441">
        <v>1</v>
      </c>
      <c r="B35"/>
      <c r="C35" s="261" t="s">
        <v>114</v>
      </c>
      <c r="D35" s="261"/>
      <c r="E35" s="1639">
        <v>-3.2218337510267481E-2</v>
      </c>
      <c r="F35" s="467">
        <f>(1+CONE_Calculations!Inflation+E35)^(1/12)-1</f>
        <v>-2.5895842177414696E-4</v>
      </c>
      <c r="G35" s="469"/>
      <c r="H35" s="819">
        <f t="array" ref="H35">INDEX('Capital Cost Escalation'!$AV:$AV, MATCH(1, ('BESS_Capital Costs_Nominal$'!$C35='Capital Cost Escalation'!$E:$E)*                                                                               ('BESS_Capital Costs_Nominal$'!H$13='Capital Cost Escalation'!$C:$C), 0))</f>
        <v>11123546.763488587</v>
      </c>
      <c r="I35" s="819">
        <f t="array" ref="I35">INDEX('Capital Cost Escalation'!$AV:$AV, MATCH(1, ('BESS_Capital Costs_Nominal$'!$C35='Capital Cost Escalation'!$E:$E)*                                                                               ('BESS_Capital Costs_Nominal$'!I$13='Capital Cost Escalation'!$C:$C), 0))</f>
        <v>11123546.763488587</v>
      </c>
      <c r="J35" s="819">
        <f t="array" ref="J35">INDEX('Capital Cost Escalation'!$AV:$AV, MATCH(1, ('BESS_Capital Costs_Nominal$'!$C35='Capital Cost Escalation'!$E:$E)*                                                                               ('BESS_Capital Costs_Nominal$'!J$13='Capital Cost Escalation'!$C:$C), 0))</f>
        <v>11123546.763488587</v>
      </c>
      <c r="K35" s="819">
        <f t="array" ref="K35">INDEX('Capital Cost Escalation'!$AV:$AV, MATCH(1, ('BESS_Capital Costs_Nominal$'!$C35='Capital Cost Escalation'!$E:$E)*                                                                               ('BESS_Capital Costs_Nominal$'!K$13='Capital Cost Escalation'!$C:$C), 0))</f>
        <v>11123546.763488587</v>
      </c>
      <c r="L35" s="298"/>
      <c r="M35" s="759"/>
      <c r="N35" s="468"/>
    </row>
    <row r="36" spans="1:17">
      <c r="A36" s="441">
        <v>1</v>
      </c>
      <c r="B36"/>
      <c r="C36" s="261" t="s">
        <v>717</v>
      </c>
      <c r="D36" s="261"/>
      <c r="E36" s="1639">
        <v>-3.2218337510267481E-2</v>
      </c>
      <c r="F36" s="467">
        <f>(1+CONE_Calculations!Inflation+E36)^(1/12)-1</f>
        <v>-2.5895842177414696E-4</v>
      </c>
      <c r="G36" s="463"/>
      <c r="H36" s="1476" t="s">
        <v>638</v>
      </c>
      <c r="I36" s="1476" t="s">
        <v>638</v>
      </c>
      <c r="J36" s="1476" t="s">
        <v>638</v>
      </c>
      <c r="K36" s="1476" t="s">
        <v>638</v>
      </c>
      <c r="L36" s="298"/>
      <c r="M36" s="759"/>
      <c r="N36" s="468" t="s">
        <v>276</v>
      </c>
      <c r="P36" s="256" t="s">
        <v>202</v>
      </c>
      <c r="Q36" s="256" t="s">
        <v>292</v>
      </c>
    </row>
    <row r="37" spans="1:17">
      <c r="A37" s="436">
        <v>1</v>
      </c>
      <c r="B37"/>
      <c r="C37" s="261" t="s">
        <v>149</v>
      </c>
      <c r="D37" s="261"/>
      <c r="E37" s="815">
        <v>0</v>
      </c>
      <c r="F37" s="467">
        <f>(1+CONE_Calculations!Inflation+E37)^(1/12)-1</f>
        <v>2.3944839450136257E-3</v>
      </c>
      <c r="G37" s="467"/>
      <c r="H37" s="825">
        <v>4121000</v>
      </c>
      <c r="I37" s="825">
        <v>4121000</v>
      </c>
      <c r="J37" s="825">
        <v>4121000</v>
      </c>
      <c r="K37" s="825">
        <v>4121000</v>
      </c>
      <c r="L37" s="298"/>
      <c r="M37" s="845"/>
      <c r="N37" s="468" t="s">
        <v>276</v>
      </c>
      <c r="P37" s="256" t="s">
        <v>149</v>
      </c>
      <c r="Q37" s="256" t="s">
        <v>292</v>
      </c>
    </row>
    <row r="38" spans="1:17">
      <c r="A38" s="436">
        <v>0</v>
      </c>
      <c r="B38"/>
      <c r="C38" s="261" t="s">
        <v>150</v>
      </c>
      <c r="D38" s="261"/>
      <c r="E38" s="815">
        <v>0</v>
      </c>
      <c r="F38" s="467">
        <f>(1+CONE_Calculations!Inflation+E38)^(1/12)-1</f>
        <v>2.3944839450136257E-3</v>
      </c>
      <c r="G38" s="467"/>
      <c r="H38" s="825">
        <v>420000</v>
      </c>
      <c r="I38" s="825">
        <v>338000</v>
      </c>
      <c r="J38" s="825">
        <v>187000</v>
      </c>
      <c r="K38" s="825">
        <v>352000</v>
      </c>
      <c r="L38" s="298"/>
      <c r="M38" s="845"/>
      <c r="N38" s="468" t="s">
        <v>277</v>
      </c>
      <c r="P38" s="256" t="s">
        <v>150</v>
      </c>
      <c r="Q38" s="256" t="s">
        <v>292</v>
      </c>
    </row>
    <row r="39" spans="1:17">
      <c r="A39" s="436">
        <v>1</v>
      </c>
      <c r="B39"/>
      <c r="C39" s="261" t="s">
        <v>153</v>
      </c>
      <c r="E39" s="815">
        <v>0</v>
      </c>
      <c r="F39" s="467">
        <f>(1+CONE_Calculations!Inflation+E39)^(1/12)-1</f>
        <v>2.3944839450136257E-3</v>
      </c>
      <c r="H39" s="825">
        <v>36000</v>
      </c>
      <c r="I39" s="825">
        <v>34000</v>
      </c>
      <c r="J39" s="825">
        <v>35000</v>
      </c>
      <c r="K39" s="825">
        <v>35000</v>
      </c>
      <c r="L39" s="298"/>
      <c r="N39" s="468" t="s">
        <v>276</v>
      </c>
      <c r="P39" s="256" t="s">
        <v>153</v>
      </c>
      <c r="Q39" s="256" t="s">
        <v>292</v>
      </c>
    </row>
    <row r="40" spans="1:17">
      <c r="A40" s="441"/>
      <c r="B40"/>
      <c r="D40" s="261"/>
      <c r="G40" s="463"/>
      <c r="H40" s="820"/>
      <c r="I40" s="820"/>
      <c r="J40" s="820"/>
      <c r="K40" s="820"/>
      <c r="L40" s="298"/>
      <c r="M40" s="759"/>
      <c r="N40" s="468" t="s">
        <v>276</v>
      </c>
      <c r="P40" s="256" t="s">
        <v>114</v>
      </c>
      <c r="Q40" s="256" t="s">
        <v>292</v>
      </c>
    </row>
    <row r="41" spans="1:17">
      <c r="A41" s="441"/>
      <c r="B41"/>
      <c r="C41" s="317" t="s">
        <v>154</v>
      </c>
      <c r="D41" s="317"/>
      <c r="E41" s="472"/>
      <c r="F41" s="463"/>
      <c r="G41" s="463"/>
      <c r="H41" s="820">
        <f>SUM(H$33:H$40)</f>
        <v>33281749.511280242</v>
      </c>
      <c r="I41" s="820">
        <f t="shared" ref="I41:K41" si="6">SUM(I$33:I$40)</f>
        <v>32342319.757515419</v>
      </c>
      <c r="J41" s="820">
        <f t="shared" si="6"/>
        <v>32387677.417544756</v>
      </c>
      <c r="K41" s="820">
        <f t="shared" si="6"/>
        <v>32844727.25274013</v>
      </c>
      <c r="L41" s="298"/>
      <c r="M41" s="759"/>
      <c r="N41" s="468"/>
    </row>
    <row r="42" spans="1:17">
      <c r="A42" s="441">
        <v>1</v>
      </c>
      <c r="B42"/>
      <c r="C42" s="261" t="s">
        <v>115</v>
      </c>
      <c r="D42" s="261"/>
      <c r="E42" s="472"/>
      <c r="F42" s="463"/>
      <c r="G42" s="463"/>
      <c r="H42" s="820">
        <v>1287000</v>
      </c>
      <c r="I42" s="820">
        <v>1250000</v>
      </c>
      <c r="J42" s="820">
        <v>1252000</v>
      </c>
      <c r="K42" s="820">
        <v>1270000</v>
      </c>
      <c r="L42" s="298"/>
      <c r="M42" s="759"/>
      <c r="N42" s="468" t="s">
        <v>276</v>
      </c>
      <c r="P42" s="256" t="s">
        <v>115</v>
      </c>
      <c r="Q42" s="256" t="s">
        <v>292</v>
      </c>
    </row>
    <row r="43" spans="1:17" s="260" customFormat="1">
      <c r="A43" s="470"/>
      <c r="B43"/>
      <c r="C43" s="289" t="s">
        <v>155</v>
      </c>
      <c r="D43" s="289"/>
      <c r="E43" s="473"/>
      <c r="F43" s="474"/>
      <c r="G43" s="474"/>
      <c r="H43" s="821">
        <f>SUM(H$41:H$42)</f>
        <v>34568749.511280239</v>
      </c>
      <c r="I43" s="821">
        <f t="shared" ref="I43:K43" si="7">SUM(I$41:I$42)</f>
        <v>33592319.757515416</v>
      </c>
      <c r="J43" s="821">
        <f t="shared" si="7"/>
        <v>33639677.417544752</v>
      </c>
      <c r="K43" s="821">
        <f t="shared" si="7"/>
        <v>34114727.25274013</v>
      </c>
      <c r="L43" s="318"/>
      <c r="M43" s="843"/>
    </row>
    <row r="44" spans="1:17" s="260" customFormat="1" ht="6" customHeight="1">
      <c r="A44" s="470"/>
      <c r="B44"/>
      <c r="C44" s="289"/>
      <c r="D44" s="289"/>
      <c r="E44" s="473"/>
      <c r="F44" s="474"/>
      <c r="G44" s="474"/>
      <c r="H44" s="821"/>
      <c r="I44" s="821"/>
      <c r="J44" s="821"/>
      <c r="K44" s="821"/>
      <c r="L44" s="318"/>
      <c r="M44" s="843"/>
    </row>
    <row r="45" spans="1:17" s="260" customFormat="1">
      <c r="A45" s="470"/>
      <c r="B45"/>
      <c r="C45" s="289" t="s">
        <v>116</v>
      </c>
      <c r="D45" s="289"/>
      <c r="E45" s="473"/>
      <c r="F45" s="474"/>
      <c r="G45" s="474"/>
      <c r="H45" s="821">
        <f>H29+H43</f>
        <v>327582053.16634214</v>
      </c>
      <c r="I45" s="821">
        <f t="shared" ref="I45:K45" si="8">I29+I43</f>
        <v>312358524.72928637</v>
      </c>
      <c r="J45" s="821">
        <f t="shared" si="8"/>
        <v>315657403.44298577</v>
      </c>
      <c r="K45" s="821">
        <f t="shared" si="8"/>
        <v>320992517.73157763</v>
      </c>
      <c r="L45" s="318"/>
      <c r="M45" s="843"/>
    </row>
    <row r="46" spans="1:17" ht="6" customHeight="1">
      <c r="A46" s="441"/>
      <c r="B46"/>
      <c r="C46" s="319"/>
      <c r="D46" s="319"/>
      <c r="E46" s="464"/>
      <c r="F46" s="465"/>
      <c r="G46" s="465"/>
      <c r="H46" s="826"/>
      <c r="I46" s="826"/>
      <c r="J46" s="826"/>
      <c r="K46" s="826"/>
      <c r="L46" s="313"/>
      <c r="M46" s="759"/>
    </row>
    <row r="47" spans="1:17" ht="6" customHeight="1">
      <c r="A47" s="441"/>
      <c r="B47"/>
      <c r="C47" s="320"/>
      <c r="D47" s="320"/>
      <c r="E47" s="462"/>
      <c r="F47" s="463"/>
      <c r="G47" s="463"/>
      <c r="H47" s="823"/>
      <c r="I47" s="823"/>
      <c r="J47" s="823"/>
      <c r="K47" s="823"/>
      <c r="L47" s="316"/>
      <c r="M47" s="759"/>
    </row>
    <row r="48" spans="1:17" s="260" customFormat="1">
      <c r="A48" s="470"/>
      <c r="B48"/>
      <c r="C48" s="290" t="s">
        <v>156</v>
      </c>
      <c r="D48" s="290"/>
      <c r="E48" s="1457"/>
      <c r="F48" s="474"/>
      <c r="G48" s="474"/>
      <c r="H48" s="821">
        <f>H45</f>
        <v>327582053.16634214</v>
      </c>
      <c r="I48" s="821">
        <f t="shared" ref="I48:K48" si="9">I45</f>
        <v>312358524.72928637</v>
      </c>
      <c r="J48" s="821">
        <f t="shared" si="9"/>
        <v>315657403.44298577</v>
      </c>
      <c r="K48" s="821">
        <f t="shared" si="9"/>
        <v>320992517.73157763</v>
      </c>
      <c r="L48" s="318"/>
      <c r="M48" s="843"/>
    </row>
    <row r="49" spans="1:18">
      <c r="A49" s="441"/>
      <c r="B49"/>
      <c r="C49" s="290" t="s">
        <v>157</v>
      </c>
      <c r="D49" s="290"/>
      <c r="E49" s="1457"/>
      <c r="F49" s="474"/>
      <c r="G49" s="474"/>
      <c r="H49" s="821">
        <f>H48/(H15*1000)</f>
        <v>1637.9102658317106</v>
      </c>
      <c r="I49" s="821">
        <f t="shared" ref="I49:K49" si="10">I48/(I15*1000)</f>
        <v>1561.7926236464318</v>
      </c>
      <c r="J49" s="821">
        <f t="shared" si="10"/>
        <v>1578.2870172149289</v>
      </c>
      <c r="K49" s="821">
        <f t="shared" si="10"/>
        <v>1604.9625886578881</v>
      </c>
      <c r="L49" s="316"/>
      <c r="M49" s="759"/>
    </row>
    <row r="50" spans="1:18">
      <c r="A50" s="441"/>
      <c r="B50"/>
      <c r="C50" s="290" t="s">
        <v>632</v>
      </c>
      <c r="D50" s="290"/>
      <c r="E50" s="1457"/>
      <c r="F50" s="474"/>
      <c r="G50" s="474"/>
      <c r="H50" s="821">
        <f>H48/('BESS_Capital Costs'!D9*'BESS_Capital Costs'!D10*10^3)</f>
        <v>409.47756645792765</v>
      </c>
      <c r="I50" s="821">
        <f>I48/('BESS_Capital Costs'!E9*'BESS_Capital Costs'!E10*10^3)</f>
        <v>390.44815591160796</v>
      </c>
      <c r="J50" s="821">
        <f>J48/('BESS_Capital Costs'!F9*'BESS_Capital Costs'!F10*10^3)</f>
        <v>394.57175430373223</v>
      </c>
      <c r="K50" s="821">
        <f>K48/('BESS_Capital Costs'!G9*'BESS_Capital Costs'!G10*10^3)</f>
        <v>401.24064716447202</v>
      </c>
      <c r="L50" s="316"/>
      <c r="M50" s="759"/>
    </row>
    <row r="51" spans="1:18">
      <c r="A51" s="441"/>
      <c r="B51"/>
      <c r="C51" s="290" t="s">
        <v>68</v>
      </c>
      <c r="D51" s="290"/>
      <c r="E51" s="473"/>
      <c r="F51" s="474"/>
      <c r="G51" s="474"/>
      <c r="H51" s="200">
        <v>1725.4618663364367</v>
      </c>
      <c r="I51" s="200">
        <v>1645.9718254063998</v>
      </c>
      <c r="J51" s="200">
        <v>1662.9785124215016</v>
      </c>
      <c r="K51" s="200">
        <v>1691.0855054033525</v>
      </c>
      <c r="L51" s="316"/>
      <c r="M51" s="843" t="s">
        <v>712</v>
      </c>
    </row>
    <row r="52" spans="1:18" outlineLevel="1">
      <c r="A52" s="441"/>
      <c r="B52"/>
      <c r="C52" s="290" t="s">
        <v>180</v>
      </c>
      <c r="D52" s="290"/>
      <c r="E52" s="462"/>
      <c r="F52" s="463"/>
      <c r="G52" s="463"/>
      <c r="H52" s="821">
        <v>420000</v>
      </c>
      <c r="I52" s="821">
        <v>338000</v>
      </c>
      <c r="J52" s="821">
        <v>187000</v>
      </c>
      <c r="K52" s="821">
        <v>352000</v>
      </c>
      <c r="L52" s="316"/>
      <c r="M52" s="759"/>
    </row>
    <row r="53" spans="1:18" ht="6" customHeight="1" thickBot="1">
      <c r="B53"/>
      <c r="C53" s="322"/>
      <c r="D53" s="322"/>
      <c r="E53" s="322"/>
      <c r="F53" s="322"/>
      <c r="G53" s="322"/>
      <c r="H53" s="324"/>
      <c r="I53" s="324"/>
      <c r="J53" s="324"/>
      <c r="K53" s="324"/>
      <c r="L53" s="324"/>
      <c r="M53" s="759"/>
    </row>
    <row r="54" spans="1:18" ht="6" customHeight="1" thickTop="1">
      <c r="B54"/>
      <c r="C54" s="290" t="s">
        <v>123</v>
      </c>
      <c r="D54" s="290"/>
      <c r="E54" s="290"/>
      <c r="F54" s="290"/>
      <c r="G54" s="290"/>
      <c r="H54" s="327"/>
      <c r="I54" s="327"/>
      <c r="J54" s="327"/>
      <c r="K54" s="327"/>
      <c r="L54" s="327"/>
    </row>
    <row r="55" spans="1:18">
      <c r="B55"/>
      <c r="C55" s="475"/>
      <c r="D55" s="475"/>
      <c r="E55" s="475"/>
      <c r="F55" s="1173"/>
      <c r="G55" s="289"/>
      <c r="H55" s="1640"/>
      <c r="I55" s="1019"/>
      <c r="J55" s="1019"/>
      <c r="K55" s="1019"/>
      <c r="L55" s="328"/>
    </row>
    <row r="56" spans="1:18">
      <c r="C56" s="328"/>
      <c r="D56" s="328"/>
      <c r="E56" s="328"/>
      <c r="F56" s="1174"/>
      <c r="G56" s="292"/>
      <c r="H56"/>
      <c r="I56"/>
      <c r="J56"/>
      <c r="K56"/>
      <c r="L56" s="328"/>
    </row>
    <row r="57" spans="1:18">
      <c r="C57" s="328"/>
      <c r="D57" s="328"/>
      <c r="E57" s="328"/>
      <c r="F57" s="329"/>
      <c r="G57" s="292"/>
      <c r="H57" s="1641"/>
      <c r="I57" s="550"/>
      <c r="J57" s="292"/>
      <c r="K57" s="292"/>
      <c r="L57" s="328"/>
    </row>
    <row r="58" spans="1:18">
      <c r="C58" s="328"/>
      <c r="D58" s="328"/>
      <c r="E58" s="328"/>
      <c r="F58" s="329"/>
      <c r="G58" s="292"/>
      <c r="H58" s="1641"/>
      <c r="I58" s="550"/>
      <c r="J58" s="292"/>
      <c r="K58" s="292"/>
      <c r="L58" s="328"/>
    </row>
    <row r="59" spans="1:18">
      <c r="C59" s="328"/>
      <c r="D59" s="328"/>
      <c r="E59" s="328"/>
      <c r="F59" s="1174"/>
      <c r="G59" s="292"/>
      <c r="H59" s="1641"/>
      <c r="I59" s="550"/>
      <c r="J59" s="292"/>
      <c r="K59" s="292"/>
      <c r="L59" s="328"/>
    </row>
    <row r="60" spans="1:18">
      <c r="C60" s="328"/>
      <c r="D60" s="328"/>
      <c r="E60" s="328"/>
      <c r="F60" s="1174"/>
      <c r="G60" s="292"/>
      <c r="H60" s="550"/>
      <c r="I60" s="292"/>
      <c r="J60" s="292"/>
      <c r="K60" s="292"/>
      <c r="L60" s="328"/>
      <c r="Q60" s="477"/>
      <c r="R60" s="477"/>
    </row>
    <row r="61" spans="1:18">
      <c r="C61" s="328"/>
      <c r="D61" s="328"/>
      <c r="E61" s="328"/>
      <c r="F61" s="329"/>
      <c r="G61" s="329"/>
      <c r="H61" s="329"/>
      <c r="I61" s="329"/>
      <c r="J61" s="329"/>
      <c r="K61" s="329"/>
      <c r="L61" s="328"/>
      <c r="Q61" s="477"/>
      <c r="R61" s="477"/>
    </row>
    <row r="62" spans="1:18">
      <c r="F62" s="257"/>
      <c r="G62" s="257"/>
      <c r="Q62" s="477"/>
      <c r="R62" s="477"/>
    </row>
    <row r="63" spans="1:18">
      <c r="F63" s="257"/>
      <c r="G63" s="257"/>
    </row>
    <row r="64" spans="1:18">
      <c r="F64" s="257"/>
      <c r="G64" s="257"/>
    </row>
    <row r="65" spans="6:7">
      <c r="F65" s="257"/>
      <c r="G65" s="257"/>
    </row>
    <row r="66" spans="6:7">
      <c r="F66" s="257"/>
      <c r="G66" s="257"/>
    </row>
    <row r="67" spans="6:7">
      <c r="F67" s="257"/>
      <c r="G67" s="257"/>
    </row>
    <row r="68" spans="6:7">
      <c r="F68" s="257"/>
      <c r="G68" s="257"/>
    </row>
  </sheetData>
  <pageMargins left="0.7" right="0.7" top="0.75" bottom="0.75" header="0.3" footer="0.3"/>
  <pageSetup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AW141"/>
  <sheetViews>
    <sheetView zoomScaleNormal="100" workbookViewId="0">
      <pane xSplit="5" ySplit="10" topLeftCell="F11" activePane="bottomRight" state="frozen"/>
      <selection pane="topRight" activeCell="F1" sqref="F1"/>
      <selection pane="bottomLeft" activeCell="A11" sqref="A11"/>
      <selection pane="bottomRight" activeCell="B3" sqref="B3"/>
    </sheetView>
  </sheetViews>
  <sheetFormatPr defaultColWidth="9.140625" defaultRowHeight="15" outlineLevelCol="1"/>
  <cols>
    <col min="1" max="1" width="39.140625" style="478" customWidth="1" outlineLevel="1"/>
    <col min="2" max="2" width="9.140625" style="478" customWidth="1" outlineLevel="1"/>
    <col min="3" max="3" width="12.140625" style="478" customWidth="1" outlineLevel="1"/>
    <col min="4" max="4" width="14.7109375" style="219" bestFit="1" customWidth="1"/>
    <col min="5" max="5" width="22.28515625" style="442" bestFit="1" customWidth="1"/>
    <col min="6" max="6" width="20.140625" style="442" bestFit="1" customWidth="1"/>
    <col min="7" max="47" width="10.7109375" style="219" customWidth="1"/>
    <col min="48" max="48" width="13.140625" style="442" bestFit="1" customWidth="1"/>
    <col min="49" max="49" width="13.140625" style="219" bestFit="1" customWidth="1"/>
    <col min="50" max="16384" width="9.140625" style="219"/>
  </cols>
  <sheetData>
    <row r="1" spans="1:49">
      <c r="E1" s="219"/>
      <c r="F1" s="479" t="s">
        <v>175</v>
      </c>
    </row>
    <row r="2" spans="1:49" s="481" customFormat="1">
      <c r="A2" s="478" t="s">
        <v>306</v>
      </c>
      <c r="B2" s="478">
        <v>2021</v>
      </c>
      <c r="C2" s="478"/>
      <c r="D2" s="219"/>
      <c r="E2" s="1323"/>
      <c r="F2" s="442" t="s">
        <v>76</v>
      </c>
      <c r="G2" s="480">
        <f t="shared" ref="G2:AT2" si="0">($B$3-$B$2)*12-($E8-G$6)</f>
        <v>41</v>
      </c>
      <c r="H2" s="480">
        <f t="shared" si="0"/>
        <v>42</v>
      </c>
      <c r="I2" s="480">
        <f t="shared" si="0"/>
        <v>43</v>
      </c>
      <c r="J2" s="480">
        <f t="shared" si="0"/>
        <v>44</v>
      </c>
      <c r="K2" s="480">
        <f t="shared" si="0"/>
        <v>45</v>
      </c>
      <c r="L2" s="480">
        <f t="shared" si="0"/>
        <v>46</v>
      </c>
      <c r="M2" s="480">
        <f t="shared" si="0"/>
        <v>47</v>
      </c>
      <c r="N2" s="480">
        <f t="shared" si="0"/>
        <v>48</v>
      </c>
      <c r="O2" s="480">
        <f t="shared" si="0"/>
        <v>49</v>
      </c>
      <c r="P2" s="480">
        <f t="shared" si="0"/>
        <v>50</v>
      </c>
      <c r="Q2" s="480">
        <f t="shared" si="0"/>
        <v>51</v>
      </c>
      <c r="R2" s="480">
        <f t="shared" si="0"/>
        <v>52</v>
      </c>
      <c r="S2" s="480">
        <f t="shared" si="0"/>
        <v>53</v>
      </c>
      <c r="T2" s="480">
        <f t="shared" si="0"/>
        <v>54</v>
      </c>
      <c r="U2" s="480">
        <f t="shared" si="0"/>
        <v>55</v>
      </c>
      <c r="V2" s="480">
        <f t="shared" si="0"/>
        <v>56</v>
      </c>
      <c r="W2" s="480">
        <f t="shared" si="0"/>
        <v>57</v>
      </c>
      <c r="X2" s="480">
        <f t="shared" si="0"/>
        <v>58</v>
      </c>
      <c r="Y2" s="480">
        <f t="shared" si="0"/>
        <v>59</v>
      </c>
      <c r="Z2" s="480">
        <f t="shared" si="0"/>
        <v>60</v>
      </c>
      <c r="AA2" s="480">
        <f t="shared" si="0"/>
        <v>61</v>
      </c>
      <c r="AB2" s="480">
        <f t="shared" si="0"/>
        <v>62</v>
      </c>
      <c r="AC2" s="480">
        <f t="shared" si="0"/>
        <v>63</v>
      </c>
      <c r="AD2" s="480">
        <f t="shared" si="0"/>
        <v>64</v>
      </c>
      <c r="AE2" s="480">
        <f t="shared" si="0"/>
        <v>65</v>
      </c>
      <c r="AF2" s="480">
        <f t="shared" si="0"/>
        <v>66</v>
      </c>
      <c r="AG2" s="480">
        <f t="shared" si="0"/>
        <v>67</v>
      </c>
      <c r="AH2" s="480">
        <f t="shared" si="0"/>
        <v>68</v>
      </c>
      <c r="AI2" s="480">
        <f t="shared" si="0"/>
        <v>69</v>
      </c>
      <c r="AJ2" s="480">
        <f t="shared" si="0"/>
        <v>70</v>
      </c>
      <c r="AK2" s="480">
        <f t="shared" si="0"/>
        <v>71</v>
      </c>
      <c r="AL2" s="480">
        <f t="shared" si="0"/>
        <v>72</v>
      </c>
      <c r="AM2" s="480">
        <f t="shared" si="0"/>
        <v>73</v>
      </c>
      <c r="AN2" s="480">
        <f t="shared" si="0"/>
        <v>74</v>
      </c>
      <c r="AO2" s="480">
        <f t="shared" si="0"/>
        <v>75</v>
      </c>
      <c r="AP2" s="480">
        <f t="shared" si="0"/>
        <v>76</v>
      </c>
      <c r="AQ2" s="480">
        <f t="shared" si="0"/>
        <v>77</v>
      </c>
      <c r="AR2" s="480">
        <f t="shared" si="0"/>
        <v>78</v>
      </c>
      <c r="AS2" s="480">
        <f t="shared" si="0"/>
        <v>79</v>
      </c>
      <c r="AT2" s="480">
        <f t="shared" si="0"/>
        <v>80</v>
      </c>
      <c r="AU2" s="219"/>
      <c r="AV2" s="442"/>
      <c r="AW2" s="219"/>
    </row>
    <row r="3" spans="1:49" s="481" customFormat="1">
      <c r="A3" s="478" t="s">
        <v>307</v>
      </c>
      <c r="B3" s="478">
        <v>2026</v>
      </c>
      <c r="C3" s="478"/>
      <c r="D3" s="219"/>
      <c r="E3" s="1323"/>
      <c r="F3" s="442" t="s">
        <v>77</v>
      </c>
      <c r="G3" s="480">
        <f t="shared" ref="G3:AT3" si="1">($B$3-$B$2)*12-($E9-G$6)</f>
        <v>29</v>
      </c>
      <c r="H3" s="480">
        <f t="shared" si="1"/>
        <v>30</v>
      </c>
      <c r="I3" s="480">
        <f t="shared" si="1"/>
        <v>31</v>
      </c>
      <c r="J3" s="480">
        <f t="shared" si="1"/>
        <v>32</v>
      </c>
      <c r="K3" s="480">
        <f t="shared" si="1"/>
        <v>33</v>
      </c>
      <c r="L3" s="480">
        <f t="shared" si="1"/>
        <v>34</v>
      </c>
      <c r="M3" s="480">
        <f t="shared" si="1"/>
        <v>35</v>
      </c>
      <c r="N3" s="480">
        <f t="shared" si="1"/>
        <v>36</v>
      </c>
      <c r="O3" s="480">
        <f t="shared" si="1"/>
        <v>37</v>
      </c>
      <c r="P3" s="480">
        <f t="shared" si="1"/>
        <v>38</v>
      </c>
      <c r="Q3" s="480">
        <f t="shared" si="1"/>
        <v>39</v>
      </c>
      <c r="R3" s="480">
        <f t="shared" si="1"/>
        <v>40</v>
      </c>
      <c r="S3" s="480">
        <f t="shared" si="1"/>
        <v>41</v>
      </c>
      <c r="T3" s="480">
        <f t="shared" si="1"/>
        <v>42</v>
      </c>
      <c r="U3" s="480">
        <f t="shared" si="1"/>
        <v>43</v>
      </c>
      <c r="V3" s="480">
        <f t="shared" si="1"/>
        <v>44</v>
      </c>
      <c r="W3" s="480">
        <f t="shared" si="1"/>
        <v>45</v>
      </c>
      <c r="X3" s="480">
        <f t="shared" si="1"/>
        <v>46</v>
      </c>
      <c r="Y3" s="480">
        <f t="shared" si="1"/>
        <v>47</v>
      </c>
      <c r="Z3" s="480">
        <f t="shared" si="1"/>
        <v>48</v>
      </c>
      <c r="AA3" s="480">
        <f t="shared" si="1"/>
        <v>49</v>
      </c>
      <c r="AB3" s="480">
        <f t="shared" si="1"/>
        <v>50</v>
      </c>
      <c r="AC3" s="480">
        <f t="shared" si="1"/>
        <v>51</v>
      </c>
      <c r="AD3" s="480">
        <f t="shared" si="1"/>
        <v>52</v>
      </c>
      <c r="AE3" s="480">
        <f t="shared" si="1"/>
        <v>53</v>
      </c>
      <c r="AF3" s="480">
        <f t="shared" si="1"/>
        <v>54</v>
      </c>
      <c r="AG3" s="480">
        <f t="shared" si="1"/>
        <v>55</v>
      </c>
      <c r="AH3" s="480">
        <f t="shared" si="1"/>
        <v>56</v>
      </c>
      <c r="AI3" s="480">
        <f t="shared" si="1"/>
        <v>57</v>
      </c>
      <c r="AJ3" s="480">
        <f t="shared" si="1"/>
        <v>58</v>
      </c>
      <c r="AK3" s="480">
        <f t="shared" si="1"/>
        <v>59</v>
      </c>
      <c r="AL3" s="480">
        <f t="shared" si="1"/>
        <v>60</v>
      </c>
      <c r="AM3" s="480">
        <f t="shared" si="1"/>
        <v>61</v>
      </c>
      <c r="AN3" s="480">
        <f t="shared" si="1"/>
        <v>62</v>
      </c>
      <c r="AO3" s="480">
        <f t="shared" si="1"/>
        <v>63</v>
      </c>
      <c r="AP3" s="480">
        <f t="shared" si="1"/>
        <v>64</v>
      </c>
      <c r="AQ3" s="480">
        <f t="shared" si="1"/>
        <v>65</v>
      </c>
      <c r="AR3" s="480">
        <f t="shared" si="1"/>
        <v>66</v>
      </c>
      <c r="AS3" s="480">
        <f t="shared" si="1"/>
        <v>67</v>
      </c>
      <c r="AT3" s="480">
        <f t="shared" si="1"/>
        <v>68</v>
      </c>
      <c r="AU3" s="219"/>
      <c r="AV3" s="442"/>
      <c r="AW3" s="219"/>
    </row>
    <row r="4" spans="1:49" s="481" customFormat="1">
      <c r="A4" s="478"/>
      <c r="B4" s="478"/>
      <c r="C4" s="478"/>
      <c r="D4" s="219"/>
      <c r="E4" s="1323"/>
      <c r="F4" s="442" t="s">
        <v>700</v>
      </c>
      <c r="G4" s="480">
        <f>($B$3-$B$2)*12-($E10-G$6)</f>
        <v>45</v>
      </c>
      <c r="H4" s="480">
        <f t="shared" ref="H4:AT4" si="2">($B$3-$B$2)*12-($E10-H$6)</f>
        <v>46</v>
      </c>
      <c r="I4" s="480">
        <f t="shared" si="2"/>
        <v>47</v>
      </c>
      <c r="J4" s="480">
        <f t="shared" si="2"/>
        <v>48</v>
      </c>
      <c r="K4" s="480">
        <f t="shared" si="2"/>
        <v>49</v>
      </c>
      <c r="L4" s="480">
        <f t="shared" si="2"/>
        <v>50</v>
      </c>
      <c r="M4" s="480">
        <f t="shared" si="2"/>
        <v>51</v>
      </c>
      <c r="N4" s="480">
        <f t="shared" si="2"/>
        <v>52</v>
      </c>
      <c r="O4" s="480">
        <f t="shared" si="2"/>
        <v>53</v>
      </c>
      <c r="P4" s="480">
        <f t="shared" si="2"/>
        <v>54</v>
      </c>
      <c r="Q4" s="480">
        <f t="shared" si="2"/>
        <v>55</v>
      </c>
      <c r="R4" s="480">
        <f t="shared" si="2"/>
        <v>56</v>
      </c>
      <c r="S4" s="480">
        <f t="shared" si="2"/>
        <v>57</v>
      </c>
      <c r="T4" s="480">
        <f t="shared" si="2"/>
        <v>58</v>
      </c>
      <c r="U4" s="480">
        <f t="shared" si="2"/>
        <v>59</v>
      </c>
      <c r="V4" s="480">
        <f t="shared" si="2"/>
        <v>60</v>
      </c>
      <c r="W4" s="480">
        <f t="shared" si="2"/>
        <v>61</v>
      </c>
      <c r="X4" s="480">
        <f t="shared" si="2"/>
        <v>62</v>
      </c>
      <c r="Y4" s="480">
        <f t="shared" si="2"/>
        <v>63</v>
      </c>
      <c r="Z4" s="480">
        <f t="shared" si="2"/>
        <v>64</v>
      </c>
      <c r="AA4" s="480">
        <f t="shared" si="2"/>
        <v>65</v>
      </c>
      <c r="AB4" s="480">
        <f t="shared" si="2"/>
        <v>66</v>
      </c>
      <c r="AC4" s="480">
        <f t="shared" si="2"/>
        <v>67</v>
      </c>
      <c r="AD4" s="480">
        <f t="shared" si="2"/>
        <v>68</v>
      </c>
      <c r="AE4" s="480">
        <f t="shared" si="2"/>
        <v>69</v>
      </c>
      <c r="AF4" s="480">
        <f t="shared" si="2"/>
        <v>70</v>
      </c>
      <c r="AG4" s="480">
        <f t="shared" si="2"/>
        <v>71</v>
      </c>
      <c r="AH4" s="480">
        <f t="shared" si="2"/>
        <v>72</v>
      </c>
      <c r="AI4" s="480">
        <f t="shared" si="2"/>
        <v>73</v>
      </c>
      <c r="AJ4" s="480">
        <f t="shared" si="2"/>
        <v>74</v>
      </c>
      <c r="AK4" s="480">
        <f t="shared" si="2"/>
        <v>75</v>
      </c>
      <c r="AL4" s="480">
        <f t="shared" si="2"/>
        <v>76</v>
      </c>
      <c r="AM4" s="480">
        <f t="shared" si="2"/>
        <v>77</v>
      </c>
      <c r="AN4" s="480">
        <f t="shared" si="2"/>
        <v>78</v>
      </c>
      <c r="AO4" s="480">
        <f t="shared" si="2"/>
        <v>79</v>
      </c>
      <c r="AP4" s="480">
        <f t="shared" si="2"/>
        <v>80</v>
      </c>
      <c r="AQ4" s="480">
        <f t="shared" si="2"/>
        <v>81</v>
      </c>
      <c r="AR4" s="480">
        <f t="shared" si="2"/>
        <v>82</v>
      </c>
      <c r="AS4" s="480">
        <f t="shared" si="2"/>
        <v>83</v>
      </c>
      <c r="AT4" s="480">
        <f t="shared" si="2"/>
        <v>84</v>
      </c>
      <c r="AU4" s="219"/>
      <c r="AV4" s="442"/>
      <c r="AW4" s="219"/>
    </row>
    <row r="6" spans="1:49" s="333" customFormat="1" ht="30">
      <c r="A6" s="482"/>
      <c r="B6" s="482"/>
      <c r="C6" s="482"/>
      <c r="E6" s="483" t="s">
        <v>173</v>
      </c>
      <c r="F6" s="479"/>
      <c r="G6" s="333">
        <v>1</v>
      </c>
      <c r="H6" s="333">
        <v>2</v>
      </c>
      <c r="I6" s="333">
        <v>3</v>
      </c>
      <c r="J6" s="333">
        <v>4</v>
      </c>
      <c r="K6" s="333">
        <v>5</v>
      </c>
      <c r="L6" s="333">
        <v>6</v>
      </c>
      <c r="M6" s="333">
        <v>7</v>
      </c>
      <c r="N6" s="333">
        <v>8</v>
      </c>
      <c r="O6" s="333">
        <v>9</v>
      </c>
      <c r="P6" s="333">
        <v>10</v>
      </c>
      <c r="Q6" s="333">
        <v>11</v>
      </c>
      <c r="R6" s="333">
        <v>12</v>
      </c>
      <c r="S6" s="333">
        <v>13</v>
      </c>
      <c r="T6" s="333">
        <v>14</v>
      </c>
      <c r="U6" s="333">
        <v>15</v>
      </c>
      <c r="V6" s="333">
        <v>16</v>
      </c>
      <c r="W6" s="333">
        <v>17</v>
      </c>
      <c r="X6" s="333">
        <v>18</v>
      </c>
      <c r="Y6" s="333">
        <v>19</v>
      </c>
      <c r="Z6" s="333">
        <v>20</v>
      </c>
      <c r="AA6" s="333">
        <v>21</v>
      </c>
      <c r="AB6" s="333">
        <v>22</v>
      </c>
      <c r="AC6" s="333">
        <v>23</v>
      </c>
      <c r="AD6" s="333">
        <v>24</v>
      </c>
      <c r="AE6" s="333">
        <v>25</v>
      </c>
      <c r="AF6" s="333">
        <v>26</v>
      </c>
      <c r="AG6" s="333">
        <v>27</v>
      </c>
      <c r="AH6" s="333">
        <v>28</v>
      </c>
      <c r="AI6" s="333">
        <v>29</v>
      </c>
      <c r="AJ6" s="333">
        <v>30</v>
      </c>
      <c r="AK6" s="333">
        <v>31</v>
      </c>
      <c r="AL6" s="333">
        <v>32</v>
      </c>
      <c r="AM6" s="333">
        <v>33</v>
      </c>
      <c r="AN6" s="333">
        <v>34</v>
      </c>
      <c r="AO6" s="333">
        <v>35</v>
      </c>
      <c r="AP6" s="333">
        <v>36</v>
      </c>
      <c r="AQ6" s="333">
        <v>37</v>
      </c>
      <c r="AR6" s="333">
        <v>38</v>
      </c>
      <c r="AS6" s="333">
        <v>39</v>
      </c>
      <c r="AT6" s="333">
        <v>40</v>
      </c>
      <c r="AV6" s="483" t="s">
        <v>176</v>
      </c>
      <c r="AW6" s="483" t="s">
        <v>615</v>
      </c>
    </row>
    <row r="7" spans="1:49" ht="6" customHeight="1"/>
    <row r="8" spans="1:49">
      <c r="D8" s="333" t="s">
        <v>76</v>
      </c>
      <c r="E8" s="484">
        <f>'Capital Drawdown Schedule'!C8</f>
        <v>20</v>
      </c>
      <c r="G8" s="485">
        <f>'Capital Drawdown Schedule'!F8</f>
        <v>3.6345750544283903E-3</v>
      </c>
      <c r="H8" s="485">
        <f>'Capital Drawdown Schedule'!G8</f>
        <v>4.3246615315099962E-3</v>
      </c>
      <c r="I8" s="485">
        <f>'Capital Drawdown Schedule'!H8</f>
        <v>2.6095367371883692E-2</v>
      </c>
      <c r="J8" s="485">
        <f>'Capital Drawdown Schedule'!I8</f>
        <v>8.044825405877901E-3</v>
      </c>
      <c r="K8" s="485">
        <f>'Capital Drawdown Schedule'!J8</f>
        <v>1.7548060214536962E-2</v>
      </c>
      <c r="L8" s="485">
        <f>'Capital Drawdown Schedule'!K8</f>
        <v>1.1106063474476697E-2</v>
      </c>
      <c r="M8" s="485">
        <f>'Capital Drawdown Schedule'!L8</f>
        <v>2.1764487145229324E-2</v>
      </c>
      <c r="N8" s="485">
        <f>'Capital Drawdown Schedule'!M8</f>
        <v>2.8867507247646924E-2</v>
      </c>
      <c r="O8" s="485">
        <f>'Capital Drawdown Schedule'!N8</f>
        <v>4.0290317125445826E-2</v>
      </c>
      <c r="P8" s="485">
        <f>'Capital Drawdown Schedule'!O8</f>
        <v>6.6970801907248079E-2</v>
      </c>
      <c r="Q8" s="485">
        <f>'Capital Drawdown Schedule'!P8</f>
        <v>8.1358588176437194E-2</v>
      </c>
      <c r="R8" s="485">
        <f>'Capital Drawdown Schedule'!Q8</f>
        <v>0.10406969603932698</v>
      </c>
      <c r="S8" s="485">
        <f>'Capital Drawdown Schedule'!R8</f>
        <v>0.11570064992021414</v>
      </c>
      <c r="T8" s="485">
        <f>'Capital Drawdown Schedule'!S8</f>
        <v>0.12273842162974175</v>
      </c>
      <c r="U8" s="485">
        <f>'Capital Drawdown Schedule'!T8</f>
        <v>0.11488866239495879</v>
      </c>
      <c r="V8" s="485">
        <f>'Capital Drawdown Schedule'!U8</f>
        <v>0.10159528111144354</v>
      </c>
      <c r="W8" s="485">
        <f>'Capital Drawdown Schedule'!V8</f>
        <v>7.7087149238058969E-2</v>
      </c>
      <c r="X8" s="485">
        <f>'Capital Drawdown Schedule'!W8</f>
        <v>4.2846180143918167E-2</v>
      </c>
      <c r="Y8" s="485">
        <f>'Capital Drawdown Schedule'!X8</f>
        <v>9.0524323481927273E-3</v>
      </c>
      <c r="Z8" s="485">
        <f>'Capital Drawdown Schedule'!Y8</f>
        <v>2.0162725194239704E-3</v>
      </c>
      <c r="AA8" s="485">
        <f>'Capital Drawdown Schedule'!Z8</f>
        <v>0</v>
      </c>
      <c r="AB8" s="485">
        <f>'Capital Drawdown Schedule'!AA8</f>
        <v>0</v>
      </c>
      <c r="AC8" s="485">
        <f>'Capital Drawdown Schedule'!AB8</f>
        <v>0</v>
      </c>
      <c r="AD8" s="485">
        <f>'Capital Drawdown Schedule'!AC8</f>
        <v>0</v>
      </c>
      <c r="AE8" s="485">
        <f>'Capital Drawdown Schedule'!AD8</f>
        <v>0</v>
      </c>
      <c r="AF8" s="485">
        <f>'Capital Drawdown Schedule'!AE8</f>
        <v>0</v>
      </c>
      <c r="AG8" s="485">
        <f>'Capital Drawdown Schedule'!AF8</f>
        <v>0</v>
      </c>
      <c r="AH8" s="485">
        <f>'Capital Drawdown Schedule'!AG8</f>
        <v>0</v>
      </c>
      <c r="AI8" s="485">
        <f>'Capital Drawdown Schedule'!AH8</f>
        <v>0</v>
      </c>
      <c r="AJ8" s="485">
        <f>'Capital Drawdown Schedule'!AI8</f>
        <v>0</v>
      </c>
      <c r="AK8" s="485">
        <f>'Capital Drawdown Schedule'!AJ8</f>
        <v>0</v>
      </c>
      <c r="AL8" s="485">
        <f>'Capital Drawdown Schedule'!AK8</f>
        <v>0</v>
      </c>
      <c r="AM8" s="485">
        <f>'Capital Drawdown Schedule'!AL8</f>
        <v>0</v>
      </c>
      <c r="AN8" s="485">
        <f>'Capital Drawdown Schedule'!AM8</f>
        <v>0</v>
      </c>
      <c r="AO8" s="485">
        <f>'Capital Drawdown Schedule'!AN8</f>
        <v>0</v>
      </c>
      <c r="AP8" s="485">
        <f>'Capital Drawdown Schedule'!AO8</f>
        <v>0</v>
      </c>
      <c r="AQ8" s="485">
        <f>'Capital Drawdown Schedule'!AP8</f>
        <v>0</v>
      </c>
      <c r="AR8" s="485">
        <f>'Capital Drawdown Schedule'!AQ8</f>
        <v>0</v>
      </c>
      <c r="AS8" s="485">
        <f>'Capital Drawdown Schedule'!AR8</f>
        <v>0</v>
      </c>
      <c r="AT8" s="485">
        <f>'Capital Drawdown Schedule'!AS8</f>
        <v>0</v>
      </c>
    </row>
    <row r="9" spans="1:49">
      <c r="D9" s="333" t="s">
        <v>77</v>
      </c>
      <c r="E9" s="484">
        <f>'Capital Drawdown Schedule'!C9</f>
        <v>32</v>
      </c>
      <c r="G9" s="485">
        <f>'Capital Drawdown Schedule'!F9</f>
        <v>1E-4</v>
      </c>
      <c r="H9" s="485">
        <f>'Capital Drawdown Schedule'!G9</f>
        <v>5.0000000000000001E-4</v>
      </c>
      <c r="I9" s="485">
        <f>'Capital Drawdown Schedule'!H9</f>
        <v>5.0000000000000001E-4</v>
      </c>
      <c r="J9" s="485">
        <f>'Capital Drawdown Schedule'!I9</f>
        <v>1.6899999999999998E-2</v>
      </c>
      <c r="K9" s="485">
        <f>'Capital Drawdown Schedule'!J9</f>
        <v>1.6500000000000001E-2</v>
      </c>
      <c r="L9" s="485">
        <f>'Capital Drawdown Schedule'!K9</f>
        <v>2.3999999999999998E-3</v>
      </c>
      <c r="M9" s="485">
        <f>'Capital Drawdown Schedule'!L9</f>
        <v>3.5999999999999999E-3</v>
      </c>
      <c r="N9" s="485">
        <f>'Capital Drawdown Schedule'!M9</f>
        <v>1.4499999999999999E-2</v>
      </c>
      <c r="O9" s="485">
        <f>'Capital Drawdown Schedule'!N9</f>
        <v>1.5300000000000001E-2</v>
      </c>
      <c r="P9" s="485">
        <f>'Capital Drawdown Schedule'!O9</f>
        <v>1.2800000000000001E-2</v>
      </c>
      <c r="Q9" s="485">
        <f>'Capital Drawdown Schedule'!P9</f>
        <v>1.3600000000000001E-2</v>
      </c>
      <c r="R9" s="485">
        <f>'Capital Drawdown Schedule'!Q9</f>
        <v>1.44E-2</v>
      </c>
      <c r="S9" s="485">
        <f>'Capital Drawdown Schedule'!R9</f>
        <v>2.75E-2</v>
      </c>
      <c r="T9" s="485">
        <f>'Capital Drawdown Schedule'!S9</f>
        <v>3.8900000000000004E-2</v>
      </c>
      <c r="U9" s="485">
        <f>'Capital Drawdown Schedule'!T9</f>
        <v>4.24E-2</v>
      </c>
      <c r="V9" s="485">
        <f>'Capital Drawdown Schedule'!U9</f>
        <v>4.8399999999999999E-2</v>
      </c>
      <c r="W9" s="485">
        <f>'Capital Drawdown Schedule'!V9</f>
        <v>5.33E-2</v>
      </c>
      <c r="X9" s="485">
        <f>'Capital Drawdown Schedule'!W9</f>
        <v>6.2400000000000004E-2</v>
      </c>
      <c r="Y9" s="485">
        <f>'Capital Drawdown Schedule'!X9</f>
        <v>6.3600000000000004E-2</v>
      </c>
      <c r="Z9" s="485">
        <f>'Capital Drawdown Schedule'!Y9</f>
        <v>6.2199999999999998E-2</v>
      </c>
      <c r="AA9" s="485">
        <f>'Capital Drawdown Schedule'!Z9</f>
        <v>6.4000000000000001E-2</v>
      </c>
      <c r="AB9" s="485">
        <f>'Capital Drawdown Schedule'!AA9</f>
        <v>6.0700000000000004E-2</v>
      </c>
      <c r="AC9" s="485">
        <f>'Capital Drawdown Schedule'!AB9</f>
        <v>6.2199999999999998E-2</v>
      </c>
      <c r="AD9" s="485">
        <f>'Capital Drawdown Schedule'!AC9</f>
        <v>6.2100000000000002E-2</v>
      </c>
      <c r="AE9" s="485">
        <f>'Capital Drawdown Schedule'!AD9</f>
        <v>5.8700000000000002E-2</v>
      </c>
      <c r="AF9" s="485">
        <f>'Capital Drawdown Schedule'!AE9</f>
        <v>5.7800000000000004E-2</v>
      </c>
      <c r="AG9" s="485">
        <f>'Capital Drawdown Schedule'!AF9</f>
        <v>4.9299999999999997E-2</v>
      </c>
      <c r="AH9" s="485">
        <f>'Capital Drawdown Schedule'!AG9</f>
        <v>4.1599999999999998E-2</v>
      </c>
      <c r="AI9" s="485">
        <f>'Capital Drawdown Schedule'!AH9</f>
        <v>2.3799999999999998E-2</v>
      </c>
      <c r="AJ9" s="485">
        <f>'Capital Drawdown Schedule'!AI9</f>
        <v>7.0999999999999995E-3</v>
      </c>
      <c r="AK9" s="485">
        <f>'Capital Drawdown Schedule'!AJ9</f>
        <v>1.7000000000000001E-3</v>
      </c>
      <c r="AL9" s="485">
        <f>'Capital Drawdown Schedule'!AK9</f>
        <v>1.1999999999999999E-3</v>
      </c>
      <c r="AM9" s="485">
        <f>'Capital Drawdown Schedule'!AL9</f>
        <v>0</v>
      </c>
      <c r="AN9" s="485">
        <f>'Capital Drawdown Schedule'!AM9</f>
        <v>0</v>
      </c>
      <c r="AO9" s="485">
        <f>'Capital Drawdown Schedule'!AN9</f>
        <v>0</v>
      </c>
      <c r="AP9" s="485">
        <f>'Capital Drawdown Schedule'!AO9</f>
        <v>0</v>
      </c>
      <c r="AQ9" s="485">
        <f>'Capital Drawdown Schedule'!AP9</f>
        <v>0</v>
      </c>
      <c r="AR9" s="485">
        <f>'Capital Drawdown Schedule'!AQ9</f>
        <v>0</v>
      </c>
      <c r="AS9" s="485">
        <f>'Capital Drawdown Schedule'!AR9</f>
        <v>0</v>
      </c>
      <c r="AT9" s="485">
        <f>'Capital Drawdown Schedule'!AS9</f>
        <v>0</v>
      </c>
    </row>
    <row r="10" spans="1:49">
      <c r="D10" s="333" t="s">
        <v>700</v>
      </c>
      <c r="E10" s="484">
        <f>'Capital Drawdown Schedule'!C10</f>
        <v>16</v>
      </c>
      <c r="G10" s="485">
        <f>'Capital Drawdown Schedule'!F10</f>
        <v>9.5999999999999992E-3</v>
      </c>
      <c r="H10" s="485">
        <f>'Capital Drawdown Schedule'!G10</f>
        <v>1.5502999999999999E-2</v>
      </c>
      <c r="I10" s="485">
        <f>'Capital Drawdown Schedule'!H10</f>
        <v>0.37262800000000001</v>
      </c>
      <c r="J10" s="485">
        <f>'Capital Drawdown Schedule'!I10</f>
        <v>1.7845E-2</v>
      </c>
      <c r="K10" s="485">
        <f>'Capital Drawdown Schedule'!J10</f>
        <v>1.8693999999999999E-2</v>
      </c>
      <c r="L10" s="485">
        <f>'Capital Drawdown Schedule'!K10</f>
        <v>2.1326000000000001E-2</v>
      </c>
      <c r="M10" s="485">
        <f>'Capital Drawdown Schedule'!L10</f>
        <v>2.5287E-2</v>
      </c>
      <c r="N10" s="485">
        <f>'Capital Drawdown Schedule'!M10</f>
        <v>2.9177999999999999E-2</v>
      </c>
      <c r="O10" s="485">
        <f>'Capital Drawdown Schedule'!N10</f>
        <v>3.1455999999999998E-2</v>
      </c>
      <c r="P10" s="485">
        <f>'Capital Drawdown Schedule'!O10</f>
        <v>3.1001000000000001E-2</v>
      </c>
      <c r="Q10" s="485">
        <f>'Capital Drawdown Schedule'!P10</f>
        <v>2.7458E-2</v>
      </c>
      <c r="R10" s="485">
        <f>'Capital Drawdown Schedule'!Q10</f>
        <v>0.30551099999999998</v>
      </c>
      <c r="S10" s="485">
        <f>'Capital Drawdown Schedule'!R10</f>
        <v>1.3971000000000001E-2</v>
      </c>
      <c r="T10" s="485">
        <f>'Capital Drawdown Schedule'!S10</f>
        <v>7.0559999999999998E-3</v>
      </c>
      <c r="U10" s="485">
        <f>'Capital Drawdown Schedule'!T10</f>
        <v>2.2269999999999998E-3</v>
      </c>
      <c r="V10" s="485">
        <f>'Capital Drawdown Schedule'!U10</f>
        <v>7.1259000000000003E-2</v>
      </c>
      <c r="W10" s="485">
        <f>'Capital Drawdown Schedule'!V10</f>
        <v>0</v>
      </c>
      <c r="X10" s="485">
        <f>'Capital Drawdown Schedule'!W10</f>
        <v>0</v>
      </c>
      <c r="Y10" s="485">
        <f>'Capital Drawdown Schedule'!X10</f>
        <v>0</v>
      </c>
      <c r="Z10" s="485">
        <f>'Capital Drawdown Schedule'!Y10</f>
        <v>0</v>
      </c>
      <c r="AA10" s="485">
        <f>'Capital Drawdown Schedule'!Z10</f>
        <v>0</v>
      </c>
      <c r="AB10" s="485">
        <f>'Capital Drawdown Schedule'!AA10</f>
        <v>0</v>
      </c>
      <c r="AC10" s="485">
        <f>'Capital Drawdown Schedule'!AB10</f>
        <v>0</v>
      </c>
      <c r="AD10" s="485">
        <f>'Capital Drawdown Schedule'!AC10</f>
        <v>0</v>
      </c>
      <c r="AE10" s="485">
        <f>'Capital Drawdown Schedule'!AD10</f>
        <v>0</v>
      </c>
      <c r="AF10" s="485">
        <f>'Capital Drawdown Schedule'!AE10</f>
        <v>0</v>
      </c>
      <c r="AG10" s="485">
        <f>'Capital Drawdown Schedule'!AF10</f>
        <v>0</v>
      </c>
      <c r="AH10" s="485">
        <f>'Capital Drawdown Schedule'!AG10</f>
        <v>0</v>
      </c>
      <c r="AI10" s="485">
        <f>'Capital Drawdown Schedule'!AH10</f>
        <v>0</v>
      </c>
      <c r="AJ10" s="485">
        <f>'Capital Drawdown Schedule'!AI10</f>
        <v>0</v>
      </c>
      <c r="AK10" s="485">
        <f>'Capital Drawdown Schedule'!AJ10</f>
        <v>0</v>
      </c>
      <c r="AL10" s="485">
        <f>'Capital Drawdown Schedule'!AK10</f>
        <v>0</v>
      </c>
      <c r="AM10" s="485">
        <f>'Capital Drawdown Schedule'!AL10</f>
        <v>0</v>
      </c>
      <c r="AN10" s="485">
        <f>'Capital Drawdown Schedule'!AM10</f>
        <v>0</v>
      </c>
      <c r="AO10" s="485">
        <f>'Capital Drawdown Schedule'!AN10</f>
        <v>0</v>
      </c>
      <c r="AP10" s="485">
        <f>'Capital Drawdown Schedule'!AO10</f>
        <v>0</v>
      </c>
      <c r="AQ10" s="485">
        <f>'Capital Drawdown Schedule'!AP10</f>
        <v>0</v>
      </c>
      <c r="AR10" s="485">
        <f>'Capital Drawdown Schedule'!AQ10</f>
        <v>0</v>
      </c>
      <c r="AS10" s="485">
        <f>'Capital Drawdown Schedule'!AR10</f>
        <v>0</v>
      </c>
      <c r="AT10" s="485">
        <f>'Capital Drawdown Schedule'!AS10</f>
        <v>0</v>
      </c>
    </row>
    <row r="11" spans="1:49">
      <c r="G11" s="490"/>
    </row>
    <row r="12" spans="1:49" ht="30">
      <c r="D12" s="486" t="s">
        <v>169</v>
      </c>
      <c r="F12" s="483" t="s">
        <v>174</v>
      </c>
      <c r="G12" s="490"/>
      <c r="H12" s="491"/>
    </row>
    <row r="13" spans="1:49" ht="6" customHeight="1"/>
    <row r="14" spans="1:49">
      <c r="A14" s="487" t="str">
        <f>B14&amp;"_"&amp;C14&amp;"_"&amp;E14</f>
        <v>CT_EMAAC_Gas Turbines</v>
      </c>
      <c r="B14" s="478" t="s">
        <v>76</v>
      </c>
      <c r="C14" s="488" t="s">
        <v>120</v>
      </c>
      <c r="E14" s="442" t="s">
        <v>129</v>
      </c>
      <c r="F14" s="489">
        <f>INDEX('Capital Costs_Nominal$'!$F:$F,MATCH('Capital Cost Escalation'!$E14,'Capital Costs_Nominal$'!$C:$C,0),1)</f>
        <v>2.3944839450136257E-3</v>
      </c>
      <c r="G14" s="490">
        <f>IFERROR(IF(G$6&lt;=$E$8,INDEX('Capital Costs'!$D$15:$G$55,MATCH('Capital Cost Escalation'!$E14,'Capital Costs'!$B$15:$B$55,0),MATCH('Capital Cost Escalation'!$C14,'Capital Costs'!$D$7:$G$7,0))*G$8*(1+$F14)^(G$2), 0),0)</f>
        <v>277625.15389508533</v>
      </c>
      <c r="H14" s="490">
        <f>IFERROR(IF(H$6&lt;=$E$8,INDEX('Capital Costs'!$D$15:$G$55,MATCH('Capital Cost Escalation'!$E14,'Capital Costs'!$B$15:$B$55,0),MATCH('Capital Cost Escalation'!$C14,'Capital Costs'!$D$7:$G$7,0))*H$8*(1+$F14)^(H$2), 0),0)</f>
        <v>331128.04276013002</v>
      </c>
      <c r="I14" s="490">
        <f>IFERROR(IF(I$6&lt;=$E$8,INDEX('Capital Costs'!$D$15:$G$55,MATCH('Capital Cost Escalation'!$E14,'Capital Costs'!$B$15:$B$55,0),MATCH('Capital Cost Escalation'!$C14,'Capital Costs'!$D$7:$G$7,0))*I$8*(1+$F14)^(I$2), 0),0)</f>
        <v>2002838.4591813346</v>
      </c>
      <c r="J14" s="490">
        <f>IFERROR(IF(J$6&lt;=$E$8,INDEX('Capital Costs'!$D$15:$G$55,MATCH('Capital Cost Escalation'!$E14,'Capital Costs'!$B$15:$B$55,0),MATCH('Capital Cost Escalation'!$C14,'Capital Costs'!$D$7:$G$7,0))*J$8*(1+$F14)^(J$2), 0),0)</f>
        <v>618924.67649505974</v>
      </c>
      <c r="K14" s="490">
        <f>IFERROR(IF(K$6&lt;=$E$8,INDEX('Capital Costs'!$D$15:$G$55,MATCH('Capital Cost Escalation'!$E14,'Capital Costs'!$B$15:$B$55,0),MATCH('Capital Cost Escalation'!$C14,'Capital Costs'!$D$7:$G$7,0))*K$8*(1+$F14)^(K$2), 0),0)</f>
        <v>1353284.0377057476</v>
      </c>
      <c r="L14" s="490">
        <f>IFERROR(IF(L$6&lt;=$E$8,INDEX('Capital Costs'!$D$15:$G$55,MATCH('Capital Cost Escalation'!$E14,'Capital Costs'!$B$15:$B$55,0),MATCH('Capital Cost Escalation'!$C14,'Capital Costs'!$D$7:$G$7,0))*L$8*(1+$F14)^(L$2), 0),0)</f>
        <v>858536.30050035799</v>
      </c>
      <c r="M14" s="490">
        <f>IFERROR(IF(M$6&lt;=$E$8,INDEX('Capital Costs'!$D$15:$G$55,MATCH('Capital Cost Escalation'!$E14,'Capital Costs'!$B$15:$B$55,0),MATCH('Capital Cost Escalation'!$C14,'Capital Costs'!$D$7:$G$7,0))*M$8*(1+$F14)^(M$2), 0),0)</f>
        <v>1686497.1727966836</v>
      </c>
      <c r="N14" s="490">
        <f>IFERROR(IF(N$6&lt;=$E$8,INDEX('Capital Costs'!$D$15:$G$55,MATCH('Capital Cost Escalation'!$E14,'Capital Costs'!$B$15:$B$55,0),MATCH('Capital Cost Escalation'!$C14,'Capital Costs'!$D$7:$G$7,0))*N$8*(1+$F14)^(N$2), 0),0)</f>
        <v>2242255.6713924049</v>
      </c>
      <c r="O14" s="490">
        <f>IFERROR(IF(O$6&lt;=$E$8,INDEX('Capital Costs'!$D$15:$G$55,MATCH('Capital Cost Escalation'!$E14,'Capital Costs'!$B$15:$B$55,0),MATCH('Capital Cost Escalation'!$C14,'Capital Costs'!$D$7:$G$7,0))*O$8*(1+$F14)^(O$2), 0),0)</f>
        <v>3137004.9320109608</v>
      </c>
      <c r="P14" s="490">
        <f>IFERROR(IF(P$6&lt;=$E$8,INDEX('Capital Costs'!$D$15:$G$55,MATCH('Capital Cost Escalation'!$E14,'Capital Costs'!$B$15:$B$55,0),MATCH('Capital Cost Escalation'!$C14,'Capital Costs'!$D$7:$G$7,0))*P$8*(1+$F14)^(P$2), 0),0)</f>
        <v>5226833.7064386904</v>
      </c>
      <c r="Q14" s="490">
        <f>IFERROR(IF(Q$6&lt;=$E$8,INDEX('Capital Costs'!$D$15:$G$55,MATCH('Capital Cost Escalation'!$E14,'Capital Costs'!$B$15:$B$55,0),MATCH('Capital Cost Escalation'!$C14,'Capital Costs'!$D$7:$G$7,0))*Q$8*(1+$F14)^(Q$2), 0),0)</f>
        <v>6364953.7993481541</v>
      </c>
      <c r="R14" s="490">
        <f>IFERROR(IF(R$6&lt;=$E$8,INDEX('Capital Costs'!$D$15:$G$55,MATCH('Capital Cost Escalation'!$E14,'Capital Costs'!$B$15:$B$55,0),MATCH('Capital Cost Escalation'!$C14,'Capital Costs'!$D$7:$G$7,0))*R$8*(1+$F14)^(R$2), 0),0)</f>
        <v>8161214.7579506002</v>
      </c>
      <c r="S14" s="490">
        <f>IFERROR(IF(S$6&lt;=$E$8,INDEX('Capital Costs'!$D$15:$G$55,MATCH('Capital Cost Escalation'!$E14,'Capital Costs'!$B$15:$B$55,0),MATCH('Capital Cost Escalation'!$C14,'Capital Costs'!$D$7:$G$7,0))*S$8*(1+$F14)^(S$2), 0),0)</f>
        <v>9095047.8181596305</v>
      </c>
      <c r="T14" s="490">
        <f>IFERROR(IF(T$6&lt;=$E$8,INDEX('Capital Costs'!$D$15:$G$55,MATCH('Capital Cost Escalation'!$E14,'Capital Costs'!$B$15:$B$55,0),MATCH('Capital Cost Escalation'!$C14,'Capital Costs'!$D$7:$G$7,0))*T$8*(1+$F14)^(T$2), 0),0)</f>
        <v>9671378.7289480772</v>
      </c>
      <c r="U14" s="490">
        <f>IFERROR(IF(U$6&lt;=$E$8,INDEX('Capital Costs'!$D$15:$G$55,MATCH('Capital Cost Escalation'!$E14,'Capital Costs'!$B$15:$B$55,0),MATCH('Capital Cost Escalation'!$C14,'Capital Costs'!$D$7:$G$7,0))*U$8*(1+$F14)^(U$2), 0),0)</f>
        <v>9074520.7414964344</v>
      </c>
      <c r="V14" s="490">
        <f>IFERROR(IF(V$6&lt;=$E$8,INDEX('Capital Costs'!$D$15:$G$55,MATCH('Capital Cost Escalation'!$E14,'Capital Costs'!$B$15:$B$55,0),MATCH('Capital Cost Escalation'!$C14,'Capital Costs'!$D$7:$G$7,0))*V$8*(1+$F14)^(V$2), 0),0)</f>
        <v>8043753.050796479</v>
      </c>
      <c r="W14" s="490">
        <f>IFERROR(IF(W$6&lt;=$E$8,INDEX('Capital Costs'!$D$15:$G$55,MATCH('Capital Cost Escalation'!$E14,'Capital Costs'!$B$15:$B$55,0),MATCH('Capital Cost Escalation'!$C14,'Capital Costs'!$D$7:$G$7,0))*W$8*(1+$F14)^(W$2), 0),0)</f>
        <v>6117948.9116165722</v>
      </c>
      <c r="X14" s="490">
        <f>IFERROR(IF(X$6&lt;=$E$8,INDEX('Capital Costs'!$D$15:$G$55,MATCH('Capital Cost Escalation'!$E14,'Capital Costs'!$B$15:$B$55,0),MATCH('Capital Cost Escalation'!$C14,'Capital Costs'!$D$7:$G$7,0))*X$8*(1+$F14)^(X$2), 0),0)</f>
        <v>3408589.0012382334</v>
      </c>
      <c r="Y14" s="490">
        <f>IFERROR(IF(Y$6&lt;=$E$8,INDEX('Capital Costs'!$D$15:$G$55,MATCH('Capital Cost Escalation'!$E14,'Capital Costs'!$B$15:$B$55,0),MATCH('Capital Cost Escalation'!$C14,'Capital Costs'!$D$7:$G$7,0))*Y$8*(1+$F14)^(Y$2), 0),0)</f>
        <v>721882.45207176404</v>
      </c>
      <c r="Z14" s="490">
        <f>IFERROR(IF(Z$6&lt;=$E$8,INDEX('Capital Costs'!$D$15:$G$55,MATCH('Capital Cost Escalation'!$E14,'Capital Costs'!$B$15:$B$55,0),MATCH('Capital Cost Escalation'!$C14,'Capital Costs'!$D$7:$G$7,0))*Z$8*(1+$F14)^(Z$2), 0),0)</f>
        <v>161171.81479693716</v>
      </c>
      <c r="AA14" s="490">
        <f>IFERROR(IF(AA$6&lt;=$E$8,INDEX('Capital Costs'!$D$15:$G$55,MATCH('Capital Cost Escalation'!$E14,'Capital Costs'!$B$15:$B$55,0),MATCH('Capital Cost Escalation'!$C14,'Capital Costs'!$D$7:$G$7,0))*AA$8*(1+$F14)^(AA$2), 0),0)</f>
        <v>0</v>
      </c>
      <c r="AB14" s="490">
        <f>IFERROR(IF(AB$6&lt;=$E$8,INDEX('Capital Costs'!$D$15:$G$55,MATCH('Capital Cost Escalation'!$E14,'Capital Costs'!$B$15:$B$55,0),MATCH('Capital Cost Escalation'!$C14,'Capital Costs'!$D$7:$G$7,0))*AB$8*(1+$F14)^(AB$2), 0),0)</f>
        <v>0</v>
      </c>
      <c r="AC14" s="490">
        <f>IFERROR(IF(AC$6&lt;=$E$8,INDEX('Capital Costs'!$D$15:$G$55,MATCH('Capital Cost Escalation'!$E14,'Capital Costs'!$B$15:$B$55,0),MATCH('Capital Cost Escalation'!$C14,'Capital Costs'!$D$7:$G$7,0))*AC$8*(1+$F14)^(AC$2), 0),0)</f>
        <v>0</v>
      </c>
      <c r="AD14" s="490">
        <f>IFERROR(IF(AD$6&lt;=$E$8,INDEX('Capital Costs'!$D$15:$G$55,MATCH('Capital Cost Escalation'!$E14,'Capital Costs'!$B$15:$B$55,0),MATCH('Capital Cost Escalation'!$C14,'Capital Costs'!$D$7:$G$7,0))*AD$8*(1+$F14)^(AD$2), 0),0)</f>
        <v>0</v>
      </c>
      <c r="AE14" s="490">
        <f>IFERROR(IF(AE$6&lt;=$E$8,INDEX('Capital Costs'!$D$15:$G$55,MATCH('Capital Cost Escalation'!$E14,'Capital Costs'!$B$15:$B$55,0),MATCH('Capital Cost Escalation'!$C14,'Capital Costs'!$D$7:$G$7,0))*AE$8*(1+$F14)^(AE$2), 0),0)</f>
        <v>0</v>
      </c>
      <c r="AF14" s="490">
        <f>IFERROR(IF(AF$6&lt;=$E$8,INDEX('Capital Costs'!$D$15:$G$55,MATCH('Capital Cost Escalation'!$E14,'Capital Costs'!$B$15:$B$55,0),MATCH('Capital Cost Escalation'!$C14,'Capital Costs'!$D$7:$G$7,0))*AF$8*(1+$F14)^(AF$2), 0),0)</f>
        <v>0</v>
      </c>
      <c r="AG14" s="490">
        <f>IFERROR(IF(AG$6&lt;=$E$8,INDEX('Capital Costs'!$D$15:$G$55,MATCH('Capital Cost Escalation'!$E14,'Capital Costs'!$B$15:$B$55,0),MATCH('Capital Cost Escalation'!$C14,'Capital Costs'!$D$7:$G$7,0))*AG$8*(1+$F14)^(AG$2), 0),0)</f>
        <v>0</v>
      </c>
      <c r="AH14" s="490">
        <f>IFERROR(IF(AH$6&lt;=$E$8,INDEX('Capital Costs'!$D$15:$G$55,MATCH('Capital Cost Escalation'!$E14,'Capital Costs'!$B$15:$B$55,0),MATCH('Capital Cost Escalation'!$C14,'Capital Costs'!$D$7:$G$7,0))*AH$8*(1+$F14)^(AH$2), 0),0)</f>
        <v>0</v>
      </c>
      <c r="AI14" s="490">
        <f>IFERROR(IF(AI$6&lt;=$E$8,INDEX('Capital Costs'!$D$15:$G$55,MATCH('Capital Cost Escalation'!$E14,'Capital Costs'!$B$15:$B$55,0),MATCH('Capital Cost Escalation'!$C14,'Capital Costs'!$D$7:$G$7,0))*AI$8*(1+$F14)^(AI$2), 0),0)</f>
        <v>0</v>
      </c>
      <c r="AJ14" s="490">
        <f>IFERROR(IF(AJ$6&lt;=$E$8,INDEX('Capital Costs'!$D$15:$G$55,MATCH('Capital Cost Escalation'!$E14,'Capital Costs'!$B$15:$B$55,0),MATCH('Capital Cost Escalation'!$C14,'Capital Costs'!$D$7:$G$7,0))*AJ$8*(1+$F14)^(AJ$2), 0),0)</f>
        <v>0</v>
      </c>
      <c r="AK14" s="490">
        <f>IFERROR(IF(AK$6&lt;=$E$8,INDEX('Capital Costs'!$D$15:$G$55,MATCH('Capital Cost Escalation'!$E14,'Capital Costs'!$B$15:$B$55,0),MATCH('Capital Cost Escalation'!$C14,'Capital Costs'!$D$7:$G$7,0))*AK$8*(1+$F14)^(AK$2), 0),0)</f>
        <v>0</v>
      </c>
      <c r="AL14" s="490">
        <f>IFERROR(IF(AL$6&lt;=$E$8,INDEX('Capital Costs'!$D$15:$G$55,MATCH('Capital Cost Escalation'!$E14,'Capital Costs'!$B$15:$B$55,0),MATCH('Capital Cost Escalation'!$C14,'Capital Costs'!$D$7:$G$7,0))*AL$8*(1+$F14)^(AL$2), 0),0)</f>
        <v>0</v>
      </c>
      <c r="AM14" s="490">
        <f>IFERROR(IF(AM$6&lt;=$E$8,INDEX('Capital Costs'!$D$15:$G$55,MATCH('Capital Cost Escalation'!$E14,'Capital Costs'!$B$15:$B$55,0),MATCH('Capital Cost Escalation'!$C14,'Capital Costs'!$D$7:$G$7,0))*AM$8*(1+$F14)^(AM$2), 0),0)</f>
        <v>0</v>
      </c>
      <c r="AN14" s="490">
        <f>IFERROR(IF(AN$6&lt;=$E$8,INDEX('Capital Costs'!$D$15:$G$55,MATCH('Capital Cost Escalation'!$E14,'Capital Costs'!$B$15:$B$55,0),MATCH('Capital Cost Escalation'!$C14,'Capital Costs'!$D$7:$G$7,0))*AN$8*(1+$F14)^(AN$2), 0),0)</f>
        <v>0</v>
      </c>
      <c r="AO14" s="490">
        <f>IFERROR(IF(AO$6&lt;=$E$8,INDEX('Capital Costs'!$D$15:$G$55,MATCH('Capital Cost Escalation'!$E14,'Capital Costs'!$B$15:$B$55,0),MATCH('Capital Cost Escalation'!$C14,'Capital Costs'!$D$7:$G$7,0))*AO$8*(1+$F14)^(AO$2), 0),0)</f>
        <v>0</v>
      </c>
      <c r="AP14" s="490">
        <f>IFERROR(IF(AP$6&lt;=$E$8,INDEX('Capital Costs'!$D$15:$G$55,MATCH('Capital Cost Escalation'!$E14,'Capital Costs'!$B$15:$B$55,0),MATCH('Capital Cost Escalation'!$C14,'Capital Costs'!$D$7:$G$7,0))*AP$8*(1+$F14)^(AP$2), 0),0)</f>
        <v>0</v>
      </c>
      <c r="AQ14" s="490">
        <f>IFERROR(IF(AQ$6&lt;=$E$8,INDEX('Capital Costs'!$D$15:$G$55,MATCH('Capital Cost Escalation'!$E14,'Capital Costs'!$B$15:$B$55,0),MATCH('Capital Cost Escalation'!$C14,'Capital Costs'!$D$7:$G$7,0))*AQ$8*(1+$F14)^(AQ$2), 0),0)</f>
        <v>0</v>
      </c>
      <c r="AR14" s="490">
        <f>IFERROR(IF(AR$6&lt;=$E$8,INDEX('Capital Costs'!$D$15:$G$55,MATCH('Capital Cost Escalation'!$E14,'Capital Costs'!$B$15:$B$55,0),MATCH('Capital Cost Escalation'!$C14,'Capital Costs'!$D$7:$G$7,0))*AR$8*(1+$F14)^(AR$2), 0),0)</f>
        <v>0</v>
      </c>
      <c r="AS14" s="490">
        <f>IFERROR(IF(AS$6&lt;=$E$8,INDEX('Capital Costs'!$D$15:$G$55,MATCH('Capital Cost Escalation'!$E14,'Capital Costs'!$B$15:$B$55,0),MATCH('Capital Cost Escalation'!$C14,'Capital Costs'!$D$7:$G$7,0))*AS$8*(1+$F14)^(AS$2), 0),0)</f>
        <v>0</v>
      </c>
      <c r="AT14" s="490">
        <f>IFERROR(IF(AT$6&lt;=$E$8,INDEX('Capital Costs'!$D$15:$G$55,MATCH('Capital Cost Escalation'!$E14,'Capital Costs'!$B$15:$B$55,0),MATCH('Capital Cost Escalation'!$C14,'Capital Costs'!$D$7:$G$7,0))*AT$8*(1+$F14)^(AT$2), 0),0)</f>
        <v>0</v>
      </c>
      <c r="AU14" s="491"/>
      <c r="AV14" s="827">
        <f t="shared" ref="AV14:AV21" si="3">SUM(G14:AT14)</f>
        <v>78555389.229599342</v>
      </c>
      <c r="AW14" s="828">
        <f>INDEX('Capital Costs'!$D$15:$G$55,MATCH('Capital Cost Escalation'!$E14,'Capital Costs'!$B$15:$B$55,0),MATCH('Capital Cost Escalation'!$C14,'Capital Costs'!$D$7:$G$7,0))</f>
        <v>69250000</v>
      </c>
    </row>
    <row r="15" spans="1:49">
      <c r="A15" s="487" t="str">
        <f t="shared" ref="A15:A70" si="4">B15&amp;"_"&amp;C15&amp;"_"&amp;E15</f>
        <v>CT_EMAAC_HRSG / SCR</v>
      </c>
      <c r="B15" s="478" t="s">
        <v>76</v>
      </c>
      <c r="C15" s="488" t="s">
        <v>120</v>
      </c>
      <c r="E15" s="442" t="s">
        <v>130</v>
      </c>
      <c r="F15" s="489">
        <f>INDEX('Capital Costs_Nominal$'!$F:$F,MATCH('Capital Cost Escalation'!$E15,'Capital Costs_Nominal$'!$C:$C,0),1)</f>
        <v>2.3944839450136257E-3</v>
      </c>
      <c r="G15" s="490">
        <f>IFERROR(IF(G$6&lt;=$E$8,INDEX('Capital Costs'!$D$15:$G$55,MATCH('Capital Cost Escalation'!$E15,'Capital Costs'!$B$15:$B$55,0),MATCH('Capital Cost Escalation'!$C15,'Capital Costs'!$D$7:$G$7,0))*G$8*(1+$F15)^(G$2), 0),0)</f>
        <v>118502.44276490164</v>
      </c>
      <c r="H15" s="490">
        <f>IFERROR(IF(H$6&lt;=$E$8,INDEX('Capital Costs'!$D$15:$G$55,MATCH('Capital Cost Escalation'!$E15,'Capital Costs'!$B$15:$B$55,0),MATCH('Capital Cost Escalation'!$C15,'Capital Costs'!$D$7:$G$7,0))*H$8*(1+$F15)^(H$2), 0),0)</f>
        <v>141339.79354718278</v>
      </c>
      <c r="I15" s="490">
        <f>IFERROR(IF(I$6&lt;=$E$8,INDEX('Capital Costs'!$D$15:$G$55,MATCH('Capital Cost Escalation'!$E15,'Capital Costs'!$B$15:$B$55,0),MATCH('Capital Cost Escalation'!$C15,'Capital Costs'!$D$7:$G$7,0))*I$8*(1+$F15)^(I$2), 0),0)</f>
        <v>854898.21994361235</v>
      </c>
      <c r="J15" s="490">
        <f>IFERROR(IF(J$6&lt;=$E$8,INDEX('Capital Costs'!$D$15:$G$55,MATCH('Capital Cost Escalation'!$E15,'Capital Costs'!$B$15:$B$55,0),MATCH('Capital Cost Escalation'!$C15,'Capital Costs'!$D$7:$G$7,0))*J$8*(1+$F15)^(J$2), 0),0)</f>
        <v>264183.86454945587</v>
      </c>
      <c r="K15" s="490">
        <f>IFERROR(IF(K$6&lt;=$E$8,INDEX('Capital Costs'!$D$15:$G$55,MATCH('Capital Cost Escalation'!$E15,'Capital Costs'!$B$15:$B$55,0),MATCH('Capital Cost Escalation'!$C15,'Capital Costs'!$D$7:$G$7,0))*K$8*(1+$F15)^(K$2), 0),0)</f>
        <v>577640.25331610721</v>
      </c>
      <c r="L15" s="490">
        <f>IFERROR(IF(L$6&lt;=$E$8,INDEX('Capital Costs'!$D$15:$G$55,MATCH('Capital Cost Escalation'!$E15,'Capital Costs'!$B$15:$B$55,0),MATCH('Capital Cost Escalation'!$C15,'Capital Costs'!$D$7:$G$7,0))*L$8*(1+$F15)^(L$2), 0),0)</f>
        <v>366460.48596187774</v>
      </c>
      <c r="M15" s="490">
        <f>IFERROR(IF(M$6&lt;=$E$8,INDEX('Capital Costs'!$D$15:$G$55,MATCH('Capital Cost Escalation'!$E15,'Capital Costs'!$B$15:$B$55,0),MATCH('Capital Cost Escalation'!$C15,'Capital Costs'!$D$7:$G$7,0))*M$8*(1+$F15)^(M$2), 0),0)</f>
        <v>719870.05459898757</v>
      </c>
      <c r="N15" s="490">
        <f>IFERROR(IF(N$6&lt;=$E$8,INDEX('Capital Costs'!$D$15:$G$55,MATCH('Capital Cost Escalation'!$E15,'Capital Costs'!$B$15:$B$55,0),MATCH('Capital Cost Escalation'!$C15,'Capital Costs'!$D$7:$G$7,0))*N$8*(1+$F15)^(N$2), 0),0)</f>
        <v>957091.857980086</v>
      </c>
      <c r="O15" s="490">
        <f>IFERROR(IF(O$6&lt;=$E$8,INDEX('Capital Costs'!$D$15:$G$55,MATCH('Capital Cost Escalation'!$E15,'Capital Costs'!$B$15:$B$55,0),MATCH('Capital Cost Escalation'!$C15,'Capital Costs'!$D$7:$G$7,0))*O$8*(1+$F15)^(O$2), 0),0)</f>
        <v>1339009.6041129068</v>
      </c>
      <c r="P15" s="490">
        <f>IFERROR(IF(P$6&lt;=$E$8,INDEX('Capital Costs'!$D$15:$G$55,MATCH('Capital Cost Escalation'!$E15,'Capital Costs'!$B$15:$B$55,0),MATCH('Capital Cost Escalation'!$C15,'Capital Costs'!$D$7:$G$7,0))*P$8*(1+$F15)^(P$2), 0),0)</f>
        <v>2231039.0591371926</v>
      </c>
      <c r="Q15" s="490">
        <f>IFERROR(IF(Q$6&lt;=$E$8,INDEX('Capital Costs'!$D$15:$G$55,MATCH('Capital Cost Escalation'!$E15,'Capital Costs'!$B$15:$B$55,0),MATCH('Capital Cost Escalation'!$C15,'Capital Costs'!$D$7:$G$7,0))*Q$8*(1+$F15)^(Q$2), 0),0)</f>
        <v>2716838.019632522</v>
      </c>
      <c r="R15" s="490">
        <f>IFERROR(IF(R$6&lt;=$E$8,INDEX('Capital Costs'!$D$15:$G$55,MATCH('Capital Cost Escalation'!$E15,'Capital Costs'!$B$15:$B$55,0),MATCH('Capital Cost Escalation'!$C15,'Capital Costs'!$D$7:$G$7,0))*R$8*(1+$F15)^(R$2), 0),0)</f>
        <v>3483560.0131232631</v>
      </c>
      <c r="S15" s="490">
        <f>IFERROR(IF(S$6&lt;=$E$8,INDEX('Capital Costs'!$D$15:$G$55,MATCH('Capital Cost Escalation'!$E15,'Capital Costs'!$B$15:$B$55,0),MATCH('Capital Cost Escalation'!$C15,'Capital Costs'!$D$7:$G$7,0))*S$8*(1+$F15)^(S$2), 0),0)</f>
        <v>3882160.4180822917</v>
      </c>
      <c r="T15" s="490">
        <f>IFERROR(IF(T$6&lt;=$E$8,INDEX('Capital Costs'!$D$15:$G$55,MATCH('Capital Cost Escalation'!$E15,'Capital Costs'!$B$15:$B$55,0),MATCH('Capital Cost Escalation'!$C15,'Capital Costs'!$D$7:$G$7,0))*T$8*(1+$F15)^(T$2), 0),0)</f>
        <v>4128163.418210879</v>
      </c>
      <c r="U15" s="490">
        <f>IFERROR(IF(U$6&lt;=$E$8,INDEX('Capital Costs'!$D$15:$G$55,MATCH('Capital Cost Escalation'!$E15,'Capital Costs'!$B$15:$B$55,0),MATCH('Capital Cost Escalation'!$C15,'Capital Costs'!$D$7:$G$7,0))*U$8*(1+$F15)^(U$2), 0),0)</f>
        <v>3873398.5725028003</v>
      </c>
      <c r="V15" s="490">
        <f>IFERROR(IF(V$6&lt;=$E$8,INDEX('Capital Costs'!$D$15:$G$55,MATCH('Capital Cost Escalation'!$E15,'Capital Costs'!$B$15:$B$55,0),MATCH('Capital Cost Escalation'!$C15,'Capital Costs'!$D$7:$G$7,0))*V$8*(1+$F15)^(V$2), 0),0)</f>
        <v>3433422.2679160731</v>
      </c>
      <c r="W15" s="490">
        <f>IFERROR(IF(W$6&lt;=$E$8,INDEX('Capital Costs'!$D$15:$G$55,MATCH('Capital Cost Escalation'!$E15,'Capital Costs'!$B$15:$B$55,0),MATCH('Capital Cost Escalation'!$C15,'Capital Costs'!$D$7:$G$7,0))*W$8*(1+$F15)^(W$2), 0),0)</f>
        <v>2611405.6329759294</v>
      </c>
      <c r="X15" s="490">
        <f>IFERROR(IF(X$6&lt;=$E$8,INDEX('Capital Costs'!$D$15:$G$55,MATCH('Capital Cost Escalation'!$E15,'Capital Costs'!$B$15:$B$55,0),MATCH('Capital Cost Escalation'!$C15,'Capital Costs'!$D$7:$G$7,0))*X$8*(1+$F15)^(X$2), 0),0)</f>
        <v>1454933.4502339466</v>
      </c>
      <c r="Y15" s="490">
        <f>IFERROR(IF(Y$6&lt;=$E$8,INDEX('Capital Costs'!$D$15:$G$55,MATCH('Capital Cost Escalation'!$E15,'Capital Costs'!$B$15:$B$55,0),MATCH('Capital Cost Escalation'!$C15,'Capital Costs'!$D$7:$G$7,0))*Y$8*(1+$F15)^(Y$2), 0),0)</f>
        <v>308130.70343023923</v>
      </c>
      <c r="Z15" s="490">
        <f>IFERROR(IF(Z$6&lt;=$E$8,INDEX('Capital Costs'!$D$15:$G$55,MATCH('Capital Cost Escalation'!$E15,'Capital Costs'!$B$15:$B$55,0),MATCH('Capital Cost Escalation'!$C15,'Capital Costs'!$D$7:$G$7,0))*Z$8*(1+$F15)^(Z$2), 0),0)</f>
        <v>68795.112727814951</v>
      </c>
      <c r="AA15" s="490">
        <f>IFERROR(IF(AA$6&lt;=$E$8,INDEX('Capital Costs'!$D$15:$G$55,MATCH('Capital Cost Escalation'!$E15,'Capital Costs'!$B$15:$B$55,0),MATCH('Capital Cost Escalation'!$C15,'Capital Costs'!$D$7:$G$7,0))*AA$8*(1+$F15)^(AA$2), 0),0)</f>
        <v>0</v>
      </c>
      <c r="AB15" s="490">
        <f>IFERROR(IF(AB$6&lt;=$E$8,INDEX('Capital Costs'!$D$15:$G$55,MATCH('Capital Cost Escalation'!$E15,'Capital Costs'!$B$15:$B$55,0),MATCH('Capital Cost Escalation'!$C15,'Capital Costs'!$D$7:$G$7,0))*AB$8*(1+$F15)^(AB$2), 0),0)</f>
        <v>0</v>
      </c>
      <c r="AC15" s="490">
        <f>IFERROR(IF(AC$6&lt;=$E$8,INDEX('Capital Costs'!$D$15:$G$55,MATCH('Capital Cost Escalation'!$E15,'Capital Costs'!$B$15:$B$55,0),MATCH('Capital Cost Escalation'!$C15,'Capital Costs'!$D$7:$G$7,0))*AC$8*(1+$F15)^(AC$2), 0),0)</f>
        <v>0</v>
      </c>
      <c r="AD15" s="490">
        <f>IFERROR(IF(AD$6&lt;=$E$8,INDEX('Capital Costs'!$D$15:$G$55,MATCH('Capital Cost Escalation'!$E15,'Capital Costs'!$B$15:$B$55,0),MATCH('Capital Cost Escalation'!$C15,'Capital Costs'!$D$7:$G$7,0))*AD$8*(1+$F15)^(AD$2), 0),0)</f>
        <v>0</v>
      </c>
      <c r="AE15" s="490">
        <f>IFERROR(IF(AE$6&lt;=$E$8,INDEX('Capital Costs'!$D$15:$G$55,MATCH('Capital Cost Escalation'!$E15,'Capital Costs'!$B$15:$B$55,0),MATCH('Capital Cost Escalation'!$C15,'Capital Costs'!$D$7:$G$7,0))*AE$8*(1+$F15)^(AE$2), 0),0)</f>
        <v>0</v>
      </c>
      <c r="AF15" s="490">
        <f>IFERROR(IF(AF$6&lt;=$E$8,INDEX('Capital Costs'!$D$15:$G$55,MATCH('Capital Cost Escalation'!$E15,'Capital Costs'!$B$15:$B$55,0),MATCH('Capital Cost Escalation'!$C15,'Capital Costs'!$D$7:$G$7,0))*AF$8*(1+$F15)^(AF$2), 0),0)</f>
        <v>0</v>
      </c>
      <c r="AG15" s="490">
        <f>IFERROR(IF(AG$6&lt;=$E$8,INDEX('Capital Costs'!$D$15:$G$55,MATCH('Capital Cost Escalation'!$E15,'Capital Costs'!$B$15:$B$55,0),MATCH('Capital Cost Escalation'!$C15,'Capital Costs'!$D$7:$G$7,0))*AG$8*(1+$F15)^(AG$2), 0),0)</f>
        <v>0</v>
      </c>
      <c r="AH15" s="490">
        <f>IFERROR(IF(AH$6&lt;=$E$8,INDEX('Capital Costs'!$D$15:$G$55,MATCH('Capital Cost Escalation'!$E15,'Capital Costs'!$B$15:$B$55,0),MATCH('Capital Cost Escalation'!$C15,'Capital Costs'!$D$7:$G$7,0))*AH$8*(1+$F15)^(AH$2), 0),0)</f>
        <v>0</v>
      </c>
      <c r="AI15" s="490">
        <f>IFERROR(IF(AI$6&lt;=$E$8,INDEX('Capital Costs'!$D$15:$G$55,MATCH('Capital Cost Escalation'!$E15,'Capital Costs'!$B$15:$B$55,0),MATCH('Capital Cost Escalation'!$C15,'Capital Costs'!$D$7:$G$7,0))*AI$8*(1+$F15)^(AI$2), 0),0)</f>
        <v>0</v>
      </c>
      <c r="AJ15" s="490">
        <f>IFERROR(IF(AJ$6&lt;=$E$8,INDEX('Capital Costs'!$D$15:$G$55,MATCH('Capital Cost Escalation'!$E15,'Capital Costs'!$B$15:$B$55,0),MATCH('Capital Cost Escalation'!$C15,'Capital Costs'!$D$7:$G$7,0))*AJ$8*(1+$F15)^(AJ$2), 0),0)</f>
        <v>0</v>
      </c>
      <c r="AK15" s="490">
        <f>IFERROR(IF(AK$6&lt;=$E$8,INDEX('Capital Costs'!$D$15:$G$55,MATCH('Capital Cost Escalation'!$E15,'Capital Costs'!$B$15:$B$55,0),MATCH('Capital Cost Escalation'!$C15,'Capital Costs'!$D$7:$G$7,0))*AK$8*(1+$F15)^(AK$2), 0),0)</f>
        <v>0</v>
      </c>
      <c r="AL15" s="490">
        <f>IFERROR(IF(AL$6&lt;=$E$8,INDEX('Capital Costs'!$D$15:$G$55,MATCH('Capital Cost Escalation'!$E15,'Capital Costs'!$B$15:$B$55,0),MATCH('Capital Cost Escalation'!$C15,'Capital Costs'!$D$7:$G$7,0))*AL$8*(1+$F15)^(AL$2), 0),0)</f>
        <v>0</v>
      </c>
      <c r="AM15" s="490">
        <f>IFERROR(IF(AM$6&lt;=$E$8,INDEX('Capital Costs'!$D$15:$G$55,MATCH('Capital Cost Escalation'!$E15,'Capital Costs'!$B$15:$B$55,0),MATCH('Capital Cost Escalation'!$C15,'Capital Costs'!$D$7:$G$7,0))*AM$8*(1+$F15)^(AM$2), 0),0)</f>
        <v>0</v>
      </c>
      <c r="AN15" s="490">
        <f>IFERROR(IF(AN$6&lt;=$E$8,INDEX('Capital Costs'!$D$15:$G$55,MATCH('Capital Cost Escalation'!$E15,'Capital Costs'!$B$15:$B$55,0),MATCH('Capital Cost Escalation'!$C15,'Capital Costs'!$D$7:$G$7,0))*AN$8*(1+$F15)^(AN$2), 0),0)</f>
        <v>0</v>
      </c>
      <c r="AO15" s="490">
        <f>IFERROR(IF(AO$6&lt;=$E$8,INDEX('Capital Costs'!$D$15:$G$55,MATCH('Capital Cost Escalation'!$E15,'Capital Costs'!$B$15:$B$55,0),MATCH('Capital Cost Escalation'!$C15,'Capital Costs'!$D$7:$G$7,0))*AO$8*(1+$F15)^(AO$2), 0),0)</f>
        <v>0</v>
      </c>
      <c r="AP15" s="490">
        <f>IFERROR(IF(AP$6&lt;=$E$8,INDEX('Capital Costs'!$D$15:$G$55,MATCH('Capital Cost Escalation'!$E15,'Capital Costs'!$B$15:$B$55,0),MATCH('Capital Cost Escalation'!$C15,'Capital Costs'!$D$7:$G$7,0))*AP$8*(1+$F15)^(AP$2), 0),0)</f>
        <v>0</v>
      </c>
      <c r="AQ15" s="490">
        <f>IFERROR(IF(AQ$6&lt;=$E$8,INDEX('Capital Costs'!$D$15:$G$55,MATCH('Capital Cost Escalation'!$E15,'Capital Costs'!$B$15:$B$55,0),MATCH('Capital Cost Escalation'!$C15,'Capital Costs'!$D$7:$G$7,0))*AQ$8*(1+$F15)^(AQ$2), 0),0)</f>
        <v>0</v>
      </c>
      <c r="AR15" s="490">
        <f>IFERROR(IF(AR$6&lt;=$E$8,INDEX('Capital Costs'!$D$15:$G$55,MATCH('Capital Cost Escalation'!$E15,'Capital Costs'!$B$15:$B$55,0),MATCH('Capital Cost Escalation'!$C15,'Capital Costs'!$D$7:$G$7,0))*AR$8*(1+$F15)^(AR$2), 0),0)</f>
        <v>0</v>
      </c>
      <c r="AS15" s="490">
        <f>IFERROR(IF(AS$6&lt;=$E$8,INDEX('Capital Costs'!$D$15:$G$55,MATCH('Capital Cost Escalation'!$E15,'Capital Costs'!$B$15:$B$55,0),MATCH('Capital Cost Escalation'!$C15,'Capital Costs'!$D$7:$G$7,0))*AS$8*(1+$F15)^(AS$2), 0),0)</f>
        <v>0</v>
      </c>
      <c r="AT15" s="490">
        <f>IFERROR(IF(AT$6&lt;=$E$8,INDEX('Capital Costs'!$D$15:$G$55,MATCH('Capital Cost Escalation'!$E15,'Capital Costs'!$B$15:$B$55,0),MATCH('Capital Cost Escalation'!$C15,'Capital Costs'!$D$7:$G$7,0))*AT$8*(1+$F15)^(AT$2), 0),0)</f>
        <v>0</v>
      </c>
      <c r="AV15" s="827">
        <f t="shared" si="3"/>
        <v>33530843.244748067</v>
      </c>
      <c r="AW15" s="828">
        <f>INDEX('Capital Costs'!$D$15:$G$55,MATCH('Capital Cost Escalation'!$E15,'Capital Costs'!$B$15:$B$55,0),MATCH('Capital Cost Escalation'!$C15,'Capital Costs'!$D$7:$G$7,0))</f>
        <v>29558900</v>
      </c>
    </row>
    <row r="16" spans="1:49">
      <c r="A16" s="487" t="str">
        <f t="shared" si="4"/>
        <v>CT_EMAAC_Condenser</v>
      </c>
      <c r="B16" s="478" t="s">
        <v>76</v>
      </c>
      <c r="C16" s="488" t="s">
        <v>120</v>
      </c>
      <c r="E16" s="442" t="s">
        <v>134</v>
      </c>
      <c r="F16" s="489">
        <f>INDEX('Capital Costs_Nominal$'!$F:$F,MATCH('Capital Cost Escalation'!$E16,'Capital Costs_Nominal$'!$C:$C,0),1)</f>
        <v>2.3944839450136257E-3</v>
      </c>
      <c r="G16" s="490">
        <f>IFERROR(IF(G$6&lt;=$E$8,INDEX('Capital Costs'!$D$15:$G$55,MATCH('Capital Cost Escalation'!$E16,'Capital Costs'!$B$15:$B$55,0),MATCH('Capital Cost Escalation'!$C16,'Capital Costs'!$D$7:$G$7,0))*G$8*(1+$F16)^(G$2), 0),0)</f>
        <v>0</v>
      </c>
      <c r="H16" s="490">
        <f>IFERROR(IF(H$6&lt;=$E$8,INDEX('Capital Costs'!$D$15:$G$55,MATCH('Capital Cost Escalation'!$E16,'Capital Costs'!$B$15:$B$55,0),MATCH('Capital Cost Escalation'!$C16,'Capital Costs'!$D$7:$G$7,0))*H$8*(1+$F16)^(H$2), 0),0)</f>
        <v>0</v>
      </c>
      <c r="I16" s="490">
        <f>IFERROR(IF(I$6&lt;=$E$8,INDEX('Capital Costs'!$D$15:$G$55,MATCH('Capital Cost Escalation'!$E16,'Capital Costs'!$B$15:$B$55,0),MATCH('Capital Cost Escalation'!$C16,'Capital Costs'!$D$7:$G$7,0))*I$8*(1+$F16)^(I$2), 0),0)</f>
        <v>0</v>
      </c>
      <c r="J16" s="490">
        <f>IFERROR(IF(J$6&lt;=$E$8,INDEX('Capital Costs'!$D$15:$G$55,MATCH('Capital Cost Escalation'!$E16,'Capital Costs'!$B$15:$B$55,0),MATCH('Capital Cost Escalation'!$C16,'Capital Costs'!$D$7:$G$7,0))*J$8*(1+$F16)^(J$2), 0),0)</f>
        <v>0</v>
      </c>
      <c r="K16" s="490">
        <f>IFERROR(IF(K$6&lt;=$E$8,INDEX('Capital Costs'!$D$15:$G$55,MATCH('Capital Cost Escalation'!$E16,'Capital Costs'!$B$15:$B$55,0),MATCH('Capital Cost Escalation'!$C16,'Capital Costs'!$D$7:$G$7,0))*K$8*(1+$F16)^(K$2), 0),0)</f>
        <v>0</v>
      </c>
      <c r="L16" s="490">
        <f>IFERROR(IF(L$6&lt;=$E$8,INDEX('Capital Costs'!$D$15:$G$55,MATCH('Capital Cost Escalation'!$E16,'Capital Costs'!$B$15:$B$55,0),MATCH('Capital Cost Escalation'!$C16,'Capital Costs'!$D$7:$G$7,0))*L$8*(1+$F16)^(L$2), 0),0)</f>
        <v>0</v>
      </c>
      <c r="M16" s="490">
        <f>IFERROR(IF(M$6&lt;=$E$8,INDEX('Capital Costs'!$D$15:$G$55,MATCH('Capital Cost Escalation'!$E16,'Capital Costs'!$B$15:$B$55,0),MATCH('Capital Cost Escalation'!$C16,'Capital Costs'!$D$7:$G$7,0))*M$8*(1+$F16)^(M$2), 0),0)</f>
        <v>0</v>
      </c>
      <c r="N16" s="490">
        <f>IFERROR(IF(N$6&lt;=$E$8,INDEX('Capital Costs'!$D$15:$G$55,MATCH('Capital Cost Escalation'!$E16,'Capital Costs'!$B$15:$B$55,0),MATCH('Capital Cost Escalation'!$C16,'Capital Costs'!$D$7:$G$7,0))*N$8*(1+$F16)^(N$2), 0),0)</f>
        <v>0</v>
      </c>
      <c r="O16" s="490">
        <f>IFERROR(IF(O$6&lt;=$E$8,INDEX('Capital Costs'!$D$15:$G$55,MATCH('Capital Cost Escalation'!$E16,'Capital Costs'!$B$15:$B$55,0),MATCH('Capital Cost Escalation'!$C16,'Capital Costs'!$D$7:$G$7,0))*O$8*(1+$F16)^(O$2), 0),0)</f>
        <v>0</v>
      </c>
      <c r="P16" s="490">
        <f>IFERROR(IF(P$6&lt;=$E$8,INDEX('Capital Costs'!$D$15:$G$55,MATCH('Capital Cost Escalation'!$E16,'Capital Costs'!$B$15:$B$55,0),MATCH('Capital Cost Escalation'!$C16,'Capital Costs'!$D$7:$G$7,0))*P$8*(1+$F16)^(P$2), 0),0)</f>
        <v>0</v>
      </c>
      <c r="Q16" s="490">
        <f>IFERROR(IF(Q$6&lt;=$E$8,INDEX('Capital Costs'!$D$15:$G$55,MATCH('Capital Cost Escalation'!$E16,'Capital Costs'!$B$15:$B$55,0),MATCH('Capital Cost Escalation'!$C16,'Capital Costs'!$D$7:$G$7,0))*Q$8*(1+$F16)^(Q$2), 0),0)</f>
        <v>0</v>
      </c>
      <c r="R16" s="490">
        <f>IFERROR(IF(R$6&lt;=$E$8,INDEX('Capital Costs'!$D$15:$G$55,MATCH('Capital Cost Escalation'!$E16,'Capital Costs'!$B$15:$B$55,0),MATCH('Capital Cost Escalation'!$C16,'Capital Costs'!$D$7:$G$7,0))*R$8*(1+$F16)^(R$2), 0),0)</f>
        <v>0</v>
      </c>
      <c r="S16" s="490">
        <f>IFERROR(IF(S$6&lt;=$E$8,INDEX('Capital Costs'!$D$15:$G$55,MATCH('Capital Cost Escalation'!$E16,'Capital Costs'!$B$15:$B$55,0),MATCH('Capital Cost Escalation'!$C16,'Capital Costs'!$D$7:$G$7,0))*S$8*(1+$F16)^(S$2), 0),0)</f>
        <v>0</v>
      </c>
      <c r="T16" s="490">
        <f>IFERROR(IF(T$6&lt;=$E$8,INDEX('Capital Costs'!$D$15:$G$55,MATCH('Capital Cost Escalation'!$E16,'Capital Costs'!$B$15:$B$55,0),MATCH('Capital Cost Escalation'!$C16,'Capital Costs'!$D$7:$G$7,0))*T$8*(1+$F16)^(T$2), 0),0)</f>
        <v>0</v>
      </c>
      <c r="U16" s="490">
        <f>IFERROR(IF(U$6&lt;=$E$8,INDEX('Capital Costs'!$D$15:$G$55,MATCH('Capital Cost Escalation'!$E16,'Capital Costs'!$B$15:$B$55,0),MATCH('Capital Cost Escalation'!$C16,'Capital Costs'!$D$7:$G$7,0))*U$8*(1+$F16)^(U$2), 0),0)</f>
        <v>0</v>
      </c>
      <c r="V16" s="490">
        <f>IFERROR(IF(V$6&lt;=$E$8,INDEX('Capital Costs'!$D$15:$G$55,MATCH('Capital Cost Escalation'!$E16,'Capital Costs'!$B$15:$B$55,0),MATCH('Capital Cost Escalation'!$C16,'Capital Costs'!$D$7:$G$7,0))*V$8*(1+$F16)^(V$2), 0),0)</f>
        <v>0</v>
      </c>
      <c r="W16" s="490">
        <f>IFERROR(IF(W$6&lt;=$E$8,INDEX('Capital Costs'!$D$15:$G$55,MATCH('Capital Cost Escalation'!$E16,'Capital Costs'!$B$15:$B$55,0),MATCH('Capital Cost Escalation'!$C16,'Capital Costs'!$D$7:$G$7,0))*W$8*(1+$F16)^(W$2), 0),0)</f>
        <v>0</v>
      </c>
      <c r="X16" s="490">
        <f>IFERROR(IF(X$6&lt;=$E$8,INDEX('Capital Costs'!$D$15:$G$55,MATCH('Capital Cost Escalation'!$E16,'Capital Costs'!$B$15:$B$55,0),MATCH('Capital Cost Escalation'!$C16,'Capital Costs'!$D$7:$G$7,0))*X$8*(1+$F16)^(X$2), 0),0)</f>
        <v>0</v>
      </c>
      <c r="Y16" s="490">
        <f>IFERROR(IF(Y$6&lt;=$E$8,INDEX('Capital Costs'!$D$15:$G$55,MATCH('Capital Cost Escalation'!$E16,'Capital Costs'!$B$15:$B$55,0),MATCH('Capital Cost Escalation'!$C16,'Capital Costs'!$D$7:$G$7,0))*Y$8*(1+$F16)^(Y$2), 0),0)</f>
        <v>0</v>
      </c>
      <c r="Z16" s="490">
        <f>IFERROR(IF(Z$6&lt;=$E$8,INDEX('Capital Costs'!$D$15:$G$55,MATCH('Capital Cost Escalation'!$E16,'Capital Costs'!$B$15:$B$55,0),MATCH('Capital Cost Escalation'!$C16,'Capital Costs'!$D$7:$G$7,0))*Z$8*(1+$F16)^(Z$2), 0),0)</f>
        <v>0</v>
      </c>
      <c r="AA16" s="490">
        <f>IFERROR(IF(AA$6&lt;=$E$8,INDEX('Capital Costs'!$D$15:$G$55,MATCH('Capital Cost Escalation'!$E16,'Capital Costs'!$B$15:$B$55,0),MATCH('Capital Cost Escalation'!$C16,'Capital Costs'!$D$7:$G$7,0))*AA$8*(1+$F16)^(AA$2), 0),0)</f>
        <v>0</v>
      </c>
      <c r="AB16" s="490">
        <f>IFERROR(IF(AB$6&lt;=$E$8,INDEX('Capital Costs'!$D$15:$G$55,MATCH('Capital Cost Escalation'!$E16,'Capital Costs'!$B$15:$B$55,0),MATCH('Capital Cost Escalation'!$C16,'Capital Costs'!$D$7:$G$7,0))*AB$8*(1+$F16)^(AB$2), 0),0)</f>
        <v>0</v>
      </c>
      <c r="AC16" s="490">
        <f>IFERROR(IF(AC$6&lt;=$E$8,INDEX('Capital Costs'!$D$15:$G$55,MATCH('Capital Cost Escalation'!$E16,'Capital Costs'!$B$15:$B$55,0),MATCH('Capital Cost Escalation'!$C16,'Capital Costs'!$D$7:$G$7,0))*AC$8*(1+$F16)^(AC$2), 0),0)</f>
        <v>0</v>
      </c>
      <c r="AD16" s="490">
        <f>IFERROR(IF(AD$6&lt;=$E$8,INDEX('Capital Costs'!$D$15:$G$55,MATCH('Capital Cost Escalation'!$E16,'Capital Costs'!$B$15:$B$55,0),MATCH('Capital Cost Escalation'!$C16,'Capital Costs'!$D$7:$G$7,0))*AD$8*(1+$F16)^(AD$2), 0),0)</f>
        <v>0</v>
      </c>
      <c r="AE16" s="490">
        <f>IFERROR(IF(AE$6&lt;=$E$8,INDEX('Capital Costs'!$D$15:$G$55,MATCH('Capital Cost Escalation'!$E16,'Capital Costs'!$B$15:$B$55,0),MATCH('Capital Cost Escalation'!$C16,'Capital Costs'!$D$7:$G$7,0))*AE$8*(1+$F16)^(AE$2), 0),0)</f>
        <v>0</v>
      </c>
      <c r="AF16" s="490">
        <f>IFERROR(IF(AF$6&lt;=$E$8,INDEX('Capital Costs'!$D$15:$G$55,MATCH('Capital Cost Escalation'!$E16,'Capital Costs'!$B$15:$B$55,0),MATCH('Capital Cost Escalation'!$C16,'Capital Costs'!$D$7:$G$7,0))*AF$8*(1+$F16)^(AF$2), 0),0)</f>
        <v>0</v>
      </c>
      <c r="AG16" s="490">
        <f>IFERROR(IF(AG$6&lt;=$E$8,INDEX('Capital Costs'!$D$15:$G$55,MATCH('Capital Cost Escalation'!$E16,'Capital Costs'!$B$15:$B$55,0),MATCH('Capital Cost Escalation'!$C16,'Capital Costs'!$D$7:$G$7,0))*AG$8*(1+$F16)^(AG$2), 0),0)</f>
        <v>0</v>
      </c>
      <c r="AH16" s="490">
        <f>IFERROR(IF(AH$6&lt;=$E$8,INDEX('Capital Costs'!$D$15:$G$55,MATCH('Capital Cost Escalation'!$E16,'Capital Costs'!$B$15:$B$55,0),MATCH('Capital Cost Escalation'!$C16,'Capital Costs'!$D$7:$G$7,0))*AH$8*(1+$F16)^(AH$2), 0),0)</f>
        <v>0</v>
      </c>
      <c r="AI16" s="490">
        <f>IFERROR(IF(AI$6&lt;=$E$8,INDEX('Capital Costs'!$D$15:$G$55,MATCH('Capital Cost Escalation'!$E16,'Capital Costs'!$B$15:$B$55,0),MATCH('Capital Cost Escalation'!$C16,'Capital Costs'!$D$7:$G$7,0))*AI$8*(1+$F16)^(AI$2), 0),0)</f>
        <v>0</v>
      </c>
      <c r="AJ16" s="490">
        <f>IFERROR(IF(AJ$6&lt;=$E$8,INDEX('Capital Costs'!$D$15:$G$55,MATCH('Capital Cost Escalation'!$E16,'Capital Costs'!$B$15:$B$55,0),MATCH('Capital Cost Escalation'!$C16,'Capital Costs'!$D$7:$G$7,0))*AJ$8*(1+$F16)^(AJ$2), 0),0)</f>
        <v>0</v>
      </c>
      <c r="AK16" s="490">
        <f>IFERROR(IF(AK$6&lt;=$E$8,INDEX('Capital Costs'!$D$15:$G$55,MATCH('Capital Cost Escalation'!$E16,'Capital Costs'!$B$15:$B$55,0),MATCH('Capital Cost Escalation'!$C16,'Capital Costs'!$D$7:$G$7,0))*AK$8*(1+$F16)^(AK$2), 0),0)</f>
        <v>0</v>
      </c>
      <c r="AL16" s="490">
        <f>IFERROR(IF(AL$6&lt;=$E$8,INDEX('Capital Costs'!$D$15:$G$55,MATCH('Capital Cost Escalation'!$E16,'Capital Costs'!$B$15:$B$55,0),MATCH('Capital Cost Escalation'!$C16,'Capital Costs'!$D$7:$G$7,0))*AL$8*(1+$F16)^(AL$2), 0),0)</f>
        <v>0</v>
      </c>
      <c r="AM16" s="490">
        <f>IFERROR(IF(AM$6&lt;=$E$8,INDEX('Capital Costs'!$D$15:$G$55,MATCH('Capital Cost Escalation'!$E16,'Capital Costs'!$B$15:$B$55,0),MATCH('Capital Cost Escalation'!$C16,'Capital Costs'!$D$7:$G$7,0))*AM$8*(1+$F16)^(AM$2), 0),0)</f>
        <v>0</v>
      </c>
      <c r="AN16" s="490">
        <f>IFERROR(IF(AN$6&lt;=$E$8,INDEX('Capital Costs'!$D$15:$G$55,MATCH('Capital Cost Escalation'!$E16,'Capital Costs'!$B$15:$B$55,0),MATCH('Capital Cost Escalation'!$C16,'Capital Costs'!$D$7:$G$7,0))*AN$8*(1+$F16)^(AN$2), 0),0)</f>
        <v>0</v>
      </c>
      <c r="AO16" s="490">
        <f>IFERROR(IF(AO$6&lt;=$E$8,INDEX('Capital Costs'!$D$15:$G$55,MATCH('Capital Cost Escalation'!$E16,'Capital Costs'!$B$15:$B$55,0),MATCH('Capital Cost Escalation'!$C16,'Capital Costs'!$D$7:$G$7,0))*AO$8*(1+$F16)^(AO$2), 0),0)</f>
        <v>0</v>
      </c>
      <c r="AP16" s="490">
        <f>IFERROR(IF(AP$6&lt;=$E$8,INDEX('Capital Costs'!$D$15:$G$55,MATCH('Capital Cost Escalation'!$E16,'Capital Costs'!$B$15:$B$55,0),MATCH('Capital Cost Escalation'!$C16,'Capital Costs'!$D$7:$G$7,0))*AP$8*(1+$F16)^(AP$2), 0),0)</f>
        <v>0</v>
      </c>
      <c r="AQ16" s="490">
        <f>IFERROR(IF(AQ$6&lt;=$E$8,INDEX('Capital Costs'!$D$15:$G$55,MATCH('Capital Cost Escalation'!$E16,'Capital Costs'!$B$15:$B$55,0),MATCH('Capital Cost Escalation'!$C16,'Capital Costs'!$D$7:$G$7,0))*AQ$8*(1+$F16)^(AQ$2), 0),0)</f>
        <v>0</v>
      </c>
      <c r="AR16" s="490">
        <f>IFERROR(IF(AR$6&lt;=$E$8,INDEX('Capital Costs'!$D$15:$G$55,MATCH('Capital Cost Escalation'!$E16,'Capital Costs'!$B$15:$B$55,0),MATCH('Capital Cost Escalation'!$C16,'Capital Costs'!$D$7:$G$7,0))*AR$8*(1+$F16)^(AR$2), 0),0)</f>
        <v>0</v>
      </c>
      <c r="AS16" s="490">
        <f>IFERROR(IF(AS$6&lt;=$E$8,INDEX('Capital Costs'!$D$15:$G$55,MATCH('Capital Cost Escalation'!$E16,'Capital Costs'!$B$15:$B$55,0),MATCH('Capital Cost Escalation'!$C16,'Capital Costs'!$D$7:$G$7,0))*AS$8*(1+$F16)^(AS$2), 0),0)</f>
        <v>0</v>
      </c>
      <c r="AT16" s="490">
        <f>IFERROR(IF(AT$6&lt;=$E$8,INDEX('Capital Costs'!$D$15:$G$55,MATCH('Capital Cost Escalation'!$E16,'Capital Costs'!$B$15:$B$55,0),MATCH('Capital Cost Escalation'!$C16,'Capital Costs'!$D$7:$G$7,0))*AT$8*(1+$F16)^(AT$2), 0),0)</f>
        <v>0</v>
      </c>
      <c r="AV16" s="827">
        <f t="shared" si="3"/>
        <v>0</v>
      </c>
      <c r="AW16" s="828">
        <f>INDEX('Capital Costs'!$D$15:$G$55,MATCH('Capital Cost Escalation'!$E16,'Capital Costs'!$B$15:$B$55,0),MATCH('Capital Cost Escalation'!$C16,'Capital Costs'!$D$7:$G$7,0))</f>
        <v>0</v>
      </c>
    </row>
    <row r="17" spans="1:49">
      <c r="A17" s="487" t="str">
        <f t="shared" si="4"/>
        <v>CT_EMAAC_Steam Turbines</v>
      </c>
      <c r="B17" s="478" t="s">
        <v>76</v>
      </c>
      <c r="C17" s="488" t="s">
        <v>120</v>
      </c>
      <c r="E17" s="442" t="s">
        <v>135</v>
      </c>
      <c r="F17" s="489">
        <f>INDEX('Capital Costs_Nominal$'!$F:$F,MATCH('Capital Cost Escalation'!$E17,'Capital Costs_Nominal$'!$C:$C,0),1)</f>
        <v>2.3944839450136257E-3</v>
      </c>
      <c r="G17" s="490">
        <f>IFERROR(IF(G$6&lt;=$E$8,INDEX('Capital Costs'!$D$15:$G$55,MATCH('Capital Cost Escalation'!$E17,'Capital Costs'!$B$15:$B$55,0),MATCH('Capital Cost Escalation'!$C17,'Capital Costs'!$D$7:$G$7,0))*G$8*(1+$F17)^(G$2), 0),0)</f>
        <v>0</v>
      </c>
      <c r="H17" s="490">
        <f>IFERROR(IF(H$6&lt;=$E$8,INDEX('Capital Costs'!$D$15:$G$55,MATCH('Capital Cost Escalation'!$E17,'Capital Costs'!$B$15:$B$55,0),MATCH('Capital Cost Escalation'!$C17,'Capital Costs'!$D$7:$G$7,0))*H$8*(1+$F17)^(H$2), 0),0)</f>
        <v>0</v>
      </c>
      <c r="I17" s="490">
        <f>IFERROR(IF(I$6&lt;=$E$8,INDEX('Capital Costs'!$D$15:$G$55,MATCH('Capital Cost Escalation'!$E17,'Capital Costs'!$B$15:$B$55,0),MATCH('Capital Cost Escalation'!$C17,'Capital Costs'!$D$7:$G$7,0))*I$8*(1+$F17)^(I$2), 0),0)</f>
        <v>0</v>
      </c>
      <c r="J17" s="490">
        <f>IFERROR(IF(J$6&lt;=$E$8,INDEX('Capital Costs'!$D$15:$G$55,MATCH('Capital Cost Escalation'!$E17,'Capital Costs'!$B$15:$B$55,0),MATCH('Capital Cost Escalation'!$C17,'Capital Costs'!$D$7:$G$7,0))*J$8*(1+$F17)^(J$2), 0),0)</f>
        <v>0</v>
      </c>
      <c r="K17" s="490">
        <f>IFERROR(IF(K$6&lt;=$E$8,INDEX('Capital Costs'!$D$15:$G$55,MATCH('Capital Cost Escalation'!$E17,'Capital Costs'!$B$15:$B$55,0),MATCH('Capital Cost Escalation'!$C17,'Capital Costs'!$D$7:$G$7,0))*K$8*(1+$F17)^(K$2), 0),0)</f>
        <v>0</v>
      </c>
      <c r="L17" s="490">
        <f>IFERROR(IF(L$6&lt;=$E$8,INDEX('Capital Costs'!$D$15:$G$55,MATCH('Capital Cost Escalation'!$E17,'Capital Costs'!$B$15:$B$55,0),MATCH('Capital Cost Escalation'!$C17,'Capital Costs'!$D$7:$G$7,0))*L$8*(1+$F17)^(L$2), 0),0)</f>
        <v>0</v>
      </c>
      <c r="M17" s="490">
        <f>IFERROR(IF(M$6&lt;=$E$8,INDEX('Capital Costs'!$D$15:$G$55,MATCH('Capital Cost Escalation'!$E17,'Capital Costs'!$B$15:$B$55,0),MATCH('Capital Cost Escalation'!$C17,'Capital Costs'!$D$7:$G$7,0))*M$8*(1+$F17)^(M$2), 0),0)</f>
        <v>0</v>
      </c>
      <c r="N17" s="490">
        <f>IFERROR(IF(N$6&lt;=$E$8,INDEX('Capital Costs'!$D$15:$G$55,MATCH('Capital Cost Escalation'!$E17,'Capital Costs'!$B$15:$B$55,0),MATCH('Capital Cost Escalation'!$C17,'Capital Costs'!$D$7:$G$7,0))*N$8*(1+$F17)^(N$2), 0),0)</f>
        <v>0</v>
      </c>
      <c r="O17" s="490">
        <f>IFERROR(IF(O$6&lt;=$E$8,INDEX('Capital Costs'!$D$15:$G$55,MATCH('Capital Cost Escalation'!$E17,'Capital Costs'!$B$15:$B$55,0),MATCH('Capital Cost Escalation'!$C17,'Capital Costs'!$D$7:$G$7,0))*O$8*(1+$F17)^(O$2), 0),0)</f>
        <v>0</v>
      </c>
      <c r="P17" s="490">
        <f>IFERROR(IF(P$6&lt;=$E$8,INDEX('Capital Costs'!$D$15:$G$55,MATCH('Capital Cost Escalation'!$E17,'Capital Costs'!$B$15:$B$55,0),MATCH('Capital Cost Escalation'!$C17,'Capital Costs'!$D$7:$G$7,0))*P$8*(1+$F17)^(P$2), 0),0)</f>
        <v>0</v>
      </c>
      <c r="Q17" s="490">
        <f>IFERROR(IF(Q$6&lt;=$E$8,INDEX('Capital Costs'!$D$15:$G$55,MATCH('Capital Cost Escalation'!$E17,'Capital Costs'!$B$15:$B$55,0),MATCH('Capital Cost Escalation'!$C17,'Capital Costs'!$D$7:$G$7,0))*Q$8*(1+$F17)^(Q$2), 0),0)</f>
        <v>0</v>
      </c>
      <c r="R17" s="490">
        <f>IFERROR(IF(R$6&lt;=$E$8,INDEX('Capital Costs'!$D$15:$G$55,MATCH('Capital Cost Escalation'!$E17,'Capital Costs'!$B$15:$B$55,0),MATCH('Capital Cost Escalation'!$C17,'Capital Costs'!$D$7:$G$7,0))*R$8*(1+$F17)^(R$2), 0),0)</f>
        <v>0</v>
      </c>
      <c r="S17" s="490">
        <f>IFERROR(IF(S$6&lt;=$E$8,INDEX('Capital Costs'!$D$15:$G$55,MATCH('Capital Cost Escalation'!$E17,'Capital Costs'!$B$15:$B$55,0),MATCH('Capital Cost Escalation'!$C17,'Capital Costs'!$D$7:$G$7,0))*S$8*(1+$F17)^(S$2), 0),0)</f>
        <v>0</v>
      </c>
      <c r="T17" s="490">
        <f>IFERROR(IF(T$6&lt;=$E$8,INDEX('Capital Costs'!$D$15:$G$55,MATCH('Capital Cost Escalation'!$E17,'Capital Costs'!$B$15:$B$55,0),MATCH('Capital Cost Escalation'!$C17,'Capital Costs'!$D$7:$G$7,0))*T$8*(1+$F17)^(T$2), 0),0)</f>
        <v>0</v>
      </c>
      <c r="U17" s="490">
        <f>IFERROR(IF(U$6&lt;=$E$8,INDEX('Capital Costs'!$D$15:$G$55,MATCH('Capital Cost Escalation'!$E17,'Capital Costs'!$B$15:$B$55,0),MATCH('Capital Cost Escalation'!$C17,'Capital Costs'!$D$7:$G$7,0))*U$8*(1+$F17)^(U$2), 0),0)</f>
        <v>0</v>
      </c>
      <c r="V17" s="490">
        <f>IFERROR(IF(V$6&lt;=$E$8,INDEX('Capital Costs'!$D$15:$G$55,MATCH('Capital Cost Escalation'!$E17,'Capital Costs'!$B$15:$B$55,0),MATCH('Capital Cost Escalation'!$C17,'Capital Costs'!$D$7:$G$7,0))*V$8*(1+$F17)^(V$2), 0),0)</f>
        <v>0</v>
      </c>
      <c r="W17" s="490">
        <f>IFERROR(IF(W$6&lt;=$E$8,INDEX('Capital Costs'!$D$15:$G$55,MATCH('Capital Cost Escalation'!$E17,'Capital Costs'!$B$15:$B$55,0),MATCH('Capital Cost Escalation'!$C17,'Capital Costs'!$D$7:$G$7,0))*W$8*(1+$F17)^(W$2), 0),0)</f>
        <v>0</v>
      </c>
      <c r="X17" s="490">
        <f>IFERROR(IF(X$6&lt;=$E$8,INDEX('Capital Costs'!$D$15:$G$55,MATCH('Capital Cost Escalation'!$E17,'Capital Costs'!$B$15:$B$55,0),MATCH('Capital Cost Escalation'!$C17,'Capital Costs'!$D$7:$G$7,0))*X$8*(1+$F17)^(X$2), 0),0)</f>
        <v>0</v>
      </c>
      <c r="Y17" s="490">
        <f>IFERROR(IF(Y$6&lt;=$E$8,INDEX('Capital Costs'!$D$15:$G$55,MATCH('Capital Cost Escalation'!$E17,'Capital Costs'!$B$15:$B$55,0),MATCH('Capital Cost Escalation'!$C17,'Capital Costs'!$D$7:$G$7,0))*Y$8*(1+$F17)^(Y$2), 0),0)</f>
        <v>0</v>
      </c>
      <c r="Z17" s="490">
        <f>IFERROR(IF(Z$6&lt;=$E$8,INDEX('Capital Costs'!$D$15:$G$55,MATCH('Capital Cost Escalation'!$E17,'Capital Costs'!$B$15:$B$55,0),MATCH('Capital Cost Escalation'!$C17,'Capital Costs'!$D$7:$G$7,0))*Z$8*(1+$F17)^(Z$2), 0),0)</f>
        <v>0</v>
      </c>
      <c r="AA17" s="490">
        <f>IFERROR(IF(AA$6&lt;=$E$8,INDEX('Capital Costs'!$D$15:$G$55,MATCH('Capital Cost Escalation'!$E17,'Capital Costs'!$B$15:$B$55,0),MATCH('Capital Cost Escalation'!$C17,'Capital Costs'!$D$7:$G$7,0))*AA$8*(1+$F17)^(AA$2), 0),0)</f>
        <v>0</v>
      </c>
      <c r="AB17" s="490">
        <f>IFERROR(IF(AB$6&lt;=$E$8,INDEX('Capital Costs'!$D$15:$G$55,MATCH('Capital Cost Escalation'!$E17,'Capital Costs'!$B$15:$B$55,0),MATCH('Capital Cost Escalation'!$C17,'Capital Costs'!$D$7:$G$7,0))*AB$8*(1+$F17)^(AB$2), 0),0)</f>
        <v>0</v>
      </c>
      <c r="AC17" s="490">
        <f>IFERROR(IF(AC$6&lt;=$E$8,INDEX('Capital Costs'!$D$15:$G$55,MATCH('Capital Cost Escalation'!$E17,'Capital Costs'!$B$15:$B$55,0),MATCH('Capital Cost Escalation'!$C17,'Capital Costs'!$D$7:$G$7,0))*AC$8*(1+$F17)^(AC$2), 0),0)</f>
        <v>0</v>
      </c>
      <c r="AD17" s="490">
        <f>IFERROR(IF(AD$6&lt;=$E$8,INDEX('Capital Costs'!$D$15:$G$55,MATCH('Capital Cost Escalation'!$E17,'Capital Costs'!$B$15:$B$55,0),MATCH('Capital Cost Escalation'!$C17,'Capital Costs'!$D$7:$G$7,0))*AD$8*(1+$F17)^(AD$2), 0),0)</f>
        <v>0</v>
      </c>
      <c r="AE17" s="490">
        <f>IFERROR(IF(AE$6&lt;=$E$8,INDEX('Capital Costs'!$D$15:$G$55,MATCH('Capital Cost Escalation'!$E17,'Capital Costs'!$B$15:$B$55,0),MATCH('Capital Cost Escalation'!$C17,'Capital Costs'!$D$7:$G$7,0))*AE$8*(1+$F17)^(AE$2), 0),0)</f>
        <v>0</v>
      </c>
      <c r="AF17" s="490">
        <f>IFERROR(IF(AF$6&lt;=$E$8,INDEX('Capital Costs'!$D$15:$G$55,MATCH('Capital Cost Escalation'!$E17,'Capital Costs'!$B$15:$B$55,0),MATCH('Capital Cost Escalation'!$C17,'Capital Costs'!$D$7:$G$7,0))*AF$8*(1+$F17)^(AF$2), 0),0)</f>
        <v>0</v>
      </c>
      <c r="AG17" s="490">
        <f>IFERROR(IF(AG$6&lt;=$E$8,INDEX('Capital Costs'!$D$15:$G$55,MATCH('Capital Cost Escalation'!$E17,'Capital Costs'!$B$15:$B$55,0),MATCH('Capital Cost Escalation'!$C17,'Capital Costs'!$D$7:$G$7,0))*AG$8*(1+$F17)^(AG$2), 0),0)</f>
        <v>0</v>
      </c>
      <c r="AH17" s="490">
        <f>IFERROR(IF(AH$6&lt;=$E$8,INDEX('Capital Costs'!$D$15:$G$55,MATCH('Capital Cost Escalation'!$E17,'Capital Costs'!$B$15:$B$55,0),MATCH('Capital Cost Escalation'!$C17,'Capital Costs'!$D$7:$G$7,0))*AH$8*(1+$F17)^(AH$2), 0),0)</f>
        <v>0</v>
      </c>
      <c r="AI17" s="490">
        <f>IFERROR(IF(AI$6&lt;=$E$8,INDEX('Capital Costs'!$D$15:$G$55,MATCH('Capital Cost Escalation'!$E17,'Capital Costs'!$B$15:$B$55,0),MATCH('Capital Cost Escalation'!$C17,'Capital Costs'!$D$7:$G$7,0))*AI$8*(1+$F17)^(AI$2), 0),0)</f>
        <v>0</v>
      </c>
      <c r="AJ17" s="490">
        <f>IFERROR(IF(AJ$6&lt;=$E$8,INDEX('Capital Costs'!$D$15:$G$55,MATCH('Capital Cost Escalation'!$E17,'Capital Costs'!$B$15:$B$55,0),MATCH('Capital Cost Escalation'!$C17,'Capital Costs'!$D$7:$G$7,0))*AJ$8*(1+$F17)^(AJ$2), 0),0)</f>
        <v>0</v>
      </c>
      <c r="AK17" s="490">
        <f>IFERROR(IF(AK$6&lt;=$E$8,INDEX('Capital Costs'!$D$15:$G$55,MATCH('Capital Cost Escalation'!$E17,'Capital Costs'!$B$15:$B$55,0),MATCH('Capital Cost Escalation'!$C17,'Capital Costs'!$D$7:$G$7,0))*AK$8*(1+$F17)^(AK$2), 0),0)</f>
        <v>0</v>
      </c>
      <c r="AL17" s="490">
        <f>IFERROR(IF(AL$6&lt;=$E$8,INDEX('Capital Costs'!$D$15:$G$55,MATCH('Capital Cost Escalation'!$E17,'Capital Costs'!$B$15:$B$55,0),MATCH('Capital Cost Escalation'!$C17,'Capital Costs'!$D$7:$G$7,0))*AL$8*(1+$F17)^(AL$2), 0),0)</f>
        <v>0</v>
      </c>
      <c r="AM17" s="490">
        <f>IFERROR(IF(AM$6&lt;=$E$8,INDEX('Capital Costs'!$D$15:$G$55,MATCH('Capital Cost Escalation'!$E17,'Capital Costs'!$B$15:$B$55,0),MATCH('Capital Cost Escalation'!$C17,'Capital Costs'!$D$7:$G$7,0))*AM$8*(1+$F17)^(AM$2), 0),0)</f>
        <v>0</v>
      </c>
      <c r="AN17" s="490">
        <f>IFERROR(IF(AN$6&lt;=$E$8,INDEX('Capital Costs'!$D$15:$G$55,MATCH('Capital Cost Escalation'!$E17,'Capital Costs'!$B$15:$B$55,0),MATCH('Capital Cost Escalation'!$C17,'Capital Costs'!$D$7:$G$7,0))*AN$8*(1+$F17)^(AN$2), 0),0)</f>
        <v>0</v>
      </c>
      <c r="AO17" s="490">
        <f>IFERROR(IF(AO$6&lt;=$E$8,INDEX('Capital Costs'!$D$15:$G$55,MATCH('Capital Cost Escalation'!$E17,'Capital Costs'!$B$15:$B$55,0),MATCH('Capital Cost Escalation'!$C17,'Capital Costs'!$D$7:$G$7,0))*AO$8*(1+$F17)^(AO$2), 0),0)</f>
        <v>0</v>
      </c>
      <c r="AP17" s="490">
        <f>IFERROR(IF(AP$6&lt;=$E$8,INDEX('Capital Costs'!$D$15:$G$55,MATCH('Capital Cost Escalation'!$E17,'Capital Costs'!$B$15:$B$55,0),MATCH('Capital Cost Escalation'!$C17,'Capital Costs'!$D$7:$G$7,0))*AP$8*(1+$F17)^(AP$2), 0),0)</f>
        <v>0</v>
      </c>
      <c r="AQ17" s="490">
        <f>IFERROR(IF(AQ$6&lt;=$E$8,INDEX('Capital Costs'!$D$15:$G$55,MATCH('Capital Cost Escalation'!$E17,'Capital Costs'!$B$15:$B$55,0),MATCH('Capital Cost Escalation'!$C17,'Capital Costs'!$D$7:$G$7,0))*AQ$8*(1+$F17)^(AQ$2), 0),0)</f>
        <v>0</v>
      </c>
      <c r="AR17" s="490">
        <f>IFERROR(IF(AR$6&lt;=$E$8,INDEX('Capital Costs'!$D$15:$G$55,MATCH('Capital Cost Escalation'!$E17,'Capital Costs'!$B$15:$B$55,0),MATCH('Capital Cost Escalation'!$C17,'Capital Costs'!$D$7:$G$7,0))*AR$8*(1+$F17)^(AR$2), 0),0)</f>
        <v>0</v>
      </c>
      <c r="AS17" s="490">
        <f>IFERROR(IF(AS$6&lt;=$E$8,INDEX('Capital Costs'!$D$15:$G$55,MATCH('Capital Cost Escalation'!$E17,'Capital Costs'!$B$15:$B$55,0),MATCH('Capital Cost Escalation'!$C17,'Capital Costs'!$D$7:$G$7,0))*AS$8*(1+$F17)^(AS$2), 0),0)</f>
        <v>0</v>
      </c>
      <c r="AT17" s="490">
        <f>IFERROR(IF(AT$6&lt;=$E$8,INDEX('Capital Costs'!$D$15:$G$55,MATCH('Capital Cost Escalation'!$E17,'Capital Costs'!$B$15:$B$55,0),MATCH('Capital Cost Escalation'!$C17,'Capital Costs'!$D$7:$G$7,0))*AT$8*(1+$F17)^(AT$2), 0),0)</f>
        <v>0</v>
      </c>
      <c r="AV17" s="827">
        <f t="shared" si="3"/>
        <v>0</v>
      </c>
      <c r="AW17" s="828">
        <f>INDEX('Capital Costs'!$D$15:$G$55,MATCH('Capital Cost Escalation'!$E17,'Capital Costs'!$B$15:$B$55,0),MATCH('Capital Cost Escalation'!$C17,'Capital Costs'!$D$7:$G$7,0))</f>
        <v>0</v>
      </c>
    </row>
    <row r="18" spans="1:49">
      <c r="A18" s="487" t="str">
        <f t="shared" si="4"/>
        <v>CT_EMAAC_Other Equipment</v>
      </c>
      <c r="B18" s="478" t="s">
        <v>76</v>
      </c>
      <c r="C18" s="488" t="s">
        <v>120</v>
      </c>
      <c r="E18" s="442" t="s">
        <v>136</v>
      </c>
      <c r="F18" s="1325">
        <f>INDEX('Capital Costs_Nominal$'!$F:$F,MATCH('Capital Cost Escalation'!$E18,'Capital Costs_Nominal$'!$C:$C,0),1)</f>
        <v>2.3944839450136257E-3</v>
      </c>
      <c r="G18" s="490">
        <f>IFERROR(IF(G$6&lt;=$E$8,INDEX('Capital Costs'!$D$15:$G$55,MATCH('Capital Cost Escalation'!$E18,'Capital Costs'!$B$15:$B$55,0),MATCH('Capital Cost Escalation'!$C18,'Capital Costs'!$D$7:$G$7,0))*G$8*(1+$F18)^(G$2), 0),0)</f>
        <v>85318.920399264083</v>
      </c>
      <c r="H18" s="490">
        <f>IFERROR(IF(H$6&lt;=$E$8,INDEX('Capital Costs'!$D$15:$G$55,MATCH('Capital Cost Escalation'!$E18,'Capital Costs'!$B$15:$B$55,0),MATCH('Capital Cost Escalation'!$C18,'Capital Costs'!$D$7:$G$7,0))*H$8*(1+$F18)^(H$2), 0),0)</f>
        <v>101761.265958242</v>
      </c>
      <c r="I18" s="490">
        <f>IFERROR(IF(I$6&lt;=$E$8,INDEX('Capital Costs'!$D$15:$G$55,MATCH('Capital Cost Escalation'!$E18,'Capital Costs'!$B$15:$B$55,0),MATCH('Capital Cost Escalation'!$C18,'Capital Costs'!$D$7:$G$7,0))*I$8*(1+$F18)^(I$2), 0),0)</f>
        <v>615506.24168605637</v>
      </c>
      <c r="J18" s="490">
        <f>IFERROR(IF(J$6&lt;=$E$8,INDEX('Capital Costs'!$D$15:$G$55,MATCH('Capital Cost Escalation'!$E18,'Capital Costs'!$B$15:$B$55,0),MATCH('Capital Cost Escalation'!$C18,'Capital Costs'!$D$7:$G$7,0))*J$8*(1+$F18)^(J$2), 0),0)</f>
        <v>190206.05469696625</v>
      </c>
      <c r="K18" s="490">
        <f>IFERROR(IF(K$6&lt;=$E$8,INDEX('Capital Costs'!$D$15:$G$55,MATCH('Capital Cost Escalation'!$E18,'Capital Costs'!$B$15:$B$55,0),MATCH('Capital Cost Escalation'!$C18,'Capital Costs'!$D$7:$G$7,0))*K$8*(1+$F18)^(K$2), 0),0)</f>
        <v>415887.14664609975</v>
      </c>
      <c r="L18" s="490">
        <f>IFERROR(IF(L$6&lt;=$E$8,INDEX('Capital Costs'!$D$15:$G$55,MATCH('Capital Cost Escalation'!$E18,'Capital Costs'!$B$15:$B$55,0),MATCH('Capital Cost Escalation'!$C18,'Capital Costs'!$D$7:$G$7,0))*L$8*(1+$F18)^(L$2), 0),0)</f>
        <v>263842.77236618724</v>
      </c>
      <c r="M18" s="490">
        <f>IFERROR(IF(M$6&lt;=$E$8,INDEX('Capital Costs'!$D$15:$G$55,MATCH('Capital Cost Escalation'!$E18,'Capital Costs'!$B$15:$B$55,0),MATCH('Capital Cost Escalation'!$C18,'Capital Costs'!$D$7:$G$7,0))*M$8*(1+$F18)^(M$2), 0),0)</f>
        <v>518289.19685642142</v>
      </c>
      <c r="N18" s="490">
        <f>IFERROR(IF(N$6&lt;=$E$8,INDEX('Capital Costs'!$D$15:$G$55,MATCH('Capital Cost Escalation'!$E18,'Capital Costs'!$B$15:$B$55,0),MATCH('Capital Cost Escalation'!$C18,'Capital Costs'!$D$7:$G$7,0))*N$8*(1+$F18)^(N$2), 0),0)</f>
        <v>689083.21331222728</v>
      </c>
      <c r="O18" s="490">
        <f>IFERROR(IF(O$6&lt;=$E$8,INDEX('Capital Costs'!$D$15:$G$55,MATCH('Capital Cost Escalation'!$E18,'Capital Costs'!$B$15:$B$55,0),MATCH('Capital Cost Escalation'!$C18,'Capital Costs'!$D$7:$G$7,0))*O$8*(1+$F18)^(O$2), 0),0)</f>
        <v>964054.84276646457</v>
      </c>
      <c r="P18" s="490">
        <f>IFERROR(IF(P$6&lt;=$E$8,INDEX('Capital Costs'!$D$15:$G$55,MATCH('Capital Cost Escalation'!$E18,'Capital Costs'!$B$15:$B$55,0),MATCH('Capital Cost Escalation'!$C18,'Capital Costs'!$D$7:$G$7,0))*P$8*(1+$F18)^(P$2), 0),0)</f>
        <v>1606294.684336697</v>
      </c>
      <c r="Q18" s="490">
        <f>IFERROR(IF(Q$6&lt;=$E$8,INDEX('Capital Costs'!$D$15:$G$55,MATCH('Capital Cost Escalation'!$E18,'Capital Costs'!$B$15:$B$55,0),MATCH('Capital Cost Escalation'!$C18,'Capital Costs'!$D$7:$G$7,0))*Q$8*(1+$F18)^(Q$2), 0),0)</f>
        <v>1956058.2999507235</v>
      </c>
      <c r="R18" s="490">
        <f>IFERROR(IF(R$6&lt;=$E$8,INDEX('Capital Costs'!$D$15:$G$55,MATCH('Capital Cost Escalation'!$E18,'Capital Costs'!$B$15:$B$55,0),MATCH('Capital Cost Escalation'!$C18,'Capital Costs'!$D$7:$G$7,0))*R$8*(1+$F18)^(R$2), 0),0)</f>
        <v>2508079.7706032819</v>
      </c>
      <c r="S18" s="490">
        <f>IFERROR(IF(S$6&lt;=$E$8,INDEX('Capital Costs'!$D$15:$G$55,MATCH('Capital Cost Escalation'!$E18,'Capital Costs'!$B$15:$B$55,0),MATCH('Capital Cost Escalation'!$C18,'Capital Costs'!$D$7:$G$7,0))*S$8*(1+$F18)^(S$2), 0),0)</f>
        <v>2795062.5148263942</v>
      </c>
      <c r="T18" s="490">
        <f>IFERROR(IF(T$6&lt;=$E$8,INDEX('Capital Costs'!$D$15:$G$55,MATCH('Capital Cost Escalation'!$E18,'Capital Costs'!$B$15:$B$55,0),MATCH('Capital Cost Escalation'!$C18,'Capital Costs'!$D$7:$G$7,0))*T$8*(1+$F18)^(T$2), 0),0)</f>
        <v>2972178.7826116146</v>
      </c>
      <c r="U18" s="490">
        <f>IFERROR(IF(U$6&lt;=$E$8,INDEX('Capital Costs'!$D$15:$G$55,MATCH('Capital Cost Escalation'!$E18,'Capital Costs'!$B$15:$B$55,0),MATCH('Capital Cost Escalation'!$C18,'Capital Costs'!$D$7:$G$7,0))*U$8*(1+$F18)^(U$2), 0),0)</f>
        <v>2788754.1958744354</v>
      </c>
      <c r="V18" s="490">
        <f>IFERROR(IF(V$6&lt;=$E$8,INDEX('Capital Costs'!$D$15:$G$55,MATCH('Capital Cost Escalation'!$E18,'Capital Costs'!$B$15:$B$55,0),MATCH('Capital Cost Escalation'!$C18,'Capital Costs'!$D$7:$G$7,0))*V$8*(1+$F18)^(V$2), 0),0)</f>
        <v>2471981.7949622446</v>
      </c>
      <c r="W18" s="490">
        <f>IFERROR(IF(W$6&lt;=$E$8,INDEX('Capital Costs'!$D$15:$G$55,MATCH('Capital Cost Escalation'!$E18,'Capital Costs'!$B$15:$B$55,0),MATCH('Capital Cost Escalation'!$C18,'Capital Costs'!$D$7:$G$7,0))*W$8*(1+$F18)^(W$2), 0),0)</f>
        <v>1880149.5068931468</v>
      </c>
      <c r="X18" s="490">
        <f>IFERROR(IF(X$6&lt;=$E$8,INDEX('Capital Costs'!$D$15:$G$55,MATCH('Capital Cost Escalation'!$E18,'Capital Costs'!$B$15:$B$55,0),MATCH('Capital Cost Escalation'!$C18,'Capital Costs'!$D$7:$G$7,0))*X$8*(1+$F18)^(X$2), 0),0)</f>
        <v>1047517.235345151</v>
      </c>
      <c r="Y18" s="490">
        <f>IFERROR(IF(Y$6&lt;=$E$8,INDEX('Capital Costs'!$D$15:$G$55,MATCH('Capital Cost Escalation'!$E18,'Capital Costs'!$B$15:$B$55,0),MATCH('Capital Cost Escalation'!$C18,'Capital Costs'!$D$7:$G$7,0))*Y$8*(1+$F18)^(Y$2), 0),0)</f>
        <v>221846.7260686738</v>
      </c>
      <c r="Z18" s="490">
        <f>IFERROR(IF(Z$6&lt;=$E$8,INDEX('Capital Costs'!$D$15:$G$55,MATCH('Capital Cost Escalation'!$E18,'Capital Costs'!$B$15:$B$55,0),MATCH('Capital Cost Escalation'!$C18,'Capital Costs'!$D$7:$G$7,0))*Z$8*(1+$F18)^(Z$2), 0),0)</f>
        <v>49530.833371320979</v>
      </c>
      <c r="AA18" s="490">
        <f>IFERROR(IF(AA$6&lt;=$E$8,INDEX('Capital Costs'!$D$15:$G$55,MATCH('Capital Cost Escalation'!$E18,'Capital Costs'!$B$15:$B$55,0),MATCH('Capital Cost Escalation'!$C18,'Capital Costs'!$D$7:$G$7,0))*AA$8*(1+$F18)^(AA$2), 0),0)</f>
        <v>0</v>
      </c>
      <c r="AB18" s="490">
        <f>IFERROR(IF(AB$6&lt;=$E$8,INDEX('Capital Costs'!$D$15:$G$55,MATCH('Capital Cost Escalation'!$E18,'Capital Costs'!$B$15:$B$55,0),MATCH('Capital Cost Escalation'!$C18,'Capital Costs'!$D$7:$G$7,0))*AB$8*(1+$F18)^(AB$2), 0),0)</f>
        <v>0</v>
      </c>
      <c r="AC18" s="490">
        <f>IFERROR(IF(AC$6&lt;=$E$8,INDEX('Capital Costs'!$D$15:$G$55,MATCH('Capital Cost Escalation'!$E18,'Capital Costs'!$B$15:$B$55,0),MATCH('Capital Cost Escalation'!$C18,'Capital Costs'!$D$7:$G$7,0))*AC$8*(1+$F18)^(AC$2), 0),0)</f>
        <v>0</v>
      </c>
      <c r="AD18" s="490">
        <f>IFERROR(IF(AD$6&lt;=$E$8,INDEX('Capital Costs'!$D$15:$G$55,MATCH('Capital Cost Escalation'!$E18,'Capital Costs'!$B$15:$B$55,0),MATCH('Capital Cost Escalation'!$C18,'Capital Costs'!$D$7:$G$7,0))*AD$8*(1+$F18)^(AD$2), 0),0)</f>
        <v>0</v>
      </c>
      <c r="AE18" s="490">
        <f>IFERROR(IF(AE$6&lt;=$E$8,INDEX('Capital Costs'!$D$15:$G$55,MATCH('Capital Cost Escalation'!$E18,'Capital Costs'!$B$15:$B$55,0),MATCH('Capital Cost Escalation'!$C18,'Capital Costs'!$D$7:$G$7,0))*AE$8*(1+$F18)^(AE$2), 0),0)</f>
        <v>0</v>
      </c>
      <c r="AF18" s="490">
        <f>IFERROR(IF(AF$6&lt;=$E$8,INDEX('Capital Costs'!$D$15:$G$55,MATCH('Capital Cost Escalation'!$E18,'Capital Costs'!$B$15:$B$55,0),MATCH('Capital Cost Escalation'!$C18,'Capital Costs'!$D$7:$G$7,0))*AF$8*(1+$F18)^(AF$2), 0),0)</f>
        <v>0</v>
      </c>
      <c r="AG18" s="490">
        <f>IFERROR(IF(AG$6&lt;=$E$8,INDEX('Capital Costs'!$D$15:$G$55,MATCH('Capital Cost Escalation'!$E18,'Capital Costs'!$B$15:$B$55,0),MATCH('Capital Cost Escalation'!$C18,'Capital Costs'!$D$7:$G$7,0))*AG$8*(1+$F18)^(AG$2), 0),0)</f>
        <v>0</v>
      </c>
      <c r="AH18" s="490">
        <f>IFERROR(IF(AH$6&lt;=$E$8,INDEX('Capital Costs'!$D$15:$G$55,MATCH('Capital Cost Escalation'!$E18,'Capital Costs'!$B$15:$B$55,0),MATCH('Capital Cost Escalation'!$C18,'Capital Costs'!$D$7:$G$7,0))*AH$8*(1+$F18)^(AH$2), 0),0)</f>
        <v>0</v>
      </c>
      <c r="AI18" s="490">
        <f>IFERROR(IF(AI$6&lt;=$E$8,INDEX('Capital Costs'!$D$15:$G$55,MATCH('Capital Cost Escalation'!$E18,'Capital Costs'!$B$15:$B$55,0),MATCH('Capital Cost Escalation'!$C18,'Capital Costs'!$D$7:$G$7,0))*AI$8*(1+$F18)^(AI$2), 0),0)</f>
        <v>0</v>
      </c>
      <c r="AJ18" s="490">
        <f>IFERROR(IF(AJ$6&lt;=$E$8,INDEX('Capital Costs'!$D$15:$G$55,MATCH('Capital Cost Escalation'!$E18,'Capital Costs'!$B$15:$B$55,0),MATCH('Capital Cost Escalation'!$C18,'Capital Costs'!$D$7:$G$7,0))*AJ$8*(1+$F18)^(AJ$2), 0),0)</f>
        <v>0</v>
      </c>
      <c r="AK18" s="490">
        <f>IFERROR(IF(AK$6&lt;=$E$8,INDEX('Capital Costs'!$D$15:$G$55,MATCH('Capital Cost Escalation'!$E18,'Capital Costs'!$B$15:$B$55,0),MATCH('Capital Cost Escalation'!$C18,'Capital Costs'!$D$7:$G$7,0))*AK$8*(1+$F18)^(AK$2), 0),0)</f>
        <v>0</v>
      </c>
      <c r="AL18" s="490">
        <f>IFERROR(IF(AL$6&lt;=$E$8,INDEX('Capital Costs'!$D$15:$G$55,MATCH('Capital Cost Escalation'!$E18,'Capital Costs'!$B$15:$B$55,0),MATCH('Capital Cost Escalation'!$C18,'Capital Costs'!$D$7:$G$7,0))*AL$8*(1+$F18)^(AL$2), 0),0)</f>
        <v>0</v>
      </c>
      <c r="AM18" s="490">
        <f>IFERROR(IF(AM$6&lt;=$E$8,INDEX('Capital Costs'!$D$15:$G$55,MATCH('Capital Cost Escalation'!$E18,'Capital Costs'!$B$15:$B$55,0),MATCH('Capital Cost Escalation'!$C18,'Capital Costs'!$D$7:$G$7,0))*AM$8*(1+$F18)^(AM$2), 0),0)</f>
        <v>0</v>
      </c>
      <c r="AN18" s="490">
        <f>IFERROR(IF(AN$6&lt;=$E$8,INDEX('Capital Costs'!$D$15:$G$55,MATCH('Capital Cost Escalation'!$E18,'Capital Costs'!$B$15:$B$55,0),MATCH('Capital Cost Escalation'!$C18,'Capital Costs'!$D$7:$G$7,0))*AN$8*(1+$F18)^(AN$2), 0),0)</f>
        <v>0</v>
      </c>
      <c r="AO18" s="490">
        <f>IFERROR(IF(AO$6&lt;=$E$8,INDEX('Capital Costs'!$D$15:$G$55,MATCH('Capital Cost Escalation'!$E18,'Capital Costs'!$B$15:$B$55,0),MATCH('Capital Cost Escalation'!$C18,'Capital Costs'!$D$7:$G$7,0))*AO$8*(1+$F18)^(AO$2), 0),0)</f>
        <v>0</v>
      </c>
      <c r="AP18" s="490">
        <f>IFERROR(IF(AP$6&lt;=$E$8,INDEX('Capital Costs'!$D$15:$G$55,MATCH('Capital Cost Escalation'!$E18,'Capital Costs'!$B$15:$B$55,0),MATCH('Capital Cost Escalation'!$C18,'Capital Costs'!$D$7:$G$7,0))*AP$8*(1+$F18)^(AP$2), 0),0)</f>
        <v>0</v>
      </c>
      <c r="AQ18" s="490">
        <f>IFERROR(IF(AQ$6&lt;=$E$8,INDEX('Capital Costs'!$D$15:$G$55,MATCH('Capital Cost Escalation'!$E18,'Capital Costs'!$B$15:$B$55,0),MATCH('Capital Cost Escalation'!$C18,'Capital Costs'!$D$7:$G$7,0))*AQ$8*(1+$F18)^(AQ$2), 0),0)</f>
        <v>0</v>
      </c>
      <c r="AR18" s="490">
        <f>IFERROR(IF(AR$6&lt;=$E$8,INDEX('Capital Costs'!$D$15:$G$55,MATCH('Capital Cost Escalation'!$E18,'Capital Costs'!$B$15:$B$55,0),MATCH('Capital Cost Escalation'!$C18,'Capital Costs'!$D$7:$G$7,0))*AR$8*(1+$F18)^(AR$2), 0),0)</f>
        <v>0</v>
      </c>
      <c r="AS18" s="490">
        <f>IFERROR(IF(AS$6&lt;=$E$8,INDEX('Capital Costs'!$D$15:$G$55,MATCH('Capital Cost Escalation'!$E18,'Capital Costs'!$B$15:$B$55,0),MATCH('Capital Cost Escalation'!$C18,'Capital Costs'!$D$7:$G$7,0))*AS$8*(1+$F18)^(AS$2), 0),0)</f>
        <v>0</v>
      </c>
      <c r="AT18" s="490">
        <f>IFERROR(IF(AT$6&lt;=$E$8,INDEX('Capital Costs'!$D$15:$G$55,MATCH('Capital Cost Escalation'!$E18,'Capital Costs'!$B$15:$B$55,0),MATCH('Capital Cost Escalation'!$C18,'Capital Costs'!$D$7:$G$7,0))*AT$8*(1+$F18)^(AT$2), 0),0)</f>
        <v>0</v>
      </c>
      <c r="AV18" s="827">
        <f t="shared" si="3"/>
        <v>24141403.999531616</v>
      </c>
      <c r="AW18" s="828">
        <f>INDEX('Capital Costs'!$D$15:$G$55,MATCH('Capital Cost Escalation'!$E18,'Capital Costs'!$B$15:$B$55,0),MATCH('Capital Cost Escalation'!$C18,'Capital Costs'!$D$7:$G$7,0))</f>
        <v>21281700</v>
      </c>
    </row>
    <row r="19" spans="1:49">
      <c r="A19" s="487" t="str">
        <f t="shared" si="4"/>
        <v>CT_EMAAC_Construction Labor</v>
      </c>
      <c r="B19" s="478" t="s">
        <v>76</v>
      </c>
      <c r="C19" s="488" t="s">
        <v>120</v>
      </c>
      <c r="E19" s="442" t="s">
        <v>138</v>
      </c>
      <c r="F19" s="1325">
        <f>INDEX('Capital Costs_Nominal$'!$F:$F,MATCH('Capital Cost Escalation'!$E19,'Capital Costs_Nominal$'!$C:$C,0),1)</f>
        <v>3.6840339826600399E-3</v>
      </c>
      <c r="G19" s="490">
        <f>IFERROR(IF(G$6&lt;=$E$8,INDEX('Capital Costs'!$D$15:$G$55,MATCH('Capital Cost Escalation'!$E19,'Capital Costs'!$B$15:$B$55,0),MATCH('Capital Cost Escalation'!$C19,'Capital Costs'!$D$7:$G$7,0))*G$8*(1+$F19)^(G$2), 0),0)</f>
        <v>176045.74425319475</v>
      </c>
      <c r="H19" s="490">
        <f>IFERROR(IF(H$6&lt;=$E$8,INDEX('Capital Costs'!$D$15:$G$55,MATCH('Capital Cost Escalation'!$E19,'Capital Costs'!$B$15:$B$55,0),MATCH('Capital Cost Escalation'!$C19,'Capital Costs'!$D$7:$G$7,0))*H$8*(1+$F19)^(H$2), 0),0)</f>
        <v>210242.74984813348</v>
      </c>
      <c r="I19" s="490">
        <f>IFERROR(IF(I$6&lt;=$E$8,INDEX('Capital Costs'!$D$15:$G$55,MATCH('Capital Cost Escalation'!$E19,'Capital Costs'!$B$15:$B$55,0),MATCH('Capital Cost Escalation'!$C19,'Capital Costs'!$D$7:$G$7,0))*I$8*(1+$F19)^(I$2), 0),0)</f>
        <v>1273295.88633304</v>
      </c>
      <c r="J19" s="490">
        <f>IFERROR(IF(J$6&lt;=$E$8,INDEX('Capital Costs'!$D$15:$G$55,MATCH('Capital Cost Escalation'!$E19,'Capital Costs'!$B$15:$B$55,0),MATCH('Capital Cost Escalation'!$C19,'Capital Costs'!$D$7:$G$7,0))*J$8*(1+$F19)^(J$2), 0),0)</f>
        <v>393984.88404163212</v>
      </c>
      <c r="K19" s="490">
        <f>IFERROR(IF(K$6&lt;=$E$8,INDEX('Capital Costs'!$D$15:$G$55,MATCH('Capital Cost Escalation'!$E19,'Capital Costs'!$B$15:$B$55,0),MATCH('Capital Cost Escalation'!$C19,'Capital Costs'!$D$7:$G$7,0))*K$8*(1+$F19)^(K$2), 0),0)</f>
        <v>862559.51069637667</v>
      </c>
      <c r="L19" s="490">
        <f>IFERROR(IF(L$6&lt;=$E$8,INDEX('Capital Costs'!$D$15:$G$55,MATCH('Capital Cost Escalation'!$E19,'Capital Costs'!$B$15:$B$55,0),MATCH('Capital Cost Escalation'!$C19,'Capital Costs'!$D$7:$G$7,0))*L$8*(1+$F19)^(L$2), 0),0)</f>
        <v>547919.95699533902</v>
      </c>
      <c r="M19" s="490">
        <f>IFERROR(IF(M$6&lt;=$E$8,INDEX('Capital Costs'!$D$15:$G$55,MATCH('Capital Cost Escalation'!$E19,'Capital Costs'!$B$15:$B$55,0),MATCH('Capital Cost Escalation'!$C19,'Capital Costs'!$D$7:$G$7,0))*M$8*(1+$F19)^(M$2), 0),0)</f>
        <v>1077711.2627377755</v>
      </c>
      <c r="N19" s="490">
        <f>IFERROR(IF(N$6&lt;=$E$8,INDEX('Capital Costs'!$D$15:$G$55,MATCH('Capital Cost Escalation'!$E19,'Capital Costs'!$B$15:$B$55,0),MATCH('Capital Cost Escalation'!$C19,'Capital Costs'!$D$7:$G$7,0))*N$8*(1+$F19)^(N$2), 0),0)</f>
        <v>1434697.3058848004</v>
      </c>
      <c r="O19" s="490">
        <f>IFERROR(IF(O$6&lt;=$E$8,INDEX('Capital Costs'!$D$15:$G$55,MATCH('Capital Cost Escalation'!$E19,'Capital Costs'!$B$15:$B$55,0),MATCH('Capital Cost Escalation'!$C19,'Capital Costs'!$D$7:$G$7,0))*O$8*(1+$F19)^(O$2), 0),0)</f>
        <v>2009780.8357370293</v>
      </c>
      <c r="P19" s="490">
        <f>IFERROR(IF(P$6&lt;=$E$8,INDEX('Capital Costs'!$D$15:$G$55,MATCH('Capital Cost Escalation'!$E19,'Capital Costs'!$B$15:$B$55,0),MATCH('Capital Cost Escalation'!$C19,'Capital Costs'!$D$7:$G$7,0))*P$8*(1+$F19)^(P$2), 0),0)</f>
        <v>3352976.6564248065</v>
      </c>
      <c r="Q19" s="490">
        <f>IFERROR(IF(Q$6&lt;=$E$8,INDEX('Capital Costs'!$D$15:$G$55,MATCH('Capital Cost Escalation'!$E19,'Capital Costs'!$B$15:$B$55,0),MATCH('Capital Cost Escalation'!$C19,'Capital Costs'!$D$7:$G$7,0))*Q$8*(1+$F19)^(Q$2), 0),0)</f>
        <v>4088325.3520437684</v>
      </c>
      <c r="R19" s="490">
        <f>IFERROR(IF(R$6&lt;=$E$8,INDEX('Capital Costs'!$D$15:$G$55,MATCH('Capital Cost Escalation'!$E19,'Capital Costs'!$B$15:$B$55,0),MATCH('Capital Cost Escalation'!$C19,'Capital Costs'!$D$7:$G$7,0))*R$8*(1+$F19)^(R$2), 0),0)</f>
        <v>5248840.1663381783</v>
      </c>
      <c r="S19" s="490">
        <f>IFERROR(IF(S$6&lt;=$E$8,INDEX('Capital Costs'!$D$15:$G$55,MATCH('Capital Cost Escalation'!$E19,'Capital Costs'!$B$15:$B$55,0),MATCH('Capital Cost Escalation'!$C19,'Capital Costs'!$D$7:$G$7,0))*S$8*(1+$F19)^(S$2), 0),0)</f>
        <v>5856954.8514969284</v>
      </c>
      <c r="T19" s="490">
        <f>IFERROR(IF(T$6&lt;=$E$8,INDEX('Capital Costs'!$D$15:$G$55,MATCH('Capital Cost Escalation'!$E19,'Capital Costs'!$B$15:$B$55,0),MATCH('Capital Cost Escalation'!$C19,'Capital Costs'!$D$7:$G$7,0))*T$8*(1+$F19)^(T$2), 0),0)</f>
        <v>6236107.9954155786</v>
      </c>
      <c r="U19" s="490">
        <f>IFERROR(IF(U$6&lt;=$E$8,INDEX('Capital Costs'!$D$15:$G$55,MATCH('Capital Cost Escalation'!$E19,'Capital Costs'!$B$15:$B$55,0),MATCH('Capital Cost Escalation'!$C19,'Capital Costs'!$D$7:$G$7,0))*U$8*(1+$F19)^(U$2), 0),0)</f>
        <v>5858781.2406717399</v>
      </c>
      <c r="V19" s="490">
        <f>IFERROR(IF(V$6&lt;=$E$8,INDEX('Capital Costs'!$D$15:$G$55,MATCH('Capital Cost Escalation'!$E19,'Capital Costs'!$B$15:$B$55,0),MATCH('Capital Cost Escalation'!$C19,'Capital Costs'!$D$7:$G$7,0))*V$8*(1+$F19)^(V$2), 0),0)</f>
        <v>5199967.8823654009</v>
      </c>
      <c r="W19" s="490">
        <f>IFERROR(IF(W$6&lt;=$E$8,INDEX('Capital Costs'!$D$15:$G$55,MATCH('Capital Cost Escalation'!$E19,'Capital Costs'!$B$15:$B$55,0),MATCH('Capital Cost Escalation'!$C19,'Capital Costs'!$D$7:$G$7,0))*W$8*(1+$F19)^(W$2), 0),0)</f>
        <v>3960099.7544475263</v>
      </c>
      <c r="X19" s="490">
        <f>IFERROR(IF(X$6&lt;=$E$8,INDEX('Capital Costs'!$D$15:$G$55,MATCH('Capital Cost Escalation'!$E19,'Capital Costs'!$B$15:$B$55,0),MATCH('Capital Cost Escalation'!$C19,'Capital Costs'!$D$7:$G$7,0))*X$8*(1+$F19)^(X$2), 0),0)</f>
        <v>2209191.0021255058</v>
      </c>
      <c r="Y19" s="490">
        <f>IFERROR(IF(Y$6&lt;=$E$8,INDEX('Capital Costs'!$D$15:$G$55,MATCH('Capital Cost Escalation'!$E19,'Capital Costs'!$B$15:$B$55,0),MATCH('Capital Cost Escalation'!$C19,'Capital Costs'!$D$7:$G$7,0))*Y$8*(1+$F19)^(Y$2), 0),0)</f>
        <v>468471.80703303742</v>
      </c>
      <c r="Z19" s="490">
        <f>IFERROR(IF(Z$6&lt;=$E$8,INDEX('Capital Costs'!$D$15:$G$55,MATCH('Capital Cost Escalation'!$E19,'Capital Costs'!$B$15:$B$55,0),MATCH('Capital Cost Escalation'!$C19,'Capital Costs'!$D$7:$G$7,0))*Z$8*(1+$F19)^(Z$2), 0),0)</f>
        <v>104728.38796059792</v>
      </c>
      <c r="AA19" s="490">
        <f>IFERROR(IF(AA$6&lt;=$E$8,INDEX('Capital Costs'!$D$15:$G$55,MATCH('Capital Cost Escalation'!$E19,'Capital Costs'!$B$15:$B$55,0),MATCH('Capital Cost Escalation'!$C19,'Capital Costs'!$D$7:$G$7,0))*AA$8*(1+$F19)^(AA$2), 0),0)</f>
        <v>0</v>
      </c>
      <c r="AB19" s="490">
        <f>IFERROR(IF(AB$6&lt;=$E$8,INDEX('Capital Costs'!$D$15:$G$55,MATCH('Capital Cost Escalation'!$E19,'Capital Costs'!$B$15:$B$55,0),MATCH('Capital Cost Escalation'!$C19,'Capital Costs'!$D$7:$G$7,0))*AB$8*(1+$F19)^(AB$2), 0),0)</f>
        <v>0</v>
      </c>
      <c r="AC19" s="490">
        <f>IFERROR(IF(AC$6&lt;=$E$8,INDEX('Capital Costs'!$D$15:$G$55,MATCH('Capital Cost Escalation'!$E19,'Capital Costs'!$B$15:$B$55,0),MATCH('Capital Cost Escalation'!$C19,'Capital Costs'!$D$7:$G$7,0))*AC$8*(1+$F19)^(AC$2), 0),0)</f>
        <v>0</v>
      </c>
      <c r="AD19" s="490">
        <f>IFERROR(IF(AD$6&lt;=$E$8,INDEX('Capital Costs'!$D$15:$G$55,MATCH('Capital Cost Escalation'!$E19,'Capital Costs'!$B$15:$B$55,0),MATCH('Capital Cost Escalation'!$C19,'Capital Costs'!$D$7:$G$7,0))*AD$8*(1+$F19)^(AD$2), 0),0)</f>
        <v>0</v>
      </c>
      <c r="AE19" s="490">
        <f>IFERROR(IF(AE$6&lt;=$E$8,INDEX('Capital Costs'!$D$15:$G$55,MATCH('Capital Cost Escalation'!$E19,'Capital Costs'!$B$15:$B$55,0),MATCH('Capital Cost Escalation'!$C19,'Capital Costs'!$D$7:$G$7,0))*AE$8*(1+$F19)^(AE$2), 0),0)</f>
        <v>0</v>
      </c>
      <c r="AF19" s="490">
        <f>IFERROR(IF(AF$6&lt;=$E$8,INDEX('Capital Costs'!$D$15:$G$55,MATCH('Capital Cost Escalation'!$E19,'Capital Costs'!$B$15:$B$55,0),MATCH('Capital Cost Escalation'!$C19,'Capital Costs'!$D$7:$G$7,0))*AF$8*(1+$F19)^(AF$2), 0),0)</f>
        <v>0</v>
      </c>
      <c r="AG19" s="490">
        <f>IFERROR(IF(AG$6&lt;=$E$8,INDEX('Capital Costs'!$D$15:$G$55,MATCH('Capital Cost Escalation'!$E19,'Capital Costs'!$B$15:$B$55,0),MATCH('Capital Cost Escalation'!$C19,'Capital Costs'!$D$7:$G$7,0))*AG$8*(1+$F19)^(AG$2), 0),0)</f>
        <v>0</v>
      </c>
      <c r="AH19" s="490">
        <f>IFERROR(IF(AH$6&lt;=$E$8,INDEX('Capital Costs'!$D$15:$G$55,MATCH('Capital Cost Escalation'!$E19,'Capital Costs'!$B$15:$B$55,0),MATCH('Capital Cost Escalation'!$C19,'Capital Costs'!$D$7:$G$7,0))*AH$8*(1+$F19)^(AH$2), 0),0)</f>
        <v>0</v>
      </c>
      <c r="AI19" s="490">
        <f>IFERROR(IF(AI$6&lt;=$E$8,INDEX('Capital Costs'!$D$15:$G$55,MATCH('Capital Cost Escalation'!$E19,'Capital Costs'!$B$15:$B$55,0),MATCH('Capital Cost Escalation'!$C19,'Capital Costs'!$D$7:$G$7,0))*AI$8*(1+$F19)^(AI$2), 0),0)</f>
        <v>0</v>
      </c>
      <c r="AJ19" s="490">
        <f>IFERROR(IF(AJ$6&lt;=$E$8,INDEX('Capital Costs'!$D$15:$G$55,MATCH('Capital Cost Escalation'!$E19,'Capital Costs'!$B$15:$B$55,0),MATCH('Capital Cost Escalation'!$C19,'Capital Costs'!$D$7:$G$7,0))*AJ$8*(1+$F19)^(AJ$2), 0),0)</f>
        <v>0</v>
      </c>
      <c r="AK19" s="490">
        <f>IFERROR(IF(AK$6&lt;=$E$8,INDEX('Capital Costs'!$D$15:$G$55,MATCH('Capital Cost Escalation'!$E19,'Capital Costs'!$B$15:$B$55,0),MATCH('Capital Cost Escalation'!$C19,'Capital Costs'!$D$7:$G$7,0))*AK$8*(1+$F19)^(AK$2), 0),0)</f>
        <v>0</v>
      </c>
      <c r="AL19" s="490">
        <f>IFERROR(IF(AL$6&lt;=$E$8,INDEX('Capital Costs'!$D$15:$G$55,MATCH('Capital Cost Escalation'!$E19,'Capital Costs'!$B$15:$B$55,0),MATCH('Capital Cost Escalation'!$C19,'Capital Costs'!$D$7:$G$7,0))*AL$8*(1+$F19)^(AL$2), 0),0)</f>
        <v>0</v>
      </c>
      <c r="AM19" s="490">
        <f>IFERROR(IF(AM$6&lt;=$E$8,INDEX('Capital Costs'!$D$15:$G$55,MATCH('Capital Cost Escalation'!$E19,'Capital Costs'!$B$15:$B$55,0),MATCH('Capital Cost Escalation'!$C19,'Capital Costs'!$D$7:$G$7,0))*AM$8*(1+$F19)^(AM$2), 0),0)</f>
        <v>0</v>
      </c>
      <c r="AN19" s="490">
        <f>IFERROR(IF(AN$6&lt;=$E$8,INDEX('Capital Costs'!$D$15:$G$55,MATCH('Capital Cost Escalation'!$E19,'Capital Costs'!$B$15:$B$55,0),MATCH('Capital Cost Escalation'!$C19,'Capital Costs'!$D$7:$G$7,0))*AN$8*(1+$F19)^(AN$2), 0),0)</f>
        <v>0</v>
      </c>
      <c r="AO19" s="490">
        <f>IFERROR(IF(AO$6&lt;=$E$8,INDEX('Capital Costs'!$D$15:$G$55,MATCH('Capital Cost Escalation'!$E19,'Capital Costs'!$B$15:$B$55,0),MATCH('Capital Cost Escalation'!$C19,'Capital Costs'!$D$7:$G$7,0))*AO$8*(1+$F19)^(AO$2), 0),0)</f>
        <v>0</v>
      </c>
      <c r="AP19" s="490">
        <f>IFERROR(IF(AP$6&lt;=$E$8,INDEX('Capital Costs'!$D$15:$G$55,MATCH('Capital Cost Escalation'!$E19,'Capital Costs'!$B$15:$B$55,0),MATCH('Capital Cost Escalation'!$C19,'Capital Costs'!$D$7:$G$7,0))*AP$8*(1+$F19)^(AP$2), 0),0)</f>
        <v>0</v>
      </c>
      <c r="AQ19" s="490">
        <f>IFERROR(IF(AQ$6&lt;=$E$8,INDEX('Capital Costs'!$D$15:$G$55,MATCH('Capital Cost Escalation'!$E19,'Capital Costs'!$B$15:$B$55,0),MATCH('Capital Cost Escalation'!$C19,'Capital Costs'!$D$7:$G$7,0))*AQ$8*(1+$F19)^(AQ$2), 0),0)</f>
        <v>0</v>
      </c>
      <c r="AR19" s="490">
        <f>IFERROR(IF(AR$6&lt;=$E$8,INDEX('Capital Costs'!$D$15:$G$55,MATCH('Capital Cost Escalation'!$E19,'Capital Costs'!$B$15:$B$55,0),MATCH('Capital Cost Escalation'!$C19,'Capital Costs'!$D$7:$G$7,0))*AR$8*(1+$F19)^(AR$2), 0),0)</f>
        <v>0</v>
      </c>
      <c r="AS19" s="490">
        <f>IFERROR(IF(AS$6&lt;=$E$8,INDEX('Capital Costs'!$D$15:$G$55,MATCH('Capital Cost Escalation'!$E19,'Capital Costs'!$B$15:$B$55,0),MATCH('Capital Cost Escalation'!$C19,'Capital Costs'!$D$7:$G$7,0))*AS$8*(1+$F19)^(AS$2), 0),0)</f>
        <v>0</v>
      </c>
      <c r="AT19" s="490">
        <f>IFERROR(IF(AT$6&lt;=$E$8,INDEX('Capital Costs'!$D$15:$G$55,MATCH('Capital Cost Escalation'!$E19,'Capital Costs'!$B$15:$B$55,0),MATCH('Capital Cost Escalation'!$C19,'Capital Costs'!$D$7:$G$7,0))*AT$8*(1+$F19)^(AT$2), 0),0)</f>
        <v>0</v>
      </c>
      <c r="AV19" s="827">
        <f t="shared" si="3"/>
        <v>50570683.232850395</v>
      </c>
      <c r="AW19" s="828">
        <f>INDEX('Capital Costs'!$D$15:$G$55,MATCH('Capital Cost Escalation'!$E19,'Capital Costs'!$B$15:$B$55,0),MATCH('Capital Cost Escalation'!$C19,'Capital Costs'!$D$7:$G$7,0))</f>
        <v>41657600</v>
      </c>
    </row>
    <row r="20" spans="1:49">
      <c r="A20" s="487" t="str">
        <f t="shared" si="4"/>
        <v xml:space="preserve">CT_EMAAC_Other Labor </v>
      </c>
      <c r="B20" s="478" t="s">
        <v>76</v>
      </c>
      <c r="C20" s="488" t="s">
        <v>120</v>
      </c>
      <c r="E20" s="442" t="s">
        <v>139</v>
      </c>
      <c r="F20" s="1325">
        <f>INDEX('Capital Costs_Nominal$'!$F:$F,MATCH('Capital Cost Escalation'!$E20,'Capital Costs_Nominal$'!$C:$C,0),1)</f>
        <v>3.6840339826600399E-3</v>
      </c>
      <c r="G20" s="490">
        <f>IFERROR(IF(G$6&lt;=$E$8,INDEX('Capital Costs'!$D$15:$G$55,MATCH('Capital Cost Escalation'!$E20,'Capital Costs'!$B$15:$B$55,0),MATCH('Capital Cost Escalation'!$C20,'Capital Costs'!$D$7:$G$7,0))*G$8*(1+$F20)^(G$2), 0),0)</f>
        <v>57100.257289221314</v>
      </c>
      <c r="H20" s="490">
        <f>IFERROR(IF(H$6&lt;=$E$8,INDEX('Capital Costs'!$D$15:$G$55,MATCH('Capital Cost Escalation'!$E20,'Capital Costs'!$B$15:$B$55,0),MATCH('Capital Cost Escalation'!$C20,'Capital Costs'!$D$7:$G$7,0))*H$8*(1+$F20)^(H$2), 0),0)</f>
        <v>68192.021116147836</v>
      </c>
      <c r="I20" s="490">
        <f>IFERROR(IF(I$6&lt;=$E$8,INDEX('Capital Costs'!$D$15:$G$55,MATCH('Capital Cost Escalation'!$E20,'Capital Costs'!$B$15:$B$55,0),MATCH('Capital Cost Escalation'!$C20,'Capital Costs'!$D$7:$G$7,0))*I$8*(1+$F20)^(I$2), 0),0)</f>
        <v>412992.21985370026</v>
      </c>
      <c r="J20" s="490">
        <f>IFERROR(IF(J$6&lt;=$E$8,INDEX('Capital Costs'!$D$15:$G$55,MATCH('Capital Cost Escalation'!$E20,'Capital Costs'!$B$15:$B$55,0),MATCH('Capital Cost Escalation'!$C20,'Capital Costs'!$D$7:$G$7,0))*J$8*(1+$F20)^(J$2), 0),0)</f>
        <v>127788.59461939517</v>
      </c>
      <c r="K20" s="490">
        <f>IFERROR(IF(K$6&lt;=$E$8,INDEX('Capital Costs'!$D$15:$G$55,MATCH('Capital Cost Escalation'!$E20,'Capital Costs'!$B$15:$B$55,0),MATCH('Capital Cost Escalation'!$C20,'Capital Costs'!$D$7:$G$7,0))*K$8*(1+$F20)^(K$2), 0),0)</f>
        <v>279770.29604982433</v>
      </c>
      <c r="L20" s="490">
        <f>IFERROR(IF(L$6&lt;=$E$8,INDEX('Capital Costs'!$D$15:$G$55,MATCH('Capital Cost Escalation'!$E20,'Capital Costs'!$B$15:$B$55,0),MATCH('Capital Cost Escalation'!$C20,'Capital Costs'!$D$7:$G$7,0))*L$8*(1+$F20)^(L$2), 0),0)</f>
        <v>177717.27826226721</v>
      </c>
      <c r="M20" s="490">
        <f>IFERROR(IF(M$6&lt;=$E$8,INDEX('Capital Costs'!$D$15:$G$55,MATCH('Capital Cost Escalation'!$E20,'Capital Costs'!$B$15:$B$55,0),MATCH('Capital Cost Escalation'!$C20,'Capital Costs'!$D$7:$G$7,0))*M$8*(1+$F20)^(M$2), 0),0)</f>
        <v>349554.54701201525</v>
      </c>
      <c r="N20" s="490">
        <f>IFERROR(IF(N$6&lt;=$E$8,INDEX('Capital Costs'!$D$15:$G$55,MATCH('Capital Cost Escalation'!$E20,'Capital Costs'!$B$15:$B$55,0),MATCH('Capital Cost Escalation'!$C20,'Capital Costs'!$D$7:$G$7,0))*N$8*(1+$F20)^(N$2), 0),0)</f>
        <v>465342.60538756609</v>
      </c>
      <c r="O20" s="490">
        <f>IFERROR(IF(O$6&lt;=$E$8,INDEX('Capital Costs'!$D$15:$G$55,MATCH('Capital Cost Escalation'!$E20,'Capital Costs'!$B$15:$B$55,0),MATCH('Capital Cost Escalation'!$C20,'Capital Costs'!$D$7:$G$7,0))*O$8*(1+$F20)^(O$2), 0),0)</f>
        <v>651870.36075396684</v>
      </c>
      <c r="P20" s="490">
        <f>IFERROR(IF(P$6&lt;=$E$8,INDEX('Capital Costs'!$D$15:$G$55,MATCH('Capital Cost Escalation'!$E20,'Capital Costs'!$B$15:$B$55,0),MATCH('Capital Cost Escalation'!$C20,'Capital Costs'!$D$7:$G$7,0))*P$8*(1+$F20)^(P$2), 0),0)</f>
        <v>1087534.5529014973</v>
      </c>
      <c r="Q20" s="490">
        <f>IFERROR(IF(Q$6&lt;=$E$8,INDEX('Capital Costs'!$D$15:$G$55,MATCH('Capital Cost Escalation'!$E20,'Capital Costs'!$B$15:$B$55,0),MATCH('Capital Cost Escalation'!$C20,'Capital Costs'!$D$7:$G$7,0))*Q$8*(1+$F20)^(Q$2), 0),0)</f>
        <v>1326044.1510474577</v>
      </c>
      <c r="R20" s="490">
        <f>IFERROR(IF(R$6&lt;=$E$8,INDEX('Capital Costs'!$D$15:$G$55,MATCH('Capital Cost Escalation'!$E20,'Capital Costs'!$B$15:$B$55,0),MATCH('Capital Cost Escalation'!$C20,'Capital Costs'!$D$7:$G$7,0))*R$8*(1+$F20)^(R$2), 0),0)</f>
        <v>1702455.9454095997</v>
      </c>
      <c r="S20" s="490">
        <f>IFERROR(IF(S$6&lt;=$E$8,INDEX('Capital Costs'!$D$15:$G$55,MATCH('Capital Cost Escalation'!$E20,'Capital Costs'!$B$15:$B$55,0),MATCH('Capital Cost Escalation'!$C20,'Capital Costs'!$D$7:$G$7,0))*S$8*(1+$F20)^(S$2), 0),0)</f>
        <v>1899697.3222529839</v>
      </c>
      <c r="T20" s="490">
        <f>IFERROR(IF(T$6&lt;=$E$8,INDEX('Capital Costs'!$D$15:$G$55,MATCH('Capital Cost Escalation'!$E20,'Capital Costs'!$B$15:$B$55,0),MATCH('Capital Cost Escalation'!$C20,'Capital Costs'!$D$7:$G$7,0))*T$8*(1+$F20)^(T$2), 0),0)</f>
        <v>2022675.2571165194</v>
      </c>
      <c r="U20" s="490">
        <f>IFERROR(IF(U$6&lt;=$E$8,INDEX('Capital Costs'!$D$15:$G$55,MATCH('Capital Cost Escalation'!$E20,'Capital Costs'!$B$15:$B$55,0),MATCH('Capital Cost Escalation'!$C20,'Capital Costs'!$D$7:$G$7,0))*U$8*(1+$F20)^(U$2), 0),0)</f>
        <v>1900289.7097158809</v>
      </c>
      <c r="V20" s="490">
        <f>IFERROR(IF(V$6&lt;=$E$8,INDEX('Capital Costs'!$D$15:$G$55,MATCH('Capital Cost Escalation'!$E20,'Capital Costs'!$B$15:$B$55,0),MATCH('Capital Cost Escalation'!$C20,'Capital Costs'!$D$7:$G$7,0))*V$8*(1+$F20)^(V$2), 0),0)</f>
        <v>1686604.2700339998</v>
      </c>
      <c r="W20" s="490">
        <f>IFERROR(IF(W$6&lt;=$E$8,INDEX('Capital Costs'!$D$15:$G$55,MATCH('Capital Cost Escalation'!$E20,'Capital Costs'!$B$15:$B$55,0),MATCH('Capital Cost Escalation'!$C20,'Capital Costs'!$D$7:$G$7,0))*W$8*(1+$F20)^(W$2), 0),0)</f>
        <v>1284454.3094703776</v>
      </c>
      <c r="X20" s="490">
        <f>IFERROR(IF(X$6&lt;=$E$8,INDEX('Capital Costs'!$D$15:$G$55,MATCH('Capital Cost Escalation'!$E20,'Capital Costs'!$B$15:$B$55,0),MATCH('Capital Cost Escalation'!$C20,'Capital Costs'!$D$7:$G$7,0))*X$8*(1+$F20)^(X$2), 0),0)</f>
        <v>716548.84449221706</v>
      </c>
      <c r="Y20" s="490">
        <f>IFERROR(IF(Y$6&lt;=$E$8,INDEX('Capital Costs'!$D$15:$G$55,MATCH('Capital Cost Escalation'!$E20,'Capital Costs'!$B$15:$B$55,0),MATCH('Capital Cost Escalation'!$C20,'Capital Costs'!$D$7:$G$7,0))*Y$8*(1+$F20)^(Y$2), 0),0)</f>
        <v>151948.35199117541</v>
      </c>
      <c r="Z20" s="490">
        <f>IFERROR(IF(Z$6&lt;=$E$8,INDEX('Capital Costs'!$D$15:$G$55,MATCH('Capital Cost Escalation'!$E20,'Capital Costs'!$B$15:$B$55,0),MATCH('Capital Cost Escalation'!$C20,'Capital Costs'!$D$7:$G$7,0))*Z$8*(1+$F20)^(Z$2), 0),0)</f>
        <v>33968.545637972777</v>
      </c>
      <c r="AA20" s="490">
        <f>IFERROR(IF(AA$6&lt;=$E$8,INDEX('Capital Costs'!$D$15:$G$55,MATCH('Capital Cost Escalation'!$E20,'Capital Costs'!$B$15:$B$55,0),MATCH('Capital Cost Escalation'!$C20,'Capital Costs'!$D$7:$G$7,0))*AA$8*(1+$F20)^(AA$2), 0),0)</f>
        <v>0</v>
      </c>
      <c r="AB20" s="490">
        <f>IFERROR(IF(AB$6&lt;=$E$8,INDEX('Capital Costs'!$D$15:$G$55,MATCH('Capital Cost Escalation'!$E20,'Capital Costs'!$B$15:$B$55,0),MATCH('Capital Cost Escalation'!$C20,'Capital Costs'!$D$7:$G$7,0))*AB$8*(1+$F20)^(AB$2), 0),0)</f>
        <v>0</v>
      </c>
      <c r="AC20" s="490">
        <f>IFERROR(IF(AC$6&lt;=$E$8,INDEX('Capital Costs'!$D$15:$G$55,MATCH('Capital Cost Escalation'!$E20,'Capital Costs'!$B$15:$B$55,0),MATCH('Capital Cost Escalation'!$C20,'Capital Costs'!$D$7:$G$7,0))*AC$8*(1+$F20)^(AC$2), 0),0)</f>
        <v>0</v>
      </c>
      <c r="AD20" s="490">
        <f>IFERROR(IF(AD$6&lt;=$E$8,INDEX('Capital Costs'!$D$15:$G$55,MATCH('Capital Cost Escalation'!$E20,'Capital Costs'!$B$15:$B$55,0),MATCH('Capital Cost Escalation'!$C20,'Capital Costs'!$D$7:$G$7,0))*AD$8*(1+$F20)^(AD$2), 0),0)</f>
        <v>0</v>
      </c>
      <c r="AE20" s="490">
        <f>IFERROR(IF(AE$6&lt;=$E$8,INDEX('Capital Costs'!$D$15:$G$55,MATCH('Capital Cost Escalation'!$E20,'Capital Costs'!$B$15:$B$55,0),MATCH('Capital Cost Escalation'!$C20,'Capital Costs'!$D$7:$G$7,0))*AE$8*(1+$F20)^(AE$2), 0),0)</f>
        <v>0</v>
      </c>
      <c r="AF20" s="490">
        <f>IFERROR(IF(AF$6&lt;=$E$8,INDEX('Capital Costs'!$D$15:$G$55,MATCH('Capital Cost Escalation'!$E20,'Capital Costs'!$B$15:$B$55,0),MATCH('Capital Cost Escalation'!$C20,'Capital Costs'!$D$7:$G$7,0))*AF$8*(1+$F20)^(AF$2), 0),0)</f>
        <v>0</v>
      </c>
      <c r="AG20" s="490">
        <f>IFERROR(IF(AG$6&lt;=$E$8,INDEX('Capital Costs'!$D$15:$G$55,MATCH('Capital Cost Escalation'!$E20,'Capital Costs'!$B$15:$B$55,0),MATCH('Capital Cost Escalation'!$C20,'Capital Costs'!$D$7:$G$7,0))*AG$8*(1+$F20)^(AG$2), 0),0)</f>
        <v>0</v>
      </c>
      <c r="AH20" s="490">
        <f>IFERROR(IF(AH$6&lt;=$E$8,INDEX('Capital Costs'!$D$15:$G$55,MATCH('Capital Cost Escalation'!$E20,'Capital Costs'!$B$15:$B$55,0),MATCH('Capital Cost Escalation'!$C20,'Capital Costs'!$D$7:$G$7,0))*AH$8*(1+$F20)^(AH$2), 0),0)</f>
        <v>0</v>
      </c>
      <c r="AI20" s="490">
        <f>IFERROR(IF(AI$6&lt;=$E$8,INDEX('Capital Costs'!$D$15:$G$55,MATCH('Capital Cost Escalation'!$E20,'Capital Costs'!$B$15:$B$55,0),MATCH('Capital Cost Escalation'!$C20,'Capital Costs'!$D$7:$G$7,0))*AI$8*(1+$F20)^(AI$2), 0),0)</f>
        <v>0</v>
      </c>
      <c r="AJ20" s="490">
        <f>IFERROR(IF(AJ$6&lt;=$E$8,INDEX('Capital Costs'!$D$15:$G$55,MATCH('Capital Cost Escalation'!$E20,'Capital Costs'!$B$15:$B$55,0),MATCH('Capital Cost Escalation'!$C20,'Capital Costs'!$D$7:$G$7,0))*AJ$8*(1+$F20)^(AJ$2), 0),0)</f>
        <v>0</v>
      </c>
      <c r="AK20" s="490">
        <f>IFERROR(IF(AK$6&lt;=$E$8,INDEX('Capital Costs'!$D$15:$G$55,MATCH('Capital Cost Escalation'!$E20,'Capital Costs'!$B$15:$B$55,0),MATCH('Capital Cost Escalation'!$C20,'Capital Costs'!$D$7:$G$7,0))*AK$8*(1+$F20)^(AK$2), 0),0)</f>
        <v>0</v>
      </c>
      <c r="AL20" s="490">
        <f>IFERROR(IF(AL$6&lt;=$E$8,INDEX('Capital Costs'!$D$15:$G$55,MATCH('Capital Cost Escalation'!$E20,'Capital Costs'!$B$15:$B$55,0),MATCH('Capital Cost Escalation'!$C20,'Capital Costs'!$D$7:$G$7,0))*AL$8*(1+$F20)^(AL$2), 0),0)</f>
        <v>0</v>
      </c>
      <c r="AM20" s="490">
        <f>IFERROR(IF(AM$6&lt;=$E$8,INDEX('Capital Costs'!$D$15:$G$55,MATCH('Capital Cost Escalation'!$E20,'Capital Costs'!$B$15:$B$55,0),MATCH('Capital Cost Escalation'!$C20,'Capital Costs'!$D$7:$G$7,0))*AM$8*(1+$F20)^(AM$2), 0),0)</f>
        <v>0</v>
      </c>
      <c r="AN20" s="490">
        <f>IFERROR(IF(AN$6&lt;=$E$8,INDEX('Capital Costs'!$D$15:$G$55,MATCH('Capital Cost Escalation'!$E20,'Capital Costs'!$B$15:$B$55,0),MATCH('Capital Cost Escalation'!$C20,'Capital Costs'!$D$7:$G$7,0))*AN$8*(1+$F20)^(AN$2), 0),0)</f>
        <v>0</v>
      </c>
      <c r="AO20" s="490">
        <f>IFERROR(IF(AO$6&lt;=$E$8,INDEX('Capital Costs'!$D$15:$G$55,MATCH('Capital Cost Escalation'!$E20,'Capital Costs'!$B$15:$B$55,0),MATCH('Capital Cost Escalation'!$C20,'Capital Costs'!$D$7:$G$7,0))*AO$8*(1+$F20)^(AO$2), 0),0)</f>
        <v>0</v>
      </c>
      <c r="AP20" s="490">
        <f>IFERROR(IF(AP$6&lt;=$E$8,INDEX('Capital Costs'!$D$15:$G$55,MATCH('Capital Cost Escalation'!$E20,'Capital Costs'!$B$15:$B$55,0),MATCH('Capital Cost Escalation'!$C20,'Capital Costs'!$D$7:$G$7,0))*AP$8*(1+$F20)^(AP$2), 0),0)</f>
        <v>0</v>
      </c>
      <c r="AQ20" s="490">
        <f>IFERROR(IF(AQ$6&lt;=$E$8,INDEX('Capital Costs'!$D$15:$G$55,MATCH('Capital Cost Escalation'!$E20,'Capital Costs'!$B$15:$B$55,0),MATCH('Capital Cost Escalation'!$C20,'Capital Costs'!$D$7:$G$7,0))*AQ$8*(1+$F20)^(AQ$2), 0),0)</f>
        <v>0</v>
      </c>
      <c r="AR20" s="490">
        <f>IFERROR(IF(AR$6&lt;=$E$8,INDEX('Capital Costs'!$D$15:$G$55,MATCH('Capital Cost Escalation'!$E20,'Capital Costs'!$B$15:$B$55,0),MATCH('Capital Cost Escalation'!$C20,'Capital Costs'!$D$7:$G$7,0))*AR$8*(1+$F20)^(AR$2), 0),0)</f>
        <v>0</v>
      </c>
      <c r="AS20" s="490">
        <f>IFERROR(IF(AS$6&lt;=$E$8,INDEX('Capital Costs'!$D$15:$G$55,MATCH('Capital Cost Escalation'!$E20,'Capital Costs'!$B$15:$B$55,0),MATCH('Capital Cost Escalation'!$C20,'Capital Costs'!$D$7:$G$7,0))*AS$8*(1+$F20)^(AS$2), 0),0)</f>
        <v>0</v>
      </c>
      <c r="AT20" s="490">
        <f>IFERROR(IF(AT$6&lt;=$E$8,INDEX('Capital Costs'!$D$15:$G$55,MATCH('Capital Cost Escalation'!$E20,'Capital Costs'!$B$15:$B$55,0),MATCH('Capital Cost Escalation'!$C20,'Capital Costs'!$D$7:$G$7,0))*AT$8*(1+$F20)^(AT$2), 0),0)</f>
        <v>0</v>
      </c>
      <c r="AV20" s="827">
        <f t="shared" si="3"/>
        <v>16402549.440413786</v>
      </c>
      <c r="AW20" s="828">
        <f>INDEX('Capital Costs'!$D$15:$G$55,MATCH('Capital Cost Escalation'!$E20,'Capital Costs'!$B$15:$B$55,0),MATCH('Capital Cost Escalation'!$C20,'Capital Costs'!$D$7:$G$7,0))</f>
        <v>13511600</v>
      </c>
    </row>
    <row r="21" spans="1:49">
      <c r="A21" s="487" t="str">
        <f t="shared" si="4"/>
        <v>CT_EMAAC_Materials</v>
      </c>
      <c r="B21" s="478" t="s">
        <v>76</v>
      </c>
      <c r="C21" s="488" t="s">
        <v>120</v>
      </c>
      <c r="E21" s="442" t="s">
        <v>140</v>
      </c>
      <c r="F21" s="1325">
        <f>INDEX('Capital Costs_Nominal$'!$F:$F,MATCH('Capital Cost Escalation'!$E21,'Capital Costs_Nominal$'!$C:$C,0),1)</f>
        <v>2.3944839450136257E-3</v>
      </c>
      <c r="G21" s="490">
        <f>IFERROR(IF(G$6&lt;=$E$8,INDEX('Capital Costs'!$D$15:$G$55,MATCH('Capital Cost Escalation'!$E21,'Capital Costs'!$B$15:$B$55,0),MATCH('Capital Cost Escalation'!$C21,'Capital Costs'!$D$7:$G$7,0))*G$8*(1+$F21)^(G$2), 0),0)</f>
        <v>28651.717687471421</v>
      </c>
      <c r="H21" s="490">
        <f>IFERROR(IF(H$6&lt;=$E$8,INDEX('Capital Costs'!$D$15:$G$55,MATCH('Capital Cost Escalation'!$E21,'Capital Costs'!$B$15:$B$55,0),MATCH('Capital Cost Escalation'!$C21,'Capital Costs'!$D$7:$G$7,0))*H$8*(1+$F21)^(H$2), 0),0)</f>
        <v>34173.370339322704</v>
      </c>
      <c r="I21" s="490">
        <f>IFERROR(IF(I$6&lt;=$E$8,INDEX('Capital Costs'!$D$15:$G$55,MATCH('Capital Cost Escalation'!$E21,'Capital Costs'!$B$15:$B$55,0),MATCH('Capital Cost Escalation'!$C21,'Capital Costs'!$D$7:$G$7,0))*I$8*(1+$F21)^(I$2), 0),0)</f>
        <v>206698.71335851497</v>
      </c>
      <c r="J21" s="490">
        <f>IFERROR(IF(J$6&lt;=$E$8,INDEX('Capital Costs'!$D$15:$G$55,MATCH('Capital Cost Escalation'!$E21,'Capital Costs'!$B$15:$B$55,0),MATCH('Capital Cost Escalation'!$C21,'Capital Costs'!$D$7:$G$7,0))*J$8*(1+$F21)^(J$2), 0),0)</f>
        <v>63874.814122381125</v>
      </c>
      <c r="K21" s="490">
        <f>IFERROR(IF(K$6&lt;=$E$8,INDEX('Capital Costs'!$D$15:$G$55,MATCH('Capital Cost Escalation'!$E21,'Capital Costs'!$B$15:$B$55,0),MATCH('Capital Cost Escalation'!$C21,'Capital Costs'!$D$7:$G$7,0))*K$8*(1+$F21)^(K$2), 0),0)</f>
        <v>139662.82109278609</v>
      </c>
      <c r="L21" s="490">
        <f>IFERROR(IF(L$6&lt;=$E$8,INDEX('Capital Costs'!$D$15:$G$55,MATCH('Capital Cost Escalation'!$E21,'Capital Costs'!$B$15:$B$55,0),MATCH('Capital Cost Escalation'!$C21,'Capital Costs'!$D$7:$G$7,0))*L$8*(1+$F21)^(L$2), 0),0)</f>
        <v>88603.425738858612</v>
      </c>
      <c r="M21" s="490">
        <f>IFERROR(IF(M$6&lt;=$E$8,INDEX('Capital Costs'!$D$15:$G$55,MATCH('Capital Cost Escalation'!$E21,'Capital Costs'!$B$15:$B$55,0),MATCH('Capital Cost Escalation'!$C21,'Capital Costs'!$D$7:$G$7,0))*M$8*(1+$F21)^(M$2), 0),0)</f>
        <v>174051.37898257526</v>
      </c>
      <c r="N21" s="490">
        <f>IFERROR(IF(N$6&lt;=$E$8,INDEX('Capital Costs'!$D$15:$G$55,MATCH('Capital Cost Escalation'!$E21,'Capital Costs'!$B$15:$B$55,0),MATCH('Capital Cost Escalation'!$C21,'Capital Costs'!$D$7:$G$7,0))*N$8*(1+$F21)^(N$2), 0),0)</f>
        <v>231407.26111635004</v>
      </c>
      <c r="O21" s="490">
        <f>IFERROR(IF(O$6&lt;=$E$8,INDEX('Capital Costs'!$D$15:$G$55,MATCH('Capital Cost Escalation'!$E21,'Capital Costs'!$B$15:$B$55,0),MATCH('Capital Cost Escalation'!$C21,'Capital Costs'!$D$7:$G$7,0))*O$8*(1+$F21)^(O$2), 0),0)</f>
        <v>323747.96892557305</v>
      </c>
      <c r="P21" s="490">
        <f>IFERROR(IF(P$6&lt;=$E$8,INDEX('Capital Costs'!$D$15:$G$55,MATCH('Capital Cost Escalation'!$E21,'Capital Costs'!$B$15:$B$55,0),MATCH('Capital Cost Escalation'!$C21,'Capital Costs'!$D$7:$G$7,0))*P$8*(1+$F21)^(P$2), 0),0)</f>
        <v>539424.33405308344</v>
      </c>
      <c r="Q21" s="490">
        <f>IFERROR(IF(Q$6&lt;=$E$8,INDEX('Capital Costs'!$D$15:$G$55,MATCH('Capital Cost Escalation'!$E21,'Capital Costs'!$B$15:$B$55,0),MATCH('Capital Cost Escalation'!$C21,'Capital Costs'!$D$7:$G$7,0))*Q$8*(1+$F21)^(Q$2), 0),0)</f>
        <v>656881.6146307782</v>
      </c>
      <c r="R21" s="490">
        <f>IFERROR(IF(R$6&lt;=$E$8,INDEX('Capital Costs'!$D$15:$G$55,MATCH('Capital Cost Escalation'!$E21,'Capital Costs'!$B$15:$B$55,0),MATCH('Capital Cost Escalation'!$C21,'Capital Costs'!$D$7:$G$7,0))*R$8*(1+$F21)^(R$2), 0),0)</f>
        <v>842260.9333158317</v>
      </c>
      <c r="S21" s="490">
        <f>IFERROR(IF(S$6&lt;=$E$8,INDEX('Capital Costs'!$D$15:$G$55,MATCH('Capital Cost Escalation'!$E21,'Capital Costs'!$B$15:$B$55,0),MATCH('Capital Cost Escalation'!$C21,'Capital Costs'!$D$7:$G$7,0))*S$8*(1+$F21)^(S$2), 0),0)</f>
        <v>938635.20212019118</v>
      </c>
      <c r="T21" s="490">
        <f>IFERROR(IF(T$6&lt;=$E$8,INDEX('Capital Costs'!$D$15:$G$55,MATCH('Capital Cost Escalation'!$E21,'Capital Costs'!$B$15:$B$55,0),MATCH('Capital Cost Escalation'!$C21,'Capital Costs'!$D$7:$G$7,0))*T$8*(1+$F21)^(T$2), 0),0)</f>
        <v>998114.21660716436</v>
      </c>
      <c r="U21" s="490">
        <f>IFERROR(IF(U$6&lt;=$E$8,INDEX('Capital Costs'!$D$15:$G$55,MATCH('Capital Cost Escalation'!$E21,'Capital Costs'!$B$15:$B$55,0),MATCH('Capital Cost Escalation'!$C21,'Capital Costs'!$D$7:$G$7,0))*U$8*(1+$F21)^(U$2), 0),0)</f>
        <v>936516.7485245734</v>
      </c>
      <c r="V21" s="490">
        <f>IFERROR(IF(V$6&lt;=$E$8,INDEX('Capital Costs'!$D$15:$G$55,MATCH('Capital Cost Escalation'!$E21,'Capital Costs'!$B$15:$B$55,0),MATCH('Capital Cost Escalation'!$C21,'Capital Costs'!$D$7:$G$7,0))*V$8*(1+$F21)^(V$2), 0),0)</f>
        <v>830138.54589793913</v>
      </c>
      <c r="W21" s="490">
        <f>IFERROR(IF(W$6&lt;=$E$8,INDEX('Capital Costs'!$D$15:$G$55,MATCH('Capital Cost Escalation'!$E21,'Capital Costs'!$B$15:$B$55,0),MATCH('Capital Cost Escalation'!$C21,'Capital Costs'!$D$7:$G$7,0))*W$8*(1+$F21)^(W$2), 0),0)</f>
        <v>631389.99684536201</v>
      </c>
      <c r="X21" s="490">
        <f>IFERROR(IF(X$6&lt;=$E$8,INDEX('Capital Costs'!$D$15:$G$55,MATCH('Capital Cost Escalation'!$E21,'Capital Costs'!$B$15:$B$55,0),MATCH('Capital Cost Escalation'!$C21,'Capital Costs'!$D$7:$G$7,0))*X$8*(1+$F21)^(X$2), 0),0)</f>
        <v>351776.22922815022</v>
      </c>
      <c r="Y21" s="490">
        <f>IFERROR(IF(Y$6&lt;=$E$8,INDEX('Capital Costs'!$D$15:$G$55,MATCH('Capital Cost Escalation'!$E21,'Capital Costs'!$B$15:$B$55,0),MATCH('Capital Cost Escalation'!$C21,'Capital Costs'!$D$7:$G$7,0))*Y$8*(1+$F21)^(Y$2), 0),0)</f>
        <v>74500.353912873412</v>
      </c>
      <c r="Z21" s="490">
        <f>IFERROR(IF(Z$6&lt;=$E$8,INDEX('Capital Costs'!$D$15:$G$55,MATCH('Capital Cost Escalation'!$E21,'Capital Costs'!$B$15:$B$55,0),MATCH('Capital Cost Escalation'!$C21,'Capital Costs'!$D$7:$G$7,0))*Z$8*(1+$F21)^(Z$2), 0),0)</f>
        <v>16633.396765209392</v>
      </c>
      <c r="AA21" s="490">
        <f>IFERROR(IF(AA$6&lt;=$E$8,INDEX('Capital Costs'!$D$15:$G$55,MATCH('Capital Cost Escalation'!$E21,'Capital Costs'!$B$15:$B$55,0),MATCH('Capital Cost Escalation'!$C21,'Capital Costs'!$D$7:$G$7,0))*AA$8*(1+$F21)^(AA$2), 0),0)</f>
        <v>0</v>
      </c>
      <c r="AB21" s="490">
        <f>IFERROR(IF(AB$6&lt;=$E$8,INDEX('Capital Costs'!$D$15:$G$55,MATCH('Capital Cost Escalation'!$E21,'Capital Costs'!$B$15:$B$55,0),MATCH('Capital Cost Escalation'!$C21,'Capital Costs'!$D$7:$G$7,0))*AB$8*(1+$F21)^(AB$2), 0),0)</f>
        <v>0</v>
      </c>
      <c r="AC21" s="490">
        <f>IFERROR(IF(AC$6&lt;=$E$8,INDEX('Capital Costs'!$D$15:$G$55,MATCH('Capital Cost Escalation'!$E21,'Capital Costs'!$B$15:$B$55,0),MATCH('Capital Cost Escalation'!$C21,'Capital Costs'!$D$7:$G$7,0))*AC$8*(1+$F21)^(AC$2), 0),0)</f>
        <v>0</v>
      </c>
      <c r="AD21" s="490">
        <f>IFERROR(IF(AD$6&lt;=$E$8,INDEX('Capital Costs'!$D$15:$G$55,MATCH('Capital Cost Escalation'!$E21,'Capital Costs'!$B$15:$B$55,0),MATCH('Capital Cost Escalation'!$C21,'Capital Costs'!$D$7:$G$7,0))*AD$8*(1+$F21)^(AD$2), 0),0)</f>
        <v>0</v>
      </c>
      <c r="AE21" s="490">
        <f>IFERROR(IF(AE$6&lt;=$E$8,INDEX('Capital Costs'!$D$15:$G$55,MATCH('Capital Cost Escalation'!$E21,'Capital Costs'!$B$15:$B$55,0),MATCH('Capital Cost Escalation'!$C21,'Capital Costs'!$D$7:$G$7,0))*AE$8*(1+$F21)^(AE$2), 0),0)</f>
        <v>0</v>
      </c>
      <c r="AF21" s="490">
        <f>IFERROR(IF(AF$6&lt;=$E$8,INDEX('Capital Costs'!$D$15:$G$55,MATCH('Capital Cost Escalation'!$E21,'Capital Costs'!$B$15:$B$55,0),MATCH('Capital Cost Escalation'!$C21,'Capital Costs'!$D$7:$G$7,0))*AF$8*(1+$F21)^(AF$2), 0),0)</f>
        <v>0</v>
      </c>
      <c r="AG21" s="490">
        <f>IFERROR(IF(AG$6&lt;=$E$8,INDEX('Capital Costs'!$D$15:$G$55,MATCH('Capital Cost Escalation'!$E21,'Capital Costs'!$B$15:$B$55,0),MATCH('Capital Cost Escalation'!$C21,'Capital Costs'!$D$7:$G$7,0))*AG$8*(1+$F21)^(AG$2), 0),0)</f>
        <v>0</v>
      </c>
      <c r="AH21" s="490">
        <f>IFERROR(IF(AH$6&lt;=$E$8,INDEX('Capital Costs'!$D$15:$G$55,MATCH('Capital Cost Escalation'!$E21,'Capital Costs'!$B$15:$B$55,0),MATCH('Capital Cost Escalation'!$C21,'Capital Costs'!$D$7:$G$7,0))*AH$8*(1+$F21)^(AH$2), 0),0)</f>
        <v>0</v>
      </c>
      <c r="AI21" s="490">
        <f>IFERROR(IF(AI$6&lt;=$E$8,INDEX('Capital Costs'!$D$15:$G$55,MATCH('Capital Cost Escalation'!$E21,'Capital Costs'!$B$15:$B$55,0),MATCH('Capital Cost Escalation'!$C21,'Capital Costs'!$D$7:$G$7,0))*AI$8*(1+$F21)^(AI$2), 0),0)</f>
        <v>0</v>
      </c>
      <c r="AJ21" s="490">
        <f>IFERROR(IF(AJ$6&lt;=$E$8,INDEX('Capital Costs'!$D$15:$G$55,MATCH('Capital Cost Escalation'!$E21,'Capital Costs'!$B$15:$B$55,0),MATCH('Capital Cost Escalation'!$C21,'Capital Costs'!$D$7:$G$7,0))*AJ$8*(1+$F21)^(AJ$2), 0),0)</f>
        <v>0</v>
      </c>
      <c r="AK21" s="490">
        <f>IFERROR(IF(AK$6&lt;=$E$8,INDEX('Capital Costs'!$D$15:$G$55,MATCH('Capital Cost Escalation'!$E21,'Capital Costs'!$B$15:$B$55,0),MATCH('Capital Cost Escalation'!$C21,'Capital Costs'!$D$7:$G$7,0))*AK$8*(1+$F21)^(AK$2), 0),0)</f>
        <v>0</v>
      </c>
      <c r="AL21" s="490">
        <f>IFERROR(IF(AL$6&lt;=$E$8,INDEX('Capital Costs'!$D$15:$G$55,MATCH('Capital Cost Escalation'!$E21,'Capital Costs'!$B$15:$B$55,0),MATCH('Capital Cost Escalation'!$C21,'Capital Costs'!$D$7:$G$7,0))*AL$8*(1+$F21)^(AL$2), 0),0)</f>
        <v>0</v>
      </c>
      <c r="AM21" s="490">
        <f>IFERROR(IF(AM$6&lt;=$E$8,INDEX('Capital Costs'!$D$15:$G$55,MATCH('Capital Cost Escalation'!$E21,'Capital Costs'!$B$15:$B$55,0),MATCH('Capital Cost Escalation'!$C21,'Capital Costs'!$D$7:$G$7,0))*AM$8*(1+$F21)^(AM$2), 0),0)</f>
        <v>0</v>
      </c>
      <c r="AN21" s="490">
        <f>IFERROR(IF(AN$6&lt;=$E$8,INDEX('Capital Costs'!$D$15:$G$55,MATCH('Capital Cost Escalation'!$E21,'Capital Costs'!$B$15:$B$55,0),MATCH('Capital Cost Escalation'!$C21,'Capital Costs'!$D$7:$G$7,0))*AN$8*(1+$F21)^(AN$2), 0),0)</f>
        <v>0</v>
      </c>
      <c r="AO21" s="490">
        <f>IFERROR(IF(AO$6&lt;=$E$8,INDEX('Capital Costs'!$D$15:$G$55,MATCH('Capital Cost Escalation'!$E21,'Capital Costs'!$B$15:$B$55,0),MATCH('Capital Cost Escalation'!$C21,'Capital Costs'!$D$7:$G$7,0))*AO$8*(1+$F21)^(AO$2), 0),0)</f>
        <v>0</v>
      </c>
      <c r="AP21" s="490">
        <f>IFERROR(IF(AP$6&lt;=$E$8,INDEX('Capital Costs'!$D$15:$G$55,MATCH('Capital Cost Escalation'!$E21,'Capital Costs'!$B$15:$B$55,0),MATCH('Capital Cost Escalation'!$C21,'Capital Costs'!$D$7:$G$7,0))*AP$8*(1+$F21)^(AP$2), 0),0)</f>
        <v>0</v>
      </c>
      <c r="AQ21" s="490">
        <f>IFERROR(IF(AQ$6&lt;=$E$8,INDEX('Capital Costs'!$D$15:$G$55,MATCH('Capital Cost Escalation'!$E21,'Capital Costs'!$B$15:$B$55,0),MATCH('Capital Cost Escalation'!$C21,'Capital Costs'!$D$7:$G$7,0))*AQ$8*(1+$F21)^(AQ$2), 0),0)</f>
        <v>0</v>
      </c>
      <c r="AR21" s="490">
        <f>IFERROR(IF(AR$6&lt;=$E$8,INDEX('Capital Costs'!$D$15:$G$55,MATCH('Capital Cost Escalation'!$E21,'Capital Costs'!$B$15:$B$55,0),MATCH('Capital Cost Escalation'!$C21,'Capital Costs'!$D$7:$G$7,0))*AR$8*(1+$F21)^(AR$2), 0),0)</f>
        <v>0</v>
      </c>
      <c r="AS21" s="490">
        <f>IFERROR(IF(AS$6&lt;=$E$8,INDEX('Capital Costs'!$D$15:$G$55,MATCH('Capital Cost Escalation'!$E21,'Capital Costs'!$B$15:$B$55,0),MATCH('Capital Cost Escalation'!$C21,'Capital Costs'!$D$7:$G$7,0))*AS$8*(1+$F21)^(AS$2), 0),0)</f>
        <v>0</v>
      </c>
      <c r="AT21" s="490">
        <f>IFERROR(IF(AT$6&lt;=$E$8,INDEX('Capital Costs'!$D$15:$G$55,MATCH('Capital Cost Escalation'!$E21,'Capital Costs'!$B$15:$B$55,0),MATCH('Capital Cost Escalation'!$C21,'Capital Costs'!$D$7:$G$7,0))*AT$8*(1+$F21)^(AT$2), 0),0)</f>
        <v>0</v>
      </c>
      <c r="AV21" s="827">
        <f t="shared" si="3"/>
        <v>8107143.0432649897</v>
      </c>
      <c r="AW21" s="828">
        <f>INDEX('Capital Costs'!$D$15:$G$55,MATCH('Capital Cost Escalation'!$E21,'Capital Costs'!$B$15:$B$55,0),MATCH('Capital Cost Escalation'!$C21,'Capital Costs'!$D$7:$G$7,0))</f>
        <v>7146800</v>
      </c>
    </row>
    <row r="22" spans="1:49">
      <c r="A22" s="487" t="str">
        <f t="shared" si="4"/>
        <v>__</v>
      </c>
      <c r="F22" s="1168"/>
      <c r="G22" s="490"/>
      <c r="H22" s="490"/>
      <c r="I22" s="490"/>
      <c r="J22" s="490"/>
      <c r="K22" s="490"/>
      <c r="L22" s="490"/>
      <c r="M22" s="490"/>
      <c r="N22" s="490"/>
      <c r="O22" s="490"/>
      <c r="P22" s="490"/>
      <c r="Q22" s="490"/>
      <c r="R22" s="490"/>
      <c r="S22" s="490"/>
      <c r="T22" s="490"/>
      <c r="U22" s="490"/>
      <c r="V22" s="490"/>
      <c r="W22" s="490"/>
      <c r="X22" s="490"/>
      <c r="Y22" s="490"/>
      <c r="Z22" s="490"/>
      <c r="AA22" s="490"/>
      <c r="AB22" s="490"/>
      <c r="AC22" s="490"/>
      <c r="AD22" s="490"/>
      <c r="AE22" s="490"/>
      <c r="AF22" s="490"/>
      <c r="AG22" s="490"/>
      <c r="AH22" s="490"/>
      <c r="AI22" s="490"/>
      <c r="AJ22" s="490"/>
      <c r="AK22" s="490"/>
      <c r="AL22" s="490"/>
      <c r="AM22" s="490"/>
      <c r="AN22" s="490"/>
      <c r="AO22" s="490"/>
      <c r="AP22" s="490"/>
      <c r="AQ22" s="490"/>
      <c r="AR22" s="490"/>
      <c r="AS22" s="490"/>
      <c r="AT22" s="490"/>
      <c r="AV22" s="99"/>
      <c r="AW22" s="828"/>
    </row>
    <row r="23" spans="1:49">
      <c r="A23" s="487" t="str">
        <f t="shared" si="4"/>
        <v>CT_SWMAAC_Gas Turbines</v>
      </c>
      <c r="B23" s="478" t="s">
        <v>76</v>
      </c>
      <c r="C23" s="488" t="s">
        <v>121</v>
      </c>
      <c r="E23" s="442" t="s">
        <v>129</v>
      </c>
      <c r="F23" s="1325">
        <f>INDEX('Capital Costs_Nominal$'!$F:$F,MATCH('Capital Cost Escalation'!$E23,'Capital Costs_Nominal$'!$C:$C,0),1)</f>
        <v>2.3944839450136257E-3</v>
      </c>
      <c r="G23" s="490">
        <f>IFERROR(IF(G$6&lt;=$E$8,INDEX('Capital Costs'!$D$15:$G$55,MATCH('Capital Cost Escalation'!$E23,'Capital Costs'!$B$15:$B$55,0),MATCH('Capital Cost Escalation'!$C23,'Capital Costs'!$D$7:$G$7,0))*G$8*(1+$F23)^(G$2), 0),0)</f>
        <v>277625.15389508533</v>
      </c>
      <c r="H23" s="490">
        <f>IFERROR(IF(H$6&lt;=$E$8,INDEX('Capital Costs'!$D$15:$G$55,MATCH('Capital Cost Escalation'!$E23,'Capital Costs'!$B$15:$B$55,0),MATCH('Capital Cost Escalation'!$C23,'Capital Costs'!$D$7:$G$7,0))*H$8*(1+$F23)^(H$2), 0),0)</f>
        <v>331128.04276013002</v>
      </c>
      <c r="I23" s="490">
        <f>IFERROR(IF(I$6&lt;=$E$8,INDEX('Capital Costs'!$D$15:$G$55,MATCH('Capital Cost Escalation'!$E23,'Capital Costs'!$B$15:$B$55,0),MATCH('Capital Cost Escalation'!$C23,'Capital Costs'!$D$7:$G$7,0))*I$8*(1+$F23)^(I$2), 0),0)</f>
        <v>2002838.4591813346</v>
      </c>
      <c r="J23" s="490">
        <f>IFERROR(IF(J$6&lt;=$E$8,INDEX('Capital Costs'!$D$15:$G$55,MATCH('Capital Cost Escalation'!$E23,'Capital Costs'!$B$15:$B$55,0),MATCH('Capital Cost Escalation'!$C23,'Capital Costs'!$D$7:$G$7,0))*J$8*(1+$F23)^(J$2), 0),0)</f>
        <v>618924.67649505974</v>
      </c>
      <c r="K23" s="490">
        <f>IFERROR(IF(K$6&lt;=$E$8,INDEX('Capital Costs'!$D$15:$G$55,MATCH('Capital Cost Escalation'!$E23,'Capital Costs'!$B$15:$B$55,0),MATCH('Capital Cost Escalation'!$C23,'Capital Costs'!$D$7:$G$7,0))*K$8*(1+$F23)^(K$2), 0),0)</f>
        <v>1353284.0377057476</v>
      </c>
      <c r="L23" s="490">
        <f>IFERROR(IF(L$6&lt;=$E$8,INDEX('Capital Costs'!$D$15:$G$55,MATCH('Capital Cost Escalation'!$E23,'Capital Costs'!$B$15:$B$55,0),MATCH('Capital Cost Escalation'!$C23,'Capital Costs'!$D$7:$G$7,0))*L$8*(1+$F23)^(L$2), 0),0)</f>
        <v>858536.30050035799</v>
      </c>
      <c r="M23" s="490">
        <f>IFERROR(IF(M$6&lt;=$E$8,INDEX('Capital Costs'!$D$15:$G$55,MATCH('Capital Cost Escalation'!$E23,'Capital Costs'!$B$15:$B$55,0),MATCH('Capital Cost Escalation'!$C23,'Capital Costs'!$D$7:$G$7,0))*M$8*(1+$F23)^(M$2), 0),0)</f>
        <v>1686497.1727966836</v>
      </c>
      <c r="N23" s="490">
        <f>IFERROR(IF(N$6&lt;=$E$8,INDEX('Capital Costs'!$D$15:$G$55,MATCH('Capital Cost Escalation'!$E23,'Capital Costs'!$B$15:$B$55,0),MATCH('Capital Cost Escalation'!$C23,'Capital Costs'!$D$7:$G$7,0))*N$8*(1+$F23)^(N$2), 0),0)</f>
        <v>2242255.6713924049</v>
      </c>
      <c r="O23" s="490">
        <f>IFERROR(IF(O$6&lt;=$E$8,INDEX('Capital Costs'!$D$15:$G$55,MATCH('Capital Cost Escalation'!$E23,'Capital Costs'!$B$15:$B$55,0),MATCH('Capital Cost Escalation'!$C23,'Capital Costs'!$D$7:$G$7,0))*O$8*(1+$F23)^(O$2), 0),0)</f>
        <v>3137004.9320109608</v>
      </c>
      <c r="P23" s="490">
        <f>IFERROR(IF(P$6&lt;=$E$8,INDEX('Capital Costs'!$D$15:$G$55,MATCH('Capital Cost Escalation'!$E23,'Capital Costs'!$B$15:$B$55,0),MATCH('Capital Cost Escalation'!$C23,'Capital Costs'!$D$7:$G$7,0))*P$8*(1+$F23)^(P$2), 0),0)</f>
        <v>5226833.7064386904</v>
      </c>
      <c r="Q23" s="490">
        <f>IFERROR(IF(Q$6&lt;=$E$8,INDEX('Capital Costs'!$D$15:$G$55,MATCH('Capital Cost Escalation'!$E23,'Capital Costs'!$B$15:$B$55,0),MATCH('Capital Cost Escalation'!$C23,'Capital Costs'!$D$7:$G$7,0))*Q$8*(1+$F23)^(Q$2), 0),0)</f>
        <v>6364953.7993481541</v>
      </c>
      <c r="R23" s="490">
        <f>IFERROR(IF(R$6&lt;=$E$8,INDEX('Capital Costs'!$D$15:$G$55,MATCH('Capital Cost Escalation'!$E23,'Capital Costs'!$B$15:$B$55,0),MATCH('Capital Cost Escalation'!$C23,'Capital Costs'!$D$7:$G$7,0))*R$8*(1+$F23)^(R$2), 0),0)</f>
        <v>8161214.7579506002</v>
      </c>
      <c r="S23" s="490">
        <f>IFERROR(IF(S$6&lt;=$E$8,INDEX('Capital Costs'!$D$15:$G$55,MATCH('Capital Cost Escalation'!$E23,'Capital Costs'!$B$15:$B$55,0),MATCH('Capital Cost Escalation'!$C23,'Capital Costs'!$D$7:$G$7,0))*S$8*(1+$F23)^(S$2), 0),0)</f>
        <v>9095047.8181596305</v>
      </c>
      <c r="T23" s="490">
        <f>IFERROR(IF(T$6&lt;=$E$8,INDEX('Capital Costs'!$D$15:$G$55,MATCH('Capital Cost Escalation'!$E23,'Capital Costs'!$B$15:$B$55,0),MATCH('Capital Cost Escalation'!$C23,'Capital Costs'!$D$7:$G$7,0))*T$8*(1+$F23)^(T$2), 0),0)</f>
        <v>9671378.7289480772</v>
      </c>
      <c r="U23" s="490">
        <f>IFERROR(IF(U$6&lt;=$E$8,INDEX('Capital Costs'!$D$15:$G$55,MATCH('Capital Cost Escalation'!$E23,'Capital Costs'!$B$15:$B$55,0),MATCH('Capital Cost Escalation'!$C23,'Capital Costs'!$D$7:$G$7,0))*U$8*(1+$F23)^(U$2), 0),0)</f>
        <v>9074520.7414964344</v>
      </c>
      <c r="V23" s="490">
        <f>IFERROR(IF(V$6&lt;=$E$8,INDEX('Capital Costs'!$D$15:$G$55,MATCH('Capital Cost Escalation'!$E23,'Capital Costs'!$B$15:$B$55,0),MATCH('Capital Cost Escalation'!$C23,'Capital Costs'!$D$7:$G$7,0))*V$8*(1+$F23)^(V$2), 0),0)</f>
        <v>8043753.050796479</v>
      </c>
      <c r="W23" s="490">
        <f>IFERROR(IF(W$6&lt;=$E$8,INDEX('Capital Costs'!$D$15:$G$55,MATCH('Capital Cost Escalation'!$E23,'Capital Costs'!$B$15:$B$55,0),MATCH('Capital Cost Escalation'!$C23,'Capital Costs'!$D$7:$G$7,0))*W$8*(1+$F23)^(W$2), 0),0)</f>
        <v>6117948.9116165722</v>
      </c>
      <c r="X23" s="490">
        <f>IFERROR(IF(X$6&lt;=$E$8,INDEX('Capital Costs'!$D$15:$G$55,MATCH('Capital Cost Escalation'!$E23,'Capital Costs'!$B$15:$B$55,0),MATCH('Capital Cost Escalation'!$C23,'Capital Costs'!$D$7:$G$7,0))*X$8*(1+$F23)^(X$2), 0),0)</f>
        <v>3408589.0012382334</v>
      </c>
      <c r="Y23" s="490">
        <f>IFERROR(IF(Y$6&lt;=$E$8,INDEX('Capital Costs'!$D$15:$G$55,MATCH('Capital Cost Escalation'!$E23,'Capital Costs'!$B$15:$B$55,0),MATCH('Capital Cost Escalation'!$C23,'Capital Costs'!$D$7:$G$7,0))*Y$8*(1+$F23)^(Y$2), 0),0)</f>
        <v>721882.45207176404</v>
      </c>
      <c r="Z23" s="490">
        <f>IFERROR(IF(Z$6&lt;=$E$8,INDEX('Capital Costs'!$D$15:$G$55,MATCH('Capital Cost Escalation'!$E23,'Capital Costs'!$B$15:$B$55,0),MATCH('Capital Cost Escalation'!$C23,'Capital Costs'!$D$7:$G$7,0))*Z$8*(1+$F23)^(Z$2), 0),0)</f>
        <v>161171.81479693716</v>
      </c>
      <c r="AA23" s="490">
        <f>IFERROR(IF(AA$6&lt;=$E$8,INDEX('Capital Costs'!$D$15:$G$55,MATCH('Capital Cost Escalation'!$E23,'Capital Costs'!$B$15:$B$55,0),MATCH('Capital Cost Escalation'!$C23,'Capital Costs'!$D$7:$G$7,0))*AA$8*(1+$F23)^(AA$2), 0),0)</f>
        <v>0</v>
      </c>
      <c r="AB23" s="490">
        <f>IFERROR(IF(AB$6&lt;=$E$8,INDEX('Capital Costs'!$D$15:$G$55,MATCH('Capital Cost Escalation'!$E23,'Capital Costs'!$B$15:$B$55,0),MATCH('Capital Cost Escalation'!$C23,'Capital Costs'!$D$7:$G$7,0))*AB$8*(1+$F23)^(AB$2), 0),0)</f>
        <v>0</v>
      </c>
      <c r="AC23" s="490">
        <f>IFERROR(IF(AC$6&lt;=$E$8,INDEX('Capital Costs'!$D$15:$G$55,MATCH('Capital Cost Escalation'!$E23,'Capital Costs'!$B$15:$B$55,0),MATCH('Capital Cost Escalation'!$C23,'Capital Costs'!$D$7:$G$7,0))*AC$8*(1+$F23)^(AC$2), 0),0)</f>
        <v>0</v>
      </c>
      <c r="AD23" s="490">
        <f>IFERROR(IF(AD$6&lt;=$E$8,INDEX('Capital Costs'!$D$15:$G$55,MATCH('Capital Cost Escalation'!$E23,'Capital Costs'!$B$15:$B$55,0),MATCH('Capital Cost Escalation'!$C23,'Capital Costs'!$D$7:$G$7,0))*AD$8*(1+$F23)^(AD$2), 0),0)</f>
        <v>0</v>
      </c>
      <c r="AE23" s="490">
        <f>IFERROR(IF(AE$6&lt;=$E$8,INDEX('Capital Costs'!$D$15:$G$55,MATCH('Capital Cost Escalation'!$E23,'Capital Costs'!$B$15:$B$55,0),MATCH('Capital Cost Escalation'!$C23,'Capital Costs'!$D$7:$G$7,0))*AE$8*(1+$F23)^(AE$2), 0),0)</f>
        <v>0</v>
      </c>
      <c r="AF23" s="490">
        <f>IFERROR(IF(AF$6&lt;=$E$8,INDEX('Capital Costs'!$D$15:$G$55,MATCH('Capital Cost Escalation'!$E23,'Capital Costs'!$B$15:$B$55,0),MATCH('Capital Cost Escalation'!$C23,'Capital Costs'!$D$7:$G$7,0))*AF$8*(1+$F23)^(AF$2), 0),0)</f>
        <v>0</v>
      </c>
      <c r="AG23" s="490">
        <f>IFERROR(IF(AG$6&lt;=$E$8,INDEX('Capital Costs'!$D$15:$G$55,MATCH('Capital Cost Escalation'!$E23,'Capital Costs'!$B$15:$B$55,0),MATCH('Capital Cost Escalation'!$C23,'Capital Costs'!$D$7:$G$7,0))*AG$8*(1+$F23)^(AG$2), 0),0)</f>
        <v>0</v>
      </c>
      <c r="AH23" s="490">
        <f>IFERROR(IF(AH$6&lt;=$E$8,INDEX('Capital Costs'!$D$15:$G$55,MATCH('Capital Cost Escalation'!$E23,'Capital Costs'!$B$15:$B$55,0),MATCH('Capital Cost Escalation'!$C23,'Capital Costs'!$D$7:$G$7,0))*AH$8*(1+$F23)^(AH$2), 0),0)</f>
        <v>0</v>
      </c>
      <c r="AI23" s="490">
        <f>IFERROR(IF(AI$6&lt;=$E$8,INDEX('Capital Costs'!$D$15:$G$55,MATCH('Capital Cost Escalation'!$E23,'Capital Costs'!$B$15:$B$55,0),MATCH('Capital Cost Escalation'!$C23,'Capital Costs'!$D$7:$G$7,0))*AI$8*(1+$F23)^(AI$2), 0),0)</f>
        <v>0</v>
      </c>
      <c r="AJ23" s="490">
        <f>IFERROR(IF(AJ$6&lt;=$E$8,INDEX('Capital Costs'!$D$15:$G$55,MATCH('Capital Cost Escalation'!$E23,'Capital Costs'!$B$15:$B$55,0),MATCH('Capital Cost Escalation'!$C23,'Capital Costs'!$D$7:$G$7,0))*AJ$8*(1+$F23)^(AJ$2), 0),0)</f>
        <v>0</v>
      </c>
      <c r="AK23" s="490">
        <f>IFERROR(IF(AK$6&lt;=$E$8,INDEX('Capital Costs'!$D$15:$G$55,MATCH('Capital Cost Escalation'!$E23,'Capital Costs'!$B$15:$B$55,0),MATCH('Capital Cost Escalation'!$C23,'Capital Costs'!$D$7:$G$7,0))*AK$8*(1+$F23)^(AK$2), 0),0)</f>
        <v>0</v>
      </c>
      <c r="AL23" s="490">
        <f>IFERROR(IF(AL$6&lt;=$E$8,INDEX('Capital Costs'!$D$15:$G$55,MATCH('Capital Cost Escalation'!$E23,'Capital Costs'!$B$15:$B$55,0),MATCH('Capital Cost Escalation'!$C23,'Capital Costs'!$D$7:$G$7,0))*AL$8*(1+$F23)^(AL$2), 0),0)</f>
        <v>0</v>
      </c>
      <c r="AM23" s="490">
        <f>IFERROR(IF(AM$6&lt;=$E$8,INDEX('Capital Costs'!$D$15:$G$55,MATCH('Capital Cost Escalation'!$E23,'Capital Costs'!$B$15:$B$55,0),MATCH('Capital Cost Escalation'!$C23,'Capital Costs'!$D$7:$G$7,0))*AM$8*(1+$F23)^(AM$2), 0),0)</f>
        <v>0</v>
      </c>
      <c r="AN23" s="490">
        <f>IFERROR(IF(AN$6&lt;=$E$8,INDEX('Capital Costs'!$D$15:$G$55,MATCH('Capital Cost Escalation'!$E23,'Capital Costs'!$B$15:$B$55,0),MATCH('Capital Cost Escalation'!$C23,'Capital Costs'!$D$7:$G$7,0))*AN$8*(1+$F23)^(AN$2), 0),0)</f>
        <v>0</v>
      </c>
      <c r="AO23" s="490">
        <f>IFERROR(IF(AO$6&lt;=$E$8,INDEX('Capital Costs'!$D$15:$G$55,MATCH('Capital Cost Escalation'!$E23,'Capital Costs'!$B$15:$B$55,0),MATCH('Capital Cost Escalation'!$C23,'Capital Costs'!$D$7:$G$7,0))*AO$8*(1+$F23)^(AO$2), 0),0)</f>
        <v>0</v>
      </c>
      <c r="AP23" s="490">
        <f>IFERROR(IF(AP$6&lt;=$E$8,INDEX('Capital Costs'!$D$15:$G$55,MATCH('Capital Cost Escalation'!$E23,'Capital Costs'!$B$15:$B$55,0),MATCH('Capital Cost Escalation'!$C23,'Capital Costs'!$D$7:$G$7,0))*AP$8*(1+$F23)^(AP$2), 0),0)</f>
        <v>0</v>
      </c>
      <c r="AQ23" s="490">
        <f>IFERROR(IF(AQ$6&lt;=$E$8,INDEX('Capital Costs'!$D$15:$G$55,MATCH('Capital Cost Escalation'!$E23,'Capital Costs'!$B$15:$B$55,0),MATCH('Capital Cost Escalation'!$C23,'Capital Costs'!$D$7:$G$7,0))*AQ$8*(1+$F23)^(AQ$2), 0),0)</f>
        <v>0</v>
      </c>
      <c r="AR23" s="490">
        <f>IFERROR(IF(AR$6&lt;=$E$8,INDEX('Capital Costs'!$D$15:$G$55,MATCH('Capital Cost Escalation'!$E23,'Capital Costs'!$B$15:$B$55,0),MATCH('Capital Cost Escalation'!$C23,'Capital Costs'!$D$7:$G$7,0))*AR$8*(1+$F23)^(AR$2), 0),0)</f>
        <v>0</v>
      </c>
      <c r="AS23" s="490">
        <f>IFERROR(IF(AS$6&lt;=$E$8,INDEX('Capital Costs'!$D$15:$G$55,MATCH('Capital Cost Escalation'!$E23,'Capital Costs'!$B$15:$B$55,0),MATCH('Capital Cost Escalation'!$C23,'Capital Costs'!$D$7:$G$7,0))*AS$8*(1+$F23)^(AS$2), 0),0)</f>
        <v>0</v>
      </c>
      <c r="AT23" s="490">
        <f>IFERROR(IF(AT$6&lt;=$E$8,INDEX('Capital Costs'!$D$15:$G$55,MATCH('Capital Cost Escalation'!$E23,'Capital Costs'!$B$15:$B$55,0),MATCH('Capital Cost Escalation'!$C23,'Capital Costs'!$D$7:$G$7,0))*AT$8*(1+$F23)^(AT$2), 0),0)</f>
        <v>0</v>
      </c>
      <c r="AU23" s="491"/>
      <c r="AV23" s="827">
        <f>SUM(G23:AT23)</f>
        <v>78555389.229599342</v>
      </c>
      <c r="AW23" s="828">
        <f>INDEX('Capital Costs'!$D$15:$G$55,MATCH('Capital Cost Escalation'!$E23,'Capital Costs'!$B$15:$B$55,0),MATCH('Capital Cost Escalation'!$C23,'Capital Costs'!$D$7:$G$7,0))</f>
        <v>69250000</v>
      </c>
    </row>
    <row r="24" spans="1:49">
      <c r="A24" s="487" t="str">
        <f t="shared" si="4"/>
        <v>CT_SWMAAC_HRSG / SCR</v>
      </c>
      <c r="B24" s="478" t="s">
        <v>76</v>
      </c>
      <c r="C24" s="488" t="s">
        <v>121</v>
      </c>
      <c r="E24" s="442" t="s">
        <v>130</v>
      </c>
      <c r="F24" s="1325">
        <f>INDEX('Capital Costs_Nominal$'!$F:$F,MATCH('Capital Cost Escalation'!$E24,'Capital Costs_Nominal$'!$C:$C,0),1)</f>
        <v>2.3944839450136257E-3</v>
      </c>
      <c r="G24" s="490">
        <f>IFERROR(IF(G$6&lt;=$E$8,INDEX('Capital Costs'!$D$15:$G$55,MATCH('Capital Cost Escalation'!$E24,'Capital Costs'!$B$15:$B$55,0),MATCH('Capital Cost Escalation'!$C24,'Capital Costs'!$D$7:$G$7,0))*G$8*(1+$F24)^(G$2), 0),0)</f>
        <v>118502.44276490164</v>
      </c>
      <c r="H24" s="490">
        <f>IFERROR(IF(H$6&lt;=$E$8,INDEX('Capital Costs'!$D$15:$G$55,MATCH('Capital Cost Escalation'!$E24,'Capital Costs'!$B$15:$B$55,0),MATCH('Capital Cost Escalation'!$C24,'Capital Costs'!$D$7:$G$7,0))*H$8*(1+$F24)^(H$2), 0),0)</f>
        <v>141339.79354718278</v>
      </c>
      <c r="I24" s="490">
        <f>IFERROR(IF(I$6&lt;=$E$8,INDEX('Capital Costs'!$D$15:$G$55,MATCH('Capital Cost Escalation'!$E24,'Capital Costs'!$B$15:$B$55,0),MATCH('Capital Cost Escalation'!$C24,'Capital Costs'!$D$7:$G$7,0))*I$8*(1+$F24)^(I$2), 0),0)</f>
        <v>854898.21994361235</v>
      </c>
      <c r="J24" s="490">
        <f>IFERROR(IF(J$6&lt;=$E$8,INDEX('Capital Costs'!$D$15:$G$55,MATCH('Capital Cost Escalation'!$E24,'Capital Costs'!$B$15:$B$55,0),MATCH('Capital Cost Escalation'!$C24,'Capital Costs'!$D$7:$G$7,0))*J$8*(1+$F24)^(J$2), 0),0)</f>
        <v>264183.86454945587</v>
      </c>
      <c r="K24" s="490">
        <f>IFERROR(IF(K$6&lt;=$E$8,INDEX('Capital Costs'!$D$15:$G$55,MATCH('Capital Cost Escalation'!$E24,'Capital Costs'!$B$15:$B$55,0),MATCH('Capital Cost Escalation'!$C24,'Capital Costs'!$D$7:$G$7,0))*K$8*(1+$F24)^(K$2), 0),0)</f>
        <v>577640.25331610721</v>
      </c>
      <c r="L24" s="490">
        <f>IFERROR(IF(L$6&lt;=$E$8,INDEX('Capital Costs'!$D$15:$G$55,MATCH('Capital Cost Escalation'!$E24,'Capital Costs'!$B$15:$B$55,0),MATCH('Capital Cost Escalation'!$C24,'Capital Costs'!$D$7:$G$7,0))*L$8*(1+$F24)^(L$2), 0),0)</f>
        <v>366460.48596187774</v>
      </c>
      <c r="M24" s="490">
        <f>IFERROR(IF(M$6&lt;=$E$8,INDEX('Capital Costs'!$D$15:$G$55,MATCH('Capital Cost Escalation'!$E24,'Capital Costs'!$B$15:$B$55,0),MATCH('Capital Cost Escalation'!$C24,'Capital Costs'!$D$7:$G$7,0))*M$8*(1+$F24)^(M$2), 0),0)</f>
        <v>719870.05459898757</v>
      </c>
      <c r="N24" s="490">
        <f>IFERROR(IF(N$6&lt;=$E$8,INDEX('Capital Costs'!$D$15:$G$55,MATCH('Capital Cost Escalation'!$E24,'Capital Costs'!$B$15:$B$55,0),MATCH('Capital Cost Escalation'!$C24,'Capital Costs'!$D$7:$G$7,0))*N$8*(1+$F24)^(N$2), 0),0)</f>
        <v>957091.857980086</v>
      </c>
      <c r="O24" s="490">
        <f>IFERROR(IF(O$6&lt;=$E$8,INDEX('Capital Costs'!$D$15:$G$55,MATCH('Capital Cost Escalation'!$E24,'Capital Costs'!$B$15:$B$55,0),MATCH('Capital Cost Escalation'!$C24,'Capital Costs'!$D$7:$G$7,0))*O$8*(1+$F24)^(O$2), 0),0)</f>
        <v>1339009.6041129068</v>
      </c>
      <c r="P24" s="490">
        <f>IFERROR(IF(P$6&lt;=$E$8,INDEX('Capital Costs'!$D$15:$G$55,MATCH('Capital Cost Escalation'!$E24,'Capital Costs'!$B$15:$B$55,0),MATCH('Capital Cost Escalation'!$C24,'Capital Costs'!$D$7:$G$7,0))*P$8*(1+$F24)^(P$2), 0),0)</f>
        <v>2231039.0591371926</v>
      </c>
      <c r="Q24" s="490">
        <f>IFERROR(IF(Q$6&lt;=$E$8,INDEX('Capital Costs'!$D$15:$G$55,MATCH('Capital Cost Escalation'!$E24,'Capital Costs'!$B$15:$B$55,0),MATCH('Capital Cost Escalation'!$C24,'Capital Costs'!$D$7:$G$7,0))*Q$8*(1+$F24)^(Q$2), 0),0)</f>
        <v>2716838.019632522</v>
      </c>
      <c r="R24" s="490">
        <f>IFERROR(IF(R$6&lt;=$E$8,INDEX('Capital Costs'!$D$15:$G$55,MATCH('Capital Cost Escalation'!$E24,'Capital Costs'!$B$15:$B$55,0),MATCH('Capital Cost Escalation'!$C24,'Capital Costs'!$D$7:$G$7,0))*R$8*(1+$F24)^(R$2), 0),0)</f>
        <v>3483560.0131232631</v>
      </c>
      <c r="S24" s="490">
        <f>IFERROR(IF(S$6&lt;=$E$8,INDEX('Capital Costs'!$D$15:$G$55,MATCH('Capital Cost Escalation'!$E24,'Capital Costs'!$B$15:$B$55,0),MATCH('Capital Cost Escalation'!$C24,'Capital Costs'!$D$7:$G$7,0))*S$8*(1+$F24)^(S$2), 0),0)</f>
        <v>3882160.4180822917</v>
      </c>
      <c r="T24" s="490">
        <f>IFERROR(IF(T$6&lt;=$E$8,INDEX('Capital Costs'!$D$15:$G$55,MATCH('Capital Cost Escalation'!$E24,'Capital Costs'!$B$15:$B$55,0),MATCH('Capital Cost Escalation'!$C24,'Capital Costs'!$D$7:$G$7,0))*T$8*(1+$F24)^(T$2), 0),0)</f>
        <v>4128163.418210879</v>
      </c>
      <c r="U24" s="490">
        <f>IFERROR(IF(U$6&lt;=$E$8,INDEX('Capital Costs'!$D$15:$G$55,MATCH('Capital Cost Escalation'!$E24,'Capital Costs'!$B$15:$B$55,0),MATCH('Capital Cost Escalation'!$C24,'Capital Costs'!$D$7:$G$7,0))*U$8*(1+$F24)^(U$2), 0),0)</f>
        <v>3873398.5725028003</v>
      </c>
      <c r="V24" s="490">
        <f>IFERROR(IF(V$6&lt;=$E$8,INDEX('Capital Costs'!$D$15:$G$55,MATCH('Capital Cost Escalation'!$E24,'Capital Costs'!$B$15:$B$55,0),MATCH('Capital Cost Escalation'!$C24,'Capital Costs'!$D$7:$G$7,0))*V$8*(1+$F24)^(V$2), 0),0)</f>
        <v>3433422.2679160731</v>
      </c>
      <c r="W24" s="490">
        <f>IFERROR(IF(W$6&lt;=$E$8,INDEX('Capital Costs'!$D$15:$G$55,MATCH('Capital Cost Escalation'!$E24,'Capital Costs'!$B$15:$B$55,0),MATCH('Capital Cost Escalation'!$C24,'Capital Costs'!$D$7:$G$7,0))*W$8*(1+$F24)^(W$2), 0),0)</f>
        <v>2611405.6329759294</v>
      </c>
      <c r="X24" s="490">
        <f>IFERROR(IF(X$6&lt;=$E$8,INDEX('Capital Costs'!$D$15:$G$55,MATCH('Capital Cost Escalation'!$E24,'Capital Costs'!$B$15:$B$55,0),MATCH('Capital Cost Escalation'!$C24,'Capital Costs'!$D$7:$G$7,0))*X$8*(1+$F24)^(X$2), 0),0)</f>
        <v>1454933.4502339466</v>
      </c>
      <c r="Y24" s="490">
        <f>IFERROR(IF(Y$6&lt;=$E$8,INDEX('Capital Costs'!$D$15:$G$55,MATCH('Capital Cost Escalation'!$E24,'Capital Costs'!$B$15:$B$55,0),MATCH('Capital Cost Escalation'!$C24,'Capital Costs'!$D$7:$G$7,0))*Y$8*(1+$F24)^(Y$2), 0),0)</f>
        <v>308130.70343023923</v>
      </c>
      <c r="Z24" s="490">
        <f>IFERROR(IF(Z$6&lt;=$E$8,INDEX('Capital Costs'!$D$15:$G$55,MATCH('Capital Cost Escalation'!$E24,'Capital Costs'!$B$15:$B$55,0),MATCH('Capital Cost Escalation'!$C24,'Capital Costs'!$D$7:$G$7,0))*Z$8*(1+$F24)^(Z$2), 0),0)</f>
        <v>68795.112727814951</v>
      </c>
      <c r="AA24" s="490">
        <f>IFERROR(IF(AA$6&lt;=$E$8,INDEX('Capital Costs'!$D$15:$G$55,MATCH('Capital Cost Escalation'!$E24,'Capital Costs'!$B$15:$B$55,0),MATCH('Capital Cost Escalation'!$C24,'Capital Costs'!$D$7:$G$7,0))*AA$8*(1+$F24)^(AA$2), 0),0)</f>
        <v>0</v>
      </c>
      <c r="AB24" s="490">
        <f>IFERROR(IF(AB$6&lt;=$E$8,INDEX('Capital Costs'!$D$15:$G$55,MATCH('Capital Cost Escalation'!$E24,'Capital Costs'!$B$15:$B$55,0),MATCH('Capital Cost Escalation'!$C24,'Capital Costs'!$D$7:$G$7,0))*AB$8*(1+$F24)^(AB$2), 0),0)</f>
        <v>0</v>
      </c>
      <c r="AC24" s="490">
        <f>IFERROR(IF(AC$6&lt;=$E$8,INDEX('Capital Costs'!$D$15:$G$55,MATCH('Capital Cost Escalation'!$E24,'Capital Costs'!$B$15:$B$55,0),MATCH('Capital Cost Escalation'!$C24,'Capital Costs'!$D$7:$G$7,0))*AC$8*(1+$F24)^(AC$2), 0),0)</f>
        <v>0</v>
      </c>
      <c r="AD24" s="490">
        <f>IFERROR(IF(AD$6&lt;=$E$8,INDEX('Capital Costs'!$D$15:$G$55,MATCH('Capital Cost Escalation'!$E24,'Capital Costs'!$B$15:$B$55,0),MATCH('Capital Cost Escalation'!$C24,'Capital Costs'!$D$7:$G$7,0))*AD$8*(1+$F24)^(AD$2), 0),0)</f>
        <v>0</v>
      </c>
      <c r="AE24" s="490">
        <f>IFERROR(IF(AE$6&lt;=$E$8,INDEX('Capital Costs'!$D$15:$G$55,MATCH('Capital Cost Escalation'!$E24,'Capital Costs'!$B$15:$B$55,0),MATCH('Capital Cost Escalation'!$C24,'Capital Costs'!$D$7:$G$7,0))*AE$8*(1+$F24)^(AE$2), 0),0)</f>
        <v>0</v>
      </c>
      <c r="AF24" s="490">
        <f>IFERROR(IF(AF$6&lt;=$E$8,INDEX('Capital Costs'!$D$15:$G$55,MATCH('Capital Cost Escalation'!$E24,'Capital Costs'!$B$15:$B$55,0),MATCH('Capital Cost Escalation'!$C24,'Capital Costs'!$D$7:$G$7,0))*AF$8*(1+$F24)^(AF$2), 0),0)</f>
        <v>0</v>
      </c>
      <c r="AG24" s="490">
        <f>IFERROR(IF(AG$6&lt;=$E$8,INDEX('Capital Costs'!$D$15:$G$55,MATCH('Capital Cost Escalation'!$E24,'Capital Costs'!$B$15:$B$55,0),MATCH('Capital Cost Escalation'!$C24,'Capital Costs'!$D$7:$G$7,0))*AG$8*(1+$F24)^(AG$2), 0),0)</f>
        <v>0</v>
      </c>
      <c r="AH24" s="490">
        <f>IFERROR(IF(AH$6&lt;=$E$8,INDEX('Capital Costs'!$D$15:$G$55,MATCH('Capital Cost Escalation'!$E24,'Capital Costs'!$B$15:$B$55,0),MATCH('Capital Cost Escalation'!$C24,'Capital Costs'!$D$7:$G$7,0))*AH$8*(1+$F24)^(AH$2), 0),0)</f>
        <v>0</v>
      </c>
      <c r="AI24" s="490">
        <f>IFERROR(IF(AI$6&lt;=$E$8,INDEX('Capital Costs'!$D$15:$G$55,MATCH('Capital Cost Escalation'!$E24,'Capital Costs'!$B$15:$B$55,0),MATCH('Capital Cost Escalation'!$C24,'Capital Costs'!$D$7:$G$7,0))*AI$8*(1+$F24)^(AI$2), 0),0)</f>
        <v>0</v>
      </c>
      <c r="AJ24" s="490">
        <f>IFERROR(IF(AJ$6&lt;=$E$8,INDEX('Capital Costs'!$D$15:$G$55,MATCH('Capital Cost Escalation'!$E24,'Capital Costs'!$B$15:$B$55,0),MATCH('Capital Cost Escalation'!$C24,'Capital Costs'!$D$7:$G$7,0))*AJ$8*(1+$F24)^(AJ$2), 0),0)</f>
        <v>0</v>
      </c>
      <c r="AK24" s="490">
        <f>IFERROR(IF(AK$6&lt;=$E$8,INDEX('Capital Costs'!$D$15:$G$55,MATCH('Capital Cost Escalation'!$E24,'Capital Costs'!$B$15:$B$55,0),MATCH('Capital Cost Escalation'!$C24,'Capital Costs'!$D$7:$G$7,0))*AK$8*(1+$F24)^(AK$2), 0),0)</f>
        <v>0</v>
      </c>
      <c r="AL24" s="490">
        <f>IFERROR(IF(AL$6&lt;=$E$8,INDEX('Capital Costs'!$D$15:$G$55,MATCH('Capital Cost Escalation'!$E24,'Capital Costs'!$B$15:$B$55,0),MATCH('Capital Cost Escalation'!$C24,'Capital Costs'!$D$7:$G$7,0))*AL$8*(1+$F24)^(AL$2), 0),0)</f>
        <v>0</v>
      </c>
      <c r="AM24" s="490">
        <f>IFERROR(IF(AM$6&lt;=$E$8,INDEX('Capital Costs'!$D$15:$G$55,MATCH('Capital Cost Escalation'!$E24,'Capital Costs'!$B$15:$B$55,0),MATCH('Capital Cost Escalation'!$C24,'Capital Costs'!$D$7:$G$7,0))*AM$8*(1+$F24)^(AM$2), 0),0)</f>
        <v>0</v>
      </c>
      <c r="AN24" s="490">
        <f>IFERROR(IF(AN$6&lt;=$E$8,INDEX('Capital Costs'!$D$15:$G$55,MATCH('Capital Cost Escalation'!$E24,'Capital Costs'!$B$15:$B$55,0),MATCH('Capital Cost Escalation'!$C24,'Capital Costs'!$D$7:$G$7,0))*AN$8*(1+$F24)^(AN$2), 0),0)</f>
        <v>0</v>
      </c>
      <c r="AO24" s="490">
        <f>IFERROR(IF(AO$6&lt;=$E$8,INDEX('Capital Costs'!$D$15:$G$55,MATCH('Capital Cost Escalation'!$E24,'Capital Costs'!$B$15:$B$55,0),MATCH('Capital Cost Escalation'!$C24,'Capital Costs'!$D$7:$G$7,0))*AO$8*(1+$F24)^(AO$2), 0),0)</f>
        <v>0</v>
      </c>
      <c r="AP24" s="490">
        <f>IFERROR(IF(AP$6&lt;=$E$8,INDEX('Capital Costs'!$D$15:$G$55,MATCH('Capital Cost Escalation'!$E24,'Capital Costs'!$B$15:$B$55,0),MATCH('Capital Cost Escalation'!$C24,'Capital Costs'!$D$7:$G$7,0))*AP$8*(1+$F24)^(AP$2), 0),0)</f>
        <v>0</v>
      </c>
      <c r="AQ24" s="490">
        <f>IFERROR(IF(AQ$6&lt;=$E$8,INDEX('Capital Costs'!$D$15:$G$55,MATCH('Capital Cost Escalation'!$E24,'Capital Costs'!$B$15:$B$55,0),MATCH('Capital Cost Escalation'!$C24,'Capital Costs'!$D$7:$G$7,0))*AQ$8*(1+$F24)^(AQ$2), 0),0)</f>
        <v>0</v>
      </c>
      <c r="AR24" s="490">
        <f>IFERROR(IF(AR$6&lt;=$E$8,INDEX('Capital Costs'!$D$15:$G$55,MATCH('Capital Cost Escalation'!$E24,'Capital Costs'!$B$15:$B$55,0),MATCH('Capital Cost Escalation'!$C24,'Capital Costs'!$D$7:$G$7,0))*AR$8*(1+$F24)^(AR$2), 0),0)</f>
        <v>0</v>
      </c>
      <c r="AS24" s="490">
        <f>IFERROR(IF(AS$6&lt;=$E$8,INDEX('Capital Costs'!$D$15:$G$55,MATCH('Capital Cost Escalation'!$E24,'Capital Costs'!$B$15:$B$55,0),MATCH('Capital Cost Escalation'!$C24,'Capital Costs'!$D$7:$G$7,0))*AS$8*(1+$F24)^(AS$2), 0),0)</f>
        <v>0</v>
      </c>
      <c r="AT24" s="490">
        <f>IFERROR(IF(AT$6&lt;=$E$8,INDEX('Capital Costs'!$D$15:$G$55,MATCH('Capital Cost Escalation'!$E24,'Capital Costs'!$B$15:$B$55,0),MATCH('Capital Cost Escalation'!$C24,'Capital Costs'!$D$7:$G$7,0))*AT$8*(1+$F24)^(AT$2), 0),0)</f>
        <v>0</v>
      </c>
      <c r="AV24" s="827">
        <f t="shared" ref="AV24:AV30" si="5">SUM(G24:AT24)</f>
        <v>33530843.244748067</v>
      </c>
      <c r="AW24" s="828">
        <f>INDEX('Capital Costs'!$D$15:$G$55,MATCH('Capital Cost Escalation'!$E24,'Capital Costs'!$B$15:$B$55,0),MATCH('Capital Cost Escalation'!$C24,'Capital Costs'!$D$7:$G$7,0))</f>
        <v>29558900</v>
      </c>
    </row>
    <row r="25" spans="1:49">
      <c r="A25" s="487" t="str">
        <f t="shared" si="4"/>
        <v>CT_SWMAAC_Condenser</v>
      </c>
      <c r="B25" s="478" t="s">
        <v>76</v>
      </c>
      <c r="C25" s="488" t="s">
        <v>121</v>
      </c>
      <c r="E25" s="442" t="s">
        <v>134</v>
      </c>
      <c r="F25" s="1325">
        <f>INDEX('Capital Costs_Nominal$'!$F:$F,MATCH('Capital Cost Escalation'!$E25,'Capital Costs_Nominal$'!$C:$C,0),1)</f>
        <v>2.3944839450136257E-3</v>
      </c>
      <c r="G25" s="490">
        <f>IFERROR(IF(G$6&lt;=$E$8,INDEX('Capital Costs'!$D$15:$G$55,MATCH('Capital Cost Escalation'!$E25,'Capital Costs'!$B$15:$B$55,0),MATCH('Capital Cost Escalation'!$C25,'Capital Costs'!$D$7:$G$7,0))*G$8*(1+$F25)^(G$2), 0),0)</f>
        <v>0</v>
      </c>
      <c r="H25" s="490">
        <f>IFERROR(IF(H$6&lt;=$E$8,INDEX('Capital Costs'!$D$15:$G$55,MATCH('Capital Cost Escalation'!$E25,'Capital Costs'!$B$15:$B$55,0),MATCH('Capital Cost Escalation'!$C25,'Capital Costs'!$D$7:$G$7,0))*H$8*(1+$F25)^(H$2), 0),0)</f>
        <v>0</v>
      </c>
      <c r="I25" s="490">
        <f>IFERROR(IF(I$6&lt;=$E$8,INDEX('Capital Costs'!$D$15:$G$55,MATCH('Capital Cost Escalation'!$E25,'Capital Costs'!$B$15:$B$55,0),MATCH('Capital Cost Escalation'!$C25,'Capital Costs'!$D$7:$G$7,0))*I$8*(1+$F25)^(I$2), 0),0)</f>
        <v>0</v>
      </c>
      <c r="J25" s="490">
        <f>IFERROR(IF(J$6&lt;=$E$8,INDEX('Capital Costs'!$D$15:$G$55,MATCH('Capital Cost Escalation'!$E25,'Capital Costs'!$B$15:$B$55,0),MATCH('Capital Cost Escalation'!$C25,'Capital Costs'!$D$7:$G$7,0))*J$8*(1+$F25)^(J$2), 0),0)</f>
        <v>0</v>
      </c>
      <c r="K25" s="490">
        <f>IFERROR(IF(K$6&lt;=$E$8,INDEX('Capital Costs'!$D$15:$G$55,MATCH('Capital Cost Escalation'!$E25,'Capital Costs'!$B$15:$B$55,0),MATCH('Capital Cost Escalation'!$C25,'Capital Costs'!$D$7:$G$7,0))*K$8*(1+$F25)^(K$2), 0),0)</f>
        <v>0</v>
      </c>
      <c r="L25" s="490">
        <f>IFERROR(IF(L$6&lt;=$E$8,INDEX('Capital Costs'!$D$15:$G$55,MATCH('Capital Cost Escalation'!$E25,'Capital Costs'!$B$15:$B$55,0),MATCH('Capital Cost Escalation'!$C25,'Capital Costs'!$D$7:$G$7,0))*L$8*(1+$F25)^(L$2), 0),0)</f>
        <v>0</v>
      </c>
      <c r="M25" s="490">
        <f>IFERROR(IF(M$6&lt;=$E$8,INDEX('Capital Costs'!$D$15:$G$55,MATCH('Capital Cost Escalation'!$E25,'Capital Costs'!$B$15:$B$55,0),MATCH('Capital Cost Escalation'!$C25,'Capital Costs'!$D$7:$G$7,0))*M$8*(1+$F25)^(M$2), 0),0)</f>
        <v>0</v>
      </c>
      <c r="N25" s="490">
        <f>IFERROR(IF(N$6&lt;=$E$8,INDEX('Capital Costs'!$D$15:$G$55,MATCH('Capital Cost Escalation'!$E25,'Capital Costs'!$B$15:$B$55,0),MATCH('Capital Cost Escalation'!$C25,'Capital Costs'!$D$7:$G$7,0))*N$8*(1+$F25)^(N$2), 0),0)</f>
        <v>0</v>
      </c>
      <c r="O25" s="490">
        <f>IFERROR(IF(O$6&lt;=$E$8,INDEX('Capital Costs'!$D$15:$G$55,MATCH('Capital Cost Escalation'!$E25,'Capital Costs'!$B$15:$B$55,0),MATCH('Capital Cost Escalation'!$C25,'Capital Costs'!$D$7:$G$7,0))*O$8*(1+$F25)^(O$2), 0),0)</f>
        <v>0</v>
      </c>
      <c r="P25" s="490">
        <f>IFERROR(IF(P$6&lt;=$E$8,INDEX('Capital Costs'!$D$15:$G$55,MATCH('Capital Cost Escalation'!$E25,'Capital Costs'!$B$15:$B$55,0),MATCH('Capital Cost Escalation'!$C25,'Capital Costs'!$D$7:$G$7,0))*P$8*(1+$F25)^(P$2), 0),0)</f>
        <v>0</v>
      </c>
      <c r="Q25" s="490">
        <f>IFERROR(IF(Q$6&lt;=$E$8,INDEX('Capital Costs'!$D$15:$G$55,MATCH('Capital Cost Escalation'!$E25,'Capital Costs'!$B$15:$B$55,0),MATCH('Capital Cost Escalation'!$C25,'Capital Costs'!$D$7:$G$7,0))*Q$8*(1+$F25)^(Q$2), 0),0)</f>
        <v>0</v>
      </c>
      <c r="R25" s="490">
        <f>IFERROR(IF(R$6&lt;=$E$8,INDEX('Capital Costs'!$D$15:$G$55,MATCH('Capital Cost Escalation'!$E25,'Capital Costs'!$B$15:$B$55,0),MATCH('Capital Cost Escalation'!$C25,'Capital Costs'!$D$7:$G$7,0))*R$8*(1+$F25)^(R$2), 0),0)</f>
        <v>0</v>
      </c>
      <c r="S25" s="490">
        <f>IFERROR(IF(S$6&lt;=$E$8,INDEX('Capital Costs'!$D$15:$G$55,MATCH('Capital Cost Escalation'!$E25,'Capital Costs'!$B$15:$B$55,0),MATCH('Capital Cost Escalation'!$C25,'Capital Costs'!$D$7:$G$7,0))*S$8*(1+$F25)^(S$2), 0),0)</f>
        <v>0</v>
      </c>
      <c r="T25" s="490">
        <f>IFERROR(IF(T$6&lt;=$E$8,INDEX('Capital Costs'!$D$15:$G$55,MATCH('Capital Cost Escalation'!$E25,'Capital Costs'!$B$15:$B$55,0),MATCH('Capital Cost Escalation'!$C25,'Capital Costs'!$D$7:$G$7,0))*T$8*(1+$F25)^(T$2), 0),0)</f>
        <v>0</v>
      </c>
      <c r="U25" s="490">
        <f>IFERROR(IF(U$6&lt;=$E$8,INDEX('Capital Costs'!$D$15:$G$55,MATCH('Capital Cost Escalation'!$E25,'Capital Costs'!$B$15:$B$55,0),MATCH('Capital Cost Escalation'!$C25,'Capital Costs'!$D$7:$G$7,0))*U$8*(1+$F25)^(U$2), 0),0)</f>
        <v>0</v>
      </c>
      <c r="V25" s="490">
        <f>IFERROR(IF(V$6&lt;=$E$8,INDEX('Capital Costs'!$D$15:$G$55,MATCH('Capital Cost Escalation'!$E25,'Capital Costs'!$B$15:$B$55,0),MATCH('Capital Cost Escalation'!$C25,'Capital Costs'!$D$7:$G$7,0))*V$8*(1+$F25)^(V$2), 0),0)</f>
        <v>0</v>
      </c>
      <c r="W25" s="490">
        <f>IFERROR(IF(W$6&lt;=$E$8,INDEX('Capital Costs'!$D$15:$G$55,MATCH('Capital Cost Escalation'!$E25,'Capital Costs'!$B$15:$B$55,0),MATCH('Capital Cost Escalation'!$C25,'Capital Costs'!$D$7:$G$7,0))*W$8*(1+$F25)^(W$2), 0),0)</f>
        <v>0</v>
      </c>
      <c r="X25" s="490">
        <f>IFERROR(IF(X$6&lt;=$E$8,INDEX('Capital Costs'!$D$15:$G$55,MATCH('Capital Cost Escalation'!$E25,'Capital Costs'!$B$15:$B$55,0),MATCH('Capital Cost Escalation'!$C25,'Capital Costs'!$D$7:$G$7,0))*X$8*(1+$F25)^(X$2), 0),0)</f>
        <v>0</v>
      </c>
      <c r="Y25" s="490">
        <f>IFERROR(IF(Y$6&lt;=$E$8,INDEX('Capital Costs'!$D$15:$G$55,MATCH('Capital Cost Escalation'!$E25,'Capital Costs'!$B$15:$B$55,0),MATCH('Capital Cost Escalation'!$C25,'Capital Costs'!$D$7:$G$7,0))*Y$8*(1+$F25)^(Y$2), 0),0)</f>
        <v>0</v>
      </c>
      <c r="Z25" s="490">
        <f>IFERROR(IF(Z$6&lt;=$E$8,INDEX('Capital Costs'!$D$15:$G$55,MATCH('Capital Cost Escalation'!$E25,'Capital Costs'!$B$15:$B$55,0),MATCH('Capital Cost Escalation'!$C25,'Capital Costs'!$D$7:$G$7,0))*Z$8*(1+$F25)^(Z$2), 0),0)</f>
        <v>0</v>
      </c>
      <c r="AA25" s="490">
        <f>IFERROR(IF(AA$6&lt;=$E$8,INDEX('Capital Costs'!$D$15:$G$55,MATCH('Capital Cost Escalation'!$E25,'Capital Costs'!$B$15:$B$55,0),MATCH('Capital Cost Escalation'!$C25,'Capital Costs'!$D$7:$G$7,0))*AA$8*(1+$F25)^(AA$2), 0),0)</f>
        <v>0</v>
      </c>
      <c r="AB25" s="490">
        <f>IFERROR(IF(AB$6&lt;=$E$8,INDEX('Capital Costs'!$D$15:$G$55,MATCH('Capital Cost Escalation'!$E25,'Capital Costs'!$B$15:$B$55,0),MATCH('Capital Cost Escalation'!$C25,'Capital Costs'!$D$7:$G$7,0))*AB$8*(1+$F25)^(AB$2), 0),0)</f>
        <v>0</v>
      </c>
      <c r="AC25" s="490">
        <f>IFERROR(IF(AC$6&lt;=$E$8,INDEX('Capital Costs'!$D$15:$G$55,MATCH('Capital Cost Escalation'!$E25,'Capital Costs'!$B$15:$B$55,0),MATCH('Capital Cost Escalation'!$C25,'Capital Costs'!$D$7:$G$7,0))*AC$8*(1+$F25)^(AC$2), 0),0)</f>
        <v>0</v>
      </c>
      <c r="AD25" s="490">
        <f>IFERROR(IF(AD$6&lt;=$E$8,INDEX('Capital Costs'!$D$15:$G$55,MATCH('Capital Cost Escalation'!$E25,'Capital Costs'!$B$15:$B$55,0),MATCH('Capital Cost Escalation'!$C25,'Capital Costs'!$D$7:$G$7,0))*AD$8*(1+$F25)^(AD$2), 0),0)</f>
        <v>0</v>
      </c>
      <c r="AE25" s="490">
        <f>IFERROR(IF(AE$6&lt;=$E$8,INDEX('Capital Costs'!$D$15:$G$55,MATCH('Capital Cost Escalation'!$E25,'Capital Costs'!$B$15:$B$55,0),MATCH('Capital Cost Escalation'!$C25,'Capital Costs'!$D$7:$G$7,0))*AE$8*(1+$F25)^(AE$2), 0),0)</f>
        <v>0</v>
      </c>
      <c r="AF25" s="490">
        <f>IFERROR(IF(AF$6&lt;=$E$8,INDEX('Capital Costs'!$D$15:$G$55,MATCH('Capital Cost Escalation'!$E25,'Capital Costs'!$B$15:$B$55,0),MATCH('Capital Cost Escalation'!$C25,'Capital Costs'!$D$7:$G$7,0))*AF$8*(1+$F25)^(AF$2), 0),0)</f>
        <v>0</v>
      </c>
      <c r="AG25" s="490">
        <f>IFERROR(IF(AG$6&lt;=$E$8,INDEX('Capital Costs'!$D$15:$G$55,MATCH('Capital Cost Escalation'!$E25,'Capital Costs'!$B$15:$B$55,0),MATCH('Capital Cost Escalation'!$C25,'Capital Costs'!$D$7:$G$7,0))*AG$8*(1+$F25)^(AG$2), 0),0)</f>
        <v>0</v>
      </c>
      <c r="AH25" s="490">
        <f>IFERROR(IF(AH$6&lt;=$E$8,INDEX('Capital Costs'!$D$15:$G$55,MATCH('Capital Cost Escalation'!$E25,'Capital Costs'!$B$15:$B$55,0),MATCH('Capital Cost Escalation'!$C25,'Capital Costs'!$D$7:$G$7,0))*AH$8*(1+$F25)^(AH$2), 0),0)</f>
        <v>0</v>
      </c>
      <c r="AI25" s="490">
        <f>IFERROR(IF(AI$6&lt;=$E$8,INDEX('Capital Costs'!$D$15:$G$55,MATCH('Capital Cost Escalation'!$E25,'Capital Costs'!$B$15:$B$55,0),MATCH('Capital Cost Escalation'!$C25,'Capital Costs'!$D$7:$G$7,0))*AI$8*(1+$F25)^(AI$2), 0),0)</f>
        <v>0</v>
      </c>
      <c r="AJ25" s="490">
        <f>IFERROR(IF(AJ$6&lt;=$E$8,INDEX('Capital Costs'!$D$15:$G$55,MATCH('Capital Cost Escalation'!$E25,'Capital Costs'!$B$15:$B$55,0),MATCH('Capital Cost Escalation'!$C25,'Capital Costs'!$D$7:$G$7,0))*AJ$8*(1+$F25)^(AJ$2), 0),0)</f>
        <v>0</v>
      </c>
      <c r="AK25" s="490">
        <f>IFERROR(IF(AK$6&lt;=$E$8,INDEX('Capital Costs'!$D$15:$G$55,MATCH('Capital Cost Escalation'!$E25,'Capital Costs'!$B$15:$B$55,0),MATCH('Capital Cost Escalation'!$C25,'Capital Costs'!$D$7:$G$7,0))*AK$8*(1+$F25)^(AK$2), 0),0)</f>
        <v>0</v>
      </c>
      <c r="AL25" s="490">
        <f>IFERROR(IF(AL$6&lt;=$E$8,INDEX('Capital Costs'!$D$15:$G$55,MATCH('Capital Cost Escalation'!$E25,'Capital Costs'!$B$15:$B$55,0),MATCH('Capital Cost Escalation'!$C25,'Capital Costs'!$D$7:$G$7,0))*AL$8*(1+$F25)^(AL$2), 0),0)</f>
        <v>0</v>
      </c>
      <c r="AM25" s="490">
        <f>IFERROR(IF(AM$6&lt;=$E$8,INDEX('Capital Costs'!$D$15:$G$55,MATCH('Capital Cost Escalation'!$E25,'Capital Costs'!$B$15:$B$55,0),MATCH('Capital Cost Escalation'!$C25,'Capital Costs'!$D$7:$G$7,0))*AM$8*(1+$F25)^(AM$2), 0),0)</f>
        <v>0</v>
      </c>
      <c r="AN25" s="490">
        <f>IFERROR(IF(AN$6&lt;=$E$8,INDEX('Capital Costs'!$D$15:$G$55,MATCH('Capital Cost Escalation'!$E25,'Capital Costs'!$B$15:$B$55,0),MATCH('Capital Cost Escalation'!$C25,'Capital Costs'!$D$7:$G$7,0))*AN$8*(1+$F25)^(AN$2), 0),0)</f>
        <v>0</v>
      </c>
      <c r="AO25" s="490">
        <f>IFERROR(IF(AO$6&lt;=$E$8,INDEX('Capital Costs'!$D$15:$G$55,MATCH('Capital Cost Escalation'!$E25,'Capital Costs'!$B$15:$B$55,0),MATCH('Capital Cost Escalation'!$C25,'Capital Costs'!$D$7:$G$7,0))*AO$8*(1+$F25)^(AO$2), 0),0)</f>
        <v>0</v>
      </c>
      <c r="AP25" s="490">
        <f>IFERROR(IF(AP$6&lt;=$E$8,INDEX('Capital Costs'!$D$15:$G$55,MATCH('Capital Cost Escalation'!$E25,'Capital Costs'!$B$15:$B$55,0),MATCH('Capital Cost Escalation'!$C25,'Capital Costs'!$D$7:$G$7,0))*AP$8*(1+$F25)^(AP$2), 0),0)</f>
        <v>0</v>
      </c>
      <c r="AQ25" s="490">
        <f>IFERROR(IF(AQ$6&lt;=$E$8,INDEX('Capital Costs'!$D$15:$G$55,MATCH('Capital Cost Escalation'!$E25,'Capital Costs'!$B$15:$B$55,0),MATCH('Capital Cost Escalation'!$C25,'Capital Costs'!$D$7:$G$7,0))*AQ$8*(1+$F25)^(AQ$2), 0),0)</f>
        <v>0</v>
      </c>
      <c r="AR25" s="490">
        <f>IFERROR(IF(AR$6&lt;=$E$8,INDEX('Capital Costs'!$D$15:$G$55,MATCH('Capital Cost Escalation'!$E25,'Capital Costs'!$B$15:$B$55,0),MATCH('Capital Cost Escalation'!$C25,'Capital Costs'!$D$7:$G$7,0))*AR$8*(1+$F25)^(AR$2), 0),0)</f>
        <v>0</v>
      </c>
      <c r="AS25" s="490">
        <f>IFERROR(IF(AS$6&lt;=$E$8,INDEX('Capital Costs'!$D$15:$G$55,MATCH('Capital Cost Escalation'!$E25,'Capital Costs'!$B$15:$B$55,0),MATCH('Capital Cost Escalation'!$C25,'Capital Costs'!$D$7:$G$7,0))*AS$8*(1+$F25)^(AS$2), 0),0)</f>
        <v>0</v>
      </c>
      <c r="AT25" s="490">
        <f>IFERROR(IF(AT$6&lt;=$E$8,INDEX('Capital Costs'!$D$15:$G$55,MATCH('Capital Cost Escalation'!$E25,'Capital Costs'!$B$15:$B$55,0),MATCH('Capital Cost Escalation'!$C25,'Capital Costs'!$D$7:$G$7,0))*AT$8*(1+$F25)^(AT$2), 0),0)</f>
        <v>0</v>
      </c>
      <c r="AV25" s="827">
        <f t="shared" si="5"/>
        <v>0</v>
      </c>
      <c r="AW25" s="828">
        <f>INDEX('Capital Costs'!$D$15:$G$55,MATCH('Capital Cost Escalation'!$E25,'Capital Costs'!$B$15:$B$55,0),MATCH('Capital Cost Escalation'!$C25,'Capital Costs'!$D$7:$G$7,0))</f>
        <v>0</v>
      </c>
    </row>
    <row r="26" spans="1:49">
      <c r="A26" s="487" t="str">
        <f t="shared" si="4"/>
        <v>CT_SWMAAC_Steam Turbines</v>
      </c>
      <c r="B26" s="478" t="s">
        <v>76</v>
      </c>
      <c r="C26" s="488" t="s">
        <v>121</v>
      </c>
      <c r="E26" s="442" t="s">
        <v>135</v>
      </c>
      <c r="F26" s="1325">
        <f>INDEX('Capital Costs_Nominal$'!$F:$F,MATCH('Capital Cost Escalation'!$E26,'Capital Costs_Nominal$'!$C:$C,0),1)</f>
        <v>2.3944839450136257E-3</v>
      </c>
      <c r="G26" s="490">
        <f>IFERROR(IF(G$6&lt;=$E$8,INDEX('Capital Costs'!$D$15:$G$55,MATCH('Capital Cost Escalation'!$E26,'Capital Costs'!$B$15:$B$55,0),MATCH('Capital Cost Escalation'!$C26,'Capital Costs'!$D$7:$G$7,0))*G$8*(1+$F26)^(G$2), 0),0)</f>
        <v>0</v>
      </c>
      <c r="H26" s="490">
        <f>IFERROR(IF(H$6&lt;=$E$8,INDEX('Capital Costs'!$D$15:$G$55,MATCH('Capital Cost Escalation'!$E26,'Capital Costs'!$B$15:$B$55,0),MATCH('Capital Cost Escalation'!$C26,'Capital Costs'!$D$7:$G$7,0))*H$8*(1+$F26)^(H$2), 0),0)</f>
        <v>0</v>
      </c>
      <c r="I26" s="490">
        <f>IFERROR(IF(I$6&lt;=$E$8,INDEX('Capital Costs'!$D$15:$G$55,MATCH('Capital Cost Escalation'!$E26,'Capital Costs'!$B$15:$B$55,0),MATCH('Capital Cost Escalation'!$C26,'Capital Costs'!$D$7:$G$7,0))*I$8*(1+$F26)^(I$2), 0),0)</f>
        <v>0</v>
      </c>
      <c r="J26" s="490">
        <f>IFERROR(IF(J$6&lt;=$E$8,INDEX('Capital Costs'!$D$15:$G$55,MATCH('Capital Cost Escalation'!$E26,'Capital Costs'!$B$15:$B$55,0),MATCH('Capital Cost Escalation'!$C26,'Capital Costs'!$D$7:$G$7,0))*J$8*(1+$F26)^(J$2), 0),0)</f>
        <v>0</v>
      </c>
      <c r="K26" s="490">
        <f>IFERROR(IF(K$6&lt;=$E$8,INDEX('Capital Costs'!$D$15:$G$55,MATCH('Capital Cost Escalation'!$E26,'Capital Costs'!$B$15:$B$55,0),MATCH('Capital Cost Escalation'!$C26,'Capital Costs'!$D$7:$G$7,0))*K$8*(1+$F26)^(K$2), 0),0)</f>
        <v>0</v>
      </c>
      <c r="L26" s="490">
        <f>IFERROR(IF(L$6&lt;=$E$8,INDEX('Capital Costs'!$D$15:$G$55,MATCH('Capital Cost Escalation'!$E26,'Capital Costs'!$B$15:$B$55,0),MATCH('Capital Cost Escalation'!$C26,'Capital Costs'!$D$7:$G$7,0))*L$8*(1+$F26)^(L$2), 0),0)</f>
        <v>0</v>
      </c>
      <c r="M26" s="490">
        <f>IFERROR(IF(M$6&lt;=$E$8,INDEX('Capital Costs'!$D$15:$G$55,MATCH('Capital Cost Escalation'!$E26,'Capital Costs'!$B$15:$B$55,0),MATCH('Capital Cost Escalation'!$C26,'Capital Costs'!$D$7:$G$7,0))*M$8*(1+$F26)^(M$2), 0),0)</f>
        <v>0</v>
      </c>
      <c r="N26" s="490">
        <f>IFERROR(IF(N$6&lt;=$E$8,INDEX('Capital Costs'!$D$15:$G$55,MATCH('Capital Cost Escalation'!$E26,'Capital Costs'!$B$15:$B$55,0),MATCH('Capital Cost Escalation'!$C26,'Capital Costs'!$D$7:$G$7,0))*N$8*(1+$F26)^(N$2), 0),0)</f>
        <v>0</v>
      </c>
      <c r="O26" s="490">
        <f>IFERROR(IF(O$6&lt;=$E$8,INDEX('Capital Costs'!$D$15:$G$55,MATCH('Capital Cost Escalation'!$E26,'Capital Costs'!$B$15:$B$55,0),MATCH('Capital Cost Escalation'!$C26,'Capital Costs'!$D$7:$G$7,0))*O$8*(1+$F26)^(O$2), 0),0)</f>
        <v>0</v>
      </c>
      <c r="P26" s="490">
        <f>IFERROR(IF(P$6&lt;=$E$8,INDEX('Capital Costs'!$D$15:$G$55,MATCH('Capital Cost Escalation'!$E26,'Capital Costs'!$B$15:$B$55,0),MATCH('Capital Cost Escalation'!$C26,'Capital Costs'!$D$7:$G$7,0))*P$8*(1+$F26)^(P$2), 0),0)</f>
        <v>0</v>
      </c>
      <c r="Q26" s="490">
        <f>IFERROR(IF(Q$6&lt;=$E$8,INDEX('Capital Costs'!$D$15:$G$55,MATCH('Capital Cost Escalation'!$E26,'Capital Costs'!$B$15:$B$55,0),MATCH('Capital Cost Escalation'!$C26,'Capital Costs'!$D$7:$G$7,0))*Q$8*(1+$F26)^(Q$2), 0),0)</f>
        <v>0</v>
      </c>
      <c r="R26" s="490">
        <f>IFERROR(IF(R$6&lt;=$E$8,INDEX('Capital Costs'!$D$15:$G$55,MATCH('Capital Cost Escalation'!$E26,'Capital Costs'!$B$15:$B$55,0),MATCH('Capital Cost Escalation'!$C26,'Capital Costs'!$D$7:$G$7,0))*R$8*(1+$F26)^(R$2), 0),0)</f>
        <v>0</v>
      </c>
      <c r="S26" s="490">
        <f>IFERROR(IF(S$6&lt;=$E$8,INDEX('Capital Costs'!$D$15:$G$55,MATCH('Capital Cost Escalation'!$E26,'Capital Costs'!$B$15:$B$55,0),MATCH('Capital Cost Escalation'!$C26,'Capital Costs'!$D$7:$G$7,0))*S$8*(1+$F26)^(S$2), 0),0)</f>
        <v>0</v>
      </c>
      <c r="T26" s="490">
        <f>IFERROR(IF(T$6&lt;=$E$8,INDEX('Capital Costs'!$D$15:$G$55,MATCH('Capital Cost Escalation'!$E26,'Capital Costs'!$B$15:$B$55,0),MATCH('Capital Cost Escalation'!$C26,'Capital Costs'!$D$7:$G$7,0))*T$8*(1+$F26)^(T$2), 0),0)</f>
        <v>0</v>
      </c>
      <c r="U26" s="490">
        <f>IFERROR(IF(U$6&lt;=$E$8,INDEX('Capital Costs'!$D$15:$G$55,MATCH('Capital Cost Escalation'!$E26,'Capital Costs'!$B$15:$B$55,0),MATCH('Capital Cost Escalation'!$C26,'Capital Costs'!$D$7:$G$7,0))*U$8*(1+$F26)^(U$2), 0),0)</f>
        <v>0</v>
      </c>
      <c r="V26" s="490">
        <f>IFERROR(IF(V$6&lt;=$E$8,INDEX('Capital Costs'!$D$15:$G$55,MATCH('Capital Cost Escalation'!$E26,'Capital Costs'!$B$15:$B$55,0),MATCH('Capital Cost Escalation'!$C26,'Capital Costs'!$D$7:$G$7,0))*V$8*(1+$F26)^(V$2), 0),0)</f>
        <v>0</v>
      </c>
      <c r="W26" s="490">
        <f>IFERROR(IF(W$6&lt;=$E$8,INDEX('Capital Costs'!$D$15:$G$55,MATCH('Capital Cost Escalation'!$E26,'Capital Costs'!$B$15:$B$55,0),MATCH('Capital Cost Escalation'!$C26,'Capital Costs'!$D$7:$G$7,0))*W$8*(1+$F26)^(W$2), 0),0)</f>
        <v>0</v>
      </c>
      <c r="X26" s="490">
        <f>IFERROR(IF(X$6&lt;=$E$8,INDEX('Capital Costs'!$D$15:$G$55,MATCH('Capital Cost Escalation'!$E26,'Capital Costs'!$B$15:$B$55,0),MATCH('Capital Cost Escalation'!$C26,'Capital Costs'!$D$7:$G$7,0))*X$8*(1+$F26)^(X$2), 0),0)</f>
        <v>0</v>
      </c>
      <c r="Y26" s="490">
        <f>IFERROR(IF(Y$6&lt;=$E$8,INDEX('Capital Costs'!$D$15:$G$55,MATCH('Capital Cost Escalation'!$E26,'Capital Costs'!$B$15:$B$55,0),MATCH('Capital Cost Escalation'!$C26,'Capital Costs'!$D$7:$G$7,0))*Y$8*(1+$F26)^(Y$2), 0),0)</f>
        <v>0</v>
      </c>
      <c r="Z26" s="490">
        <f>IFERROR(IF(Z$6&lt;=$E$8,INDEX('Capital Costs'!$D$15:$G$55,MATCH('Capital Cost Escalation'!$E26,'Capital Costs'!$B$15:$B$55,0),MATCH('Capital Cost Escalation'!$C26,'Capital Costs'!$D$7:$G$7,0))*Z$8*(1+$F26)^(Z$2), 0),0)</f>
        <v>0</v>
      </c>
      <c r="AA26" s="490">
        <f>IFERROR(IF(AA$6&lt;=$E$8,INDEX('Capital Costs'!$D$15:$G$55,MATCH('Capital Cost Escalation'!$E26,'Capital Costs'!$B$15:$B$55,0),MATCH('Capital Cost Escalation'!$C26,'Capital Costs'!$D$7:$G$7,0))*AA$8*(1+$F26)^(AA$2), 0),0)</f>
        <v>0</v>
      </c>
      <c r="AB26" s="490">
        <f>IFERROR(IF(AB$6&lt;=$E$8,INDEX('Capital Costs'!$D$15:$G$55,MATCH('Capital Cost Escalation'!$E26,'Capital Costs'!$B$15:$B$55,0),MATCH('Capital Cost Escalation'!$C26,'Capital Costs'!$D$7:$G$7,0))*AB$8*(1+$F26)^(AB$2), 0),0)</f>
        <v>0</v>
      </c>
      <c r="AC26" s="490">
        <f>IFERROR(IF(AC$6&lt;=$E$8,INDEX('Capital Costs'!$D$15:$G$55,MATCH('Capital Cost Escalation'!$E26,'Capital Costs'!$B$15:$B$55,0),MATCH('Capital Cost Escalation'!$C26,'Capital Costs'!$D$7:$G$7,0))*AC$8*(1+$F26)^(AC$2), 0),0)</f>
        <v>0</v>
      </c>
      <c r="AD26" s="490">
        <f>IFERROR(IF(AD$6&lt;=$E$8,INDEX('Capital Costs'!$D$15:$G$55,MATCH('Capital Cost Escalation'!$E26,'Capital Costs'!$B$15:$B$55,0),MATCH('Capital Cost Escalation'!$C26,'Capital Costs'!$D$7:$G$7,0))*AD$8*(1+$F26)^(AD$2), 0),0)</f>
        <v>0</v>
      </c>
      <c r="AE26" s="490">
        <f>IFERROR(IF(AE$6&lt;=$E$8,INDEX('Capital Costs'!$D$15:$G$55,MATCH('Capital Cost Escalation'!$E26,'Capital Costs'!$B$15:$B$55,0),MATCH('Capital Cost Escalation'!$C26,'Capital Costs'!$D$7:$G$7,0))*AE$8*(1+$F26)^(AE$2), 0),0)</f>
        <v>0</v>
      </c>
      <c r="AF26" s="490">
        <f>IFERROR(IF(AF$6&lt;=$E$8,INDEX('Capital Costs'!$D$15:$G$55,MATCH('Capital Cost Escalation'!$E26,'Capital Costs'!$B$15:$B$55,0),MATCH('Capital Cost Escalation'!$C26,'Capital Costs'!$D$7:$G$7,0))*AF$8*(1+$F26)^(AF$2), 0),0)</f>
        <v>0</v>
      </c>
      <c r="AG26" s="490">
        <f>IFERROR(IF(AG$6&lt;=$E$8,INDEX('Capital Costs'!$D$15:$G$55,MATCH('Capital Cost Escalation'!$E26,'Capital Costs'!$B$15:$B$55,0),MATCH('Capital Cost Escalation'!$C26,'Capital Costs'!$D$7:$G$7,0))*AG$8*(1+$F26)^(AG$2), 0),0)</f>
        <v>0</v>
      </c>
      <c r="AH26" s="490">
        <f>IFERROR(IF(AH$6&lt;=$E$8,INDEX('Capital Costs'!$D$15:$G$55,MATCH('Capital Cost Escalation'!$E26,'Capital Costs'!$B$15:$B$55,0),MATCH('Capital Cost Escalation'!$C26,'Capital Costs'!$D$7:$G$7,0))*AH$8*(1+$F26)^(AH$2), 0),0)</f>
        <v>0</v>
      </c>
      <c r="AI26" s="490">
        <f>IFERROR(IF(AI$6&lt;=$E$8,INDEX('Capital Costs'!$D$15:$G$55,MATCH('Capital Cost Escalation'!$E26,'Capital Costs'!$B$15:$B$55,0),MATCH('Capital Cost Escalation'!$C26,'Capital Costs'!$D$7:$G$7,0))*AI$8*(1+$F26)^(AI$2), 0),0)</f>
        <v>0</v>
      </c>
      <c r="AJ26" s="490">
        <f>IFERROR(IF(AJ$6&lt;=$E$8,INDEX('Capital Costs'!$D$15:$G$55,MATCH('Capital Cost Escalation'!$E26,'Capital Costs'!$B$15:$B$55,0),MATCH('Capital Cost Escalation'!$C26,'Capital Costs'!$D$7:$G$7,0))*AJ$8*(1+$F26)^(AJ$2), 0),0)</f>
        <v>0</v>
      </c>
      <c r="AK26" s="490">
        <f>IFERROR(IF(AK$6&lt;=$E$8,INDEX('Capital Costs'!$D$15:$G$55,MATCH('Capital Cost Escalation'!$E26,'Capital Costs'!$B$15:$B$55,0),MATCH('Capital Cost Escalation'!$C26,'Capital Costs'!$D$7:$G$7,0))*AK$8*(1+$F26)^(AK$2), 0),0)</f>
        <v>0</v>
      </c>
      <c r="AL26" s="490">
        <f>IFERROR(IF(AL$6&lt;=$E$8,INDEX('Capital Costs'!$D$15:$G$55,MATCH('Capital Cost Escalation'!$E26,'Capital Costs'!$B$15:$B$55,0),MATCH('Capital Cost Escalation'!$C26,'Capital Costs'!$D$7:$G$7,0))*AL$8*(1+$F26)^(AL$2), 0),0)</f>
        <v>0</v>
      </c>
      <c r="AM26" s="490">
        <f>IFERROR(IF(AM$6&lt;=$E$8,INDEX('Capital Costs'!$D$15:$G$55,MATCH('Capital Cost Escalation'!$E26,'Capital Costs'!$B$15:$B$55,0),MATCH('Capital Cost Escalation'!$C26,'Capital Costs'!$D$7:$G$7,0))*AM$8*(1+$F26)^(AM$2), 0),0)</f>
        <v>0</v>
      </c>
      <c r="AN26" s="490">
        <f>IFERROR(IF(AN$6&lt;=$E$8,INDEX('Capital Costs'!$D$15:$G$55,MATCH('Capital Cost Escalation'!$E26,'Capital Costs'!$B$15:$B$55,0),MATCH('Capital Cost Escalation'!$C26,'Capital Costs'!$D$7:$G$7,0))*AN$8*(1+$F26)^(AN$2), 0),0)</f>
        <v>0</v>
      </c>
      <c r="AO26" s="490">
        <f>IFERROR(IF(AO$6&lt;=$E$8,INDEX('Capital Costs'!$D$15:$G$55,MATCH('Capital Cost Escalation'!$E26,'Capital Costs'!$B$15:$B$55,0),MATCH('Capital Cost Escalation'!$C26,'Capital Costs'!$D$7:$G$7,0))*AO$8*(1+$F26)^(AO$2), 0),0)</f>
        <v>0</v>
      </c>
      <c r="AP26" s="490">
        <f>IFERROR(IF(AP$6&lt;=$E$8,INDEX('Capital Costs'!$D$15:$G$55,MATCH('Capital Cost Escalation'!$E26,'Capital Costs'!$B$15:$B$55,0),MATCH('Capital Cost Escalation'!$C26,'Capital Costs'!$D$7:$G$7,0))*AP$8*(1+$F26)^(AP$2), 0),0)</f>
        <v>0</v>
      </c>
      <c r="AQ26" s="490">
        <f>IFERROR(IF(AQ$6&lt;=$E$8,INDEX('Capital Costs'!$D$15:$G$55,MATCH('Capital Cost Escalation'!$E26,'Capital Costs'!$B$15:$B$55,0),MATCH('Capital Cost Escalation'!$C26,'Capital Costs'!$D$7:$G$7,0))*AQ$8*(1+$F26)^(AQ$2), 0),0)</f>
        <v>0</v>
      </c>
      <c r="AR26" s="490">
        <f>IFERROR(IF(AR$6&lt;=$E$8,INDEX('Capital Costs'!$D$15:$G$55,MATCH('Capital Cost Escalation'!$E26,'Capital Costs'!$B$15:$B$55,0),MATCH('Capital Cost Escalation'!$C26,'Capital Costs'!$D$7:$G$7,0))*AR$8*(1+$F26)^(AR$2), 0),0)</f>
        <v>0</v>
      </c>
      <c r="AS26" s="490">
        <f>IFERROR(IF(AS$6&lt;=$E$8,INDEX('Capital Costs'!$D$15:$G$55,MATCH('Capital Cost Escalation'!$E26,'Capital Costs'!$B$15:$B$55,0),MATCH('Capital Cost Escalation'!$C26,'Capital Costs'!$D$7:$G$7,0))*AS$8*(1+$F26)^(AS$2), 0),0)</f>
        <v>0</v>
      </c>
      <c r="AT26" s="490">
        <f>IFERROR(IF(AT$6&lt;=$E$8,INDEX('Capital Costs'!$D$15:$G$55,MATCH('Capital Cost Escalation'!$E26,'Capital Costs'!$B$15:$B$55,0),MATCH('Capital Cost Escalation'!$C26,'Capital Costs'!$D$7:$G$7,0))*AT$8*(1+$F26)^(AT$2), 0),0)</f>
        <v>0</v>
      </c>
      <c r="AV26" s="827">
        <f t="shared" si="5"/>
        <v>0</v>
      </c>
      <c r="AW26" s="828">
        <f>INDEX('Capital Costs'!$D$15:$G$55,MATCH('Capital Cost Escalation'!$E26,'Capital Costs'!$B$15:$B$55,0),MATCH('Capital Cost Escalation'!$C26,'Capital Costs'!$D$7:$G$7,0))</f>
        <v>0</v>
      </c>
    </row>
    <row r="27" spans="1:49">
      <c r="A27" s="487" t="str">
        <f t="shared" si="4"/>
        <v>CT_SWMAAC_Other Equipment</v>
      </c>
      <c r="B27" s="478" t="s">
        <v>76</v>
      </c>
      <c r="C27" s="488" t="s">
        <v>121</v>
      </c>
      <c r="E27" s="442" t="s">
        <v>136</v>
      </c>
      <c r="F27" s="1325">
        <f>INDEX('Capital Costs_Nominal$'!$F:$F,MATCH('Capital Cost Escalation'!$E27,'Capital Costs_Nominal$'!$C:$C,0),1)</f>
        <v>2.3944839450136257E-3</v>
      </c>
      <c r="G27" s="490">
        <f>IFERROR(IF(G$6&lt;=$E$8,INDEX('Capital Costs'!$D$15:$G$55,MATCH('Capital Cost Escalation'!$E27,'Capital Costs'!$B$15:$B$55,0),MATCH('Capital Cost Escalation'!$C27,'Capital Costs'!$D$7:$G$7,0))*G$8*(1+$F27)^(G$2), 0),0)</f>
        <v>85318.920399264083</v>
      </c>
      <c r="H27" s="490">
        <f>IFERROR(IF(H$6&lt;=$E$8,INDEX('Capital Costs'!$D$15:$G$55,MATCH('Capital Cost Escalation'!$E27,'Capital Costs'!$B$15:$B$55,0),MATCH('Capital Cost Escalation'!$C27,'Capital Costs'!$D$7:$G$7,0))*H$8*(1+$F27)^(H$2), 0),0)</f>
        <v>101761.265958242</v>
      </c>
      <c r="I27" s="490">
        <f>IFERROR(IF(I$6&lt;=$E$8,INDEX('Capital Costs'!$D$15:$G$55,MATCH('Capital Cost Escalation'!$E27,'Capital Costs'!$B$15:$B$55,0),MATCH('Capital Cost Escalation'!$C27,'Capital Costs'!$D$7:$G$7,0))*I$8*(1+$F27)^(I$2), 0),0)</f>
        <v>615506.24168605637</v>
      </c>
      <c r="J27" s="490">
        <f>IFERROR(IF(J$6&lt;=$E$8,INDEX('Capital Costs'!$D$15:$G$55,MATCH('Capital Cost Escalation'!$E27,'Capital Costs'!$B$15:$B$55,0),MATCH('Capital Cost Escalation'!$C27,'Capital Costs'!$D$7:$G$7,0))*J$8*(1+$F27)^(J$2), 0),0)</f>
        <v>190206.05469696625</v>
      </c>
      <c r="K27" s="490">
        <f>IFERROR(IF(K$6&lt;=$E$8,INDEX('Capital Costs'!$D$15:$G$55,MATCH('Capital Cost Escalation'!$E27,'Capital Costs'!$B$15:$B$55,0),MATCH('Capital Cost Escalation'!$C27,'Capital Costs'!$D$7:$G$7,0))*K$8*(1+$F27)^(K$2), 0),0)</f>
        <v>415887.14664609975</v>
      </c>
      <c r="L27" s="490">
        <f>IFERROR(IF(L$6&lt;=$E$8,INDEX('Capital Costs'!$D$15:$G$55,MATCH('Capital Cost Escalation'!$E27,'Capital Costs'!$B$15:$B$55,0),MATCH('Capital Cost Escalation'!$C27,'Capital Costs'!$D$7:$G$7,0))*L$8*(1+$F27)^(L$2), 0),0)</f>
        <v>263842.77236618724</v>
      </c>
      <c r="M27" s="490">
        <f>IFERROR(IF(M$6&lt;=$E$8,INDEX('Capital Costs'!$D$15:$G$55,MATCH('Capital Cost Escalation'!$E27,'Capital Costs'!$B$15:$B$55,0),MATCH('Capital Cost Escalation'!$C27,'Capital Costs'!$D$7:$G$7,0))*M$8*(1+$F27)^(M$2), 0),0)</f>
        <v>518289.19685642142</v>
      </c>
      <c r="N27" s="490">
        <f>IFERROR(IF(N$6&lt;=$E$8,INDEX('Capital Costs'!$D$15:$G$55,MATCH('Capital Cost Escalation'!$E27,'Capital Costs'!$B$15:$B$55,0),MATCH('Capital Cost Escalation'!$C27,'Capital Costs'!$D$7:$G$7,0))*N$8*(1+$F27)^(N$2), 0),0)</f>
        <v>689083.21331222728</v>
      </c>
      <c r="O27" s="490">
        <f>IFERROR(IF(O$6&lt;=$E$8,INDEX('Capital Costs'!$D$15:$G$55,MATCH('Capital Cost Escalation'!$E27,'Capital Costs'!$B$15:$B$55,0),MATCH('Capital Cost Escalation'!$C27,'Capital Costs'!$D$7:$G$7,0))*O$8*(1+$F27)^(O$2), 0),0)</f>
        <v>964054.84276646457</v>
      </c>
      <c r="P27" s="490">
        <f>IFERROR(IF(P$6&lt;=$E$8,INDEX('Capital Costs'!$D$15:$G$55,MATCH('Capital Cost Escalation'!$E27,'Capital Costs'!$B$15:$B$55,0),MATCH('Capital Cost Escalation'!$C27,'Capital Costs'!$D$7:$G$7,0))*P$8*(1+$F27)^(P$2), 0),0)</f>
        <v>1606294.684336697</v>
      </c>
      <c r="Q27" s="490">
        <f>IFERROR(IF(Q$6&lt;=$E$8,INDEX('Capital Costs'!$D$15:$G$55,MATCH('Capital Cost Escalation'!$E27,'Capital Costs'!$B$15:$B$55,0),MATCH('Capital Cost Escalation'!$C27,'Capital Costs'!$D$7:$G$7,0))*Q$8*(1+$F27)^(Q$2), 0),0)</f>
        <v>1956058.2999507235</v>
      </c>
      <c r="R27" s="490">
        <f>IFERROR(IF(R$6&lt;=$E$8,INDEX('Capital Costs'!$D$15:$G$55,MATCH('Capital Cost Escalation'!$E27,'Capital Costs'!$B$15:$B$55,0),MATCH('Capital Cost Escalation'!$C27,'Capital Costs'!$D$7:$G$7,0))*R$8*(1+$F27)^(R$2), 0),0)</f>
        <v>2508079.7706032819</v>
      </c>
      <c r="S27" s="490">
        <f>IFERROR(IF(S$6&lt;=$E$8,INDEX('Capital Costs'!$D$15:$G$55,MATCH('Capital Cost Escalation'!$E27,'Capital Costs'!$B$15:$B$55,0),MATCH('Capital Cost Escalation'!$C27,'Capital Costs'!$D$7:$G$7,0))*S$8*(1+$F27)^(S$2), 0),0)</f>
        <v>2795062.5148263942</v>
      </c>
      <c r="T27" s="490">
        <f>IFERROR(IF(T$6&lt;=$E$8,INDEX('Capital Costs'!$D$15:$G$55,MATCH('Capital Cost Escalation'!$E27,'Capital Costs'!$B$15:$B$55,0),MATCH('Capital Cost Escalation'!$C27,'Capital Costs'!$D$7:$G$7,0))*T$8*(1+$F27)^(T$2), 0),0)</f>
        <v>2972178.7826116146</v>
      </c>
      <c r="U27" s="490">
        <f>IFERROR(IF(U$6&lt;=$E$8,INDEX('Capital Costs'!$D$15:$G$55,MATCH('Capital Cost Escalation'!$E27,'Capital Costs'!$B$15:$B$55,0),MATCH('Capital Cost Escalation'!$C27,'Capital Costs'!$D$7:$G$7,0))*U$8*(1+$F27)^(U$2), 0),0)</f>
        <v>2788754.1958744354</v>
      </c>
      <c r="V27" s="490">
        <f>IFERROR(IF(V$6&lt;=$E$8,INDEX('Capital Costs'!$D$15:$G$55,MATCH('Capital Cost Escalation'!$E27,'Capital Costs'!$B$15:$B$55,0),MATCH('Capital Cost Escalation'!$C27,'Capital Costs'!$D$7:$G$7,0))*V$8*(1+$F27)^(V$2), 0),0)</f>
        <v>2471981.7949622446</v>
      </c>
      <c r="W27" s="490">
        <f>IFERROR(IF(W$6&lt;=$E$8,INDEX('Capital Costs'!$D$15:$G$55,MATCH('Capital Cost Escalation'!$E27,'Capital Costs'!$B$15:$B$55,0),MATCH('Capital Cost Escalation'!$C27,'Capital Costs'!$D$7:$G$7,0))*W$8*(1+$F27)^(W$2), 0),0)</f>
        <v>1880149.5068931468</v>
      </c>
      <c r="X27" s="490">
        <f>IFERROR(IF(X$6&lt;=$E$8,INDEX('Capital Costs'!$D$15:$G$55,MATCH('Capital Cost Escalation'!$E27,'Capital Costs'!$B$15:$B$55,0),MATCH('Capital Cost Escalation'!$C27,'Capital Costs'!$D$7:$G$7,0))*X$8*(1+$F27)^(X$2), 0),0)</f>
        <v>1047517.235345151</v>
      </c>
      <c r="Y27" s="490">
        <f>IFERROR(IF(Y$6&lt;=$E$8,INDEX('Capital Costs'!$D$15:$G$55,MATCH('Capital Cost Escalation'!$E27,'Capital Costs'!$B$15:$B$55,0),MATCH('Capital Cost Escalation'!$C27,'Capital Costs'!$D$7:$G$7,0))*Y$8*(1+$F27)^(Y$2), 0),0)</f>
        <v>221846.7260686738</v>
      </c>
      <c r="Z27" s="490">
        <f>IFERROR(IF(Z$6&lt;=$E$8,INDEX('Capital Costs'!$D$15:$G$55,MATCH('Capital Cost Escalation'!$E27,'Capital Costs'!$B$15:$B$55,0),MATCH('Capital Cost Escalation'!$C27,'Capital Costs'!$D$7:$G$7,0))*Z$8*(1+$F27)^(Z$2), 0),0)</f>
        <v>49530.833371320979</v>
      </c>
      <c r="AA27" s="490">
        <f>IFERROR(IF(AA$6&lt;=$E$8,INDEX('Capital Costs'!$D$15:$G$55,MATCH('Capital Cost Escalation'!$E27,'Capital Costs'!$B$15:$B$55,0),MATCH('Capital Cost Escalation'!$C27,'Capital Costs'!$D$7:$G$7,0))*AA$8*(1+$F27)^(AA$2), 0),0)</f>
        <v>0</v>
      </c>
      <c r="AB27" s="490">
        <f>IFERROR(IF(AB$6&lt;=$E$8,INDEX('Capital Costs'!$D$15:$G$55,MATCH('Capital Cost Escalation'!$E27,'Capital Costs'!$B$15:$B$55,0),MATCH('Capital Cost Escalation'!$C27,'Capital Costs'!$D$7:$G$7,0))*AB$8*(1+$F27)^(AB$2), 0),0)</f>
        <v>0</v>
      </c>
      <c r="AC27" s="490">
        <f>IFERROR(IF(AC$6&lt;=$E$8,INDEX('Capital Costs'!$D$15:$G$55,MATCH('Capital Cost Escalation'!$E27,'Capital Costs'!$B$15:$B$55,0),MATCH('Capital Cost Escalation'!$C27,'Capital Costs'!$D$7:$G$7,0))*AC$8*(1+$F27)^(AC$2), 0),0)</f>
        <v>0</v>
      </c>
      <c r="AD27" s="490">
        <f>IFERROR(IF(AD$6&lt;=$E$8,INDEX('Capital Costs'!$D$15:$G$55,MATCH('Capital Cost Escalation'!$E27,'Capital Costs'!$B$15:$B$55,0),MATCH('Capital Cost Escalation'!$C27,'Capital Costs'!$D$7:$G$7,0))*AD$8*(1+$F27)^(AD$2), 0),0)</f>
        <v>0</v>
      </c>
      <c r="AE27" s="490">
        <f>IFERROR(IF(AE$6&lt;=$E$8,INDEX('Capital Costs'!$D$15:$G$55,MATCH('Capital Cost Escalation'!$E27,'Capital Costs'!$B$15:$B$55,0),MATCH('Capital Cost Escalation'!$C27,'Capital Costs'!$D$7:$G$7,0))*AE$8*(1+$F27)^(AE$2), 0),0)</f>
        <v>0</v>
      </c>
      <c r="AF27" s="490">
        <f>IFERROR(IF(AF$6&lt;=$E$8,INDEX('Capital Costs'!$D$15:$G$55,MATCH('Capital Cost Escalation'!$E27,'Capital Costs'!$B$15:$B$55,0),MATCH('Capital Cost Escalation'!$C27,'Capital Costs'!$D$7:$G$7,0))*AF$8*(1+$F27)^(AF$2), 0),0)</f>
        <v>0</v>
      </c>
      <c r="AG27" s="490">
        <f>IFERROR(IF(AG$6&lt;=$E$8,INDEX('Capital Costs'!$D$15:$G$55,MATCH('Capital Cost Escalation'!$E27,'Capital Costs'!$B$15:$B$55,0),MATCH('Capital Cost Escalation'!$C27,'Capital Costs'!$D$7:$G$7,0))*AG$8*(1+$F27)^(AG$2), 0),0)</f>
        <v>0</v>
      </c>
      <c r="AH27" s="490">
        <f>IFERROR(IF(AH$6&lt;=$E$8,INDEX('Capital Costs'!$D$15:$G$55,MATCH('Capital Cost Escalation'!$E27,'Capital Costs'!$B$15:$B$55,0),MATCH('Capital Cost Escalation'!$C27,'Capital Costs'!$D$7:$G$7,0))*AH$8*(1+$F27)^(AH$2), 0),0)</f>
        <v>0</v>
      </c>
      <c r="AI27" s="490">
        <f>IFERROR(IF(AI$6&lt;=$E$8,INDEX('Capital Costs'!$D$15:$G$55,MATCH('Capital Cost Escalation'!$E27,'Capital Costs'!$B$15:$B$55,0),MATCH('Capital Cost Escalation'!$C27,'Capital Costs'!$D$7:$G$7,0))*AI$8*(1+$F27)^(AI$2), 0),0)</f>
        <v>0</v>
      </c>
      <c r="AJ27" s="490">
        <f>IFERROR(IF(AJ$6&lt;=$E$8,INDEX('Capital Costs'!$D$15:$G$55,MATCH('Capital Cost Escalation'!$E27,'Capital Costs'!$B$15:$B$55,0),MATCH('Capital Cost Escalation'!$C27,'Capital Costs'!$D$7:$G$7,0))*AJ$8*(1+$F27)^(AJ$2), 0),0)</f>
        <v>0</v>
      </c>
      <c r="AK27" s="490">
        <f>IFERROR(IF(AK$6&lt;=$E$8,INDEX('Capital Costs'!$D$15:$G$55,MATCH('Capital Cost Escalation'!$E27,'Capital Costs'!$B$15:$B$55,0),MATCH('Capital Cost Escalation'!$C27,'Capital Costs'!$D$7:$G$7,0))*AK$8*(1+$F27)^(AK$2), 0),0)</f>
        <v>0</v>
      </c>
      <c r="AL27" s="490">
        <f>IFERROR(IF(AL$6&lt;=$E$8,INDEX('Capital Costs'!$D$15:$G$55,MATCH('Capital Cost Escalation'!$E27,'Capital Costs'!$B$15:$B$55,0),MATCH('Capital Cost Escalation'!$C27,'Capital Costs'!$D$7:$G$7,0))*AL$8*(1+$F27)^(AL$2), 0),0)</f>
        <v>0</v>
      </c>
      <c r="AM27" s="490">
        <f>IFERROR(IF(AM$6&lt;=$E$8,INDEX('Capital Costs'!$D$15:$G$55,MATCH('Capital Cost Escalation'!$E27,'Capital Costs'!$B$15:$B$55,0),MATCH('Capital Cost Escalation'!$C27,'Capital Costs'!$D$7:$G$7,0))*AM$8*(1+$F27)^(AM$2), 0),0)</f>
        <v>0</v>
      </c>
      <c r="AN27" s="490">
        <f>IFERROR(IF(AN$6&lt;=$E$8,INDEX('Capital Costs'!$D$15:$G$55,MATCH('Capital Cost Escalation'!$E27,'Capital Costs'!$B$15:$B$55,0),MATCH('Capital Cost Escalation'!$C27,'Capital Costs'!$D$7:$G$7,0))*AN$8*(1+$F27)^(AN$2), 0),0)</f>
        <v>0</v>
      </c>
      <c r="AO27" s="490">
        <f>IFERROR(IF(AO$6&lt;=$E$8,INDEX('Capital Costs'!$D$15:$G$55,MATCH('Capital Cost Escalation'!$E27,'Capital Costs'!$B$15:$B$55,0),MATCH('Capital Cost Escalation'!$C27,'Capital Costs'!$D$7:$G$7,0))*AO$8*(1+$F27)^(AO$2), 0),0)</f>
        <v>0</v>
      </c>
      <c r="AP27" s="490">
        <f>IFERROR(IF(AP$6&lt;=$E$8,INDEX('Capital Costs'!$D$15:$G$55,MATCH('Capital Cost Escalation'!$E27,'Capital Costs'!$B$15:$B$55,0),MATCH('Capital Cost Escalation'!$C27,'Capital Costs'!$D$7:$G$7,0))*AP$8*(1+$F27)^(AP$2), 0),0)</f>
        <v>0</v>
      </c>
      <c r="AQ27" s="490">
        <f>IFERROR(IF(AQ$6&lt;=$E$8,INDEX('Capital Costs'!$D$15:$G$55,MATCH('Capital Cost Escalation'!$E27,'Capital Costs'!$B$15:$B$55,0),MATCH('Capital Cost Escalation'!$C27,'Capital Costs'!$D$7:$G$7,0))*AQ$8*(1+$F27)^(AQ$2), 0),0)</f>
        <v>0</v>
      </c>
      <c r="AR27" s="490">
        <f>IFERROR(IF(AR$6&lt;=$E$8,INDEX('Capital Costs'!$D$15:$G$55,MATCH('Capital Cost Escalation'!$E27,'Capital Costs'!$B$15:$B$55,0),MATCH('Capital Cost Escalation'!$C27,'Capital Costs'!$D$7:$G$7,0))*AR$8*(1+$F27)^(AR$2), 0),0)</f>
        <v>0</v>
      </c>
      <c r="AS27" s="490">
        <f>IFERROR(IF(AS$6&lt;=$E$8,INDEX('Capital Costs'!$D$15:$G$55,MATCH('Capital Cost Escalation'!$E27,'Capital Costs'!$B$15:$B$55,0),MATCH('Capital Cost Escalation'!$C27,'Capital Costs'!$D$7:$G$7,0))*AS$8*(1+$F27)^(AS$2), 0),0)</f>
        <v>0</v>
      </c>
      <c r="AT27" s="490">
        <f>IFERROR(IF(AT$6&lt;=$E$8,INDEX('Capital Costs'!$D$15:$G$55,MATCH('Capital Cost Escalation'!$E27,'Capital Costs'!$B$15:$B$55,0),MATCH('Capital Cost Escalation'!$C27,'Capital Costs'!$D$7:$G$7,0))*AT$8*(1+$F27)^(AT$2), 0),0)</f>
        <v>0</v>
      </c>
      <c r="AV27" s="827">
        <f t="shared" si="5"/>
        <v>24141403.999531616</v>
      </c>
      <c r="AW27" s="828">
        <f>INDEX('Capital Costs'!$D$15:$G$55,MATCH('Capital Cost Escalation'!$E27,'Capital Costs'!$B$15:$B$55,0),MATCH('Capital Cost Escalation'!$C27,'Capital Costs'!$D$7:$G$7,0))</f>
        <v>21281700</v>
      </c>
    </row>
    <row r="28" spans="1:49">
      <c r="A28" s="487" t="str">
        <f t="shared" si="4"/>
        <v>CT_SWMAAC_Construction Labor</v>
      </c>
      <c r="B28" s="478" t="s">
        <v>76</v>
      </c>
      <c r="C28" s="488" t="s">
        <v>121</v>
      </c>
      <c r="E28" s="442" t="s">
        <v>138</v>
      </c>
      <c r="F28" s="1325">
        <f>INDEX('Capital Costs_Nominal$'!$F:$F,MATCH('Capital Cost Escalation'!$E28,'Capital Costs_Nominal$'!$C:$C,0),1)</f>
        <v>3.6840339826600399E-3</v>
      </c>
      <c r="G28" s="490">
        <f>IFERROR(IF(G$6&lt;=$E$8,INDEX('Capital Costs'!$D$15:$G$55,MATCH('Capital Cost Escalation'!$E28,'Capital Costs'!$B$15:$B$55,0),MATCH('Capital Cost Escalation'!$C28,'Capital Costs'!$D$7:$G$7,0))*G$8*(1+$F28)^(G$2), 0),0)</f>
        <v>131760.88486130338</v>
      </c>
      <c r="H28" s="490">
        <f>IFERROR(IF(H$6&lt;=$E$8,INDEX('Capital Costs'!$D$15:$G$55,MATCH('Capital Cost Escalation'!$E28,'Capital Costs'!$B$15:$B$55,0),MATCH('Capital Cost Escalation'!$C28,'Capital Costs'!$D$7:$G$7,0))*H$8*(1+$F28)^(H$2), 0),0)</f>
        <v>157355.52638990316</v>
      </c>
      <c r="I28" s="490">
        <f>IFERROR(IF(I$6&lt;=$E$8,INDEX('Capital Costs'!$D$15:$G$55,MATCH('Capital Cost Escalation'!$E28,'Capital Costs'!$B$15:$B$55,0),MATCH('Capital Cost Escalation'!$C28,'Capital Costs'!$D$7:$G$7,0))*I$8*(1+$F28)^(I$2), 0),0)</f>
        <v>952994.31057081267</v>
      </c>
      <c r="J28" s="490">
        <f>IFERROR(IF(J$6&lt;=$E$8,INDEX('Capital Costs'!$D$15:$G$55,MATCH('Capital Cost Escalation'!$E28,'Capital Costs'!$B$15:$B$55,0),MATCH('Capital Cost Escalation'!$C28,'Capital Costs'!$D$7:$G$7,0))*J$8*(1+$F28)^(J$2), 0),0)</f>
        <v>294876.75015104155</v>
      </c>
      <c r="K28" s="490">
        <f>IFERROR(IF(K$6&lt;=$E$8,INDEX('Capital Costs'!$D$15:$G$55,MATCH('Capital Cost Escalation'!$E28,'Capital Costs'!$B$15:$B$55,0),MATCH('Capital Cost Escalation'!$C28,'Capital Costs'!$D$7:$G$7,0))*K$8*(1+$F28)^(K$2), 0),0)</f>
        <v>645579.95910102793</v>
      </c>
      <c r="L28" s="490">
        <f>IFERROR(IF(L$6&lt;=$E$8,INDEX('Capital Costs'!$D$15:$G$55,MATCH('Capital Cost Escalation'!$E28,'Capital Costs'!$B$15:$B$55,0),MATCH('Capital Cost Escalation'!$C28,'Capital Costs'!$D$7:$G$7,0))*L$8*(1+$F28)^(L$2), 0),0)</f>
        <v>410088.97246070771</v>
      </c>
      <c r="M28" s="490">
        <f>IFERROR(IF(M$6&lt;=$E$8,INDEX('Capital Costs'!$D$15:$G$55,MATCH('Capital Cost Escalation'!$E28,'Capital Costs'!$B$15:$B$55,0),MATCH('Capital Cost Escalation'!$C28,'Capital Costs'!$D$7:$G$7,0))*M$8*(1+$F28)^(M$2), 0),0)</f>
        <v>806609.61277821416</v>
      </c>
      <c r="N28" s="490">
        <f>IFERROR(IF(N$6&lt;=$E$8,INDEX('Capital Costs'!$D$15:$G$55,MATCH('Capital Cost Escalation'!$E28,'Capital Costs'!$B$15:$B$55,0),MATCH('Capital Cost Escalation'!$C28,'Capital Costs'!$D$7:$G$7,0))*N$8*(1+$F28)^(N$2), 0),0)</f>
        <v>1073794.6965626741</v>
      </c>
      <c r="O28" s="490">
        <f>IFERROR(IF(O$6&lt;=$E$8,INDEX('Capital Costs'!$D$15:$G$55,MATCH('Capital Cost Escalation'!$E28,'Capital Costs'!$B$15:$B$55,0),MATCH('Capital Cost Escalation'!$C28,'Capital Costs'!$D$7:$G$7,0))*O$8*(1+$F28)^(O$2), 0),0)</f>
        <v>1504214.1598898394</v>
      </c>
      <c r="P28" s="490">
        <f>IFERROR(IF(P$6&lt;=$E$8,INDEX('Capital Costs'!$D$15:$G$55,MATCH('Capital Cost Escalation'!$E28,'Capital Costs'!$B$15:$B$55,0),MATCH('Capital Cost Escalation'!$C28,'Capital Costs'!$D$7:$G$7,0))*P$8*(1+$F28)^(P$2), 0),0)</f>
        <v>2509524.85698506</v>
      </c>
      <c r="Q28" s="490">
        <f>IFERROR(IF(Q$6&lt;=$E$8,INDEX('Capital Costs'!$D$15:$G$55,MATCH('Capital Cost Escalation'!$E28,'Capital Costs'!$B$15:$B$55,0),MATCH('Capital Cost Escalation'!$C28,'Capital Costs'!$D$7:$G$7,0))*Q$8*(1+$F28)^(Q$2), 0),0)</f>
        <v>3059894.2807242041</v>
      </c>
      <c r="R28" s="490">
        <f>IFERROR(IF(R$6&lt;=$E$8,INDEX('Capital Costs'!$D$15:$G$55,MATCH('Capital Cost Escalation'!$E28,'Capital Costs'!$B$15:$B$55,0),MATCH('Capital Cost Escalation'!$C28,'Capital Costs'!$D$7:$G$7,0))*R$8*(1+$F28)^(R$2), 0),0)</f>
        <v>3928477.9518305166</v>
      </c>
      <c r="S28" s="490">
        <f>IFERROR(IF(S$6&lt;=$E$8,INDEX('Capital Costs'!$D$15:$G$55,MATCH('Capital Cost Escalation'!$E28,'Capital Costs'!$B$15:$B$55,0),MATCH('Capital Cost Escalation'!$C28,'Capital Costs'!$D$7:$G$7,0))*S$8*(1+$F28)^(S$2), 0),0)</f>
        <v>4383619.4796963101</v>
      </c>
      <c r="T28" s="490">
        <f>IFERROR(IF(T$6&lt;=$E$8,INDEX('Capital Costs'!$D$15:$G$55,MATCH('Capital Cost Escalation'!$E28,'Capital Costs'!$B$15:$B$55,0),MATCH('Capital Cost Escalation'!$C28,'Capital Costs'!$D$7:$G$7,0))*T$8*(1+$F28)^(T$2), 0),0)</f>
        <v>4667395.4604937537</v>
      </c>
      <c r="U28" s="490">
        <f>IFERROR(IF(U$6&lt;=$E$8,INDEX('Capital Costs'!$D$15:$G$55,MATCH('Capital Cost Escalation'!$E28,'Capital Costs'!$B$15:$B$55,0),MATCH('Capital Cost Escalation'!$C28,'Capital Costs'!$D$7:$G$7,0))*U$8*(1+$F28)^(U$2), 0),0)</f>
        <v>4384986.4349430557</v>
      </c>
      <c r="V28" s="490">
        <f>IFERROR(IF(V$6&lt;=$E$8,INDEX('Capital Costs'!$D$15:$G$55,MATCH('Capital Cost Escalation'!$E28,'Capital Costs'!$B$15:$B$55,0),MATCH('Capital Cost Escalation'!$C28,'Capital Costs'!$D$7:$G$7,0))*V$8*(1+$F28)^(V$2), 0),0)</f>
        <v>3891899.6442505</v>
      </c>
      <c r="W28" s="490">
        <f>IFERROR(IF(W$6&lt;=$E$8,INDEX('Capital Costs'!$D$15:$G$55,MATCH('Capital Cost Escalation'!$E28,'Capital Costs'!$B$15:$B$55,0),MATCH('Capital Cost Escalation'!$C28,'Capital Costs'!$D$7:$G$7,0))*W$8*(1+$F28)^(W$2), 0),0)</f>
        <v>2963924.2345704557</v>
      </c>
      <c r="X28" s="490">
        <f>IFERROR(IF(X$6&lt;=$E$8,INDEX('Capital Costs'!$D$15:$G$55,MATCH('Capital Cost Escalation'!$E28,'Capital Costs'!$B$15:$B$55,0),MATCH('Capital Cost Escalation'!$C28,'Capital Costs'!$D$7:$G$7,0))*X$8*(1+$F28)^(X$2), 0),0)</f>
        <v>1653462.0731816064</v>
      </c>
      <c r="Y28" s="490">
        <f>IFERROR(IF(Y$6&lt;=$E$8,INDEX('Capital Costs'!$D$15:$G$55,MATCH('Capital Cost Escalation'!$E28,'Capital Costs'!$B$15:$B$55,0),MATCH('Capital Cost Escalation'!$C28,'Capital Costs'!$D$7:$G$7,0))*Y$8*(1+$F28)^(Y$2), 0),0)</f>
        <v>350626.25392676383</v>
      </c>
      <c r="Z28" s="490">
        <f>IFERROR(IF(Z$6&lt;=$E$8,INDEX('Capital Costs'!$D$15:$G$55,MATCH('Capital Cost Escalation'!$E28,'Capital Costs'!$B$15:$B$55,0),MATCH('Capital Cost Escalation'!$C28,'Capital Costs'!$D$7:$G$7,0))*Z$8*(1+$F28)^(Z$2), 0),0)</f>
        <v>78383.633335321822</v>
      </c>
      <c r="AA28" s="490">
        <f>IFERROR(IF(AA$6&lt;=$E$8,INDEX('Capital Costs'!$D$15:$G$55,MATCH('Capital Cost Escalation'!$E28,'Capital Costs'!$B$15:$B$55,0),MATCH('Capital Cost Escalation'!$C28,'Capital Costs'!$D$7:$G$7,0))*AA$8*(1+$F28)^(AA$2), 0),0)</f>
        <v>0</v>
      </c>
      <c r="AB28" s="490">
        <f>IFERROR(IF(AB$6&lt;=$E$8,INDEX('Capital Costs'!$D$15:$G$55,MATCH('Capital Cost Escalation'!$E28,'Capital Costs'!$B$15:$B$55,0),MATCH('Capital Cost Escalation'!$C28,'Capital Costs'!$D$7:$G$7,0))*AB$8*(1+$F28)^(AB$2), 0),0)</f>
        <v>0</v>
      </c>
      <c r="AC28" s="490">
        <f>IFERROR(IF(AC$6&lt;=$E$8,INDEX('Capital Costs'!$D$15:$G$55,MATCH('Capital Cost Escalation'!$E28,'Capital Costs'!$B$15:$B$55,0),MATCH('Capital Cost Escalation'!$C28,'Capital Costs'!$D$7:$G$7,0))*AC$8*(1+$F28)^(AC$2), 0),0)</f>
        <v>0</v>
      </c>
      <c r="AD28" s="490">
        <f>IFERROR(IF(AD$6&lt;=$E$8,INDEX('Capital Costs'!$D$15:$G$55,MATCH('Capital Cost Escalation'!$E28,'Capital Costs'!$B$15:$B$55,0),MATCH('Capital Cost Escalation'!$C28,'Capital Costs'!$D$7:$G$7,0))*AD$8*(1+$F28)^(AD$2), 0),0)</f>
        <v>0</v>
      </c>
      <c r="AE28" s="490">
        <f>IFERROR(IF(AE$6&lt;=$E$8,INDEX('Capital Costs'!$D$15:$G$55,MATCH('Capital Cost Escalation'!$E28,'Capital Costs'!$B$15:$B$55,0),MATCH('Capital Cost Escalation'!$C28,'Capital Costs'!$D$7:$G$7,0))*AE$8*(1+$F28)^(AE$2), 0),0)</f>
        <v>0</v>
      </c>
      <c r="AF28" s="490">
        <f>IFERROR(IF(AF$6&lt;=$E$8,INDEX('Capital Costs'!$D$15:$G$55,MATCH('Capital Cost Escalation'!$E28,'Capital Costs'!$B$15:$B$55,0),MATCH('Capital Cost Escalation'!$C28,'Capital Costs'!$D$7:$G$7,0))*AF$8*(1+$F28)^(AF$2), 0),0)</f>
        <v>0</v>
      </c>
      <c r="AG28" s="490">
        <f>IFERROR(IF(AG$6&lt;=$E$8,INDEX('Capital Costs'!$D$15:$G$55,MATCH('Capital Cost Escalation'!$E28,'Capital Costs'!$B$15:$B$55,0),MATCH('Capital Cost Escalation'!$C28,'Capital Costs'!$D$7:$G$7,0))*AG$8*(1+$F28)^(AG$2), 0),0)</f>
        <v>0</v>
      </c>
      <c r="AH28" s="490">
        <f>IFERROR(IF(AH$6&lt;=$E$8,INDEX('Capital Costs'!$D$15:$G$55,MATCH('Capital Cost Escalation'!$E28,'Capital Costs'!$B$15:$B$55,0),MATCH('Capital Cost Escalation'!$C28,'Capital Costs'!$D$7:$G$7,0))*AH$8*(1+$F28)^(AH$2), 0),0)</f>
        <v>0</v>
      </c>
      <c r="AI28" s="490">
        <f>IFERROR(IF(AI$6&lt;=$E$8,INDEX('Capital Costs'!$D$15:$G$55,MATCH('Capital Cost Escalation'!$E28,'Capital Costs'!$B$15:$B$55,0),MATCH('Capital Cost Escalation'!$C28,'Capital Costs'!$D$7:$G$7,0))*AI$8*(1+$F28)^(AI$2), 0),0)</f>
        <v>0</v>
      </c>
      <c r="AJ28" s="490">
        <f>IFERROR(IF(AJ$6&lt;=$E$8,INDEX('Capital Costs'!$D$15:$G$55,MATCH('Capital Cost Escalation'!$E28,'Capital Costs'!$B$15:$B$55,0),MATCH('Capital Cost Escalation'!$C28,'Capital Costs'!$D$7:$G$7,0))*AJ$8*(1+$F28)^(AJ$2), 0),0)</f>
        <v>0</v>
      </c>
      <c r="AK28" s="490">
        <f>IFERROR(IF(AK$6&lt;=$E$8,INDEX('Capital Costs'!$D$15:$G$55,MATCH('Capital Cost Escalation'!$E28,'Capital Costs'!$B$15:$B$55,0),MATCH('Capital Cost Escalation'!$C28,'Capital Costs'!$D$7:$G$7,0))*AK$8*(1+$F28)^(AK$2), 0),0)</f>
        <v>0</v>
      </c>
      <c r="AL28" s="490">
        <f>IFERROR(IF(AL$6&lt;=$E$8,INDEX('Capital Costs'!$D$15:$G$55,MATCH('Capital Cost Escalation'!$E28,'Capital Costs'!$B$15:$B$55,0),MATCH('Capital Cost Escalation'!$C28,'Capital Costs'!$D$7:$G$7,0))*AL$8*(1+$F28)^(AL$2), 0),0)</f>
        <v>0</v>
      </c>
      <c r="AM28" s="490">
        <f>IFERROR(IF(AM$6&lt;=$E$8,INDEX('Capital Costs'!$D$15:$G$55,MATCH('Capital Cost Escalation'!$E28,'Capital Costs'!$B$15:$B$55,0),MATCH('Capital Cost Escalation'!$C28,'Capital Costs'!$D$7:$G$7,0))*AM$8*(1+$F28)^(AM$2), 0),0)</f>
        <v>0</v>
      </c>
      <c r="AN28" s="490">
        <f>IFERROR(IF(AN$6&lt;=$E$8,INDEX('Capital Costs'!$D$15:$G$55,MATCH('Capital Cost Escalation'!$E28,'Capital Costs'!$B$15:$B$55,0),MATCH('Capital Cost Escalation'!$C28,'Capital Costs'!$D$7:$G$7,0))*AN$8*(1+$F28)^(AN$2), 0),0)</f>
        <v>0</v>
      </c>
      <c r="AO28" s="490">
        <f>IFERROR(IF(AO$6&lt;=$E$8,INDEX('Capital Costs'!$D$15:$G$55,MATCH('Capital Cost Escalation'!$E28,'Capital Costs'!$B$15:$B$55,0),MATCH('Capital Cost Escalation'!$C28,'Capital Costs'!$D$7:$G$7,0))*AO$8*(1+$F28)^(AO$2), 0),0)</f>
        <v>0</v>
      </c>
      <c r="AP28" s="490">
        <f>IFERROR(IF(AP$6&lt;=$E$8,INDEX('Capital Costs'!$D$15:$G$55,MATCH('Capital Cost Escalation'!$E28,'Capital Costs'!$B$15:$B$55,0),MATCH('Capital Cost Escalation'!$C28,'Capital Costs'!$D$7:$G$7,0))*AP$8*(1+$F28)^(AP$2), 0),0)</f>
        <v>0</v>
      </c>
      <c r="AQ28" s="490">
        <f>IFERROR(IF(AQ$6&lt;=$E$8,INDEX('Capital Costs'!$D$15:$G$55,MATCH('Capital Cost Escalation'!$E28,'Capital Costs'!$B$15:$B$55,0),MATCH('Capital Cost Escalation'!$C28,'Capital Costs'!$D$7:$G$7,0))*AQ$8*(1+$F28)^(AQ$2), 0),0)</f>
        <v>0</v>
      </c>
      <c r="AR28" s="490">
        <f>IFERROR(IF(AR$6&lt;=$E$8,INDEX('Capital Costs'!$D$15:$G$55,MATCH('Capital Cost Escalation'!$E28,'Capital Costs'!$B$15:$B$55,0),MATCH('Capital Cost Escalation'!$C28,'Capital Costs'!$D$7:$G$7,0))*AR$8*(1+$F28)^(AR$2), 0),0)</f>
        <v>0</v>
      </c>
      <c r="AS28" s="490">
        <f>IFERROR(IF(AS$6&lt;=$E$8,INDEX('Capital Costs'!$D$15:$G$55,MATCH('Capital Cost Escalation'!$E28,'Capital Costs'!$B$15:$B$55,0),MATCH('Capital Cost Escalation'!$C28,'Capital Costs'!$D$7:$G$7,0))*AS$8*(1+$F28)^(AS$2), 0),0)</f>
        <v>0</v>
      </c>
      <c r="AT28" s="490">
        <f>IFERROR(IF(AT$6&lt;=$E$8,INDEX('Capital Costs'!$D$15:$G$55,MATCH('Capital Cost Escalation'!$E28,'Capital Costs'!$B$15:$B$55,0),MATCH('Capital Cost Escalation'!$C28,'Capital Costs'!$D$7:$G$7,0))*AT$8*(1+$F28)^(AT$2), 0),0)</f>
        <v>0</v>
      </c>
      <c r="AV28" s="827">
        <f t="shared" si="5"/>
        <v>37849469.176703073</v>
      </c>
      <c r="AW28" s="828">
        <f>INDEX('Capital Costs'!$D$15:$G$55,MATCH('Capital Cost Escalation'!$E28,'Capital Costs'!$B$15:$B$55,0),MATCH('Capital Cost Escalation'!$C28,'Capital Costs'!$D$7:$G$7,0))</f>
        <v>31178500</v>
      </c>
    </row>
    <row r="29" spans="1:49">
      <c r="A29" s="487" t="str">
        <f t="shared" si="4"/>
        <v xml:space="preserve">CT_SWMAAC_Other Labor </v>
      </c>
      <c r="B29" s="478" t="s">
        <v>76</v>
      </c>
      <c r="C29" s="488" t="s">
        <v>121</v>
      </c>
      <c r="E29" s="442" t="s">
        <v>139</v>
      </c>
      <c r="F29" s="1325">
        <f>INDEX('Capital Costs_Nominal$'!$F:$F,MATCH('Capital Cost Escalation'!$E29,'Capital Costs_Nominal$'!$C:$C,0),1)</f>
        <v>3.6840339826600399E-3</v>
      </c>
      <c r="G29" s="490">
        <f>IFERROR(IF(G$6&lt;=$E$8,INDEX('Capital Costs'!$D$15:$G$55,MATCH('Capital Cost Escalation'!$E29,'Capital Costs'!$B$15:$B$55,0),MATCH('Capital Cost Escalation'!$C29,'Capital Costs'!$D$7:$G$7,0))*G$8*(1+$F29)^(G$2), 0),0)</f>
        <v>53557.586866358419</v>
      </c>
      <c r="H29" s="490">
        <f>IFERROR(IF(H$6&lt;=$E$8,INDEX('Capital Costs'!$D$15:$G$55,MATCH('Capital Cost Escalation'!$E29,'Capital Costs'!$B$15:$B$55,0),MATCH('Capital Cost Escalation'!$C29,'Capital Costs'!$D$7:$G$7,0))*H$8*(1+$F29)^(H$2), 0),0)</f>
        <v>63961.184553367217</v>
      </c>
      <c r="I29" s="490">
        <f>IFERROR(IF(I$6&lt;=$E$8,INDEX('Capital Costs'!$D$15:$G$55,MATCH('Capital Cost Escalation'!$E29,'Capital Costs'!$B$15:$B$55,0),MATCH('Capital Cost Escalation'!$C29,'Capital Costs'!$D$7:$G$7,0))*I$8*(1+$F29)^(I$2), 0),0)</f>
        <v>387368.94963378867</v>
      </c>
      <c r="J29" s="490">
        <f>IFERROR(IF(J$6&lt;=$E$8,INDEX('Capital Costs'!$D$15:$G$55,MATCH('Capital Cost Escalation'!$E29,'Capital Costs'!$B$15:$B$55,0),MATCH('Capital Cost Escalation'!$C29,'Capital Costs'!$D$7:$G$7,0))*J$8*(1+$F29)^(J$2), 0),0)</f>
        <v>119860.20872361385</v>
      </c>
      <c r="K29" s="490">
        <f>IFERROR(IF(K$6&lt;=$E$8,INDEX('Capital Costs'!$D$15:$G$55,MATCH('Capital Cost Escalation'!$E29,'Capital Costs'!$B$15:$B$55,0),MATCH('Capital Cost Escalation'!$C29,'Capital Costs'!$D$7:$G$7,0))*K$8*(1+$F29)^(K$2), 0),0)</f>
        <v>262412.51168834476</v>
      </c>
      <c r="L29" s="490">
        <f>IFERROR(IF(L$6&lt;=$E$8,INDEX('Capital Costs'!$D$15:$G$55,MATCH('Capital Cost Escalation'!$E29,'Capital Costs'!$B$15:$B$55,0),MATCH('Capital Cost Escalation'!$C29,'Capital Costs'!$D$7:$G$7,0))*L$8*(1+$F29)^(L$2), 0),0)</f>
        <v>166691.16778184607</v>
      </c>
      <c r="M29" s="490">
        <f>IFERROR(IF(M$6&lt;=$E$8,INDEX('Capital Costs'!$D$15:$G$55,MATCH('Capital Cost Escalation'!$E29,'Capital Costs'!$B$15:$B$55,0),MATCH('Capital Cost Escalation'!$C29,'Capital Costs'!$D$7:$G$7,0))*M$8*(1+$F29)^(M$2), 0),0)</f>
        <v>327867.13939484389</v>
      </c>
      <c r="N29" s="490">
        <f>IFERROR(IF(N$6&lt;=$E$8,INDEX('Capital Costs'!$D$15:$G$55,MATCH('Capital Cost Escalation'!$E29,'Capital Costs'!$B$15:$B$55,0),MATCH('Capital Cost Escalation'!$C29,'Capital Costs'!$D$7:$G$7,0))*N$8*(1+$F29)^(N$2), 0),0)</f>
        <v>436471.36096822296</v>
      </c>
      <c r="O29" s="490">
        <f>IFERROR(IF(O$6&lt;=$E$8,INDEX('Capital Costs'!$D$15:$G$55,MATCH('Capital Cost Escalation'!$E29,'Capital Costs'!$B$15:$B$55,0),MATCH('Capital Cost Escalation'!$C29,'Capital Costs'!$D$7:$G$7,0))*O$8*(1+$F29)^(O$2), 0),0)</f>
        <v>611426.37755286181</v>
      </c>
      <c r="P29" s="490">
        <f>IFERROR(IF(P$6&lt;=$E$8,INDEX('Capital Costs'!$D$15:$G$55,MATCH('Capital Cost Escalation'!$E29,'Capital Costs'!$B$15:$B$55,0),MATCH('Capital Cost Escalation'!$C29,'Capital Costs'!$D$7:$G$7,0))*P$8*(1+$F29)^(P$2), 0),0)</f>
        <v>1020060.6626370338</v>
      </c>
      <c r="Q29" s="490">
        <f>IFERROR(IF(Q$6&lt;=$E$8,INDEX('Capital Costs'!$D$15:$G$55,MATCH('Capital Cost Escalation'!$E29,'Capital Costs'!$B$15:$B$55,0),MATCH('Capital Cost Escalation'!$C29,'Capital Costs'!$D$7:$G$7,0))*Q$8*(1+$F29)^(Q$2), 0),0)</f>
        <v>1243772.4132944837</v>
      </c>
      <c r="R29" s="490">
        <f>IFERROR(IF(R$6&lt;=$E$8,INDEX('Capital Costs'!$D$15:$G$55,MATCH('Capital Cost Escalation'!$E29,'Capital Costs'!$B$15:$B$55,0),MATCH('Capital Cost Escalation'!$C29,'Capital Costs'!$D$7:$G$7,0))*R$8*(1+$F29)^(R$2), 0),0)</f>
        <v>1596830.4962372687</v>
      </c>
      <c r="S29" s="490">
        <f>IFERROR(IF(S$6&lt;=$E$8,INDEX('Capital Costs'!$D$15:$G$55,MATCH('Capital Cost Escalation'!$E29,'Capital Costs'!$B$15:$B$55,0),MATCH('Capital Cost Escalation'!$C29,'Capital Costs'!$D$7:$G$7,0))*S$8*(1+$F29)^(S$2), 0),0)</f>
        <v>1781834.4292392272</v>
      </c>
      <c r="T29" s="490">
        <f>IFERROR(IF(T$6&lt;=$E$8,INDEX('Capital Costs'!$D$15:$G$55,MATCH('Capital Cost Escalation'!$E29,'Capital Costs'!$B$15:$B$55,0),MATCH('Capital Cost Escalation'!$C29,'Capital Costs'!$D$7:$G$7,0))*T$8*(1+$F29)^(T$2), 0),0)</f>
        <v>1897182.4458994337</v>
      </c>
      <c r="U29" s="490">
        <f>IFERROR(IF(U$6&lt;=$E$8,INDEX('Capital Costs'!$D$15:$G$55,MATCH('Capital Cost Escalation'!$E29,'Capital Costs'!$B$15:$B$55,0),MATCH('Capital Cost Escalation'!$C29,'Capital Costs'!$D$7:$G$7,0))*U$8*(1+$F29)^(U$2), 0),0)</f>
        <v>1782390.0632154795</v>
      </c>
      <c r="V29" s="490">
        <f>IFERROR(IF(V$6&lt;=$E$8,INDEX('Capital Costs'!$D$15:$G$55,MATCH('Capital Cost Escalation'!$E29,'Capital Costs'!$B$15:$B$55,0),MATCH('Capital Cost Escalation'!$C29,'Capital Costs'!$D$7:$G$7,0))*V$8*(1+$F29)^(V$2), 0),0)</f>
        <v>1581962.3061237668</v>
      </c>
      <c r="W29" s="490">
        <f>IFERROR(IF(W$6&lt;=$E$8,INDEX('Capital Costs'!$D$15:$G$55,MATCH('Capital Cost Escalation'!$E29,'Capital Costs'!$B$15:$B$55,0),MATCH('Capital Cost Escalation'!$C29,'Capital Costs'!$D$7:$G$7,0))*W$8*(1+$F29)^(W$2), 0),0)</f>
        <v>1204762.9296464471</v>
      </c>
      <c r="X29" s="490">
        <f>IFERROR(IF(X$6&lt;=$E$8,INDEX('Capital Costs'!$D$15:$G$55,MATCH('Capital Cost Escalation'!$E29,'Capital Costs'!$B$15:$B$55,0),MATCH('Capital Cost Escalation'!$C29,'Capital Costs'!$D$7:$G$7,0))*X$8*(1+$F29)^(X$2), 0),0)</f>
        <v>672092.01507617265</v>
      </c>
      <c r="Y29" s="490">
        <f>IFERROR(IF(Y$6&lt;=$E$8,INDEX('Capital Costs'!$D$15:$G$55,MATCH('Capital Cost Escalation'!$E29,'Capital Costs'!$B$15:$B$55,0),MATCH('Capital Cost Escalation'!$C29,'Capital Costs'!$D$7:$G$7,0))*Y$8*(1+$F29)^(Y$2), 0),0)</f>
        <v>142521.02262424608</v>
      </c>
      <c r="Z29" s="490">
        <f>IFERROR(IF(Z$6&lt;=$E$8,INDEX('Capital Costs'!$D$15:$G$55,MATCH('Capital Cost Escalation'!$E29,'Capital Costs'!$B$15:$B$55,0),MATCH('Capital Cost Escalation'!$C29,'Capital Costs'!$D$7:$G$7,0))*Z$8*(1+$F29)^(Z$2), 0),0)</f>
        <v>31861.035660744874</v>
      </c>
      <c r="AA29" s="490">
        <f>IFERROR(IF(AA$6&lt;=$E$8,INDEX('Capital Costs'!$D$15:$G$55,MATCH('Capital Cost Escalation'!$E29,'Capital Costs'!$B$15:$B$55,0),MATCH('Capital Cost Escalation'!$C29,'Capital Costs'!$D$7:$G$7,0))*AA$8*(1+$F29)^(AA$2), 0),0)</f>
        <v>0</v>
      </c>
      <c r="AB29" s="490">
        <f>IFERROR(IF(AB$6&lt;=$E$8,INDEX('Capital Costs'!$D$15:$G$55,MATCH('Capital Cost Escalation'!$E29,'Capital Costs'!$B$15:$B$55,0),MATCH('Capital Cost Escalation'!$C29,'Capital Costs'!$D$7:$G$7,0))*AB$8*(1+$F29)^(AB$2), 0),0)</f>
        <v>0</v>
      </c>
      <c r="AC29" s="490">
        <f>IFERROR(IF(AC$6&lt;=$E$8,INDEX('Capital Costs'!$D$15:$G$55,MATCH('Capital Cost Escalation'!$E29,'Capital Costs'!$B$15:$B$55,0),MATCH('Capital Cost Escalation'!$C29,'Capital Costs'!$D$7:$G$7,0))*AC$8*(1+$F29)^(AC$2), 0),0)</f>
        <v>0</v>
      </c>
      <c r="AD29" s="490">
        <f>IFERROR(IF(AD$6&lt;=$E$8,INDEX('Capital Costs'!$D$15:$G$55,MATCH('Capital Cost Escalation'!$E29,'Capital Costs'!$B$15:$B$55,0),MATCH('Capital Cost Escalation'!$C29,'Capital Costs'!$D$7:$G$7,0))*AD$8*(1+$F29)^(AD$2), 0),0)</f>
        <v>0</v>
      </c>
      <c r="AE29" s="490">
        <f>IFERROR(IF(AE$6&lt;=$E$8,INDEX('Capital Costs'!$D$15:$G$55,MATCH('Capital Cost Escalation'!$E29,'Capital Costs'!$B$15:$B$55,0),MATCH('Capital Cost Escalation'!$C29,'Capital Costs'!$D$7:$G$7,0))*AE$8*(1+$F29)^(AE$2), 0),0)</f>
        <v>0</v>
      </c>
      <c r="AF29" s="490">
        <f>IFERROR(IF(AF$6&lt;=$E$8,INDEX('Capital Costs'!$D$15:$G$55,MATCH('Capital Cost Escalation'!$E29,'Capital Costs'!$B$15:$B$55,0),MATCH('Capital Cost Escalation'!$C29,'Capital Costs'!$D$7:$G$7,0))*AF$8*(1+$F29)^(AF$2), 0),0)</f>
        <v>0</v>
      </c>
      <c r="AG29" s="490">
        <f>IFERROR(IF(AG$6&lt;=$E$8,INDEX('Capital Costs'!$D$15:$G$55,MATCH('Capital Cost Escalation'!$E29,'Capital Costs'!$B$15:$B$55,0),MATCH('Capital Cost Escalation'!$C29,'Capital Costs'!$D$7:$G$7,0))*AG$8*(1+$F29)^(AG$2), 0),0)</f>
        <v>0</v>
      </c>
      <c r="AH29" s="490">
        <f>IFERROR(IF(AH$6&lt;=$E$8,INDEX('Capital Costs'!$D$15:$G$55,MATCH('Capital Cost Escalation'!$E29,'Capital Costs'!$B$15:$B$55,0),MATCH('Capital Cost Escalation'!$C29,'Capital Costs'!$D$7:$G$7,0))*AH$8*(1+$F29)^(AH$2), 0),0)</f>
        <v>0</v>
      </c>
      <c r="AI29" s="490">
        <f>IFERROR(IF(AI$6&lt;=$E$8,INDEX('Capital Costs'!$D$15:$G$55,MATCH('Capital Cost Escalation'!$E29,'Capital Costs'!$B$15:$B$55,0),MATCH('Capital Cost Escalation'!$C29,'Capital Costs'!$D$7:$G$7,0))*AI$8*(1+$F29)^(AI$2), 0),0)</f>
        <v>0</v>
      </c>
      <c r="AJ29" s="490">
        <f>IFERROR(IF(AJ$6&lt;=$E$8,INDEX('Capital Costs'!$D$15:$G$55,MATCH('Capital Cost Escalation'!$E29,'Capital Costs'!$B$15:$B$55,0),MATCH('Capital Cost Escalation'!$C29,'Capital Costs'!$D$7:$G$7,0))*AJ$8*(1+$F29)^(AJ$2), 0),0)</f>
        <v>0</v>
      </c>
      <c r="AK29" s="490">
        <f>IFERROR(IF(AK$6&lt;=$E$8,INDEX('Capital Costs'!$D$15:$G$55,MATCH('Capital Cost Escalation'!$E29,'Capital Costs'!$B$15:$B$55,0),MATCH('Capital Cost Escalation'!$C29,'Capital Costs'!$D$7:$G$7,0))*AK$8*(1+$F29)^(AK$2), 0),0)</f>
        <v>0</v>
      </c>
      <c r="AL29" s="490">
        <f>IFERROR(IF(AL$6&lt;=$E$8,INDEX('Capital Costs'!$D$15:$G$55,MATCH('Capital Cost Escalation'!$E29,'Capital Costs'!$B$15:$B$55,0),MATCH('Capital Cost Escalation'!$C29,'Capital Costs'!$D$7:$G$7,0))*AL$8*(1+$F29)^(AL$2), 0),0)</f>
        <v>0</v>
      </c>
      <c r="AM29" s="490">
        <f>IFERROR(IF(AM$6&lt;=$E$8,INDEX('Capital Costs'!$D$15:$G$55,MATCH('Capital Cost Escalation'!$E29,'Capital Costs'!$B$15:$B$55,0),MATCH('Capital Cost Escalation'!$C29,'Capital Costs'!$D$7:$G$7,0))*AM$8*(1+$F29)^(AM$2), 0),0)</f>
        <v>0</v>
      </c>
      <c r="AN29" s="490">
        <f>IFERROR(IF(AN$6&lt;=$E$8,INDEX('Capital Costs'!$D$15:$G$55,MATCH('Capital Cost Escalation'!$E29,'Capital Costs'!$B$15:$B$55,0),MATCH('Capital Cost Escalation'!$C29,'Capital Costs'!$D$7:$G$7,0))*AN$8*(1+$F29)^(AN$2), 0),0)</f>
        <v>0</v>
      </c>
      <c r="AO29" s="490">
        <f>IFERROR(IF(AO$6&lt;=$E$8,INDEX('Capital Costs'!$D$15:$G$55,MATCH('Capital Cost Escalation'!$E29,'Capital Costs'!$B$15:$B$55,0),MATCH('Capital Cost Escalation'!$C29,'Capital Costs'!$D$7:$G$7,0))*AO$8*(1+$F29)^(AO$2), 0),0)</f>
        <v>0</v>
      </c>
      <c r="AP29" s="490">
        <f>IFERROR(IF(AP$6&lt;=$E$8,INDEX('Capital Costs'!$D$15:$G$55,MATCH('Capital Cost Escalation'!$E29,'Capital Costs'!$B$15:$B$55,0),MATCH('Capital Cost Escalation'!$C29,'Capital Costs'!$D$7:$G$7,0))*AP$8*(1+$F29)^(AP$2), 0),0)</f>
        <v>0</v>
      </c>
      <c r="AQ29" s="490">
        <f>IFERROR(IF(AQ$6&lt;=$E$8,INDEX('Capital Costs'!$D$15:$G$55,MATCH('Capital Cost Escalation'!$E29,'Capital Costs'!$B$15:$B$55,0),MATCH('Capital Cost Escalation'!$C29,'Capital Costs'!$D$7:$G$7,0))*AQ$8*(1+$F29)^(AQ$2), 0),0)</f>
        <v>0</v>
      </c>
      <c r="AR29" s="490">
        <f>IFERROR(IF(AR$6&lt;=$E$8,INDEX('Capital Costs'!$D$15:$G$55,MATCH('Capital Cost Escalation'!$E29,'Capital Costs'!$B$15:$B$55,0),MATCH('Capital Cost Escalation'!$C29,'Capital Costs'!$D$7:$G$7,0))*AR$8*(1+$F29)^(AR$2), 0),0)</f>
        <v>0</v>
      </c>
      <c r="AS29" s="490">
        <f>IFERROR(IF(AS$6&lt;=$E$8,INDEX('Capital Costs'!$D$15:$G$55,MATCH('Capital Cost Escalation'!$E29,'Capital Costs'!$B$15:$B$55,0),MATCH('Capital Cost Escalation'!$C29,'Capital Costs'!$D$7:$G$7,0))*AS$8*(1+$F29)^(AS$2), 0),0)</f>
        <v>0</v>
      </c>
      <c r="AT29" s="490">
        <f>IFERROR(IF(AT$6&lt;=$E$8,INDEX('Capital Costs'!$D$15:$G$55,MATCH('Capital Cost Escalation'!$E29,'Capital Costs'!$B$15:$B$55,0),MATCH('Capital Cost Escalation'!$C29,'Capital Costs'!$D$7:$G$7,0))*AT$8*(1+$F29)^(AT$2), 0),0)</f>
        <v>0</v>
      </c>
      <c r="AV29" s="827">
        <f t="shared" si="5"/>
        <v>15384886.306817554</v>
      </c>
      <c r="AW29" s="828">
        <f>INDEX('Capital Costs'!$D$15:$G$55,MATCH('Capital Cost Escalation'!$E29,'Capital Costs'!$B$15:$B$55,0),MATCH('Capital Cost Escalation'!$C29,'Capital Costs'!$D$7:$G$7,0))</f>
        <v>12673300</v>
      </c>
    </row>
    <row r="30" spans="1:49">
      <c r="A30" s="487" t="str">
        <f t="shared" si="4"/>
        <v>CT_SWMAAC_Materials</v>
      </c>
      <c r="B30" s="478" t="s">
        <v>76</v>
      </c>
      <c r="C30" s="488" t="s">
        <v>121</v>
      </c>
      <c r="E30" s="442" t="s">
        <v>140</v>
      </c>
      <c r="F30" s="1325">
        <f>INDEX('Capital Costs_Nominal$'!$F:$F,MATCH('Capital Cost Escalation'!$E30,'Capital Costs_Nominal$'!$C:$C,0),1)</f>
        <v>2.3944839450136257E-3</v>
      </c>
      <c r="G30" s="490">
        <f>IFERROR(IF(G$6&lt;=$E$8,INDEX('Capital Costs'!$D$15:$G$55,MATCH('Capital Cost Escalation'!$E30,'Capital Costs'!$B$15:$B$55,0),MATCH('Capital Cost Escalation'!$C30,'Capital Costs'!$D$7:$G$7,0))*G$8*(1+$F30)^(G$2), 0),0)</f>
        <v>28651.717687471421</v>
      </c>
      <c r="H30" s="490">
        <f>IFERROR(IF(H$6&lt;=$E$8,INDEX('Capital Costs'!$D$15:$G$55,MATCH('Capital Cost Escalation'!$E30,'Capital Costs'!$B$15:$B$55,0),MATCH('Capital Cost Escalation'!$C30,'Capital Costs'!$D$7:$G$7,0))*H$8*(1+$F30)^(H$2), 0),0)</f>
        <v>34173.370339322704</v>
      </c>
      <c r="I30" s="490">
        <f>IFERROR(IF(I$6&lt;=$E$8,INDEX('Capital Costs'!$D$15:$G$55,MATCH('Capital Cost Escalation'!$E30,'Capital Costs'!$B$15:$B$55,0),MATCH('Capital Cost Escalation'!$C30,'Capital Costs'!$D$7:$G$7,0))*I$8*(1+$F30)^(I$2), 0),0)</f>
        <v>206698.71335851497</v>
      </c>
      <c r="J30" s="490">
        <f>IFERROR(IF(J$6&lt;=$E$8,INDEX('Capital Costs'!$D$15:$G$55,MATCH('Capital Cost Escalation'!$E30,'Capital Costs'!$B$15:$B$55,0),MATCH('Capital Cost Escalation'!$C30,'Capital Costs'!$D$7:$G$7,0))*J$8*(1+$F30)^(J$2), 0),0)</f>
        <v>63874.814122381125</v>
      </c>
      <c r="K30" s="490">
        <f>IFERROR(IF(K$6&lt;=$E$8,INDEX('Capital Costs'!$D$15:$G$55,MATCH('Capital Cost Escalation'!$E30,'Capital Costs'!$B$15:$B$55,0),MATCH('Capital Cost Escalation'!$C30,'Capital Costs'!$D$7:$G$7,0))*K$8*(1+$F30)^(K$2), 0),0)</f>
        <v>139662.82109278609</v>
      </c>
      <c r="L30" s="490">
        <f>IFERROR(IF(L$6&lt;=$E$8,INDEX('Capital Costs'!$D$15:$G$55,MATCH('Capital Cost Escalation'!$E30,'Capital Costs'!$B$15:$B$55,0),MATCH('Capital Cost Escalation'!$C30,'Capital Costs'!$D$7:$G$7,0))*L$8*(1+$F30)^(L$2), 0),0)</f>
        <v>88603.425738858612</v>
      </c>
      <c r="M30" s="490">
        <f>IFERROR(IF(M$6&lt;=$E$8,INDEX('Capital Costs'!$D$15:$G$55,MATCH('Capital Cost Escalation'!$E30,'Capital Costs'!$B$15:$B$55,0),MATCH('Capital Cost Escalation'!$C30,'Capital Costs'!$D$7:$G$7,0))*M$8*(1+$F30)^(M$2), 0),0)</f>
        <v>174051.37898257526</v>
      </c>
      <c r="N30" s="490">
        <f>IFERROR(IF(N$6&lt;=$E$8,INDEX('Capital Costs'!$D$15:$G$55,MATCH('Capital Cost Escalation'!$E30,'Capital Costs'!$B$15:$B$55,0),MATCH('Capital Cost Escalation'!$C30,'Capital Costs'!$D$7:$G$7,0))*N$8*(1+$F30)^(N$2), 0),0)</f>
        <v>231407.26111635004</v>
      </c>
      <c r="O30" s="490">
        <f>IFERROR(IF(O$6&lt;=$E$8,INDEX('Capital Costs'!$D$15:$G$55,MATCH('Capital Cost Escalation'!$E30,'Capital Costs'!$B$15:$B$55,0),MATCH('Capital Cost Escalation'!$C30,'Capital Costs'!$D$7:$G$7,0))*O$8*(1+$F30)^(O$2), 0),0)</f>
        <v>323747.96892557305</v>
      </c>
      <c r="P30" s="490">
        <f>IFERROR(IF(P$6&lt;=$E$8,INDEX('Capital Costs'!$D$15:$G$55,MATCH('Capital Cost Escalation'!$E30,'Capital Costs'!$B$15:$B$55,0),MATCH('Capital Cost Escalation'!$C30,'Capital Costs'!$D$7:$G$7,0))*P$8*(1+$F30)^(P$2), 0),0)</f>
        <v>539424.33405308344</v>
      </c>
      <c r="Q30" s="490">
        <f>IFERROR(IF(Q$6&lt;=$E$8,INDEX('Capital Costs'!$D$15:$G$55,MATCH('Capital Cost Escalation'!$E30,'Capital Costs'!$B$15:$B$55,0),MATCH('Capital Cost Escalation'!$C30,'Capital Costs'!$D$7:$G$7,0))*Q$8*(1+$F30)^(Q$2), 0),0)</f>
        <v>656881.6146307782</v>
      </c>
      <c r="R30" s="490">
        <f>IFERROR(IF(R$6&lt;=$E$8,INDEX('Capital Costs'!$D$15:$G$55,MATCH('Capital Cost Escalation'!$E30,'Capital Costs'!$B$15:$B$55,0),MATCH('Capital Cost Escalation'!$C30,'Capital Costs'!$D$7:$G$7,0))*R$8*(1+$F30)^(R$2), 0),0)</f>
        <v>842260.9333158317</v>
      </c>
      <c r="S30" s="490">
        <f>IFERROR(IF(S$6&lt;=$E$8,INDEX('Capital Costs'!$D$15:$G$55,MATCH('Capital Cost Escalation'!$E30,'Capital Costs'!$B$15:$B$55,0),MATCH('Capital Cost Escalation'!$C30,'Capital Costs'!$D$7:$G$7,0))*S$8*(1+$F30)^(S$2), 0),0)</f>
        <v>938635.20212019118</v>
      </c>
      <c r="T30" s="490">
        <f>IFERROR(IF(T$6&lt;=$E$8,INDEX('Capital Costs'!$D$15:$G$55,MATCH('Capital Cost Escalation'!$E30,'Capital Costs'!$B$15:$B$55,0),MATCH('Capital Cost Escalation'!$C30,'Capital Costs'!$D$7:$G$7,0))*T$8*(1+$F30)^(T$2), 0),0)</f>
        <v>998114.21660716436</v>
      </c>
      <c r="U30" s="490">
        <f>IFERROR(IF(U$6&lt;=$E$8,INDEX('Capital Costs'!$D$15:$G$55,MATCH('Capital Cost Escalation'!$E30,'Capital Costs'!$B$15:$B$55,0),MATCH('Capital Cost Escalation'!$C30,'Capital Costs'!$D$7:$G$7,0))*U$8*(1+$F30)^(U$2), 0),0)</f>
        <v>936516.7485245734</v>
      </c>
      <c r="V30" s="490">
        <f>IFERROR(IF(V$6&lt;=$E$8,INDEX('Capital Costs'!$D$15:$G$55,MATCH('Capital Cost Escalation'!$E30,'Capital Costs'!$B$15:$B$55,0),MATCH('Capital Cost Escalation'!$C30,'Capital Costs'!$D$7:$G$7,0))*V$8*(1+$F30)^(V$2), 0),0)</f>
        <v>830138.54589793913</v>
      </c>
      <c r="W30" s="490">
        <f>IFERROR(IF(W$6&lt;=$E$8,INDEX('Capital Costs'!$D$15:$G$55,MATCH('Capital Cost Escalation'!$E30,'Capital Costs'!$B$15:$B$55,0),MATCH('Capital Cost Escalation'!$C30,'Capital Costs'!$D$7:$G$7,0))*W$8*(1+$F30)^(W$2), 0),0)</f>
        <v>631389.99684536201</v>
      </c>
      <c r="X30" s="490">
        <f>IFERROR(IF(X$6&lt;=$E$8,INDEX('Capital Costs'!$D$15:$G$55,MATCH('Capital Cost Escalation'!$E30,'Capital Costs'!$B$15:$B$55,0),MATCH('Capital Cost Escalation'!$C30,'Capital Costs'!$D$7:$G$7,0))*X$8*(1+$F30)^(X$2), 0),0)</f>
        <v>351776.22922815022</v>
      </c>
      <c r="Y30" s="490">
        <f>IFERROR(IF(Y$6&lt;=$E$8,INDEX('Capital Costs'!$D$15:$G$55,MATCH('Capital Cost Escalation'!$E30,'Capital Costs'!$B$15:$B$55,0),MATCH('Capital Cost Escalation'!$C30,'Capital Costs'!$D$7:$G$7,0))*Y$8*(1+$F30)^(Y$2), 0),0)</f>
        <v>74500.353912873412</v>
      </c>
      <c r="Z30" s="490">
        <f>IFERROR(IF(Z$6&lt;=$E$8,INDEX('Capital Costs'!$D$15:$G$55,MATCH('Capital Cost Escalation'!$E30,'Capital Costs'!$B$15:$B$55,0),MATCH('Capital Cost Escalation'!$C30,'Capital Costs'!$D$7:$G$7,0))*Z$8*(1+$F30)^(Z$2), 0),0)</f>
        <v>16633.396765209392</v>
      </c>
      <c r="AA30" s="490">
        <f>IFERROR(IF(AA$6&lt;=$E$8,INDEX('Capital Costs'!$D$15:$G$55,MATCH('Capital Cost Escalation'!$E30,'Capital Costs'!$B$15:$B$55,0),MATCH('Capital Cost Escalation'!$C30,'Capital Costs'!$D$7:$G$7,0))*AA$8*(1+$F30)^(AA$2), 0),0)</f>
        <v>0</v>
      </c>
      <c r="AB30" s="490">
        <f>IFERROR(IF(AB$6&lt;=$E$8,INDEX('Capital Costs'!$D$15:$G$55,MATCH('Capital Cost Escalation'!$E30,'Capital Costs'!$B$15:$B$55,0),MATCH('Capital Cost Escalation'!$C30,'Capital Costs'!$D$7:$G$7,0))*AB$8*(1+$F30)^(AB$2), 0),0)</f>
        <v>0</v>
      </c>
      <c r="AC30" s="490">
        <f>IFERROR(IF(AC$6&lt;=$E$8,INDEX('Capital Costs'!$D$15:$G$55,MATCH('Capital Cost Escalation'!$E30,'Capital Costs'!$B$15:$B$55,0),MATCH('Capital Cost Escalation'!$C30,'Capital Costs'!$D$7:$G$7,0))*AC$8*(1+$F30)^(AC$2), 0),0)</f>
        <v>0</v>
      </c>
      <c r="AD30" s="490">
        <f>IFERROR(IF(AD$6&lt;=$E$8,INDEX('Capital Costs'!$D$15:$G$55,MATCH('Capital Cost Escalation'!$E30,'Capital Costs'!$B$15:$B$55,0),MATCH('Capital Cost Escalation'!$C30,'Capital Costs'!$D$7:$G$7,0))*AD$8*(1+$F30)^(AD$2), 0),0)</f>
        <v>0</v>
      </c>
      <c r="AE30" s="490">
        <f>IFERROR(IF(AE$6&lt;=$E$8,INDEX('Capital Costs'!$D$15:$G$55,MATCH('Capital Cost Escalation'!$E30,'Capital Costs'!$B$15:$B$55,0),MATCH('Capital Cost Escalation'!$C30,'Capital Costs'!$D$7:$G$7,0))*AE$8*(1+$F30)^(AE$2), 0),0)</f>
        <v>0</v>
      </c>
      <c r="AF30" s="490">
        <f>IFERROR(IF(AF$6&lt;=$E$8,INDEX('Capital Costs'!$D$15:$G$55,MATCH('Capital Cost Escalation'!$E30,'Capital Costs'!$B$15:$B$55,0),MATCH('Capital Cost Escalation'!$C30,'Capital Costs'!$D$7:$G$7,0))*AF$8*(1+$F30)^(AF$2), 0),0)</f>
        <v>0</v>
      </c>
      <c r="AG30" s="490">
        <f>IFERROR(IF(AG$6&lt;=$E$8,INDEX('Capital Costs'!$D$15:$G$55,MATCH('Capital Cost Escalation'!$E30,'Capital Costs'!$B$15:$B$55,0),MATCH('Capital Cost Escalation'!$C30,'Capital Costs'!$D$7:$G$7,0))*AG$8*(1+$F30)^(AG$2), 0),0)</f>
        <v>0</v>
      </c>
      <c r="AH30" s="490">
        <f>IFERROR(IF(AH$6&lt;=$E$8,INDEX('Capital Costs'!$D$15:$G$55,MATCH('Capital Cost Escalation'!$E30,'Capital Costs'!$B$15:$B$55,0),MATCH('Capital Cost Escalation'!$C30,'Capital Costs'!$D$7:$G$7,0))*AH$8*(1+$F30)^(AH$2), 0),0)</f>
        <v>0</v>
      </c>
      <c r="AI30" s="490">
        <f>IFERROR(IF(AI$6&lt;=$E$8,INDEX('Capital Costs'!$D$15:$G$55,MATCH('Capital Cost Escalation'!$E30,'Capital Costs'!$B$15:$B$55,0),MATCH('Capital Cost Escalation'!$C30,'Capital Costs'!$D$7:$G$7,0))*AI$8*(1+$F30)^(AI$2), 0),0)</f>
        <v>0</v>
      </c>
      <c r="AJ30" s="490">
        <f>IFERROR(IF(AJ$6&lt;=$E$8,INDEX('Capital Costs'!$D$15:$G$55,MATCH('Capital Cost Escalation'!$E30,'Capital Costs'!$B$15:$B$55,0),MATCH('Capital Cost Escalation'!$C30,'Capital Costs'!$D$7:$G$7,0))*AJ$8*(1+$F30)^(AJ$2), 0),0)</f>
        <v>0</v>
      </c>
      <c r="AK30" s="490">
        <f>IFERROR(IF(AK$6&lt;=$E$8,INDEX('Capital Costs'!$D$15:$G$55,MATCH('Capital Cost Escalation'!$E30,'Capital Costs'!$B$15:$B$55,0),MATCH('Capital Cost Escalation'!$C30,'Capital Costs'!$D$7:$G$7,0))*AK$8*(1+$F30)^(AK$2), 0),0)</f>
        <v>0</v>
      </c>
      <c r="AL30" s="490">
        <f>IFERROR(IF(AL$6&lt;=$E$8,INDEX('Capital Costs'!$D$15:$G$55,MATCH('Capital Cost Escalation'!$E30,'Capital Costs'!$B$15:$B$55,0),MATCH('Capital Cost Escalation'!$C30,'Capital Costs'!$D$7:$G$7,0))*AL$8*(1+$F30)^(AL$2), 0),0)</f>
        <v>0</v>
      </c>
      <c r="AM30" s="490">
        <f>IFERROR(IF(AM$6&lt;=$E$8,INDEX('Capital Costs'!$D$15:$G$55,MATCH('Capital Cost Escalation'!$E30,'Capital Costs'!$B$15:$B$55,0),MATCH('Capital Cost Escalation'!$C30,'Capital Costs'!$D$7:$G$7,0))*AM$8*(1+$F30)^(AM$2), 0),0)</f>
        <v>0</v>
      </c>
      <c r="AN30" s="490">
        <f>IFERROR(IF(AN$6&lt;=$E$8,INDEX('Capital Costs'!$D$15:$G$55,MATCH('Capital Cost Escalation'!$E30,'Capital Costs'!$B$15:$B$55,0),MATCH('Capital Cost Escalation'!$C30,'Capital Costs'!$D$7:$G$7,0))*AN$8*(1+$F30)^(AN$2), 0),0)</f>
        <v>0</v>
      </c>
      <c r="AO30" s="490">
        <f>IFERROR(IF(AO$6&lt;=$E$8,INDEX('Capital Costs'!$D$15:$G$55,MATCH('Capital Cost Escalation'!$E30,'Capital Costs'!$B$15:$B$55,0),MATCH('Capital Cost Escalation'!$C30,'Capital Costs'!$D$7:$G$7,0))*AO$8*(1+$F30)^(AO$2), 0),0)</f>
        <v>0</v>
      </c>
      <c r="AP30" s="490">
        <f>IFERROR(IF(AP$6&lt;=$E$8,INDEX('Capital Costs'!$D$15:$G$55,MATCH('Capital Cost Escalation'!$E30,'Capital Costs'!$B$15:$B$55,0),MATCH('Capital Cost Escalation'!$C30,'Capital Costs'!$D$7:$G$7,0))*AP$8*(1+$F30)^(AP$2), 0),0)</f>
        <v>0</v>
      </c>
      <c r="AQ30" s="490">
        <f>IFERROR(IF(AQ$6&lt;=$E$8,INDEX('Capital Costs'!$D$15:$G$55,MATCH('Capital Cost Escalation'!$E30,'Capital Costs'!$B$15:$B$55,0),MATCH('Capital Cost Escalation'!$C30,'Capital Costs'!$D$7:$G$7,0))*AQ$8*(1+$F30)^(AQ$2), 0),0)</f>
        <v>0</v>
      </c>
      <c r="AR30" s="490">
        <f>IFERROR(IF(AR$6&lt;=$E$8,INDEX('Capital Costs'!$D$15:$G$55,MATCH('Capital Cost Escalation'!$E30,'Capital Costs'!$B$15:$B$55,0),MATCH('Capital Cost Escalation'!$C30,'Capital Costs'!$D$7:$G$7,0))*AR$8*(1+$F30)^(AR$2), 0),0)</f>
        <v>0</v>
      </c>
      <c r="AS30" s="490">
        <f>IFERROR(IF(AS$6&lt;=$E$8,INDEX('Capital Costs'!$D$15:$G$55,MATCH('Capital Cost Escalation'!$E30,'Capital Costs'!$B$15:$B$55,0),MATCH('Capital Cost Escalation'!$C30,'Capital Costs'!$D$7:$G$7,0))*AS$8*(1+$F30)^(AS$2), 0),0)</f>
        <v>0</v>
      </c>
      <c r="AT30" s="490">
        <f>IFERROR(IF(AT$6&lt;=$E$8,INDEX('Capital Costs'!$D$15:$G$55,MATCH('Capital Cost Escalation'!$E30,'Capital Costs'!$B$15:$B$55,0),MATCH('Capital Cost Escalation'!$C30,'Capital Costs'!$D$7:$G$7,0))*AT$8*(1+$F30)^(AT$2), 0),0)</f>
        <v>0</v>
      </c>
      <c r="AV30" s="827">
        <f t="shared" si="5"/>
        <v>8107143.0432649897</v>
      </c>
      <c r="AW30" s="828">
        <f>INDEX('Capital Costs'!$D$15:$G$55,MATCH('Capital Cost Escalation'!$E30,'Capital Costs'!$B$15:$B$55,0),MATCH('Capital Cost Escalation'!$C30,'Capital Costs'!$D$7:$G$7,0))</f>
        <v>7146800</v>
      </c>
    </row>
    <row r="31" spans="1:49">
      <c r="A31" s="487" t="str">
        <f t="shared" si="4"/>
        <v>__</v>
      </c>
      <c r="F31" s="1168"/>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490"/>
      <c r="AM31" s="490"/>
      <c r="AN31" s="490"/>
      <c r="AO31" s="490"/>
      <c r="AP31" s="490"/>
      <c r="AQ31" s="490"/>
      <c r="AR31" s="490"/>
      <c r="AS31" s="490"/>
      <c r="AT31" s="490"/>
      <c r="AV31" s="99"/>
      <c r="AW31" s="828"/>
    </row>
    <row r="32" spans="1:49">
      <c r="A32" s="487" t="str">
        <f t="shared" si="4"/>
        <v>CT_Rest of RTO_Gas Turbines</v>
      </c>
      <c r="B32" s="478" t="s">
        <v>76</v>
      </c>
      <c r="C32" s="488" t="s">
        <v>111</v>
      </c>
      <c r="E32" s="442" t="s">
        <v>129</v>
      </c>
      <c r="F32" s="1325">
        <f>INDEX('Capital Costs_Nominal$'!$F:$F,MATCH('Capital Cost Escalation'!$E32,'Capital Costs_Nominal$'!$C:$C,0),1)</f>
        <v>2.3944839450136257E-3</v>
      </c>
      <c r="G32" s="490">
        <f>IFERROR(IF(G$6&lt;=$E$8,INDEX('Capital Costs'!$D$15:$G$55,MATCH('Capital Cost Escalation'!$E32,'Capital Costs'!$B$15:$B$55,0),MATCH('Capital Cost Escalation'!$C32,'Capital Costs'!$D$7:$G$7,0))*G$8*(1+$F32)^(G$2), 0),0)</f>
        <v>277625.15389508533</v>
      </c>
      <c r="H32" s="490">
        <f>IFERROR(IF(H$6&lt;=$E$8,INDEX('Capital Costs'!$D$15:$G$55,MATCH('Capital Cost Escalation'!$E32,'Capital Costs'!$B$15:$B$55,0),MATCH('Capital Cost Escalation'!$C32,'Capital Costs'!$D$7:$G$7,0))*H$8*(1+$F32)^(H$2), 0),0)</f>
        <v>331128.04276013002</v>
      </c>
      <c r="I32" s="490">
        <f>IFERROR(IF(I$6&lt;=$E$8,INDEX('Capital Costs'!$D$15:$G$55,MATCH('Capital Cost Escalation'!$E32,'Capital Costs'!$B$15:$B$55,0),MATCH('Capital Cost Escalation'!$C32,'Capital Costs'!$D$7:$G$7,0))*I$8*(1+$F32)^(I$2), 0),0)</f>
        <v>2002838.4591813346</v>
      </c>
      <c r="J32" s="490">
        <f>IFERROR(IF(J$6&lt;=$E$8,INDEX('Capital Costs'!$D$15:$G$55,MATCH('Capital Cost Escalation'!$E32,'Capital Costs'!$B$15:$B$55,0),MATCH('Capital Cost Escalation'!$C32,'Capital Costs'!$D$7:$G$7,0))*J$8*(1+$F32)^(J$2), 0),0)</f>
        <v>618924.67649505974</v>
      </c>
      <c r="K32" s="490">
        <f>IFERROR(IF(K$6&lt;=$E$8,INDEX('Capital Costs'!$D$15:$G$55,MATCH('Capital Cost Escalation'!$E32,'Capital Costs'!$B$15:$B$55,0),MATCH('Capital Cost Escalation'!$C32,'Capital Costs'!$D$7:$G$7,0))*K$8*(1+$F32)^(K$2), 0),0)</f>
        <v>1353284.0377057476</v>
      </c>
      <c r="L32" s="490">
        <f>IFERROR(IF(L$6&lt;=$E$8,INDEX('Capital Costs'!$D$15:$G$55,MATCH('Capital Cost Escalation'!$E32,'Capital Costs'!$B$15:$B$55,0),MATCH('Capital Cost Escalation'!$C32,'Capital Costs'!$D$7:$G$7,0))*L$8*(1+$F32)^(L$2), 0),0)</f>
        <v>858536.30050035799</v>
      </c>
      <c r="M32" s="490">
        <f>IFERROR(IF(M$6&lt;=$E$8,INDEX('Capital Costs'!$D$15:$G$55,MATCH('Capital Cost Escalation'!$E32,'Capital Costs'!$B$15:$B$55,0),MATCH('Capital Cost Escalation'!$C32,'Capital Costs'!$D$7:$G$7,0))*M$8*(1+$F32)^(M$2), 0),0)</f>
        <v>1686497.1727966836</v>
      </c>
      <c r="N32" s="490">
        <f>IFERROR(IF(N$6&lt;=$E$8,INDEX('Capital Costs'!$D$15:$G$55,MATCH('Capital Cost Escalation'!$E32,'Capital Costs'!$B$15:$B$55,0),MATCH('Capital Cost Escalation'!$C32,'Capital Costs'!$D$7:$G$7,0))*N$8*(1+$F32)^(N$2), 0),0)</f>
        <v>2242255.6713924049</v>
      </c>
      <c r="O32" s="490">
        <f>IFERROR(IF(O$6&lt;=$E$8,INDEX('Capital Costs'!$D$15:$G$55,MATCH('Capital Cost Escalation'!$E32,'Capital Costs'!$B$15:$B$55,0),MATCH('Capital Cost Escalation'!$C32,'Capital Costs'!$D$7:$G$7,0))*O$8*(1+$F32)^(O$2), 0),0)</f>
        <v>3137004.9320109608</v>
      </c>
      <c r="P32" s="490">
        <f>IFERROR(IF(P$6&lt;=$E$8,INDEX('Capital Costs'!$D$15:$G$55,MATCH('Capital Cost Escalation'!$E32,'Capital Costs'!$B$15:$B$55,0),MATCH('Capital Cost Escalation'!$C32,'Capital Costs'!$D$7:$G$7,0))*P$8*(1+$F32)^(P$2), 0),0)</f>
        <v>5226833.7064386904</v>
      </c>
      <c r="Q32" s="490">
        <f>IFERROR(IF(Q$6&lt;=$E$8,INDEX('Capital Costs'!$D$15:$G$55,MATCH('Capital Cost Escalation'!$E32,'Capital Costs'!$B$15:$B$55,0),MATCH('Capital Cost Escalation'!$C32,'Capital Costs'!$D$7:$G$7,0))*Q$8*(1+$F32)^(Q$2), 0),0)</f>
        <v>6364953.7993481541</v>
      </c>
      <c r="R32" s="490">
        <f>IFERROR(IF(R$6&lt;=$E$8,INDEX('Capital Costs'!$D$15:$G$55,MATCH('Capital Cost Escalation'!$E32,'Capital Costs'!$B$15:$B$55,0),MATCH('Capital Cost Escalation'!$C32,'Capital Costs'!$D$7:$G$7,0))*R$8*(1+$F32)^(R$2), 0),0)</f>
        <v>8161214.7579506002</v>
      </c>
      <c r="S32" s="490">
        <f>IFERROR(IF(S$6&lt;=$E$8,INDEX('Capital Costs'!$D$15:$G$55,MATCH('Capital Cost Escalation'!$E32,'Capital Costs'!$B$15:$B$55,0),MATCH('Capital Cost Escalation'!$C32,'Capital Costs'!$D$7:$G$7,0))*S$8*(1+$F32)^(S$2), 0),0)</f>
        <v>9095047.8181596305</v>
      </c>
      <c r="T32" s="490">
        <f>IFERROR(IF(T$6&lt;=$E$8,INDEX('Capital Costs'!$D$15:$G$55,MATCH('Capital Cost Escalation'!$E32,'Capital Costs'!$B$15:$B$55,0),MATCH('Capital Cost Escalation'!$C32,'Capital Costs'!$D$7:$G$7,0))*T$8*(1+$F32)^(T$2), 0),0)</f>
        <v>9671378.7289480772</v>
      </c>
      <c r="U32" s="490">
        <f>IFERROR(IF(U$6&lt;=$E$8,INDEX('Capital Costs'!$D$15:$G$55,MATCH('Capital Cost Escalation'!$E32,'Capital Costs'!$B$15:$B$55,0),MATCH('Capital Cost Escalation'!$C32,'Capital Costs'!$D$7:$G$7,0))*U$8*(1+$F32)^(U$2), 0),0)</f>
        <v>9074520.7414964344</v>
      </c>
      <c r="V32" s="490">
        <f>IFERROR(IF(V$6&lt;=$E$8,INDEX('Capital Costs'!$D$15:$G$55,MATCH('Capital Cost Escalation'!$E32,'Capital Costs'!$B$15:$B$55,0),MATCH('Capital Cost Escalation'!$C32,'Capital Costs'!$D$7:$G$7,0))*V$8*(1+$F32)^(V$2), 0),0)</f>
        <v>8043753.050796479</v>
      </c>
      <c r="W32" s="490">
        <f>IFERROR(IF(W$6&lt;=$E$8,INDEX('Capital Costs'!$D$15:$G$55,MATCH('Capital Cost Escalation'!$E32,'Capital Costs'!$B$15:$B$55,0),MATCH('Capital Cost Escalation'!$C32,'Capital Costs'!$D$7:$G$7,0))*W$8*(1+$F32)^(W$2), 0),0)</f>
        <v>6117948.9116165722</v>
      </c>
      <c r="X32" s="490">
        <f>IFERROR(IF(X$6&lt;=$E$8,INDEX('Capital Costs'!$D$15:$G$55,MATCH('Capital Cost Escalation'!$E32,'Capital Costs'!$B$15:$B$55,0),MATCH('Capital Cost Escalation'!$C32,'Capital Costs'!$D$7:$G$7,0))*X$8*(1+$F32)^(X$2), 0),0)</f>
        <v>3408589.0012382334</v>
      </c>
      <c r="Y32" s="490">
        <f>IFERROR(IF(Y$6&lt;=$E$8,INDEX('Capital Costs'!$D$15:$G$55,MATCH('Capital Cost Escalation'!$E32,'Capital Costs'!$B$15:$B$55,0),MATCH('Capital Cost Escalation'!$C32,'Capital Costs'!$D$7:$G$7,0))*Y$8*(1+$F32)^(Y$2), 0),0)</f>
        <v>721882.45207176404</v>
      </c>
      <c r="Z32" s="490">
        <f>IFERROR(IF(Z$6&lt;=$E$8,INDEX('Capital Costs'!$D$15:$G$55,MATCH('Capital Cost Escalation'!$E32,'Capital Costs'!$B$15:$B$55,0),MATCH('Capital Cost Escalation'!$C32,'Capital Costs'!$D$7:$G$7,0))*Z$8*(1+$F32)^(Z$2), 0),0)</f>
        <v>161171.81479693716</v>
      </c>
      <c r="AA32" s="490">
        <f>IFERROR(IF(AA$6&lt;=$E$8,INDEX('Capital Costs'!$D$15:$G$55,MATCH('Capital Cost Escalation'!$E32,'Capital Costs'!$B$15:$B$55,0),MATCH('Capital Cost Escalation'!$C32,'Capital Costs'!$D$7:$G$7,0))*AA$8*(1+$F32)^(AA$2), 0),0)</f>
        <v>0</v>
      </c>
      <c r="AB32" s="490">
        <f>IFERROR(IF(AB$6&lt;=$E$8,INDEX('Capital Costs'!$D$15:$G$55,MATCH('Capital Cost Escalation'!$E32,'Capital Costs'!$B$15:$B$55,0),MATCH('Capital Cost Escalation'!$C32,'Capital Costs'!$D$7:$G$7,0))*AB$8*(1+$F32)^(AB$2), 0),0)</f>
        <v>0</v>
      </c>
      <c r="AC32" s="490">
        <f>IFERROR(IF(AC$6&lt;=$E$8,INDEX('Capital Costs'!$D$15:$G$55,MATCH('Capital Cost Escalation'!$E32,'Capital Costs'!$B$15:$B$55,0),MATCH('Capital Cost Escalation'!$C32,'Capital Costs'!$D$7:$G$7,0))*AC$8*(1+$F32)^(AC$2), 0),0)</f>
        <v>0</v>
      </c>
      <c r="AD32" s="490">
        <f>IFERROR(IF(AD$6&lt;=$E$8,INDEX('Capital Costs'!$D$15:$G$55,MATCH('Capital Cost Escalation'!$E32,'Capital Costs'!$B$15:$B$55,0),MATCH('Capital Cost Escalation'!$C32,'Capital Costs'!$D$7:$G$7,0))*AD$8*(1+$F32)^(AD$2), 0),0)</f>
        <v>0</v>
      </c>
      <c r="AE32" s="490">
        <f>IFERROR(IF(AE$6&lt;=$E$8,INDEX('Capital Costs'!$D$15:$G$55,MATCH('Capital Cost Escalation'!$E32,'Capital Costs'!$B$15:$B$55,0),MATCH('Capital Cost Escalation'!$C32,'Capital Costs'!$D$7:$G$7,0))*AE$8*(1+$F32)^(AE$2), 0),0)</f>
        <v>0</v>
      </c>
      <c r="AF32" s="490">
        <f>IFERROR(IF(AF$6&lt;=$E$8,INDEX('Capital Costs'!$D$15:$G$55,MATCH('Capital Cost Escalation'!$E32,'Capital Costs'!$B$15:$B$55,0),MATCH('Capital Cost Escalation'!$C32,'Capital Costs'!$D$7:$G$7,0))*AF$8*(1+$F32)^(AF$2), 0),0)</f>
        <v>0</v>
      </c>
      <c r="AG32" s="490">
        <f>IFERROR(IF(AG$6&lt;=$E$8,INDEX('Capital Costs'!$D$15:$G$55,MATCH('Capital Cost Escalation'!$E32,'Capital Costs'!$B$15:$B$55,0),MATCH('Capital Cost Escalation'!$C32,'Capital Costs'!$D$7:$G$7,0))*AG$8*(1+$F32)^(AG$2), 0),0)</f>
        <v>0</v>
      </c>
      <c r="AH32" s="490">
        <f>IFERROR(IF(AH$6&lt;=$E$8,INDEX('Capital Costs'!$D$15:$G$55,MATCH('Capital Cost Escalation'!$E32,'Capital Costs'!$B$15:$B$55,0),MATCH('Capital Cost Escalation'!$C32,'Capital Costs'!$D$7:$G$7,0))*AH$8*(1+$F32)^(AH$2), 0),0)</f>
        <v>0</v>
      </c>
      <c r="AI32" s="490">
        <f>IFERROR(IF(AI$6&lt;=$E$8,INDEX('Capital Costs'!$D$15:$G$55,MATCH('Capital Cost Escalation'!$E32,'Capital Costs'!$B$15:$B$55,0),MATCH('Capital Cost Escalation'!$C32,'Capital Costs'!$D$7:$G$7,0))*AI$8*(1+$F32)^(AI$2), 0),0)</f>
        <v>0</v>
      </c>
      <c r="AJ32" s="490">
        <f>IFERROR(IF(AJ$6&lt;=$E$8,INDEX('Capital Costs'!$D$15:$G$55,MATCH('Capital Cost Escalation'!$E32,'Capital Costs'!$B$15:$B$55,0),MATCH('Capital Cost Escalation'!$C32,'Capital Costs'!$D$7:$G$7,0))*AJ$8*(1+$F32)^(AJ$2), 0),0)</f>
        <v>0</v>
      </c>
      <c r="AK32" s="490">
        <f>IFERROR(IF(AK$6&lt;=$E$8,INDEX('Capital Costs'!$D$15:$G$55,MATCH('Capital Cost Escalation'!$E32,'Capital Costs'!$B$15:$B$55,0),MATCH('Capital Cost Escalation'!$C32,'Capital Costs'!$D$7:$G$7,0))*AK$8*(1+$F32)^(AK$2), 0),0)</f>
        <v>0</v>
      </c>
      <c r="AL32" s="490">
        <f>IFERROR(IF(AL$6&lt;=$E$8,INDEX('Capital Costs'!$D$15:$G$55,MATCH('Capital Cost Escalation'!$E32,'Capital Costs'!$B$15:$B$55,0),MATCH('Capital Cost Escalation'!$C32,'Capital Costs'!$D$7:$G$7,0))*AL$8*(1+$F32)^(AL$2), 0),0)</f>
        <v>0</v>
      </c>
      <c r="AM32" s="490">
        <f>IFERROR(IF(AM$6&lt;=$E$8,INDEX('Capital Costs'!$D$15:$G$55,MATCH('Capital Cost Escalation'!$E32,'Capital Costs'!$B$15:$B$55,0),MATCH('Capital Cost Escalation'!$C32,'Capital Costs'!$D$7:$G$7,0))*AM$8*(1+$F32)^(AM$2), 0),0)</f>
        <v>0</v>
      </c>
      <c r="AN32" s="490">
        <f>IFERROR(IF(AN$6&lt;=$E$8,INDEX('Capital Costs'!$D$15:$G$55,MATCH('Capital Cost Escalation'!$E32,'Capital Costs'!$B$15:$B$55,0),MATCH('Capital Cost Escalation'!$C32,'Capital Costs'!$D$7:$G$7,0))*AN$8*(1+$F32)^(AN$2), 0),0)</f>
        <v>0</v>
      </c>
      <c r="AO32" s="490">
        <f>IFERROR(IF(AO$6&lt;=$E$8,INDEX('Capital Costs'!$D$15:$G$55,MATCH('Capital Cost Escalation'!$E32,'Capital Costs'!$B$15:$B$55,0),MATCH('Capital Cost Escalation'!$C32,'Capital Costs'!$D$7:$G$7,0))*AO$8*(1+$F32)^(AO$2), 0),0)</f>
        <v>0</v>
      </c>
      <c r="AP32" s="490">
        <f>IFERROR(IF(AP$6&lt;=$E$8,INDEX('Capital Costs'!$D$15:$G$55,MATCH('Capital Cost Escalation'!$E32,'Capital Costs'!$B$15:$B$55,0),MATCH('Capital Cost Escalation'!$C32,'Capital Costs'!$D$7:$G$7,0))*AP$8*(1+$F32)^(AP$2), 0),0)</f>
        <v>0</v>
      </c>
      <c r="AQ32" s="490">
        <f>IFERROR(IF(AQ$6&lt;=$E$8,INDEX('Capital Costs'!$D$15:$G$55,MATCH('Capital Cost Escalation'!$E32,'Capital Costs'!$B$15:$B$55,0),MATCH('Capital Cost Escalation'!$C32,'Capital Costs'!$D$7:$G$7,0))*AQ$8*(1+$F32)^(AQ$2), 0),0)</f>
        <v>0</v>
      </c>
      <c r="AR32" s="490">
        <f>IFERROR(IF(AR$6&lt;=$E$8,INDEX('Capital Costs'!$D$15:$G$55,MATCH('Capital Cost Escalation'!$E32,'Capital Costs'!$B$15:$B$55,0),MATCH('Capital Cost Escalation'!$C32,'Capital Costs'!$D$7:$G$7,0))*AR$8*(1+$F32)^(AR$2), 0),0)</f>
        <v>0</v>
      </c>
      <c r="AS32" s="490">
        <f>IFERROR(IF(AS$6&lt;=$E$8,INDEX('Capital Costs'!$D$15:$G$55,MATCH('Capital Cost Escalation'!$E32,'Capital Costs'!$B$15:$B$55,0),MATCH('Capital Cost Escalation'!$C32,'Capital Costs'!$D$7:$G$7,0))*AS$8*(1+$F32)^(AS$2), 0),0)</f>
        <v>0</v>
      </c>
      <c r="AT32" s="490">
        <f>IFERROR(IF(AT$6&lt;=$E$8,INDEX('Capital Costs'!$D$15:$G$55,MATCH('Capital Cost Escalation'!$E32,'Capital Costs'!$B$15:$B$55,0),MATCH('Capital Cost Escalation'!$C32,'Capital Costs'!$D$7:$G$7,0))*AT$8*(1+$F32)^(AT$2), 0),0)</f>
        <v>0</v>
      </c>
      <c r="AU32" s="491"/>
      <c r="AV32" s="827">
        <f>SUM(G32:AT32)</f>
        <v>78555389.229599342</v>
      </c>
      <c r="AW32" s="828">
        <f>INDEX('Capital Costs'!$D$15:$G$55,MATCH('Capital Cost Escalation'!$E32,'Capital Costs'!$B$15:$B$55,0),MATCH('Capital Cost Escalation'!$C32,'Capital Costs'!$D$7:$G$7,0))</f>
        <v>69250000</v>
      </c>
    </row>
    <row r="33" spans="1:49">
      <c r="A33" s="487" t="str">
        <f t="shared" si="4"/>
        <v>CT_Rest of RTO_HRSG / SCR</v>
      </c>
      <c r="B33" s="478" t="s">
        <v>76</v>
      </c>
      <c r="C33" s="488" t="s">
        <v>111</v>
      </c>
      <c r="E33" s="442" t="s">
        <v>130</v>
      </c>
      <c r="F33" s="1325">
        <f>INDEX('Capital Costs_Nominal$'!$F:$F,MATCH('Capital Cost Escalation'!$E33,'Capital Costs_Nominal$'!$C:$C,0),1)</f>
        <v>2.3944839450136257E-3</v>
      </c>
      <c r="G33" s="490">
        <f>IFERROR(IF(G$6&lt;=$E$8,INDEX('Capital Costs'!$D$15:$G$55,MATCH('Capital Cost Escalation'!$E33,'Capital Costs'!$B$15:$B$55,0),MATCH('Capital Cost Escalation'!$C33,'Capital Costs'!$D$7:$G$7,0))*G$8*(1+$F33)^(G$2), 0),0)</f>
        <v>118502.44276490164</v>
      </c>
      <c r="H33" s="490">
        <f>IFERROR(IF(H$6&lt;=$E$8,INDEX('Capital Costs'!$D$15:$G$55,MATCH('Capital Cost Escalation'!$E33,'Capital Costs'!$B$15:$B$55,0),MATCH('Capital Cost Escalation'!$C33,'Capital Costs'!$D$7:$G$7,0))*H$8*(1+$F33)^(H$2), 0),0)</f>
        <v>141339.79354718278</v>
      </c>
      <c r="I33" s="490">
        <f>IFERROR(IF(I$6&lt;=$E$8,INDEX('Capital Costs'!$D$15:$G$55,MATCH('Capital Cost Escalation'!$E33,'Capital Costs'!$B$15:$B$55,0),MATCH('Capital Cost Escalation'!$C33,'Capital Costs'!$D$7:$G$7,0))*I$8*(1+$F33)^(I$2), 0),0)</f>
        <v>854898.21994361235</v>
      </c>
      <c r="J33" s="490">
        <f>IFERROR(IF(J$6&lt;=$E$8,INDEX('Capital Costs'!$D$15:$G$55,MATCH('Capital Cost Escalation'!$E33,'Capital Costs'!$B$15:$B$55,0),MATCH('Capital Cost Escalation'!$C33,'Capital Costs'!$D$7:$G$7,0))*J$8*(1+$F33)^(J$2), 0),0)</f>
        <v>264183.86454945587</v>
      </c>
      <c r="K33" s="490">
        <f>IFERROR(IF(K$6&lt;=$E$8,INDEX('Capital Costs'!$D$15:$G$55,MATCH('Capital Cost Escalation'!$E33,'Capital Costs'!$B$15:$B$55,0),MATCH('Capital Cost Escalation'!$C33,'Capital Costs'!$D$7:$G$7,0))*K$8*(1+$F33)^(K$2), 0),0)</f>
        <v>577640.25331610721</v>
      </c>
      <c r="L33" s="490">
        <f>IFERROR(IF(L$6&lt;=$E$8,INDEX('Capital Costs'!$D$15:$G$55,MATCH('Capital Cost Escalation'!$E33,'Capital Costs'!$B$15:$B$55,0),MATCH('Capital Cost Escalation'!$C33,'Capital Costs'!$D$7:$G$7,0))*L$8*(1+$F33)^(L$2), 0),0)</f>
        <v>366460.48596187774</v>
      </c>
      <c r="M33" s="490">
        <f>IFERROR(IF(M$6&lt;=$E$8,INDEX('Capital Costs'!$D$15:$G$55,MATCH('Capital Cost Escalation'!$E33,'Capital Costs'!$B$15:$B$55,0),MATCH('Capital Cost Escalation'!$C33,'Capital Costs'!$D$7:$G$7,0))*M$8*(1+$F33)^(M$2), 0),0)</f>
        <v>719870.05459898757</v>
      </c>
      <c r="N33" s="490">
        <f>IFERROR(IF(N$6&lt;=$E$8,INDEX('Capital Costs'!$D$15:$G$55,MATCH('Capital Cost Escalation'!$E33,'Capital Costs'!$B$15:$B$55,0),MATCH('Capital Cost Escalation'!$C33,'Capital Costs'!$D$7:$G$7,0))*N$8*(1+$F33)^(N$2), 0),0)</f>
        <v>957091.857980086</v>
      </c>
      <c r="O33" s="490">
        <f>IFERROR(IF(O$6&lt;=$E$8,INDEX('Capital Costs'!$D$15:$G$55,MATCH('Capital Cost Escalation'!$E33,'Capital Costs'!$B$15:$B$55,0),MATCH('Capital Cost Escalation'!$C33,'Capital Costs'!$D$7:$G$7,0))*O$8*(1+$F33)^(O$2), 0),0)</f>
        <v>1339009.6041129068</v>
      </c>
      <c r="P33" s="490">
        <f>IFERROR(IF(P$6&lt;=$E$8,INDEX('Capital Costs'!$D$15:$G$55,MATCH('Capital Cost Escalation'!$E33,'Capital Costs'!$B$15:$B$55,0),MATCH('Capital Cost Escalation'!$C33,'Capital Costs'!$D$7:$G$7,0))*P$8*(1+$F33)^(P$2), 0),0)</f>
        <v>2231039.0591371926</v>
      </c>
      <c r="Q33" s="490">
        <f>IFERROR(IF(Q$6&lt;=$E$8,INDEX('Capital Costs'!$D$15:$G$55,MATCH('Capital Cost Escalation'!$E33,'Capital Costs'!$B$15:$B$55,0),MATCH('Capital Cost Escalation'!$C33,'Capital Costs'!$D$7:$G$7,0))*Q$8*(1+$F33)^(Q$2), 0),0)</f>
        <v>2716838.019632522</v>
      </c>
      <c r="R33" s="490">
        <f>IFERROR(IF(R$6&lt;=$E$8,INDEX('Capital Costs'!$D$15:$G$55,MATCH('Capital Cost Escalation'!$E33,'Capital Costs'!$B$15:$B$55,0),MATCH('Capital Cost Escalation'!$C33,'Capital Costs'!$D$7:$G$7,0))*R$8*(1+$F33)^(R$2), 0),0)</f>
        <v>3483560.0131232631</v>
      </c>
      <c r="S33" s="490">
        <f>IFERROR(IF(S$6&lt;=$E$8,INDEX('Capital Costs'!$D$15:$G$55,MATCH('Capital Cost Escalation'!$E33,'Capital Costs'!$B$15:$B$55,0),MATCH('Capital Cost Escalation'!$C33,'Capital Costs'!$D$7:$G$7,0))*S$8*(1+$F33)^(S$2), 0),0)</f>
        <v>3882160.4180822917</v>
      </c>
      <c r="T33" s="490">
        <f>IFERROR(IF(T$6&lt;=$E$8,INDEX('Capital Costs'!$D$15:$G$55,MATCH('Capital Cost Escalation'!$E33,'Capital Costs'!$B$15:$B$55,0),MATCH('Capital Cost Escalation'!$C33,'Capital Costs'!$D$7:$G$7,0))*T$8*(1+$F33)^(T$2), 0),0)</f>
        <v>4128163.418210879</v>
      </c>
      <c r="U33" s="490">
        <f>IFERROR(IF(U$6&lt;=$E$8,INDEX('Capital Costs'!$D$15:$G$55,MATCH('Capital Cost Escalation'!$E33,'Capital Costs'!$B$15:$B$55,0),MATCH('Capital Cost Escalation'!$C33,'Capital Costs'!$D$7:$G$7,0))*U$8*(1+$F33)^(U$2), 0),0)</f>
        <v>3873398.5725028003</v>
      </c>
      <c r="V33" s="490">
        <f>IFERROR(IF(V$6&lt;=$E$8,INDEX('Capital Costs'!$D$15:$G$55,MATCH('Capital Cost Escalation'!$E33,'Capital Costs'!$B$15:$B$55,0),MATCH('Capital Cost Escalation'!$C33,'Capital Costs'!$D$7:$G$7,0))*V$8*(1+$F33)^(V$2), 0),0)</f>
        <v>3433422.2679160731</v>
      </c>
      <c r="W33" s="490">
        <f>IFERROR(IF(W$6&lt;=$E$8,INDEX('Capital Costs'!$D$15:$G$55,MATCH('Capital Cost Escalation'!$E33,'Capital Costs'!$B$15:$B$55,0),MATCH('Capital Cost Escalation'!$C33,'Capital Costs'!$D$7:$G$7,0))*W$8*(1+$F33)^(W$2), 0),0)</f>
        <v>2611405.6329759294</v>
      </c>
      <c r="X33" s="490">
        <f>IFERROR(IF(X$6&lt;=$E$8,INDEX('Capital Costs'!$D$15:$G$55,MATCH('Capital Cost Escalation'!$E33,'Capital Costs'!$B$15:$B$55,0),MATCH('Capital Cost Escalation'!$C33,'Capital Costs'!$D$7:$G$7,0))*X$8*(1+$F33)^(X$2), 0),0)</f>
        <v>1454933.4502339466</v>
      </c>
      <c r="Y33" s="490">
        <f>IFERROR(IF(Y$6&lt;=$E$8,INDEX('Capital Costs'!$D$15:$G$55,MATCH('Capital Cost Escalation'!$E33,'Capital Costs'!$B$15:$B$55,0),MATCH('Capital Cost Escalation'!$C33,'Capital Costs'!$D$7:$G$7,0))*Y$8*(1+$F33)^(Y$2), 0),0)</f>
        <v>308130.70343023923</v>
      </c>
      <c r="Z33" s="490">
        <f>IFERROR(IF(Z$6&lt;=$E$8,INDEX('Capital Costs'!$D$15:$G$55,MATCH('Capital Cost Escalation'!$E33,'Capital Costs'!$B$15:$B$55,0),MATCH('Capital Cost Escalation'!$C33,'Capital Costs'!$D$7:$G$7,0))*Z$8*(1+$F33)^(Z$2), 0),0)</f>
        <v>68795.112727814951</v>
      </c>
      <c r="AA33" s="490">
        <f>IFERROR(IF(AA$6&lt;=$E$8,INDEX('Capital Costs'!$D$15:$G$55,MATCH('Capital Cost Escalation'!$E33,'Capital Costs'!$B$15:$B$55,0),MATCH('Capital Cost Escalation'!$C33,'Capital Costs'!$D$7:$G$7,0))*AA$8*(1+$F33)^(AA$2), 0),0)</f>
        <v>0</v>
      </c>
      <c r="AB33" s="490">
        <f>IFERROR(IF(AB$6&lt;=$E$8,INDEX('Capital Costs'!$D$15:$G$55,MATCH('Capital Cost Escalation'!$E33,'Capital Costs'!$B$15:$B$55,0),MATCH('Capital Cost Escalation'!$C33,'Capital Costs'!$D$7:$G$7,0))*AB$8*(1+$F33)^(AB$2), 0),0)</f>
        <v>0</v>
      </c>
      <c r="AC33" s="490">
        <f>IFERROR(IF(AC$6&lt;=$E$8,INDEX('Capital Costs'!$D$15:$G$55,MATCH('Capital Cost Escalation'!$E33,'Capital Costs'!$B$15:$B$55,0),MATCH('Capital Cost Escalation'!$C33,'Capital Costs'!$D$7:$G$7,0))*AC$8*(1+$F33)^(AC$2), 0),0)</f>
        <v>0</v>
      </c>
      <c r="AD33" s="490">
        <f>IFERROR(IF(AD$6&lt;=$E$8,INDEX('Capital Costs'!$D$15:$G$55,MATCH('Capital Cost Escalation'!$E33,'Capital Costs'!$B$15:$B$55,0),MATCH('Capital Cost Escalation'!$C33,'Capital Costs'!$D$7:$G$7,0))*AD$8*(1+$F33)^(AD$2), 0),0)</f>
        <v>0</v>
      </c>
      <c r="AE33" s="490">
        <f>IFERROR(IF(AE$6&lt;=$E$8,INDEX('Capital Costs'!$D$15:$G$55,MATCH('Capital Cost Escalation'!$E33,'Capital Costs'!$B$15:$B$55,0),MATCH('Capital Cost Escalation'!$C33,'Capital Costs'!$D$7:$G$7,0))*AE$8*(1+$F33)^(AE$2), 0),0)</f>
        <v>0</v>
      </c>
      <c r="AF33" s="490">
        <f>IFERROR(IF(AF$6&lt;=$E$8,INDEX('Capital Costs'!$D$15:$G$55,MATCH('Capital Cost Escalation'!$E33,'Capital Costs'!$B$15:$B$55,0),MATCH('Capital Cost Escalation'!$C33,'Capital Costs'!$D$7:$G$7,0))*AF$8*(1+$F33)^(AF$2), 0),0)</f>
        <v>0</v>
      </c>
      <c r="AG33" s="490">
        <f>IFERROR(IF(AG$6&lt;=$E$8,INDEX('Capital Costs'!$D$15:$G$55,MATCH('Capital Cost Escalation'!$E33,'Capital Costs'!$B$15:$B$55,0),MATCH('Capital Cost Escalation'!$C33,'Capital Costs'!$D$7:$G$7,0))*AG$8*(1+$F33)^(AG$2), 0),0)</f>
        <v>0</v>
      </c>
      <c r="AH33" s="490">
        <f>IFERROR(IF(AH$6&lt;=$E$8,INDEX('Capital Costs'!$D$15:$G$55,MATCH('Capital Cost Escalation'!$E33,'Capital Costs'!$B$15:$B$55,0),MATCH('Capital Cost Escalation'!$C33,'Capital Costs'!$D$7:$G$7,0))*AH$8*(1+$F33)^(AH$2), 0),0)</f>
        <v>0</v>
      </c>
      <c r="AI33" s="490">
        <f>IFERROR(IF(AI$6&lt;=$E$8,INDEX('Capital Costs'!$D$15:$G$55,MATCH('Capital Cost Escalation'!$E33,'Capital Costs'!$B$15:$B$55,0),MATCH('Capital Cost Escalation'!$C33,'Capital Costs'!$D$7:$G$7,0))*AI$8*(1+$F33)^(AI$2), 0),0)</f>
        <v>0</v>
      </c>
      <c r="AJ33" s="490">
        <f>IFERROR(IF(AJ$6&lt;=$E$8,INDEX('Capital Costs'!$D$15:$G$55,MATCH('Capital Cost Escalation'!$E33,'Capital Costs'!$B$15:$B$55,0),MATCH('Capital Cost Escalation'!$C33,'Capital Costs'!$D$7:$G$7,0))*AJ$8*(1+$F33)^(AJ$2), 0),0)</f>
        <v>0</v>
      </c>
      <c r="AK33" s="490">
        <f>IFERROR(IF(AK$6&lt;=$E$8,INDEX('Capital Costs'!$D$15:$G$55,MATCH('Capital Cost Escalation'!$E33,'Capital Costs'!$B$15:$B$55,0),MATCH('Capital Cost Escalation'!$C33,'Capital Costs'!$D$7:$G$7,0))*AK$8*(1+$F33)^(AK$2), 0),0)</f>
        <v>0</v>
      </c>
      <c r="AL33" s="490">
        <f>IFERROR(IF(AL$6&lt;=$E$8,INDEX('Capital Costs'!$D$15:$G$55,MATCH('Capital Cost Escalation'!$E33,'Capital Costs'!$B$15:$B$55,0),MATCH('Capital Cost Escalation'!$C33,'Capital Costs'!$D$7:$G$7,0))*AL$8*(1+$F33)^(AL$2), 0),0)</f>
        <v>0</v>
      </c>
      <c r="AM33" s="490">
        <f>IFERROR(IF(AM$6&lt;=$E$8,INDEX('Capital Costs'!$D$15:$G$55,MATCH('Capital Cost Escalation'!$E33,'Capital Costs'!$B$15:$B$55,0),MATCH('Capital Cost Escalation'!$C33,'Capital Costs'!$D$7:$G$7,0))*AM$8*(1+$F33)^(AM$2), 0),0)</f>
        <v>0</v>
      </c>
      <c r="AN33" s="490">
        <f>IFERROR(IF(AN$6&lt;=$E$8,INDEX('Capital Costs'!$D$15:$G$55,MATCH('Capital Cost Escalation'!$E33,'Capital Costs'!$B$15:$B$55,0),MATCH('Capital Cost Escalation'!$C33,'Capital Costs'!$D$7:$G$7,0))*AN$8*(1+$F33)^(AN$2), 0),0)</f>
        <v>0</v>
      </c>
      <c r="AO33" s="490">
        <f>IFERROR(IF(AO$6&lt;=$E$8,INDEX('Capital Costs'!$D$15:$G$55,MATCH('Capital Cost Escalation'!$E33,'Capital Costs'!$B$15:$B$55,0),MATCH('Capital Cost Escalation'!$C33,'Capital Costs'!$D$7:$G$7,0))*AO$8*(1+$F33)^(AO$2), 0),0)</f>
        <v>0</v>
      </c>
      <c r="AP33" s="490">
        <f>IFERROR(IF(AP$6&lt;=$E$8,INDEX('Capital Costs'!$D$15:$G$55,MATCH('Capital Cost Escalation'!$E33,'Capital Costs'!$B$15:$B$55,0),MATCH('Capital Cost Escalation'!$C33,'Capital Costs'!$D$7:$G$7,0))*AP$8*(1+$F33)^(AP$2), 0),0)</f>
        <v>0</v>
      </c>
      <c r="AQ33" s="490">
        <f>IFERROR(IF(AQ$6&lt;=$E$8,INDEX('Capital Costs'!$D$15:$G$55,MATCH('Capital Cost Escalation'!$E33,'Capital Costs'!$B$15:$B$55,0),MATCH('Capital Cost Escalation'!$C33,'Capital Costs'!$D$7:$G$7,0))*AQ$8*(1+$F33)^(AQ$2), 0),0)</f>
        <v>0</v>
      </c>
      <c r="AR33" s="490">
        <f>IFERROR(IF(AR$6&lt;=$E$8,INDEX('Capital Costs'!$D$15:$G$55,MATCH('Capital Cost Escalation'!$E33,'Capital Costs'!$B$15:$B$55,0),MATCH('Capital Cost Escalation'!$C33,'Capital Costs'!$D$7:$G$7,0))*AR$8*(1+$F33)^(AR$2), 0),0)</f>
        <v>0</v>
      </c>
      <c r="AS33" s="490">
        <f>IFERROR(IF(AS$6&lt;=$E$8,INDEX('Capital Costs'!$D$15:$G$55,MATCH('Capital Cost Escalation'!$E33,'Capital Costs'!$B$15:$B$55,0),MATCH('Capital Cost Escalation'!$C33,'Capital Costs'!$D$7:$G$7,0))*AS$8*(1+$F33)^(AS$2), 0),0)</f>
        <v>0</v>
      </c>
      <c r="AT33" s="490">
        <f>IFERROR(IF(AT$6&lt;=$E$8,INDEX('Capital Costs'!$D$15:$G$55,MATCH('Capital Cost Escalation'!$E33,'Capital Costs'!$B$15:$B$55,0),MATCH('Capital Cost Escalation'!$C33,'Capital Costs'!$D$7:$G$7,0))*AT$8*(1+$F33)^(AT$2), 0),0)</f>
        <v>0</v>
      </c>
      <c r="AV33" s="827">
        <f t="shared" ref="AV33:AV39" si="6">SUM(G33:AT33)</f>
        <v>33530843.244748067</v>
      </c>
      <c r="AW33" s="828">
        <f>INDEX('Capital Costs'!$D$15:$G$55,MATCH('Capital Cost Escalation'!$E33,'Capital Costs'!$B$15:$B$55,0),MATCH('Capital Cost Escalation'!$C33,'Capital Costs'!$D$7:$G$7,0))</f>
        <v>29558900</v>
      </c>
    </row>
    <row r="34" spans="1:49">
      <c r="A34" s="487" t="str">
        <f t="shared" si="4"/>
        <v>CT_Rest of RTO_Condenser</v>
      </c>
      <c r="B34" s="478" t="s">
        <v>76</v>
      </c>
      <c r="C34" s="488" t="s">
        <v>111</v>
      </c>
      <c r="E34" s="442" t="s">
        <v>134</v>
      </c>
      <c r="F34" s="1325">
        <f>INDEX('Capital Costs_Nominal$'!$F:$F,MATCH('Capital Cost Escalation'!$E34,'Capital Costs_Nominal$'!$C:$C,0),1)</f>
        <v>2.3944839450136257E-3</v>
      </c>
      <c r="G34" s="490">
        <f>IFERROR(IF(G$6&lt;=$E$8,INDEX('Capital Costs'!$D$15:$G$55,MATCH('Capital Cost Escalation'!$E34,'Capital Costs'!$B$15:$B$55,0),MATCH('Capital Cost Escalation'!$C34,'Capital Costs'!$D$7:$G$7,0))*G$8*(1+$F34)^(G$2), 0),0)</f>
        <v>0</v>
      </c>
      <c r="H34" s="490">
        <f>IFERROR(IF(H$6&lt;=$E$8,INDEX('Capital Costs'!$D$15:$G$55,MATCH('Capital Cost Escalation'!$E34,'Capital Costs'!$B$15:$B$55,0),MATCH('Capital Cost Escalation'!$C34,'Capital Costs'!$D$7:$G$7,0))*H$8*(1+$F34)^(H$2), 0),0)</f>
        <v>0</v>
      </c>
      <c r="I34" s="490">
        <f>IFERROR(IF(I$6&lt;=$E$8,INDEX('Capital Costs'!$D$15:$G$55,MATCH('Capital Cost Escalation'!$E34,'Capital Costs'!$B$15:$B$55,0),MATCH('Capital Cost Escalation'!$C34,'Capital Costs'!$D$7:$G$7,0))*I$8*(1+$F34)^(I$2), 0),0)</f>
        <v>0</v>
      </c>
      <c r="J34" s="490">
        <f>IFERROR(IF(J$6&lt;=$E$8,INDEX('Capital Costs'!$D$15:$G$55,MATCH('Capital Cost Escalation'!$E34,'Capital Costs'!$B$15:$B$55,0),MATCH('Capital Cost Escalation'!$C34,'Capital Costs'!$D$7:$G$7,0))*J$8*(1+$F34)^(J$2), 0),0)</f>
        <v>0</v>
      </c>
      <c r="K34" s="490">
        <f>IFERROR(IF(K$6&lt;=$E$8,INDEX('Capital Costs'!$D$15:$G$55,MATCH('Capital Cost Escalation'!$E34,'Capital Costs'!$B$15:$B$55,0),MATCH('Capital Cost Escalation'!$C34,'Capital Costs'!$D$7:$G$7,0))*K$8*(1+$F34)^(K$2), 0),0)</f>
        <v>0</v>
      </c>
      <c r="L34" s="490">
        <f>IFERROR(IF(L$6&lt;=$E$8,INDEX('Capital Costs'!$D$15:$G$55,MATCH('Capital Cost Escalation'!$E34,'Capital Costs'!$B$15:$B$55,0),MATCH('Capital Cost Escalation'!$C34,'Capital Costs'!$D$7:$G$7,0))*L$8*(1+$F34)^(L$2), 0),0)</f>
        <v>0</v>
      </c>
      <c r="M34" s="490">
        <f>IFERROR(IF(M$6&lt;=$E$8,INDEX('Capital Costs'!$D$15:$G$55,MATCH('Capital Cost Escalation'!$E34,'Capital Costs'!$B$15:$B$55,0),MATCH('Capital Cost Escalation'!$C34,'Capital Costs'!$D$7:$G$7,0))*M$8*(1+$F34)^(M$2), 0),0)</f>
        <v>0</v>
      </c>
      <c r="N34" s="490">
        <f>IFERROR(IF(N$6&lt;=$E$8,INDEX('Capital Costs'!$D$15:$G$55,MATCH('Capital Cost Escalation'!$E34,'Capital Costs'!$B$15:$B$55,0),MATCH('Capital Cost Escalation'!$C34,'Capital Costs'!$D$7:$G$7,0))*N$8*(1+$F34)^(N$2), 0),0)</f>
        <v>0</v>
      </c>
      <c r="O34" s="490">
        <f>IFERROR(IF(O$6&lt;=$E$8,INDEX('Capital Costs'!$D$15:$G$55,MATCH('Capital Cost Escalation'!$E34,'Capital Costs'!$B$15:$B$55,0),MATCH('Capital Cost Escalation'!$C34,'Capital Costs'!$D$7:$G$7,0))*O$8*(1+$F34)^(O$2), 0),0)</f>
        <v>0</v>
      </c>
      <c r="P34" s="490">
        <f>IFERROR(IF(P$6&lt;=$E$8,INDEX('Capital Costs'!$D$15:$G$55,MATCH('Capital Cost Escalation'!$E34,'Capital Costs'!$B$15:$B$55,0),MATCH('Capital Cost Escalation'!$C34,'Capital Costs'!$D$7:$G$7,0))*P$8*(1+$F34)^(P$2), 0),0)</f>
        <v>0</v>
      </c>
      <c r="Q34" s="490">
        <f>IFERROR(IF(Q$6&lt;=$E$8,INDEX('Capital Costs'!$D$15:$G$55,MATCH('Capital Cost Escalation'!$E34,'Capital Costs'!$B$15:$B$55,0),MATCH('Capital Cost Escalation'!$C34,'Capital Costs'!$D$7:$G$7,0))*Q$8*(1+$F34)^(Q$2), 0),0)</f>
        <v>0</v>
      </c>
      <c r="R34" s="490">
        <f>IFERROR(IF(R$6&lt;=$E$8,INDEX('Capital Costs'!$D$15:$G$55,MATCH('Capital Cost Escalation'!$E34,'Capital Costs'!$B$15:$B$55,0),MATCH('Capital Cost Escalation'!$C34,'Capital Costs'!$D$7:$G$7,0))*R$8*(1+$F34)^(R$2), 0),0)</f>
        <v>0</v>
      </c>
      <c r="S34" s="490">
        <f>IFERROR(IF(S$6&lt;=$E$8,INDEX('Capital Costs'!$D$15:$G$55,MATCH('Capital Cost Escalation'!$E34,'Capital Costs'!$B$15:$B$55,0),MATCH('Capital Cost Escalation'!$C34,'Capital Costs'!$D$7:$G$7,0))*S$8*(1+$F34)^(S$2), 0),0)</f>
        <v>0</v>
      </c>
      <c r="T34" s="490">
        <f>IFERROR(IF(T$6&lt;=$E$8,INDEX('Capital Costs'!$D$15:$G$55,MATCH('Capital Cost Escalation'!$E34,'Capital Costs'!$B$15:$B$55,0),MATCH('Capital Cost Escalation'!$C34,'Capital Costs'!$D$7:$G$7,0))*T$8*(1+$F34)^(T$2), 0),0)</f>
        <v>0</v>
      </c>
      <c r="U34" s="490">
        <f>IFERROR(IF(U$6&lt;=$E$8,INDEX('Capital Costs'!$D$15:$G$55,MATCH('Capital Cost Escalation'!$E34,'Capital Costs'!$B$15:$B$55,0),MATCH('Capital Cost Escalation'!$C34,'Capital Costs'!$D$7:$G$7,0))*U$8*(1+$F34)^(U$2), 0),0)</f>
        <v>0</v>
      </c>
      <c r="V34" s="490">
        <f>IFERROR(IF(V$6&lt;=$E$8,INDEX('Capital Costs'!$D$15:$G$55,MATCH('Capital Cost Escalation'!$E34,'Capital Costs'!$B$15:$B$55,0),MATCH('Capital Cost Escalation'!$C34,'Capital Costs'!$D$7:$G$7,0))*V$8*(1+$F34)^(V$2), 0),0)</f>
        <v>0</v>
      </c>
      <c r="W34" s="490">
        <f>IFERROR(IF(W$6&lt;=$E$8,INDEX('Capital Costs'!$D$15:$G$55,MATCH('Capital Cost Escalation'!$E34,'Capital Costs'!$B$15:$B$55,0),MATCH('Capital Cost Escalation'!$C34,'Capital Costs'!$D$7:$G$7,0))*W$8*(1+$F34)^(W$2), 0),0)</f>
        <v>0</v>
      </c>
      <c r="X34" s="490">
        <f>IFERROR(IF(X$6&lt;=$E$8,INDEX('Capital Costs'!$D$15:$G$55,MATCH('Capital Cost Escalation'!$E34,'Capital Costs'!$B$15:$B$55,0),MATCH('Capital Cost Escalation'!$C34,'Capital Costs'!$D$7:$G$7,0))*X$8*(1+$F34)^(X$2), 0),0)</f>
        <v>0</v>
      </c>
      <c r="Y34" s="490">
        <f>IFERROR(IF(Y$6&lt;=$E$8,INDEX('Capital Costs'!$D$15:$G$55,MATCH('Capital Cost Escalation'!$E34,'Capital Costs'!$B$15:$B$55,0),MATCH('Capital Cost Escalation'!$C34,'Capital Costs'!$D$7:$G$7,0))*Y$8*(1+$F34)^(Y$2), 0),0)</f>
        <v>0</v>
      </c>
      <c r="Z34" s="490">
        <f>IFERROR(IF(Z$6&lt;=$E$8,INDEX('Capital Costs'!$D$15:$G$55,MATCH('Capital Cost Escalation'!$E34,'Capital Costs'!$B$15:$B$55,0),MATCH('Capital Cost Escalation'!$C34,'Capital Costs'!$D$7:$G$7,0))*Z$8*(1+$F34)^(Z$2), 0),0)</f>
        <v>0</v>
      </c>
      <c r="AA34" s="490">
        <f>IFERROR(IF(AA$6&lt;=$E$8,INDEX('Capital Costs'!$D$15:$G$55,MATCH('Capital Cost Escalation'!$E34,'Capital Costs'!$B$15:$B$55,0),MATCH('Capital Cost Escalation'!$C34,'Capital Costs'!$D$7:$G$7,0))*AA$8*(1+$F34)^(AA$2), 0),0)</f>
        <v>0</v>
      </c>
      <c r="AB34" s="490">
        <f>IFERROR(IF(AB$6&lt;=$E$8,INDEX('Capital Costs'!$D$15:$G$55,MATCH('Capital Cost Escalation'!$E34,'Capital Costs'!$B$15:$B$55,0),MATCH('Capital Cost Escalation'!$C34,'Capital Costs'!$D$7:$G$7,0))*AB$8*(1+$F34)^(AB$2), 0),0)</f>
        <v>0</v>
      </c>
      <c r="AC34" s="490">
        <f>IFERROR(IF(AC$6&lt;=$E$8,INDEX('Capital Costs'!$D$15:$G$55,MATCH('Capital Cost Escalation'!$E34,'Capital Costs'!$B$15:$B$55,0),MATCH('Capital Cost Escalation'!$C34,'Capital Costs'!$D$7:$G$7,0))*AC$8*(1+$F34)^(AC$2), 0),0)</f>
        <v>0</v>
      </c>
      <c r="AD34" s="490">
        <f>IFERROR(IF(AD$6&lt;=$E$8,INDEX('Capital Costs'!$D$15:$G$55,MATCH('Capital Cost Escalation'!$E34,'Capital Costs'!$B$15:$B$55,0),MATCH('Capital Cost Escalation'!$C34,'Capital Costs'!$D$7:$G$7,0))*AD$8*(1+$F34)^(AD$2), 0),0)</f>
        <v>0</v>
      </c>
      <c r="AE34" s="490">
        <f>IFERROR(IF(AE$6&lt;=$E$8,INDEX('Capital Costs'!$D$15:$G$55,MATCH('Capital Cost Escalation'!$E34,'Capital Costs'!$B$15:$B$55,0),MATCH('Capital Cost Escalation'!$C34,'Capital Costs'!$D$7:$G$7,0))*AE$8*(1+$F34)^(AE$2), 0),0)</f>
        <v>0</v>
      </c>
      <c r="AF34" s="490">
        <f>IFERROR(IF(AF$6&lt;=$E$8,INDEX('Capital Costs'!$D$15:$G$55,MATCH('Capital Cost Escalation'!$E34,'Capital Costs'!$B$15:$B$55,0),MATCH('Capital Cost Escalation'!$C34,'Capital Costs'!$D$7:$G$7,0))*AF$8*(1+$F34)^(AF$2), 0),0)</f>
        <v>0</v>
      </c>
      <c r="AG34" s="490">
        <f>IFERROR(IF(AG$6&lt;=$E$8,INDEX('Capital Costs'!$D$15:$G$55,MATCH('Capital Cost Escalation'!$E34,'Capital Costs'!$B$15:$B$55,0),MATCH('Capital Cost Escalation'!$C34,'Capital Costs'!$D$7:$G$7,0))*AG$8*(1+$F34)^(AG$2), 0),0)</f>
        <v>0</v>
      </c>
      <c r="AH34" s="490">
        <f>IFERROR(IF(AH$6&lt;=$E$8,INDEX('Capital Costs'!$D$15:$G$55,MATCH('Capital Cost Escalation'!$E34,'Capital Costs'!$B$15:$B$55,0),MATCH('Capital Cost Escalation'!$C34,'Capital Costs'!$D$7:$G$7,0))*AH$8*(1+$F34)^(AH$2), 0),0)</f>
        <v>0</v>
      </c>
      <c r="AI34" s="490">
        <f>IFERROR(IF(AI$6&lt;=$E$8,INDEX('Capital Costs'!$D$15:$G$55,MATCH('Capital Cost Escalation'!$E34,'Capital Costs'!$B$15:$B$55,0),MATCH('Capital Cost Escalation'!$C34,'Capital Costs'!$D$7:$G$7,0))*AI$8*(1+$F34)^(AI$2), 0),0)</f>
        <v>0</v>
      </c>
      <c r="AJ34" s="490">
        <f>IFERROR(IF(AJ$6&lt;=$E$8,INDEX('Capital Costs'!$D$15:$G$55,MATCH('Capital Cost Escalation'!$E34,'Capital Costs'!$B$15:$B$55,0),MATCH('Capital Cost Escalation'!$C34,'Capital Costs'!$D$7:$G$7,0))*AJ$8*(1+$F34)^(AJ$2), 0),0)</f>
        <v>0</v>
      </c>
      <c r="AK34" s="490">
        <f>IFERROR(IF(AK$6&lt;=$E$8,INDEX('Capital Costs'!$D$15:$G$55,MATCH('Capital Cost Escalation'!$E34,'Capital Costs'!$B$15:$B$55,0),MATCH('Capital Cost Escalation'!$C34,'Capital Costs'!$D$7:$G$7,0))*AK$8*(1+$F34)^(AK$2), 0),0)</f>
        <v>0</v>
      </c>
      <c r="AL34" s="490">
        <f>IFERROR(IF(AL$6&lt;=$E$8,INDEX('Capital Costs'!$D$15:$G$55,MATCH('Capital Cost Escalation'!$E34,'Capital Costs'!$B$15:$B$55,0),MATCH('Capital Cost Escalation'!$C34,'Capital Costs'!$D$7:$G$7,0))*AL$8*(1+$F34)^(AL$2), 0),0)</f>
        <v>0</v>
      </c>
      <c r="AM34" s="490">
        <f>IFERROR(IF(AM$6&lt;=$E$8,INDEX('Capital Costs'!$D$15:$G$55,MATCH('Capital Cost Escalation'!$E34,'Capital Costs'!$B$15:$B$55,0),MATCH('Capital Cost Escalation'!$C34,'Capital Costs'!$D$7:$G$7,0))*AM$8*(1+$F34)^(AM$2), 0),0)</f>
        <v>0</v>
      </c>
      <c r="AN34" s="490">
        <f>IFERROR(IF(AN$6&lt;=$E$8,INDEX('Capital Costs'!$D$15:$G$55,MATCH('Capital Cost Escalation'!$E34,'Capital Costs'!$B$15:$B$55,0),MATCH('Capital Cost Escalation'!$C34,'Capital Costs'!$D$7:$G$7,0))*AN$8*(1+$F34)^(AN$2), 0),0)</f>
        <v>0</v>
      </c>
      <c r="AO34" s="490">
        <f>IFERROR(IF(AO$6&lt;=$E$8,INDEX('Capital Costs'!$D$15:$G$55,MATCH('Capital Cost Escalation'!$E34,'Capital Costs'!$B$15:$B$55,0),MATCH('Capital Cost Escalation'!$C34,'Capital Costs'!$D$7:$G$7,0))*AO$8*(1+$F34)^(AO$2), 0),0)</f>
        <v>0</v>
      </c>
      <c r="AP34" s="490">
        <f>IFERROR(IF(AP$6&lt;=$E$8,INDEX('Capital Costs'!$D$15:$G$55,MATCH('Capital Cost Escalation'!$E34,'Capital Costs'!$B$15:$B$55,0),MATCH('Capital Cost Escalation'!$C34,'Capital Costs'!$D$7:$G$7,0))*AP$8*(1+$F34)^(AP$2), 0),0)</f>
        <v>0</v>
      </c>
      <c r="AQ34" s="490">
        <f>IFERROR(IF(AQ$6&lt;=$E$8,INDEX('Capital Costs'!$D$15:$G$55,MATCH('Capital Cost Escalation'!$E34,'Capital Costs'!$B$15:$B$55,0),MATCH('Capital Cost Escalation'!$C34,'Capital Costs'!$D$7:$G$7,0))*AQ$8*(1+$F34)^(AQ$2), 0),0)</f>
        <v>0</v>
      </c>
      <c r="AR34" s="490">
        <f>IFERROR(IF(AR$6&lt;=$E$8,INDEX('Capital Costs'!$D$15:$G$55,MATCH('Capital Cost Escalation'!$E34,'Capital Costs'!$B$15:$B$55,0),MATCH('Capital Cost Escalation'!$C34,'Capital Costs'!$D$7:$G$7,0))*AR$8*(1+$F34)^(AR$2), 0),0)</f>
        <v>0</v>
      </c>
      <c r="AS34" s="490">
        <f>IFERROR(IF(AS$6&lt;=$E$8,INDEX('Capital Costs'!$D$15:$G$55,MATCH('Capital Cost Escalation'!$E34,'Capital Costs'!$B$15:$B$55,0),MATCH('Capital Cost Escalation'!$C34,'Capital Costs'!$D$7:$G$7,0))*AS$8*(1+$F34)^(AS$2), 0),0)</f>
        <v>0</v>
      </c>
      <c r="AT34" s="490">
        <f>IFERROR(IF(AT$6&lt;=$E$8,INDEX('Capital Costs'!$D$15:$G$55,MATCH('Capital Cost Escalation'!$E34,'Capital Costs'!$B$15:$B$55,0),MATCH('Capital Cost Escalation'!$C34,'Capital Costs'!$D$7:$G$7,0))*AT$8*(1+$F34)^(AT$2), 0),0)</f>
        <v>0</v>
      </c>
      <c r="AV34" s="827">
        <f t="shared" si="6"/>
        <v>0</v>
      </c>
      <c r="AW34" s="828">
        <f>INDEX('Capital Costs'!$D$15:$G$55,MATCH('Capital Cost Escalation'!$E34,'Capital Costs'!$B$15:$B$55,0),MATCH('Capital Cost Escalation'!$C34,'Capital Costs'!$D$7:$G$7,0))</f>
        <v>0</v>
      </c>
    </row>
    <row r="35" spans="1:49">
      <c r="A35" s="487" t="str">
        <f t="shared" si="4"/>
        <v>CT_Rest of RTO_Steam Turbines</v>
      </c>
      <c r="B35" s="478" t="s">
        <v>76</v>
      </c>
      <c r="C35" s="488" t="s">
        <v>111</v>
      </c>
      <c r="E35" s="442" t="s">
        <v>135</v>
      </c>
      <c r="F35" s="1325">
        <f>INDEX('Capital Costs_Nominal$'!$F:$F,MATCH('Capital Cost Escalation'!$E35,'Capital Costs_Nominal$'!$C:$C,0),1)</f>
        <v>2.3944839450136257E-3</v>
      </c>
      <c r="G35" s="490">
        <f>IFERROR(IF(G$6&lt;=$E$8,INDEX('Capital Costs'!$D$15:$G$55,MATCH('Capital Cost Escalation'!$E35,'Capital Costs'!$B$15:$B$55,0),MATCH('Capital Cost Escalation'!$C35,'Capital Costs'!$D$7:$G$7,0))*G$8*(1+$F35)^(G$2), 0),0)</f>
        <v>0</v>
      </c>
      <c r="H35" s="490">
        <f>IFERROR(IF(H$6&lt;=$E$8,INDEX('Capital Costs'!$D$15:$G$55,MATCH('Capital Cost Escalation'!$E35,'Capital Costs'!$B$15:$B$55,0),MATCH('Capital Cost Escalation'!$C35,'Capital Costs'!$D$7:$G$7,0))*H$8*(1+$F35)^(H$2), 0),0)</f>
        <v>0</v>
      </c>
      <c r="I35" s="490">
        <f>IFERROR(IF(I$6&lt;=$E$8,INDEX('Capital Costs'!$D$15:$G$55,MATCH('Capital Cost Escalation'!$E35,'Capital Costs'!$B$15:$B$55,0),MATCH('Capital Cost Escalation'!$C35,'Capital Costs'!$D$7:$G$7,0))*I$8*(1+$F35)^(I$2), 0),0)</f>
        <v>0</v>
      </c>
      <c r="J35" s="490">
        <f>IFERROR(IF(J$6&lt;=$E$8,INDEX('Capital Costs'!$D$15:$G$55,MATCH('Capital Cost Escalation'!$E35,'Capital Costs'!$B$15:$B$55,0),MATCH('Capital Cost Escalation'!$C35,'Capital Costs'!$D$7:$G$7,0))*J$8*(1+$F35)^(J$2), 0),0)</f>
        <v>0</v>
      </c>
      <c r="K35" s="490">
        <f>IFERROR(IF(K$6&lt;=$E$8,INDEX('Capital Costs'!$D$15:$G$55,MATCH('Capital Cost Escalation'!$E35,'Capital Costs'!$B$15:$B$55,0),MATCH('Capital Cost Escalation'!$C35,'Capital Costs'!$D$7:$G$7,0))*K$8*(1+$F35)^(K$2), 0),0)</f>
        <v>0</v>
      </c>
      <c r="L35" s="490">
        <f>IFERROR(IF(L$6&lt;=$E$8,INDEX('Capital Costs'!$D$15:$G$55,MATCH('Capital Cost Escalation'!$E35,'Capital Costs'!$B$15:$B$55,0),MATCH('Capital Cost Escalation'!$C35,'Capital Costs'!$D$7:$G$7,0))*L$8*(1+$F35)^(L$2), 0),0)</f>
        <v>0</v>
      </c>
      <c r="M35" s="490">
        <f>IFERROR(IF(M$6&lt;=$E$8,INDEX('Capital Costs'!$D$15:$G$55,MATCH('Capital Cost Escalation'!$E35,'Capital Costs'!$B$15:$B$55,0),MATCH('Capital Cost Escalation'!$C35,'Capital Costs'!$D$7:$G$7,0))*M$8*(1+$F35)^(M$2), 0),0)</f>
        <v>0</v>
      </c>
      <c r="N35" s="490">
        <f>IFERROR(IF(N$6&lt;=$E$8,INDEX('Capital Costs'!$D$15:$G$55,MATCH('Capital Cost Escalation'!$E35,'Capital Costs'!$B$15:$B$55,0),MATCH('Capital Cost Escalation'!$C35,'Capital Costs'!$D$7:$G$7,0))*N$8*(1+$F35)^(N$2), 0),0)</f>
        <v>0</v>
      </c>
      <c r="O35" s="490">
        <f>IFERROR(IF(O$6&lt;=$E$8,INDEX('Capital Costs'!$D$15:$G$55,MATCH('Capital Cost Escalation'!$E35,'Capital Costs'!$B$15:$B$55,0),MATCH('Capital Cost Escalation'!$C35,'Capital Costs'!$D$7:$G$7,0))*O$8*(1+$F35)^(O$2), 0),0)</f>
        <v>0</v>
      </c>
      <c r="P35" s="490">
        <f>IFERROR(IF(P$6&lt;=$E$8,INDEX('Capital Costs'!$D$15:$G$55,MATCH('Capital Cost Escalation'!$E35,'Capital Costs'!$B$15:$B$55,0),MATCH('Capital Cost Escalation'!$C35,'Capital Costs'!$D$7:$G$7,0))*P$8*(1+$F35)^(P$2), 0),0)</f>
        <v>0</v>
      </c>
      <c r="Q35" s="490">
        <f>IFERROR(IF(Q$6&lt;=$E$8,INDEX('Capital Costs'!$D$15:$G$55,MATCH('Capital Cost Escalation'!$E35,'Capital Costs'!$B$15:$B$55,0),MATCH('Capital Cost Escalation'!$C35,'Capital Costs'!$D$7:$G$7,0))*Q$8*(1+$F35)^(Q$2), 0),0)</f>
        <v>0</v>
      </c>
      <c r="R35" s="490">
        <f>IFERROR(IF(R$6&lt;=$E$8,INDEX('Capital Costs'!$D$15:$G$55,MATCH('Capital Cost Escalation'!$E35,'Capital Costs'!$B$15:$B$55,0),MATCH('Capital Cost Escalation'!$C35,'Capital Costs'!$D$7:$G$7,0))*R$8*(1+$F35)^(R$2), 0),0)</f>
        <v>0</v>
      </c>
      <c r="S35" s="490">
        <f>IFERROR(IF(S$6&lt;=$E$8,INDEX('Capital Costs'!$D$15:$G$55,MATCH('Capital Cost Escalation'!$E35,'Capital Costs'!$B$15:$B$55,0),MATCH('Capital Cost Escalation'!$C35,'Capital Costs'!$D$7:$G$7,0))*S$8*(1+$F35)^(S$2), 0),0)</f>
        <v>0</v>
      </c>
      <c r="T35" s="490">
        <f>IFERROR(IF(T$6&lt;=$E$8,INDEX('Capital Costs'!$D$15:$G$55,MATCH('Capital Cost Escalation'!$E35,'Capital Costs'!$B$15:$B$55,0),MATCH('Capital Cost Escalation'!$C35,'Capital Costs'!$D$7:$G$7,0))*T$8*(1+$F35)^(T$2), 0),0)</f>
        <v>0</v>
      </c>
      <c r="U35" s="490">
        <f>IFERROR(IF(U$6&lt;=$E$8,INDEX('Capital Costs'!$D$15:$G$55,MATCH('Capital Cost Escalation'!$E35,'Capital Costs'!$B$15:$B$55,0),MATCH('Capital Cost Escalation'!$C35,'Capital Costs'!$D$7:$G$7,0))*U$8*(1+$F35)^(U$2), 0),0)</f>
        <v>0</v>
      </c>
      <c r="V35" s="490">
        <f>IFERROR(IF(V$6&lt;=$E$8,INDEX('Capital Costs'!$D$15:$G$55,MATCH('Capital Cost Escalation'!$E35,'Capital Costs'!$B$15:$B$55,0),MATCH('Capital Cost Escalation'!$C35,'Capital Costs'!$D$7:$G$7,0))*V$8*(1+$F35)^(V$2), 0),0)</f>
        <v>0</v>
      </c>
      <c r="W35" s="490">
        <f>IFERROR(IF(W$6&lt;=$E$8,INDEX('Capital Costs'!$D$15:$G$55,MATCH('Capital Cost Escalation'!$E35,'Capital Costs'!$B$15:$B$55,0),MATCH('Capital Cost Escalation'!$C35,'Capital Costs'!$D$7:$G$7,0))*W$8*(1+$F35)^(W$2), 0),0)</f>
        <v>0</v>
      </c>
      <c r="X35" s="490">
        <f>IFERROR(IF(X$6&lt;=$E$8,INDEX('Capital Costs'!$D$15:$G$55,MATCH('Capital Cost Escalation'!$E35,'Capital Costs'!$B$15:$B$55,0),MATCH('Capital Cost Escalation'!$C35,'Capital Costs'!$D$7:$G$7,0))*X$8*(1+$F35)^(X$2), 0),0)</f>
        <v>0</v>
      </c>
      <c r="Y35" s="490">
        <f>IFERROR(IF(Y$6&lt;=$E$8,INDEX('Capital Costs'!$D$15:$G$55,MATCH('Capital Cost Escalation'!$E35,'Capital Costs'!$B$15:$B$55,0),MATCH('Capital Cost Escalation'!$C35,'Capital Costs'!$D$7:$G$7,0))*Y$8*(1+$F35)^(Y$2), 0),0)</f>
        <v>0</v>
      </c>
      <c r="Z35" s="490">
        <f>IFERROR(IF(Z$6&lt;=$E$8,INDEX('Capital Costs'!$D$15:$G$55,MATCH('Capital Cost Escalation'!$E35,'Capital Costs'!$B$15:$B$55,0),MATCH('Capital Cost Escalation'!$C35,'Capital Costs'!$D$7:$G$7,0))*Z$8*(1+$F35)^(Z$2), 0),0)</f>
        <v>0</v>
      </c>
      <c r="AA35" s="490">
        <f>IFERROR(IF(AA$6&lt;=$E$8,INDEX('Capital Costs'!$D$15:$G$55,MATCH('Capital Cost Escalation'!$E35,'Capital Costs'!$B$15:$B$55,0),MATCH('Capital Cost Escalation'!$C35,'Capital Costs'!$D$7:$G$7,0))*AA$8*(1+$F35)^(AA$2), 0),0)</f>
        <v>0</v>
      </c>
      <c r="AB35" s="490">
        <f>IFERROR(IF(AB$6&lt;=$E$8,INDEX('Capital Costs'!$D$15:$G$55,MATCH('Capital Cost Escalation'!$E35,'Capital Costs'!$B$15:$B$55,0),MATCH('Capital Cost Escalation'!$C35,'Capital Costs'!$D$7:$G$7,0))*AB$8*(1+$F35)^(AB$2), 0),0)</f>
        <v>0</v>
      </c>
      <c r="AC35" s="490">
        <f>IFERROR(IF(AC$6&lt;=$E$8,INDEX('Capital Costs'!$D$15:$G$55,MATCH('Capital Cost Escalation'!$E35,'Capital Costs'!$B$15:$B$55,0),MATCH('Capital Cost Escalation'!$C35,'Capital Costs'!$D$7:$G$7,0))*AC$8*(1+$F35)^(AC$2), 0),0)</f>
        <v>0</v>
      </c>
      <c r="AD35" s="490">
        <f>IFERROR(IF(AD$6&lt;=$E$8,INDEX('Capital Costs'!$D$15:$G$55,MATCH('Capital Cost Escalation'!$E35,'Capital Costs'!$B$15:$B$55,0),MATCH('Capital Cost Escalation'!$C35,'Capital Costs'!$D$7:$G$7,0))*AD$8*(1+$F35)^(AD$2), 0),0)</f>
        <v>0</v>
      </c>
      <c r="AE35" s="490">
        <f>IFERROR(IF(AE$6&lt;=$E$8,INDEX('Capital Costs'!$D$15:$G$55,MATCH('Capital Cost Escalation'!$E35,'Capital Costs'!$B$15:$B$55,0),MATCH('Capital Cost Escalation'!$C35,'Capital Costs'!$D$7:$G$7,0))*AE$8*(1+$F35)^(AE$2), 0),0)</f>
        <v>0</v>
      </c>
      <c r="AF35" s="490">
        <f>IFERROR(IF(AF$6&lt;=$E$8,INDEX('Capital Costs'!$D$15:$G$55,MATCH('Capital Cost Escalation'!$E35,'Capital Costs'!$B$15:$B$55,0),MATCH('Capital Cost Escalation'!$C35,'Capital Costs'!$D$7:$G$7,0))*AF$8*(1+$F35)^(AF$2), 0),0)</f>
        <v>0</v>
      </c>
      <c r="AG35" s="490">
        <f>IFERROR(IF(AG$6&lt;=$E$8,INDEX('Capital Costs'!$D$15:$G$55,MATCH('Capital Cost Escalation'!$E35,'Capital Costs'!$B$15:$B$55,0),MATCH('Capital Cost Escalation'!$C35,'Capital Costs'!$D$7:$G$7,0))*AG$8*(1+$F35)^(AG$2), 0),0)</f>
        <v>0</v>
      </c>
      <c r="AH35" s="490">
        <f>IFERROR(IF(AH$6&lt;=$E$8,INDEX('Capital Costs'!$D$15:$G$55,MATCH('Capital Cost Escalation'!$E35,'Capital Costs'!$B$15:$B$55,0),MATCH('Capital Cost Escalation'!$C35,'Capital Costs'!$D$7:$G$7,0))*AH$8*(1+$F35)^(AH$2), 0),0)</f>
        <v>0</v>
      </c>
      <c r="AI35" s="490">
        <f>IFERROR(IF(AI$6&lt;=$E$8,INDEX('Capital Costs'!$D$15:$G$55,MATCH('Capital Cost Escalation'!$E35,'Capital Costs'!$B$15:$B$55,0),MATCH('Capital Cost Escalation'!$C35,'Capital Costs'!$D$7:$G$7,0))*AI$8*(1+$F35)^(AI$2), 0),0)</f>
        <v>0</v>
      </c>
      <c r="AJ35" s="490">
        <f>IFERROR(IF(AJ$6&lt;=$E$8,INDEX('Capital Costs'!$D$15:$G$55,MATCH('Capital Cost Escalation'!$E35,'Capital Costs'!$B$15:$B$55,0),MATCH('Capital Cost Escalation'!$C35,'Capital Costs'!$D$7:$G$7,0))*AJ$8*(1+$F35)^(AJ$2), 0),0)</f>
        <v>0</v>
      </c>
      <c r="AK35" s="490">
        <f>IFERROR(IF(AK$6&lt;=$E$8,INDEX('Capital Costs'!$D$15:$G$55,MATCH('Capital Cost Escalation'!$E35,'Capital Costs'!$B$15:$B$55,0),MATCH('Capital Cost Escalation'!$C35,'Capital Costs'!$D$7:$G$7,0))*AK$8*(1+$F35)^(AK$2), 0),0)</f>
        <v>0</v>
      </c>
      <c r="AL35" s="490">
        <f>IFERROR(IF(AL$6&lt;=$E$8,INDEX('Capital Costs'!$D$15:$G$55,MATCH('Capital Cost Escalation'!$E35,'Capital Costs'!$B$15:$B$55,0),MATCH('Capital Cost Escalation'!$C35,'Capital Costs'!$D$7:$G$7,0))*AL$8*(1+$F35)^(AL$2), 0),0)</f>
        <v>0</v>
      </c>
      <c r="AM35" s="490">
        <f>IFERROR(IF(AM$6&lt;=$E$8,INDEX('Capital Costs'!$D$15:$G$55,MATCH('Capital Cost Escalation'!$E35,'Capital Costs'!$B$15:$B$55,0),MATCH('Capital Cost Escalation'!$C35,'Capital Costs'!$D$7:$G$7,0))*AM$8*(1+$F35)^(AM$2), 0),0)</f>
        <v>0</v>
      </c>
      <c r="AN35" s="490">
        <f>IFERROR(IF(AN$6&lt;=$E$8,INDEX('Capital Costs'!$D$15:$G$55,MATCH('Capital Cost Escalation'!$E35,'Capital Costs'!$B$15:$B$55,0),MATCH('Capital Cost Escalation'!$C35,'Capital Costs'!$D$7:$G$7,0))*AN$8*(1+$F35)^(AN$2), 0),0)</f>
        <v>0</v>
      </c>
      <c r="AO35" s="490">
        <f>IFERROR(IF(AO$6&lt;=$E$8,INDEX('Capital Costs'!$D$15:$G$55,MATCH('Capital Cost Escalation'!$E35,'Capital Costs'!$B$15:$B$55,0),MATCH('Capital Cost Escalation'!$C35,'Capital Costs'!$D$7:$G$7,0))*AO$8*(1+$F35)^(AO$2), 0),0)</f>
        <v>0</v>
      </c>
      <c r="AP35" s="490">
        <f>IFERROR(IF(AP$6&lt;=$E$8,INDEX('Capital Costs'!$D$15:$G$55,MATCH('Capital Cost Escalation'!$E35,'Capital Costs'!$B$15:$B$55,0),MATCH('Capital Cost Escalation'!$C35,'Capital Costs'!$D$7:$G$7,0))*AP$8*(1+$F35)^(AP$2), 0),0)</f>
        <v>0</v>
      </c>
      <c r="AQ35" s="490">
        <f>IFERROR(IF(AQ$6&lt;=$E$8,INDEX('Capital Costs'!$D$15:$G$55,MATCH('Capital Cost Escalation'!$E35,'Capital Costs'!$B$15:$B$55,0),MATCH('Capital Cost Escalation'!$C35,'Capital Costs'!$D$7:$G$7,0))*AQ$8*(1+$F35)^(AQ$2), 0),0)</f>
        <v>0</v>
      </c>
      <c r="AR35" s="490">
        <f>IFERROR(IF(AR$6&lt;=$E$8,INDEX('Capital Costs'!$D$15:$G$55,MATCH('Capital Cost Escalation'!$E35,'Capital Costs'!$B$15:$B$55,0),MATCH('Capital Cost Escalation'!$C35,'Capital Costs'!$D$7:$G$7,0))*AR$8*(1+$F35)^(AR$2), 0),0)</f>
        <v>0</v>
      </c>
      <c r="AS35" s="490">
        <f>IFERROR(IF(AS$6&lt;=$E$8,INDEX('Capital Costs'!$D$15:$G$55,MATCH('Capital Cost Escalation'!$E35,'Capital Costs'!$B$15:$B$55,0),MATCH('Capital Cost Escalation'!$C35,'Capital Costs'!$D$7:$G$7,0))*AS$8*(1+$F35)^(AS$2), 0),0)</f>
        <v>0</v>
      </c>
      <c r="AT35" s="490">
        <f>IFERROR(IF(AT$6&lt;=$E$8,INDEX('Capital Costs'!$D$15:$G$55,MATCH('Capital Cost Escalation'!$E35,'Capital Costs'!$B$15:$B$55,0),MATCH('Capital Cost Escalation'!$C35,'Capital Costs'!$D$7:$G$7,0))*AT$8*(1+$F35)^(AT$2), 0),0)</f>
        <v>0</v>
      </c>
      <c r="AV35" s="827">
        <f t="shared" si="6"/>
        <v>0</v>
      </c>
      <c r="AW35" s="828">
        <f>INDEX('Capital Costs'!$D$15:$G$55,MATCH('Capital Cost Escalation'!$E35,'Capital Costs'!$B$15:$B$55,0),MATCH('Capital Cost Escalation'!$C35,'Capital Costs'!$D$7:$G$7,0))</f>
        <v>0</v>
      </c>
    </row>
    <row r="36" spans="1:49">
      <c r="A36" s="487" t="str">
        <f t="shared" si="4"/>
        <v>CT_Rest of RTO_Other Equipment</v>
      </c>
      <c r="B36" s="478" t="s">
        <v>76</v>
      </c>
      <c r="C36" s="488" t="s">
        <v>111</v>
      </c>
      <c r="E36" s="442" t="s">
        <v>136</v>
      </c>
      <c r="F36" s="1325">
        <f>INDEX('Capital Costs_Nominal$'!$F:$F,MATCH('Capital Cost Escalation'!$E36,'Capital Costs_Nominal$'!$C:$C,0),1)</f>
        <v>2.3944839450136257E-3</v>
      </c>
      <c r="G36" s="490">
        <f>IFERROR(IF(G$6&lt;=$E$8,INDEX('Capital Costs'!$D$15:$G$55,MATCH('Capital Cost Escalation'!$E36,'Capital Costs'!$B$15:$B$55,0),MATCH('Capital Cost Escalation'!$C36,'Capital Costs'!$D$7:$G$7,0))*G$8*(1+$F36)^(G$2), 0),0)</f>
        <v>85318.920399264083</v>
      </c>
      <c r="H36" s="490">
        <f>IFERROR(IF(H$6&lt;=$E$8,INDEX('Capital Costs'!$D$15:$G$55,MATCH('Capital Cost Escalation'!$E36,'Capital Costs'!$B$15:$B$55,0),MATCH('Capital Cost Escalation'!$C36,'Capital Costs'!$D$7:$G$7,0))*H$8*(1+$F36)^(H$2), 0),0)</f>
        <v>101761.265958242</v>
      </c>
      <c r="I36" s="490">
        <f>IFERROR(IF(I$6&lt;=$E$8,INDEX('Capital Costs'!$D$15:$G$55,MATCH('Capital Cost Escalation'!$E36,'Capital Costs'!$B$15:$B$55,0),MATCH('Capital Cost Escalation'!$C36,'Capital Costs'!$D$7:$G$7,0))*I$8*(1+$F36)^(I$2), 0),0)</f>
        <v>615506.24168605637</v>
      </c>
      <c r="J36" s="490">
        <f>IFERROR(IF(J$6&lt;=$E$8,INDEX('Capital Costs'!$D$15:$G$55,MATCH('Capital Cost Escalation'!$E36,'Capital Costs'!$B$15:$B$55,0),MATCH('Capital Cost Escalation'!$C36,'Capital Costs'!$D$7:$G$7,0))*J$8*(1+$F36)^(J$2), 0),0)</f>
        <v>190206.05469696625</v>
      </c>
      <c r="K36" s="490">
        <f>IFERROR(IF(K$6&lt;=$E$8,INDEX('Capital Costs'!$D$15:$G$55,MATCH('Capital Cost Escalation'!$E36,'Capital Costs'!$B$15:$B$55,0),MATCH('Capital Cost Escalation'!$C36,'Capital Costs'!$D$7:$G$7,0))*K$8*(1+$F36)^(K$2), 0),0)</f>
        <v>415887.14664609975</v>
      </c>
      <c r="L36" s="490">
        <f>IFERROR(IF(L$6&lt;=$E$8,INDEX('Capital Costs'!$D$15:$G$55,MATCH('Capital Cost Escalation'!$E36,'Capital Costs'!$B$15:$B$55,0),MATCH('Capital Cost Escalation'!$C36,'Capital Costs'!$D$7:$G$7,0))*L$8*(1+$F36)^(L$2), 0),0)</f>
        <v>263842.77236618724</v>
      </c>
      <c r="M36" s="490">
        <f>IFERROR(IF(M$6&lt;=$E$8,INDEX('Capital Costs'!$D$15:$G$55,MATCH('Capital Cost Escalation'!$E36,'Capital Costs'!$B$15:$B$55,0),MATCH('Capital Cost Escalation'!$C36,'Capital Costs'!$D$7:$G$7,0))*M$8*(1+$F36)^(M$2), 0),0)</f>
        <v>518289.19685642142</v>
      </c>
      <c r="N36" s="490">
        <f>IFERROR(IF(N$6&lt;=$E$8,INDEX('Capital Costs'!$D$15:$G$55,MATCH('Capital Cost Escalation'!$E36,'Capital Costs'!$B$15:$B$55,0),MATCH('Capital Cost Escalation'!$C36,'Capital Costs'!$D$7:$G$7,0))*N$8*(1+$F36)^(N$2), 0),0)</f>
        <v>689083.21331222728</v>
      </c>
      <c r="O36" s="490">
        <f>IFERROR(IF(O$6&lt;=$E$8,INDEX('Capital Costs'!$D$15:$G$55,MATCH('Capital Cost Escalation'!$E36,'Capital Costs'!$B$15:$B$55,0),MATCH('Capital Cost Escalation'!$C36,'Capital Costs'!$D$7:$G$7,0))*O$8*(1+$F36)^(O$2), 0),0)</f>
        <v>964054.84276646457</v>
      </c>
      <c r="P36" s="490">
        <f>IFERROR(IF(P$6&lt;=$E$8,INDEX('Capital Costs'!$D$15:$G$55,MATCH('Capital Cost Escalation'!$E36,'Capital Costs'!$B$15:$B$55,0),MATCH('Capital Cost Escalation'!$C36,'Capital Costs'!$D$7:$G$7,0))*P$8*(1+$F36)^(P$2), 0),0)</f>
        <v>1606294.684336697</v>
      </c>
      <c r="Q36" s="490">
        <f>IFERROR(IF(Q$6&lt;=$E$8,INDEX('Capital Costs'!$D$15:$G$55,MATCH('Capital Cost Escalation'!$E36,'Capital Costs'!$B$15:$B$55,0),MATCH('Capital Cost Escalation'!$C36,'Capital Costs'!$D$7:$G$7,0))*Q$8*(1+$F36)^(Q$2), 0),0)</f>
        <v>1956058.2999507235</v>
      </c>
      <c r="R36" s="490">
        <f>IFERROR(IF(R$6&lt;=$E$8,INDEX('Capital Costs'!$D$15:$G$55,MATCH('Capital Cost Escalation'!$E36,'Capital Costs'!$B$15:$B$55,0),MATCH('Capital Cost Escalation'!$C36,'Capital Costs'!$D$7:$G$7,0))*R$8*(1+$F36)^(R$2), 0),0)</f>
        <v>2508079.7706032819</v>
      </c>
      <c r="S36" s="490">
        <f>IFERROR(IF(S$6&lt;=$E$8,INDEX('Capital Costs'!$D$15:$G$55,MATCH('Capital Cost Escalation'!$E36,'Capital Costs'!$B$15:$B$55,0),MATCH('Capital Cost Escalation'!$C36,'Capital Costs'!$D$7:$G$7,0))*S$8*(1+$F36)^(S$2), 0),0)</f>
        <v>2795062.5148263942</v>
      </c>
      <c r="T36" s="490">
        <f>IFERROR(IF(T$6&lt;=$E$8,INDEX('Capital Costs'!$D$15:$G$55,MATCH('Capital Cost Escalation'!$E36,'Capital Costs'!$B$15:$B$55,0),MATCH('Capital Cost Escalation'!$C36,'Capital Costs'!$D$7:$G$7,0))*T$8*(1+$F36)^(T$2), 0),0)</f>
        <v>2972178.7826116146</v>
      </c>
      <c r="U36" s="490">
        <f>IFERROR(IF(U$6&lt;=$E$8,INDEX('Capital Costs'!$D$15:$G$55,MATCH('Capital Cost Escalation'!$E36,'Capital Costs'!$B$15:$B$55,0),MATCH('Capital Cost Escalation'!$C36,'Capital Costs'!$D$7:$G$7,0))*U$8*(1+$F36)^(U$2), 0),0)</f>
        <v>2788754.1958744354</v>
      </c>
      <c r="V36" s="490">
        <f>IFERROR(IF(V$6&lt;=$E$8,INDEX('Capital Costs'!$D$15:$G$55,MATCH('Capital Cost Escalation'!$E36,'Capital Costs'!$B$15:$B$55,0),MATCH('Capital Cost Escalation'!$C36,'Capital Costs'!$D$7:$G$7,0))*V$8*(1+$F36)^(V$2), 0),0)</f>
        <v>2471981.7949622446</v>
      </c>
      <c r="W36" s="490">
        <f>IFERROR(IF(W$6&lt;=$E$8,INDEX('Capital Costs'!$D$15:$G$55,MATCH('Capital Cost Escalation'!$E36,'Capital Costs'!$B$15:$B$55,0),MATCH('Capital Cost Escalation'!$C36,'Capital Costs'!$D$7:$G$7,0))*W$8*(1+$F36)^(W$2), 0),0)</f>
        <v>1880149.5068931468</v>
      </c>
      <c r="X36" s="490">
        <f>IFERROR(IF(X$6&lt;=$E$8,INDEX('Capital Costs'!$D$15:$G$55,MATCH('Capital Cost Escalation'!$E36,'Capital Costs'!$B$15:$B$55,0),MATCH('Capital Cost Escalation'!$C36,'Capital Costs'!$D$7:$G$7,0))*X$8*(1+$F36)^(X$2), 0),0)</f>
        <v>1047517.235345151</v>
      </c>
      <c r="Y36" s="490">
        <f>IFERROR(IF(Y$6&lt;=$E$8,INDEX('Capital Costs'!$D$15:$G$55,MATCH('Capital Cost Escalation'!$E36,'Capital Costs'!$B$15:$B$55,0),MATCH('Capital Cost Escalation'!$C36,'Capital Costs'!$D$7:$G$7,0))*Y$8*(1+$F36)^(Y$2), 0),0)</f>
        <v>221846.7260686738</v>
      </c>
      <c r="Z36" s="490">
        <f>IFERROR(IF(Z$6&lt;=$E$8,INDEX('Capital Costs'!$D$15:$G$55,MATCH('Capital Cost Escalation'!$E36,'Capital Costs'!$B$15:$B$55,0),MATCH('Capital Cost Escalation'!$C36,'Capital Costs'!$D$7:$G$7,0))*Z$8*(1+$F36)^(Z$2), 0),0)</f>
        <v>49530.833371320979</v>
      </c>
      <c r="AA36" s="490">
        <f>IFERROR(IF(AA$6&lt;=$E$8,INDEX('Capital Costs'!$D$15:$G$55,MATCH('Capital Cost Escalation'!$E36,'Capital Costs'!$B$15:$B$55,0),MATCH('Capital Cost Escalation'!$C36,'Capital Costs'!$D$7:$G$7,0))*AA$8*(1+$F36)^(AA$2), 0),0)</f>
        <v>0</v>
      </c>
      <c r="AB36" s="490">
        <f>IFERROR(IF(AB$6&lt;=$E$8,INDEX('Capital Costs'!$D$15:$G$55,MATCH('Capital Cost Escalation'!$E36,'Capital Costs'!$B$15:$B$55,0),MATCH('Capital Cost Escalation'!$C36,'Capital Costs'!$D$7:$G$7,0))*AB$8*(1+$F36)^(AB$2), 0),0)</f>
        <v>0</v>
      </c>
      <c r="AC36" s="490">
        <f>IFERROR(IF(AC$6&lt;=$E$8,INDEX('Capital Costs'!$D$15:$G$55,MATCH('Capital Cost Escalation'!$E36,'Capital Costs'!$B$15:$B$55,0),MATCH('Capital Cost Escalation'!$C36,'Capital Costs'!$D$7:$G$7,0))*AC$8*(1+$F36)^(AC$2), 0),0)</f>
        <v>0</v>
      </c>
      <c r="AD36" s="490">
        <f>IFERROR(IF(AD$6&lt;=$E$8,INDEX('Capital Costs'!$D$15:$G$55,MATCH('Capital Cost Escalation'!$E36,'Capital Costs'!$B$15:$B$55,0),MATCH('Capital Cost Escalation'!$C36,'Capital Costs'!$D$7:$G$7,0))*AD$8*(1+$F36)^(AD$2), 0),0)</f>
        <v>0</v>
      </c>
      <c r="AE36" s="490">
        <f>IFERROR(IF(AE$6&lt;=$E$8,INDEX('Capital Costs'!$D$15:$G$55,MATCH('Capital Cost Escalation'!$E36,'Capital Costs'!$B$15:$B$55,0),MATCH('Capital Cost Escalation'!$C36,'Capital Costs'!$D$7:$G$7,0))*AE$8*(1+$F36)^(AE$2), 0),0)</f>
        <v>0</v>
      </c>
      <c r="AF36" s="490">
        <f>IFERROR(IF(AF$6&lt;=$E$8,INDEX('Capital Costs'!$D$15:$G$55,MATCH('Capital Cost Escalation'!$E36,'Capital Costs'!$B$15:$B$55,0),MATCH('Capital Cost Escalation'!$C36,'Capital Costs'!$D$7:$G$7,0))*AF$8*(1+$F36)^(AF$2), 0),0)</f>
        <v>0</v>
      </c>
      <c r="AG36" s="490">
        <f>IFERROR(IF(AG$6&lt;=$E$8,INDEX('Capital Costs'!$D$15:$G$55,MATCH('Capital Cost Escalation'!$E36,'Capital Costs'!$B$15:$B$55,0),MATCH('Capital Cost Escalation'!$C36,'Capital Costs'!$D$7:$G$7,0))*AG$8*(1+$F36)^(AG$2), 0),0)</f>
        <v>0</v>
      </c>
      <c r="AH36" s="490">
        <f>IFERROR(IF(AH$6&lt;=$E$8,INDEX('Capital Costs'!$D$15:$G$55,MATCH('Capital Cost Escalation'!$E36,'Capital Costs'!$B$15:$B$55,0),MATCH('Capital Cost Escalation'!$C36,'Capital Costs'!$D$7:$G$7,0))*AH$8*(1+$F36)^(AH$2), 0),0)</f>
        <v>0</v>
      </c>
      <c r="AI36" s="490">
        <f>IFERROR(IF(AI$6&lt;=$E$8,INDEX('Capital Costs'!$D$15:$G$55,MATCH('Capital Cost Escalation'!$E36,'Capital Costs'!$B$15:$B$55,0),MATCH('Capital Cost Escalation'!$C36,'Capital Costs'!$D$7:$G$7,0))*AI$8*(1+$F36)^(AI$2), 0),0)</f>
        <v>0</v>
      </c>
      <c r="AJ36" s="490">
        <f>IFERROR(IF(AJ$6&lt;=$E$8,INDEX('Capital Costs'!$D$15:$G$55,MATCH('Capital Cost Escalation'!$E36,'Capital Costs'!$B$15:$B$55,0),MATCH('Capital Cost Escalation'!$C36,'Capital Costs'!$D$7:$G$7,0))*AJ$8*(1+$F36)^(AJ$2), 0),0)</f>
        <v>0</v>
      </c>
      <c r="AK36" s="490">
        <f>IFERROR(IF(AK$6&lt;=$E$8,INDEX('Capital Costs'!$D$15:$G$55,MATCH('Capital Cost Escalation'!$E36,'Capital Costs'!$B$15:$B$55,0),MATCH('Capital Cost Escalation'!$C36,'Capital Costs'!$D$7:$G$7,0))*AK$8*(1+$F36)^(AK$2), 0),0)</f>
        <v>0</v>
      </c>
      <c r="AL36" s="490">
        <f>IFERROR(IF(AL$6&lt;=$E$8,INDEX('Capital Costs'!$D$15:$G$55,MATCH('Capital Cost Escalation'!$E36,'Capital Costs'!$B$15:$B$55,0),MATCH('Capital Cost Escalation'!$C36,'Capital Costs'!$D$7:$G$7,0))*AL$8*(1+$F36)^(AL$2), 0),0)</f>
        <v>0</v>
      </c>
      <c r="AM36" s="490">
        <f>IFERROR(IF(AM$6&lt;=$E$8,INDEX('Capital Costs'!$D$15:$G$55,MATCH('Capital Cost Escalation'!$E36,'Capital Costs'!$B$15:$B$55,0),MATCH('Capital Cost Escalation'!$C36,'Capital Costs'!$D$7:$G$7,0))*AM$8*(1+$F36)^(AM$2), 0),0)</f>
        <v>0</v>
      </c>
      <c r="AN36" s="490">
        <f>IFERROR(IF(AN$6&lt;=$E$8,INDEX('Capital Costs'!$D$15:$G$55,MATCH('Capital Cost Escalation'!$E36,'Capital Costs'!$B$15:$B$55,0),MATCH('Capital Cost Escalation'!$C36,'Capital Costs'!$D$7:$G$7,0))*AN$8*(1+$F36)^(AN$2), 0),0)</f>
        <v>0</v>
      </c>
      <c r="AO36" s="490">
        <f>IFERROR(IF(AO$6&lt;=$E$8,INDEX('Capital Costs'!$D$15:$G$55,MATCH('Capital Cost Escalation'!$E36,'Capital Costs'!$B$15:$B$55,0),MATCH('Capital Cost Escalation'!$C36,'Capital Costs'!$D$7:$G$7,0))*AO$8*(1+$F36)^(AO$2), 0),0)</f>
        <v>0</v>
      </c>
      <c r="AP36" s="490">
        <f>IFERROR(IF(AP$6&lt;=$E$8,INDEX('Capital Costs'!$D$15:$G$55,MATCH('Capital Cost Escalation'!$E36,'Capital Costs'!$B$15:$B$55,0),MATCH('Capital Cost Escalation'!$C36,'Capital Costs'!$D$7:$G$7,0))*AP$8*(1+$F36)^(AP$2), 0),0)</f>
        <v>0</v>
      </c>
      <c r="AQ36" s="490">
        <f>IFERROR(IF(AQ$6&lt;=$E$8,INDEX('Capital Costs'!$D$15:$G$55,MATCH('Capital Cost Escalation'!$E36,'Capital Costs'!$B$15:$B$55,0),MATCH('Capital Cost Escalation'!$C36,'Capital Costs'!$D$7:$G$7,0))*AQ$8*(1+$F36)^(AQ$2), 0),0)</f>
        <v>0</v>
      </c>
      <c r="AR36" s="490">
        <f>IFERROR(IF(AR$6&lt;=$E$8,INDEX('Capital Costs'!$D$15:$G$55,MATCH('Capital Cost Escalation'!$E36,'Capital Costs'!$B$15:$B$55,0),MATCH('Capital Cost Escalation'!$C36,'Capital Costs'!$D$7:$G$7,0))*AR$8*(1+$F36)^(AR$2), 0),0)</f>
        <v>0</v>
      </c>
      <c r="AS36" s="490">
        <f>IFERROR(IF(AS$6&lt;=$E$8,INDEX('Capital Costs'!$D$15:$G$55,MATCH('Capital Cost Escalation'!$E36,'Capital Costs'!$B$15:$B$55,0),MATCH('Capital Cost Escalation'!$C36,'Capital Costs'!$D$7:$G$7,0))*AS$8*(1+$F36)^(AS$2), 0),0)</f>
        <v>0</v>
      </c>
      <c r="AT36" s="490">
        <f>IFERROR(IF(AT$6&lt;=$E$8,INDEX('Capital Costs'!$D$15:$G$55,MATCH('Capital Cost Escalation'!$E36,'Capital Costs'!$B$15:$B$55,0),MATCH('Capital Cost Escalation'!$C36,'Capital Costs'!$D$7:$G$7,0))*AT$8*(1+$F36)^(AT$2), 0),0)</f>
        <v>0</v>
      </c>
      <c r="AV36" s="827">
        <f t="shared" si="6"/>
        <v>24141403.999531616</v>
      </c>
      <c r="AW36" s="828">
        <f>INDEX('Capital Costs'!$D$15:$G$55,MATCH('Capital Cost Escalation'!$E36,'Capital Costs'!$B$15:$B$55,0),MATCH('Capital Cost Escalation'!$C36,'Capital Costs'!$D$7:$G$7,0))</f>
        <v>21281700</v>
      </c>
    </row>
    <row r="37" spans="1:49">
      <c r="A37" s="487" t="str">
        <f t="shared" si="4"/>
        <v>CT_Rest of RTO_Construction Labor</v>
      </c>
      <c r="B37" s="478" t="s">
        <v>76</v>
      </c>
      <c r="C37" s="488" t="s">
        <v>111</v>
      </c>
      <c r="E37" s="442" t="s">
        <v>138</v>
      </c>
      <c r="F37" s="1325">
        <f>INDEX('Capital Costs_Nominal$'!$F:$F,MATCH('Capital Cost Escalation'!$E37,'Capital Costs_Nominal$'!$C:$C,0),1)</f>
        <v>3.6840339826600399E-3</v>
      </c>
      <c r="G37" s="490">
        <f>IFERROR(IF(G$6&lt;=$E$8,INDEX('Capital Costs'!$D$15:$G$55,MATCH('Capital Cost Escalation'!$E37,'Capital Costs'!$B$15:$B$55,0),MATCH('Capital Cost Escalation'!$C37,'Capital Costs'!$D$7:$G$7,0))*G$8*(1+$F37)^(G$2), 0),0)</f>
        <v>141430.01277196818</v>
      </c>
      <c r="H37" s="490">
        <f>IFERROR(IF(H$6&lt;=$E$8,INDEX('Capital Costs'!$D$15:$G$55,MATCH('Capital Cost Escalation'!$E37,'Capital Costs'!$B$15:$B$55,0),MATCH('Capital Cost Escalation'!$C37,'Capital Costs'!$D$7:$G$7,0))*H$8*(1+$F37)^(H$2), 0),0)</f>
        <v>168902.8889756625</v>
      </c>
      <c r="I37" s="490">
        <f>IFERROR(IF(I$6&lt;=$E$8,INDEX('Capital Costs'!$D$15:$G$55,MATCH('Capital Cost Escalation'!$E37,'Capital Costs'!$B$15:$B$55,0),MATCH('Capital Cost Escalation'!$C37,'Capital Costs'!$D$7:$G$7,0))*I$8*(1+$F37)^(I$2), 0),0)</f>
        <v>1022928.752015591</v>
      </c>
      <c r="J37" s="490">
        <f>IFERROR(IF(J$6&lt;=$E$8,INDEX('Capital Costs'!$D$15:$G$55,MATCH('Capital Cost Escalation'!$E37,'Capital Costs'!$B$15:$B$55,0),MATCH('Capital Cost Escalation'!$C37,'Capital Costs'!$D$7:$G$7,0))*J$8*(1+$F37)^(J$2), 0),0)</f>
        <v>316515.95679490134</v>
      </c>
      <c r="K37" s="490">
        <f>IFERROR(IF(K$6&lt;=$E$8,INDEX('Capital Costs'!$D$15:$G$55,MATCH('Capital Cost Escalation'!$E37,'Capital Costs'!$B$15:$B$55,0),MATCH('Capital Cost Escalation'!$C37,'Capital Costs'!$D$7:$G$7,0))*K$8*(1+$F37)^(K$2), 0),0)</f>
        <v>692955.13579083502</v>
      </c>
      <c r="L37" s="490">
        <f>IFERROR(IF(L$6&lt;=$E$8,INDEX('Capital Costs'!$D$15:$G$55,MATCH('Capital Cost Escalation'!$E37,'Capital Costs'!$B$15:$B$55,0),MATCH('Capital Cost Escalation'!$C37,'Capital Costs'!$D$7:$G$7,0))*L$8*(1+$F37)^(L$2), 0),0)</f>
        <v>440182.90157821175</v>
      </c>
      <c r="M37" s="490">
        <f>IFERROR(IF(M$6&lt;=$E$8,INDEX('Capital Costs'!$D$15:$G$55,MATCH('Capital Cost Escalation'!$E37,'Capital Costs'!$B$15:$B$55,0),MATCH('Capital Cost Escalation'!$C37,'Capital Costs'!$D$7:$G$7,0))*M$8*(1+$F37)^(M$2), 0),0)</f>
        <v>865801.77385192038</v>
      </c>
      <c r="N37" s="490">
        <f>IFERROR(IF(N$6&lt;=$E$8,INDEX('Capital Costs'!$D$15:$G$55,MATCH('Capital Cost Escalation'!$E37,'Capital Costs'!$B$15:$B$55,0),MATCH('Capital Cost Escalation'!$C37,'Capital Costs'!$D$7:$G$7,0))*N$8*(1+$F37)^(N$2), 0),0)</f>
        <v>1152593.9417391708</v>
      </c>
      <c r="O37" s="490">
        <f>IFERROR(IF(O$6&lt;=$E$8,INDEX('Capital Costs'!$D$15:$G$55,MATCH('Capital Cost Escalation'!$E37,'Capital Costs'!$B$15:$B$55,0),MATCH('Capital Cost Escalation'!$C37,'Capital Costs'!$D$7:$G$7,0))*O$8*(1+$F37)^(O$2), 0),0)</f>
        <v>1614599.26494069</v>
      </c>
      <c r="P37" s="490">
        <f>IFERROR(IF(P$6&lt;=$E$8,INDEX('Capital Costs'!$D$15:$G$55,MATCH('Capital Cost Escalation'!$E37,'Capital Costs'!$B$15:$B$55,0),MATCH('Capital Cost Escalation'!$C37,'Capital Costs'!$D$7:$G$7,0))*P$8*(1+$F37)^(P$2), 0),0)</f>
        <v>2693683.5840816749</v>
      </c>
      <c r="Q37" s="490">
        <f>IFERROR(IF(Q$6&lt;=$E$8,INDEX('Capital Costs'!$D$15:$G$55,MATCH('Capital Cost Escalation'!$E37,'Capital Costs'!$B$15:$B$55,0),MATCH('Capital Cost Escalation'!$C37,'Capital Costs'!$D$7:$G$7,0))*Q$8*(1+$F37)^(Q$2), 0),0)</f>
        <v>3284441.2638791665</v>
      </c>
      <c r="R37" s="490">
        <f>IFERROR(IF(R$6&lt;=$E$8,INDEX('Capital Costs'!$D$15:$G$55,MATCH('Capital Cost Escalation'!$E37,'Capital Costs'!$B$15:$B$55,0),MATCH('Capital Cost Escalation'!$C37,'Capital Costs'!$D$7:$G$7,0))*R$8*(1+$F37)^(R$2), 0),0)</f>
        <v>4216764.9943049205</v>
      </c>
      <c r="S37" s="490">
        <f>IFERROR(IF(S$6&lt;=$E$8,INDEX('Capital Costs'!$D$15:$G$55,MATCH('Capital Cost Escalation'!$E37,'Capital Costs'!$B$15:$B$55,0),MATCH('Capital Cost Escalation'!$C37,'Capital Costs'!$D$7:$G$7,0))*S$8*(1+$F37)^(S$2), 0),0)</f>
        <v>4705306.5836155219</v>
      </c>
      <c r="T37" s="490">
        <f>IFERROR(IF(T$6&lt;=$E$8,INDEX('Capital Costs'!$D$15:$G$55,MATCH('Capital Cost Escalation'!$E37,'Capital Costs'!$B$15:$B$55,0),MATCH('Capital Cost Escalation'!$C37,'Capital Costs'!$D$7:$G$7,0))*T$8*(1+$F37)^(T$2), 0),0)</f>
        <v>5009907.1532823648</v>
      </c>
      <c r="U37" s="490">
        <f>IFERROR(IF(U$6&lt;=$E$8,INDEX('Capital Costs'!$D$15:$G$55,MATCH('Capital Cost Escalation'!$E37,'Capital Costs'!$B$15:$B$55,0),MATCH('Capital Cost Escalation'!$C37,'Capital Costs'!$D$7:$G$7,0))*U$8*(1+$F37)^(U$2), 0),0)</f>
        <v>4706773.8513726378</v>
      </c>
      <c r="V37" s="490">
        <f>IFERROR(IF(V$6&lt;=$E$8,INDEX('Capital Costs'!$D$15:$G$55,MATCH('Capital Cost Escalation'!$E37,'Capital Costs'!$B$15:$B$55,0),MATCH('Capital Cost Escalation'!$C37,'Capital Costs'!$D$7:$G$7,0))*V$8*(1+$F37)^(V$2), 0),0)</f>
        <v>4177502.4277726435</v>
      </c>
      <c r="W37" s="490">
        <f>IFERROR(IF(W$6&lt;=$E$8,INDEX('Capital Costs'!$D$15:$G$55,MATCH('Capital Cost Escalation'!$E37,'Capital Costs'!$B$15:$B$55,0),MATCH('Capital Cost Escalation'!$C37,'Capital Costs'!$D$7:$G$7,0))*W$8*(1+$F37)^(W$2), 0),0)</f>
        <v>3181428.5612281589</v>
      </c>
      <c r="X37" s="490">
        <f>IFERROR(IF(X$6&lt;=$E$8,INDEX('Capital Costs'!$D$15:$G$55,MATCH('Capital Cost Escalation'!$E37,'Capital Costs'!$B$15:$B$55,0),MATCH('Capital Cost Escalation'!$C37,'Capital Costs'!$D$7:$G$7,0))*X$8*(1+$F37)^(X$2), 0),0)</f>
        <v>1774799.5725301802</v>
      </c>
      <c r="Y37" s="490">
        <f>IFERROR(IF(Y$6&lt;=$E$8,INDEX('Capital Costs'!$D$15:$G$55,MATCH('Capital Cost Escalation'!$E37,'Capital Costs'!$B$15:$B$55,0),MATCH('Capital Cost Escalation'!$C37,'Capital Costs'!$D$7:$G$7,0))*Y$8*(1+$F37)^(Y$2), 0),0)</f>
        <v>376356.57671280025</v>
      </c>
      <c r="Z37" s="490">
        <f>IFERROR(IF(Z$6&lt;=$E$8,INDEX('Capital Costs'!$D$15:$G$55,MATCH('Capital Cost Escalation'!$E37,'Capital Costs'!$B$15:$B$55,0),MATCH('Capital Cost Escalation'!$C37,'Capital Costs'!$D$7:$G$7,0))*Z$8*(1+$F37)^(Z$2), 0),0)</f>
        <v>84135.73023129873</v>
      </c>
      <c r="AA37" s="490">
        <f>IFERROR(IF(AA$6&lt;=$E$8,INDEX('Capital Costs'!$D$15:$G$55,MATCH('Capital Cost Escalation'!$E37,'Capital Costs'!$B$15:$B$55,0),MATCH('Capital Cost Escalation'!$C37,'Capital Costs'!$D$7:$G$7,0))*AA$8*(1+$F37)^(AA$2), 0),0)</f>
        <v>0</v>
      </c>
      <c r="AB37" s="490">
        <f>IFERROR(IF(AB$6&lt;=$E$8,INDEX('Capital Costs'!$D$15:$G$55,MATCH('Capital Cost Escalation'!$E37,'Capital Costs'!$B$15:$B$55,0),MATCH('Capital Cost Escalation'!$C37,'Capital Costs'!$D$7:$G$7,0))*AB$8*(1+$F37)^(AB$2), 0),0)</f>
        <v>0</v>
      </c>
      <c r="AC37" s="490">
        <f>IFERROR(IF(AC$6&lt;=$E$8,INDEX('Capital Costs'!$D$15:$G$55,MATCH('Capital Cost Escalation'!$E37,'Capital Costs'!$B$15:$B$55,0),MATCH('Capital Cost Escalation'!$C37,'Capital Costs'!$D$7:$G$7,0))*AC$8*(1+$F37)^(AC$2), 0),0)</f>
        <v>0</v>
      </c>
      <c r="AD37" s="490">
        <f>IFERROR(IF(AD$6&lt;=$E$8,INDEX('Capital Costs'!$D$15:$G$55,MATCH('Capital Cost Escalation'!$E37,'Capital Costs'!$B$15:$B$55,0),MATCH('Capital Cost Escalation'!$C37,'Capital Costs'!$D$7:$G$7,0))*AD$8*(1+$F37)^(AD$2), 0),0)</f>
        <v>0</v>
      </c>
      <c r="AE37" s="490">
        <f>IFERROR(IF(AE$6&lt;=$E$8,INDEX('Capital Costs'!$D$15:$G$55,MATCH('Capital Cost Escalation'!$E37,'Capital Costs'!$B$15:$B$55,0),MATCH('Capital Cost Escalation'!$C37,'Capital Costs'!$D$7:$G$7,0))*AE$8*(1+$F37)^(AE$2), 0),0)</f>
        <v>0</v>
      </c>
      <c r="AF37" s="490">
        <f>IFERROR(IF(AF$6&lt;=$E$8,INDEX('Capital Costs'!$D$15:$G$55,MATCH('Capital Cost Escalation'!$E37,'Capital Costs'!$B$15:$B$55,0),MATCH('Capital Cost Escalation'!$C37,'Capital Costs'!$D$7:$G$7,0))*AF$8*(1+$F37)^(AF$2), 0),0)</f>
        <v>0</v>
      </c>
      <c r="AG37" s="490">
        <f>IFERROR(IF(AG$6&lt;=$E$8,INDEX('Capital Costs'!$D$15:$G$55,MATCH('Capital Cost Escalation'!$E37,'Capital Costs'!$B$15:$B$55,0),MATCH('Capital Cost Escalation'!$C37,'Capital Costs'!$D$7:$G$7,0))*AG$8*(1+$F37)^(AG$2), 0),0)</f>
        <v>0</v>
      </c>
      <c r="AH37" s="490">
        <f>IFERROR(IF(AH$6&lt;=$E$8,INDEX('Capital Costs'!$D$15:$G$55,MATCH('Capital Cost Escalation'!$E37,'Capital Costs'!$B$15:$B$55,0),MATCH('Capital Cost Escalation'!$C37,'Capital Costs'!$D$7:$G$7,0))*AH$8*(1+$F37)^(AH$2), 0),0)</f>
        <v>0</v>
      </c>
      <c r="AI37" s="490">
        <f>IFERROR(IF(AI$6&lt;=$E$8,INDEX('Capital Costs'!$D$15:$G$55,MATCH('Capital Cost Escalation'!$E37,'Capital Costs'!$B$15:$B$55,0),MATCH('Capital Cost Escalation'!$C37,'Capital Costs'!$D$7:$G$7,0))*AI$8*(1+$F37)^(AI$2), 0),0)</f>
        <v>0</v>
      </c>
      <c r="AJ37" s="490">
        <f>IFERROR(IF(AJ$6&lt;=$E$8,INDEX('Capital Costs'!$D$15:$G$55,MATCH('Capital Cost Escalation'!$E37,'Capital Costs'!$B$15:$B$55,0),MATCH('Capital Cost Escalation'!$C37,'Capital Costs'!$D$7:$G$7,0))*AJ$8*(1+$F37)^(AJ$2), 0),0)</f>
        <v>0</v>
      </c>
      <c r="AK37" s="490">
        <f>IFERROR(IF(AK$6&lt;=$E$8,INDEX('Capital Costs'!$D$15:$G$55,MATCH('Capital Cost Escalation'!$E37,'Capital Costs'!$B$15:$B$55,0),MATCH('Capital Cost Escalation'!$C37,'Capital Costs'!$D$7:$G$7,0))*AK$8*(1+$F37)^(AK$2), 0),0)</f>
        <v>0</v>
      </c>
      <c r="AL37" s="490">
        <f>IFERROR(IF(AL$6&lt;=$E$8,INDEX('Capital Costs'!$D$15:$G$55,MATCH('Capital Cost Escalation'!$E37,'Capital Costs'!$B$15:$B$55,0),MATCH('Capital Cost Escalation'!$C37,'Capital Costs'!$D$7:$G$7,0))*AL$8*(1+$F37)^(AL$2), 0),0)</f>
        <v>0</v>
      </c>
      <c r="AM37" s="490">
        <f>IFERROR(IF(AM$6&lt;=$E$8,INDEX('Capital Costs'!$D$15:$G$55,MATCH('Capital Cost Escalation'!$E37,'Capital Costs'!$B$15:$B$55,0),MATCH('Capital Cost Escalation'!$C37,'Capital Costs'!$D$7:$G$7,0))*AM$8*(1+$F37)^(AM$2), 0),0)</f>
        <v>0</v>
      </c>
      <c r="AN37" s="490">
        <f>IFERROR(IF(AN$6&lt;=$E$8,INDEX('Capital Costs'!$D$15:$G$55,MATCH('Capital Cost Escalation'!$E37,'Capital Costs'!$B$15:$B$55,0),MATCH('Capital Cost Escalation'!$C37,'Capital Costs'!$D$7:$G$7,0))*AN$8*(1+$F37)^(AN$2), 0),0)</f>
        <v>0</v>
      </c>
      <c r="AO37" s="490">
        <f>IFERROR(IF(AO$6&lt;=$E$8,INDEX('Capital Costs'!$D$15:$G$55,MATCH('Capital Cost Escalation'!$E37,'Capital Costs'!$B$15:$B$55,0),MATCH('Capital Cost Escalation'!$C37,'Capital Costs'!$D$7:$G$7,0))*AO$8*(1+$F37)^(AO$2), 0),0)</f>
        <v>0</v>
      </c>
      <c r="AP37" s="490">
        <f>IFERROR(IF(AP$6&lt;=$E$8,INDEX('Capital Costs'!$D$15:$G$55,MATCH('Capital Cost Escalation'!$E37,'Capital Costs'!$B$15:$B$55,0),MATCH('Capital Cost Escalation'!$C37,'Capital Costs'!$D$7:$G$7,0))*AP$8*(1+$F37)^(AP$2), 0),0)</f>
        <v>0</v>
      </c>
      <c r="AQ37" s="490">
        <f>IFERROR(IF(AQ$6&lt;=$E$8,INDEX('Capital Costs'!$D$15:$G$55,MATCH('Capital Cost Escalation'!$E37,'Capital Costs'!$B$15:$B$55,0),MATCH('Capital Cost Escalation'!$C37,'Capital Costs'!$D$7:$G$7,0))*AQ$8*(1+$F37)^(AQ$2), 0),0)</f>
        <v>0</v>
      </c>
      <c r="AR37" s="490">
        <f>IFERROR(IF(AR$6&lt;=$E$8,INDEX('Capital Costs'!$D$15:$G$55,MATCH('Capital Cost Escalation'!$E37,'Capital Costs'!$B$15:$B$55,0),MATCH('Capital Cost Escalation'!$C37,'Capital Costs'!$D$7:$G$7,0))*AR$8*(1+$F37)^(AR$2), 0),0)</f>
        <v>0</v>
      </c>
      <c r="AS37" s="490">
        <f>IFERROR(IF(AS$6&lt;=$E$8,INDEX('Capital Costs'!$D$15:$G$55,MATCH('Capital Cost Escalation'!$E37,'Capital Costs'!$B$15:$B$55,0),MATCH('Capital Cost Escalation'!$C37,'Capital Costs'!$D$7:$G$7,0))*AS$8*(1+$F37)^(AS$2), 0),0)</f>
        <v>0</v>
      </c>
      <c r="AT37" s="490">
        <f>IFERROR(IF(AT$6&lt;=$E$8,INDEX('Capital Costs'!$D$15:$G$55,MATCH('Capital Cost Escalation'!$E37,'Capital Costs'!$B$15:$B$55,0),MATCH('Capital Cost Escalation'!$C37,'Capital Costs'!$D$7:$G$7,0))*AT$8*(1+$F37)^(AT$2), 0),0)</f>
        <v>0</v>
      </c>
      <c r="AV37" s="827">
        <f t="shared" si="6"/>
        <v>40627010.927470319</v>
      </c>
      <c r="AW37" s="828">
        <f>INDEX('Capital Costs'!$D$15:$G$55,MATCH('Capital Cost Escalation'!$E37,'Capital Costs'!$B$15:$B$55,0),MATCH('Capital Cost Escalation'!$C37,'Capital Costs'!$D$7:$G$7,0))</f>
        <v>33466500</v>
      </c>
    </row>
    <row r="38" spans="1:49">
      <c r="A38" s="487" t="str">
        <f t="shared" si="4"/>
        <v xml:space="preserve">CT_Rest of RTO_Other Labor </v>
      </c>
      <c r="B38" s="478" t="s">
        <v>76</v>
      </c>
      <c r="C38" s="488" t="s">
        <v>111</v>
      </c>
      <c r="E38" s="442" t="s">
        <v>139</v>
      </c>
      <c r="F38" s="1325">
        <f>INDEX('Capital Costs_Nominal$'!$F:$F,MATCH('Capital Cost Escalation'!$E38,'Capital Costs_Nominal$'!$C:$C,0),1)</f>
        <v>3.6840339826600399E-3</v>
      </c>
      <c r="G38" s="490">
        <f>IFERROR(IF(G$6&lt;=$E$8,INDEX('Capital Costs'!$D$15:$G$55,MATCH('Capital Cost Escalation'!$E38,'Capital Costs'!$B$15:$B$55,0),MATCH('Capital Cost Escalation'!$C38,'Capital Costs'!$D$7:$G$7,0))*G$8*(1+$F38)^(G$2), 0),0)</f>
        <v>54331.370660258217</v>
      </c>
      <c r="H38" s="490">
        <f>IFERROR(IF(H$6&lt;=$E$8,INDEX('Capital Costs'!$D$15:$G$55,MATCH('Capital Cost Escalation'!$E38,'Capital Costs'!$B$15:$B$55,0),MATCH('Capital Cost Escalation'!$C38,'Capital Costs'!$D$7:$G$7,0))*H$8*(1+$F38)^(H$2), 0),0)</f>
        <v>64885.276375680383</v>
      </c>
      <c r="I38" s="490">
        <f>IFERROR(IF(I$6&lt;=$E$8,INDEX('Capital Costs'!$D$15:$G$55,MATCH('Capital Cost Escalation'!$E38,'Capital Costs'!$B$15:$B$55,0),MATCH('Capital Cost Escalation'!$C38,'Capital Costs'!$D$7:$G$7,0))*I$8*(1+$F38)^(I$2), 0),0)</f>
        <v>392965.53889451374</v>
      </c>
      <c r="J38" s="490">
        <f>IFERROR(IF(J$6&lt;=$E$8,INDEX('Capital Costs'!$D$15:$G$55,MATCH('Capital Cost Escalation'!$E38,'Capital Costs'!$B$15:$B$55,0),MATCH('Capital Cost Escalation'!$C38,'Capital Costs'!$D$7:$G$7,0))*J$8*(1+$F38)^(J$2), 0),0)</f>
        <v>121591.91271683533</v>
      </c>
      <c r="K38" s="490">
        <f>IFERROR(IF(K$6&lt;=$E$8,INDEX('Capital Costs'!$D$15:$G$55,MATCH('Capital Cost Escalation'!$E38,'Capital Costs'!$B$15:$B$55,0),MATCH('Capital Cost Escalation'!$C38,'Capital Costs'!$D$7:$G$7,0))*K$8*(1+$F38)^(K$2), 0),0)</f>
        <v>266203.76817956142</v>
      </c>
      <c r="L38" s="490">
        <f>IFERROR(IF(L$6&lt;=$E$8,INDEX('Capital Costs'!$D$15:$G$55,MATCH('Capital Cost Escalation'!$E38,'Capital Costs'!$B$15:$B$55,0),MATCH('Capital Cost Escalation'!$C38,'Capital Costs'!$D$7:$G$7,0))*L$8*(1+$F38)^(L$2), 0),0)</f>
        <v>169099.47128770925</v>
      </c>
      <c r="M38" s="490">
        <f>IFERROR(IF(M$6&lt;=$E$8,INDEX('Capital Costs'!$D$15:$G$55,MATCH('Capital Cost Escalation'!$E38,'Capital Costs'!$B$15:$B$55,0),MATCH('Capital Cost Escalation'!$C38,'Capital Costs'!$D$7:$G$7,0))*M$8*(1+$F38)^(M$2), 0),0)</f>
        <v>332604.06452272664</v>
      </c>
      <c r="N38" s="490">
        <f>IFERROR(IF(N$6&lt;=$E$8,INDEX('Capital Costs'!$D$15:$G$55,MATCH('Capital Cost Escalation'!$E38,'Capital Costs'!$B$15:$B$55,0),MATCH('Capital Cost Escalation'!$C38,'Capital Costs'!$D$7:$G$7,0))*N$8*(1+$F38)^(N$2), 0),0)</f>
        <v>442777.36699611472</v>
      </c>
      <c r="O38" s="490">
        <f>IFERROR(IF(O$6&lt;=$E$8,INDEX('Capital Costs'!$D$15:$G$55,MATCH('Capital Cost Escalation'!$E38,'Capital Costs'!$B$15:$B$55,0),MATCH('Capital Cost Escalation'!$C38,'Capital Costs'!$D$7:$G$7,0))*O$8*(1+$F38)^(O$2), 0),0)</f>
        <v>620260.08067122311</v>
      </c>
      <c r="P38" s="490">
        <f>IFERROR(IF(P$6&lt;=$E$8,INDEX('Capital Costs'!$D$15:$G$55,MATCH('Capital Cost Escalation'!$E38,'Capital Costs'!$B$15:$B$55,0),MATCH('Capital Cost Escalation'!$C38,'Capital Costs'!$D$7:$G$7,0))*P$8*(1+$F38)^(P$2), 0),0)</f>
        <v>1034798.1901420122</v>
      </c>
      <c r="Q38" s="490">
        <f>IFERROR(IF(Q$6&lt;=$E$8,INDEX('Capital Costs'!$D$15:$G$55,MATCH('Capital Cost Escalation'!$E38,'Capital Costs'!$B$15:$B$55,0),MATCH('Capital Cost Escalation'!$C38,'Capital Costs'!$D$7:$G$7,0))*Q$8*(1+$F38)^(Q$2), 0),0)</f>
        <v>1261742.0604167187</v>
      </c>
      <c r="R38" s="490">
        <f>IFERROR(IF(R$6&lt;=$E$8,INDEX('Capital Costs'!$D$15:$G$55,MATCH('Capital Cost Escalation'!$E38,'Capital Costs'!$B$15:$B$55,0),MATCH('Capital Cost Escalation'!$C38,'Capital Costs'!$D$7:$G$7,0))*R$8*(1+$F38)^(R$2), 0),0)</f>
        <v>1619901.0196101109</v>
      </c>
      <c r="S38" s="490">
        <f>IFERROR(IF(S$6&lt;=$E$8,INDEX('Capital Costs'!$D$15:$G$55,MATCH('Capital Cost Escalation'!$E38,'Capital Costs'!$B$15:$B$55,0),MATCH('Capital Cost Escalation'!$C38,'Capital Costs'!$D$7:$G$7,0))*S$8*(1+$F38)^(S$2), 0),0)</f>
        <v>1807577.8334033915</v>
      </c>
      <c r="T38" s="490">
        <f>IFERROR(IF(T$6&lt;=$E$8,INDEX('Capital Costs'!$D$15:$G$55,MATCH('Capital Cost Escalation'!$E38,'Capital Costs'!$B$15:$B$55,0),MATCH('Capital Cost Escalation'!$C38,'Capital Costs'!$D$7:$G$7,0))*T$8*(1+$F38)^(T$2), 0),0)</f>
        <v>1924592.3632725081</v>
      </c>
      <c r="U38" s="490">
        <f>IFERROR(IF(U$6&lt;=$E$8,INDEX('Capital Costs'!$D$15:$G$55,MATCH('Capital Cost Escalation'!$E38,'Capital Costs'!$B$15:$B$55,0),MATCH('Capital Cost Escalation'!$C38,'Capital Costs'!$D$7:$G$7,0))*U$8*(1+$F38)^(U$2), 0),0)</f>
        <v>1808141.4950110463</v>
      </c>
      <c r="V38" s="490">
        <f>IFERROR(IF(V$6&lt;=$E$8,INDEX('Capital Costs'!$D$15:$G$55,MATCH('Capital Cost Escalation'!$E38,'Capital Costs'!$B$15:$B$55,0),MATCH('Capital Cost Escalation'!$C38,'Capital Costs'!$D$7:$G$7,0))*V$8*(1+$F38)^(V$2), 0),0)</f>
        <v>1604818.0183890222</v>
      </c>
      <c r="W38" s="490">
        <f>IFERROR(IF(W$6&lt;=$E$8,INDEX('Capital Costs'!$D$15:$G$55,MATCH('Capital Cost Escalation'!$E38,'Capital Costs'!$B$15:$B$55,0),MATCH('Capital Cost Escalation'!$C38,'Capital Costs'!$D$7:$G$7,0))*W$8*(1+$F38)^(W$2), 0),0)</f>
        <v>1222168.9795638532</v>
      </c>
      <c r="X38" s="490">
        <f>IFERROR(IF(X$6&lt;=$E$8,INDEX('Capital Costs'!$D$15:$G$55,MATCH('Capital Cost Escalation'!$E38,'Capital Costs'!$B$15:$B$55,0),MATCH('Capital Cost Escalation'!$C38,'Capital Costs'!$D$7:$G$7,0))*X$8*(1+$F38)^(X$2), 0),0)</f>
        <v>681802.19695148908</v>
      </c>
      <c r="Y38" s="490">
        <f>IFERROR(IF(Y$6&lt;=$E$8,INDEX('Capital Costs'!$D$15:$G$55,MATCH('Capital Cost Escalation'!$E38,'Capital Costs'!$B$15:$B$55,0),MATCH('Capital Cost Escalation'!$C38,'Capital Costs'!$D$7:$G$7,0))*Y$8*(1+$F38)^(Y$2), 0),0)</f>
        <v>144580.12319335589</v>
      </c>
      <c r="Z38" s="490">
        <f>IFERROR(IF(Z$6&lt;=$E$8,INDEX('Capital Costs'!$D$15:$G$55,MATCH('Capital Cost Escalation'!$E38,'Capital Costs'!$B$15:$B$55,0),MATCH('Capital Cost Escalation'!$C38,'Capital Costs'!$D$7:$G$7,0))*Z$8*(1+$F38)^(Z$2), 0),0)</f>
        <v>32321.354254124843</v>
      </c>
      <c r="AA38" s="490">
        <f>IFERROR(IF(AA$6&lt;=$E$8,INDEX('Capital Costs'!$D$15:$G$55,MATCH('Capital Cost Escalation'!$E38,'Capital Costs'!$B$15:$B$55,0),MATCH('Capital Cost Escalation'!$C38,'Capital Costs'!$D$7:$G$7,0))*AA$8*(1+$F38)^(AA$2), 0),0)</f>
        <v>0</v>
      </c>
      <c r="AB38" s="490">
        <f>IFERROR(IF(AB$6&lt;=$E$8,INDEX('Capital Costs'!$D$15:$G$55,MATCH('Capital Cost Escalation'!$E38,'Capital Costs'!$B$15:$B$55,0),MATCH('Capital Cost Escalation'!$C38,'Capital Costs'!$D$7:$G$7,0))*AB$8*(1+$F38)^(AB$2), 0),0)</f>
        <v>0</v>
      </c>
      <c r="AC38" s="490">
        <f>IFERROR(IF(AC$6&lt;=$E$8,INDEX('Capital Costs'!$D$15:$G$55,MATCH('Capital Cost Escalation'!$E38,'Capital Costs'!$B$15:$B$55,0),MATCH('Capital Cost Escalation'!$C38,'Capital Costs'!$D$7:$G$7,0))*AC$8*(1+$F38)^(AC$2), 0),0)</f>
        <v>0</v>
      </c>
      <c r="AD38" s="490">
        <f>IFERROR(IF(AD$6&lt;=$E$8,INDEX('Capital Costs'!$D$15:$G$55,MATCH('Capital Cost Escalation'!$E38,'Capital Costs'!$B$15:$B$55,0),MATCH('Capital Cost Escalation'!$C38,'Capital Costs'!$D$7:$G$7,0))*AD$8*(1+$F38)^(AD$2), 0),0)</f>
        <v>0</v>
      </c>
      <c r="AE38" s="490">
        <f>IFERROR(IF(AE$6&lt;=$E$8,INDEX('Capital Costs'!$D$15:$G$55,MATCH('Capital Cost Escalation'!$E38,'Capital Costs'!$B$15:$B$55,0),MATCH('Capital Cost Escalation'!$C38,'Capital Costs'!$D$7:$G$7,0))*AE$8*(1+$F38)^(AE$2), 0),0)</f>
        <v>0</v>
      </c>
      <c r="AF38" s="490">
        <f>IFERROR(IF(AF$6&lt;=$E$8,INDEX('Capital Costs'!$D$15:$G$55,MATCH('Capital Cost Escalation'!$E38,'Capital Costs'!$B$15:$B$55,0),MATCH('Capital Cost Escalation'!$C38,'Capital Costs'!$D$7:$G$7,0))*AF$8*(1+$F38)^(AF$2), 0),0)</f>
        <v>0</v>
      </c>
      <c r="AG38" s="490">
        <f>IFERROR(IF(AG$6&lt;=$E$8,INDEX('Capital Costs'!$D$15:$G$55,MATCH('Capital Cost Escalation'!$E38,'Capital Costs'!$B$15:$B$55,0),MATCH('Capital Cost Escalation'!$C38,'Capital Costs'!$D$7:$G$7,0))*AG$8*(1+$F38)^(AG$2), 0),0)</f>
        <v>0</v>
      </c>
      <c r="AH38" s="490">
        <f>IFERROR(IF(AH$6&lt;=$E$8,INDEX('Capital Costs'!$D$15:$G$55,MATCH('Capital Cost Escalation'!$E38,'Capital Costs'!$B$15:$B$55,0),MATCH('Capital Cost Escalation'!$C38,'Capital Costs'!$D$7:$G$7,0))*AH$8*(1+$F38)^(AH$2), 0),0)</f>
        <v>0</v>
      </c>
      <c r="AI38" s="490">
        <f>IFERROR(IF(AI$6&lt;=$E$8,INDEX('Capital Costs'!$D$15:$G$55,MATCH('Capital Cost Escalation'!$E38,'Capital Costs'!$B$15:$B$55,0),MATCH('Capital Cost Escalation'!$C38,'Capital Costs'!$D$7:$G$7,0))*AI$8*(1+$F38)^(AI$2), 0),0)</f>
        <v>0</v>
      </c>
      <c r="AJ38" s="490">
        <f>IFERROR(IF(AJ$6&lt;=$E$8,INDEX('Capital Costs'!$D$15:$G$55,MATCH('Capital Cost Escalation'!$E38,'Capital Costs'!$B$15:$B$55,0),MATCH('Capital Cost Escalation'!$C38,'Capital Costs'!$D$7:$G$7,0))*AJ$8*(1+$F38)^(AJ$2), 0),0)</f>
        <v>0</v>
      </c>
      <c r="AK38" s="490">
        <f>IFERROR(IF(AK$6&lt;=$E$8,INDEX('Capital Costs'!$D$15:$G$55,MATCH('Capital Cost Escalation'!$E38,'Capital Costs'!$B$15:$B$55,0),MATCH('Capital Cost Escalation'!$C38,'Capital Costs'!$D$7:$G$7,0))*AK$8*(1+$F38)^(AK$2), 0),0)</f>
        <v>0</v>
      </c>
      <c r="AL38" s="490">
        <f>IFERROR(IF(AL$6&lt;=$E$8,INDEX('Capital Costs'!$D$15:$G$55,MATCH('Capital Cost Escalation'!$E38,'Capital Costs'!$B$15:$B$55,0),MATCH('Capital Cost Escalation'!$C38,'Capital Costs'!$D$7:$G$7,0))*AL$8*(1+$F38)^(AL$2), 0),0)</f>
        <v>0</v>
      </c>
      <c r="AM38" s="490">
        <f>IFERROR(IF(AM$6&lt;=$E$8,INDEX('Capital Costs'!$D$15:$G$55,MATCH('Capital Cost Escalation'!$E38,'Capital Costs'!$B$15:$B$55,0),MATCH('Capital Cost Escalation'!$C38,'Capital Costs'!$D$7:$G$7,0))*AM$8*(1+$F38)^(AM$2), 0),0)</f>
        <v>0</v>
      </c>
      <c r="AN38" s="490">
        <f>IFERROR(IF(AN$6&lt;=$E$8,INDEX('Capital Costs'!$D$15:$G$55,MATCH('Capital Cost Escalation'!$E38,'Capital Costs'!$B$15:$B$55,0),MATCH('Capital Cost Escalation'!$C38,'Capital Costs'!$D$7:$G$7,0))*AN$8*(1+$F38)^(AN$2), 0),0)</f>
        <v>0</v>
      </c>
      <c r="AO38" s="490">
        <f>IFERROR(IF(AO$6&lt;=$E$8,INDEX('Capital Costs'!$D$15:$G$55,MATCH('Capital Cost Escalation'!$E38,'Capital Costs'!$B$15:$B$55,0),MATCH('Capital Cost Escalation'!$C38,'Capital Costs'!$D$7:$G$7,0))*AO$8*(1+$F38)^(AO$2), 0),0)</f>
        <v>0</v>
      </c>
      <c r="AP38" s="490">
        <f>IFERROR(IF(AP$6&lt;=$E$8,INDEX('Capital Costs'!$D$15:$G$55,MATCH('Capital Cost Escalation'!$E38,'Capital Costs'!$B$15:$B$55,0),MATCH('Capital Cost Escalation'!$C38,'Capital Costs'!$D$7:$G$7,0))*AP$8*(1+$F38)^(AP$2), 0),0)</f>
        <v>0</v>
      </c>
      <c r="AQ38" s="490">
        <f>IFERROR(IF(AQ$6&lt;=$E$8,INDEX('Capital Costs'!$D$15:$G$55,MATCH('Capital Cost Escalation'!$E38,'Capital Costs'!$B$15:$B$55,0),MATCH('Capital Cost Escalation'!$C38,'Capital Costs'!$D$7:$G$7,0))*AQ$8*(1+$F38)^(AQ$2), 0),0)</f>
        <v>0</v>
      </c>
      <c r="AR38" s="490">
        <f>IFERROR(IF(AR$6&lt;=$E$8,INDEX('Capital Costs'!$D$15:$G$55,MATCH('Capital Cost Escalation'!$E38,'Capital Costs'!$B$15:$B$55,0),MATCH('Capital Cost Escalation'!$C38,'Capital Costs'!$D$7:$G$7,0))*AR$8*(1+$F38)^(AR$2), 0),0)</f>
        <v>0</v>
      </c>
      <c r="AS38" s="490">
        <f>IFERROR(IF(AS$6&lt;=$E$8,INDEX('Capital Costs'!$D$15:$G$55,MATCH('Capital Cost Escalation'!$E38,'Capital Costs'!$B$15:$B$55,0),MATCH('Capital Cost Escalation'!$C38,'Capital Costs'!$D$7:$G$7,0))*AS$8*(1+$F38)^(AS$2), 0),0)</f>
        <v>0</v>
      </c>
      <c r="AT38" s="490">
        <f>IFERROR(IF(AT$6&lt;=$E$8,INDEX('Capital Costs'!$D$15:$G$55,MATCH('Capital Cost Escalation'!$E38,'Capital Costs'!$B$15:$B$55,0),MATCH('Capital Cost Escalation'!$C38,'Capital Costs'!$D$7:$G$7,0))*AT$8*(1+$F38)^(AT$2), 0),0)</f>
        <v>0</v>
      </c>
      <c r="AV38" s="827">
        <f t="shared" si="6"/>
        <v>15607162.484512256</v>
      </c>
      <c r="AW38" s="828">
        <f>INDEX('Capital Costs'!$D$15:$G$55,MATCH('Capital Cost Escalation'!$E38,'Capital Costs'!$B$15:$B$55,0),MATCH('Capital Cost Escalation'!$C38,'Capital Costs'!$D$7:$G$7,0))</f>
        <v>12856400</v>
      </c>
    </row>
    <row r="39" spans="1:49">
      <c r="A39" s="487" t="str">
        <f t="shared" si="4"/>
        <v>CT_Rest of RTO_Materials</v>
      </c>
      <c r="B39" s="478" t="s">
        <v>76</v>
      </c>
      <c r="C39" s="488" t="s">
        <v>111</v>
      </c>
      <c r="E39" s="442" t="s">
        <v>140</v>
      </c>
      <c r="F39" s="1325">
        <f>INDEX('Capital Costs_Nominal$'!$F:$F,MATCH('Capital Cost Escalation'!$E39,'Capital Costs_Nominal$'!$C:$C,0),1)</f>
        <v>2.3944839450136257E-3</v>
      </c>
      <c r="G39" s="490">
        <f>IFERROR(IF(G$6&lt;=$E$8,INDEX('Capital Costs'!$D$15:$G$55,MATCH('Capital Cost Escalation'!$E39,'Capital Costs'!$B$15:$B$55,0),MATCH('Capital Cost Escalation'!$C39,'Capital Costs'!$D$7:$G$7,0))*G$8*(1+$F39)^(G$2), 0),0)</f>
        <v>28651.717687471421</v>
      </c>
      <c r="H39" s="490">
        <f>IFERROR(IF(H$6&lt;=$E$8,INDEX('Capital Costs'!$D$15:$G$55,MATCH('Capital Cost Escalation'!$E39,'Capital Costs'!$B$15:$B$55,0),MATCH('Capital Cost Escalation'!$C39,'Capital Costs'!$D$7:$G$7,0))*H$8*(1+$F39)^(H$2), 0),0)</f>
        <v>34173.370339322704</v>
      </c>
      <c r="I39" s="490">
        <f>IFERROR(IF(I$6&lt;=$E$8,INDEX('Capital Costs'!$D$15:$G$55,MATCH('Capital Cost Escalation'!$E39,'Capital Costs'!$B$15:$B$55,0),MATCH('Capital Cost Escalation'!$C39,'Capital Costs'!$D$7:$G$7,0))*I$8*(1+$F39)^(I$2), 0),0)</f>
        <v>206698.71335851497</v>
      </c>
      <c r="J39" s="490">
        <f>IFERROR(IF(J$6&lt;=$E$8,INDEX('Capital Costs'!$D$15:$G$55,MATCH('Capital Cost Escalation'!$E39,'Capital Costs'!$B$15:$B$55,0),MATCH('Capital Cost Escalation'!$C39,'Capital Costs'!$D$7:$G$7,0))*J$8*(1+$F39)^(J$2), 0),0)</f>
        <v>63874.814122381125</v>
      </c>
      <c r="K39" s="490">
        <f>IFERROR(IF(K$6&lt;=$E$8,INDEX('Capital Costs'!$D$15:$G$55,MATCH('Capital Cost Escalation'!$E39,'Capital Costs'!$B$15:$B$55,0),MATCH('Capital Cost Escalation'!$C39,'Capital Costs'!$D$7:$G$7,0))*K$8*(1+$F39)^(K$2), 0),0)</f>
        <v>139662.82109278609</v>
      </c>
      <c r="L39" s="490">
        <f>IFERROR(IF(L$6&lt;=$E$8,INDEX('Capital Costs'!$D$15:$G$55,MATCH('Capital Cost Escalation'!$E39,'Capital Costs'!$B$15:$B$55,0),MATCH('Capital Cost Escalation'!$C39,'Capital Costs'!$D$7:$G$7,0))*L$8*(1+$F39)^(L$2), 0),0)</f>
        <v>88603.425738858612</v>
      </c>
      <c r="M39" s="490">
        <f>IFERROR(IF(M$6&lt;=$E$8,INDEX('Capital Costs'!$D$15:$G$55,MATCH('Capital Cost Escalation'!$E39,'Capital Costs'!$B$15:$B$55,0),MATCH('Capital Cost Escalation'!$C39,'Capital Costs'!$D$7:$G$7,0))*M$8*(1+$F39)^(M$2), 0),0)</f>
        <v>174051.37898257526</v>
      </c>
      <c r="N39" s="490">
        <f>IFERROR(IF(N$6&lt;=$E$8,INDEX('Capital Costs'!$D$15:$G$55,MATCH('Capital Cost Escalation'!$E39,'Capital Costs'!$B$15:$B$55,0),MATCH('Capital Cost Escalation'!$C39,'Capital Costs'!$D$7:$G$7,0))*N$8*(1+$F39)^(N$2), 0),0)</f>
        <v>231407.26111635004</v>
      </c>
      <c r="O39" s="490">
        <f>IFERROR(IF(O$6&lt;=$E$8,INDEX('Capital Costs'!$D$15:$G$55,MATCH('Capital Cost Escalation'!$E39,'Capital Costs'!$B$15:$B$55,0),MATCH('Capital Cost Escalation'!$C39,'Capital Costs'!$D$7:$G$7,0))*O$8*(1+$F39)^(O$2), 0),0)</f>
        <v>323747.96892557305</v>
      </c>
      <c r="P39" s="490">
        <f>IFERROR(IF(P$6&lt;=$E$8,INDEX('Capital Costs'!$D$15:$G$55,MATCH('Capital Cost Escalation'!$E39,'Capital Costs'!$B$15:$B$55,0),MATCH('Capital Cost Escalation'!$C39,'Capital Costs'!$D$7:$G$7,0))*P$8*(1+$F39)^(P$2), 0),0)</f>
        <v>539424.33405308344</v>
      </c>
      <c r="Q39" s="490">
        <f>IFERROR(IF(Q$6&lt;=$E$8,INDEX('Capital Costs'!$D$15:$G$55,MATCH('Capital Cost Escalation'!$E39,'Capital Costs'!$B$15:$B$55,0),MATCH('Capital Cost Escalation'!$C39,'Capital Costs'!$D$7:$G$7,0))*Q$8*(1+$F39)^(Q$2), 0),0)</f>
        <v>656881.6146307782</v>
      </c>
      <c r="R39" s="490">
        <f>IFERROR(IF(R$6&lt;=$E$8,INDEX('Capital Costs'!$D$15:$G$55,MATCH('Capital Cost Escalation'!$E39,'Capital Costs'!$B$15:$B$55,0),MATCH('Capital Cost Escalation'!$C39,'Capital Costs'!$D$7:$G$7,0))*R$8*(1+$F39)^(R$2), 0),0)</f>
        <v>842260.9333158317</v>
      </c>
      <c r="S39" s="490">
        <f>IFERROR(IF(S$6&lt;=$E$8,INDEX('Capital Costs'!$D$15:$G$55,MATCH('Capital Cost Escalation'!$E39,'Capital Costs'!$B$15:$B$55,0),MATCH('Capital Cost Escalation'!$C39,'Capital Costs'!$D$7:$G$7,0))*S$8*(1+$F39)^(S$2), 0),0)</f>
        <v>938635.20212019118</v>
      </c>
      <c r="T39" s="490">
        <f>IFERROR(IF(T$6&lt;=$E$8,INDEX('Capital Costs'!$D$15:$G$55,MATCH('Capital Cost Escalation'!$E39,'Capital Costs'!$B$15:$B$55,0),MATCH('Capital Cost Escalation'!$C39,'Capital Costs'!$D$7:$G$7,0))*T$8*(1+$F39)^(T$2), 0),0)</f>
        <v>998114.21660716436</v>
      </c>
      <c r="U39" s="490">
        <f>IFERROR(IF(U$6&lt;=$E$8,INDEX('Capital Costs'!$D$15:$G$55,MATCH('Capital Cost Escalation'!$E39,'Capital Costs'!$B$15:$B$55,0),MATCH('Capital Cost Escalation'!$C39,'Capital Costs'!$D$7:$G$7,0))*U$8*(1+$F39)^(U$2), 0),0)</f>
        <v>936516.7485245734</v>
      </c>
      <c r="V39" s="490">
        <f>IFERROR(IF(V$6&lt;=$E$8,INDEX('Capital Costs'!$D$15:$G$55,MATCH('Capital Cost Escalation'!$E39,'Capital Costs'!$B$15:$B$55,0),MATCH('Capital Cost Escalation'!$C39,'Capital Costs'!$D$7:$G$7,0))*V$8*(1+$F39)^(V$2), 0),0)</f>
        <v>830138.54589793913</v>
      </c>
      <c r="W39" s="490">
        <f>IFERROR(IF(W$6&lt;=$E$8,INDEX('Capital Costs'!$D$15:$G$55,MATCH('Capital Cost Escalation'!$E39,'Capital Costs'!$B$15:$B$55,0),MATCH('Capital Cost Escalation'!$C39,'Capital Costs'!$D$7:$G$7,0))*W$8*(1+$F39)^(W$2), 0),0)</f>
        <v>631389.99684536201</v>
      </c>
      <c r="X39" s="490">
        <f>IFERROR(IF(X$6&lt;=$E$8,INDEX('Capital Costs'!$D$15:$G$55,MATCH('Capital Cost Escalation'!$E39,'Capital Costs'!$B$15:$B$55,0),MATCH('Capital Cost Escalation'!$C39,'Capital Costs'!$D$7:$G$7,0))*X$8*(1+$F39)^(X$2), 0),0)</f>
        <v>351776.22922815022</v>
      </c>
      <c r="Y39" s="490">
        <f>IFERROR(IF(Y$6&lt;=$E$8,INDEX('Capital Costs'!$D$15:$G$55,MATCH('Capital Cost Escalation'!$E39,'Capital Costs'!$B$15:$B$55,0),MATCH('Capital Cost Escalation'!$C39,'Capital Costs'!$D$7:$G$7,0))*Y$8*(1+$F39)^(Y$2), 0),0)</f>
        <v>74500.353912873412</v>
      </c>
      <c r="Z39" s="490">
        <f>IFERROR(IF(Z$6&lt;=$E$8,INDEX('Capital Costs'!$D$15:$G$55,MATCH('Capital Cost Escalation'!$E39,'Capital Costs'!$B$15:$B$55,0),MATCH('Capital Cost Escalation'!$C39,'Capital Costs'!$D$7:$G$7,0))*Z$8*(1+$F39)^(Z$2), 0),0)</f>
        <v>16633.396765209392</v>
      </c>
      <c r="AA39" s="490">
        <f>IFERROR(IF(AA$6&lt;=$E$8,INDEX('Capital Costs'!$D$15:$G$55,MATCH('Capital Cost Escalation'!$E39,'Capital Costs'!$B$15:$B$55,0),MATCH('Capital Cost Escalation'!$C39,'Capital Costs'!$D$7:$G$7,0))*AA$8*(1+$F39)^(AA$2), 0),0)</f>
        <v>0</v>
      </c>
      <c r="AB39" s="490">
        <f>IFERROR(IF(AB$6&lt;=$E$8,INDEX('Capital Costs'!$D$15:$G$55,MATCH('Capital Cost Escalation'!$E39,'Capital Costs'!$B$15:$B$55,0),MATCH('Capital Cost Escalation'!$C39,'Capital Costs'!$D$7:$G$7,0))*AB$8*(1+$F39)^(AB$2), 0),0)</f>
        <v>0</v>
      </c>
      <c r="AC39" s="490">
        <f>IFERROR(IF(AC$6&lt;=$E$8,INDEX('Capital Costs'!$D$15:$G$55,MATCH('Capital Cost Escalation'!$E39,'Capital Costs'!$B$15:$B$55,0),MATCH('Capital Cost Escalation'!$C39,'Capital Costs'!$D$7:$G$7,0))*AC$8*(1+$F39)^(AC$2), 0),0)</f>
        <v>0</v>
      </c>
      <c r="AD39" s="490">
        <f>IFERROR(IF(AD$6&lt;=$E$8,INDEX('Capital Costs'!$D$15:$G$55,MATCH('Capital Cost Escalation'!$E39,'Capital Costs'!$B$15:$B$55,0),MATCH('Capital Cost Escalation'!$C39,'Capital Costs'!$D$7:$G$7,0))*AD$8*(1+$F39)^(AD$2), 0),0)</f>
        <v>0</v>
      </c>
      <c r="AE39" s="490">
        <f>IFERROR(IF(AE$6&lt;=$E$8,INDEX('Capital Costs'!$D$15:$G$55,MATCH('Capital Cost Escalation'!$E39,'Capital Costs'!$B$15:$B$55,0),MATCH('Capital Cost Escalation'!$C39,'Capital Costs'!$D$7:$G$7,0))*AE$8*(1+$F39)^(AE$2), 0),0)</f>
        <v>0</v>
      </c>
      <c r="AF39" s="490">
        <f>IFERROR(IF(AF$6&lt;=$E$8,INDEX('Capital Costs'!$D$15:$G$55,MATCH('Capital Cost Escalation'!$E39,'Capital Costs'!$B$15:$B$55,0),MATCH('Capital Cost Escalation'!$C39,'Capital Costs'!$D$7:$G$7,0))*AF$8*(1+$F39)^(AF$2), 0),0)</f>
        <v>0</v>
      </c>
      <c r="AG39" s="490">
        <f>IFERROR(IF(AG$6&lt;=$E$8,INDEX('Capital Costs'!$D$15:$G$55,MATCH('Capital Cost Escalation'!$E39,'Capital Costs'!$B$15:$B$55,0),MATCH('Capital Cost Escalation'!$C39,'Capital Costs'!$D$7:$G$7,0))*AG$8*(1+$F39)^(AG$2), 0),0)</f>
        <v>0</v>
      </c>
      <c r="AH39" s="490">
        <f>IFERROR(IF(AH$6&lt;=$E$8,INDEX('Capital Costs'!$D$15:$G$55,MATCH('Capital Cost Escalation'!$E39,'Capital Costs'!$B$15:$B$55,0),MATCH('Capital Cost Escalation'!$C39,'Capital Costs'!$D$7:$G$7,0))*AH$8*(1+$F39)^(AH$2), 0),0)</f>
        <v>0</v>
      </c>
      <c r="AI39" s="490">
        <f>IFERROR(IF(AI$6&lt;=$E$8,INDEX('Capital Costs'!$D$15:$G$55,MATCH('Capital Cost Escalation'!$E39,'Capital Costs'!$B$15:$B$55,0),MATCH('Capital Cost Escalation'!$C39,'Capital Costs'!$D$7:$G$7,0))*AI$8*(1+$F39)^(AI$2), 0),0)</f>
        <v>0</v>
      </c>
      <c r="AJ39" s="490">
        <f>IFERROR(IF(AJ$6&lt;=$E$8,INDEX('Capital Costs'!$D$15:$G$55,MATCH('Capital Cost Escalation'!$E39,'Capital Costs'!$B$15:$B$55,0),MATCH('Capital Cost Escalation'!$C39,'Capital Costs'!$D$7:$G$7,0))*AJ$8*(1+$F39)^(AJ$2), 0),0)</f>
        <v>0</v>
      </c>
      <c r="AK39" s="490">
        <f>IFERROR(IF(AK$6&lt;=$E$8,INDEX('Capital Costs'!$D$15:$G$55,MATCH('Capital Cost Escalation'!$E39,'Capital Costs'!$B$15:$B$55,0),MATCH('Capital Cost Escalation'!$C39,'Capital Costs'!$D$7:$G$7,0))*AK$8*(1+$F39)^(AK$2), 0),0)</f>
        <v>0</v>
      </c>
      <c r="AL39" s="490">
        <f>IFERROR(IF(AL$6&lt;=$E$8,INDEX('Capital Costs'!$D$15:$G$55,MATCH('Capital Cost Escalation'!$E39,'Capital Costs'!$B$15:$B$55,0),MATCH('Capital Cost Escalation'!$C39,'Capital Costs'!$D$7:$G$7,0))*AL$8*(1+$F39)^(AL$2), 0),0)</f>
        <v>0</v>
      </c>
      <c r="AM39" s="490">
        <f>IFERROR(IF(AM$6&lt;=$E$8,INDEX('Capital Costs'!$D$15:$G$55,MATCH('Capital Cost Escalation'!$E39,'Capital Costs'!$B$15:$B$55,0),MATCH('Capital Cost Escalation'!$C39,'Capital Costs'!$D$7:$G$7,0))*AM$8*(1+$F39)^(AM$2), 0),0)</f>
        <v>0</v>
      </c>
      <c r="AN39" s="490">
        <f>IFERROR(IF(AN$6&lt;=$E$8,INDEX('Capital Costs'!$D$15:$G$55,MATCH('Capital Cost Escalation'!$E39,'Capital Costs'!$B$15:$B$55,0),MATCH('Capital Cost Escalation'!$C39,'Capital Costs'!$D$7:$G$7,0))*AN$8*(1+$F39)^(AN$2), 0),0)</f>
        <v>0</v>
      </c>
      <c r="AO39" s="490">
        <f>IFERROR(IF(AO$6&lt;=$E$8,INDEX('Capital Costs'!$D$15:$G$55,MATCH('Capital Cost Escalation'!$E39,'Capital Costs'!$B$15:$B$55,0),MATCH('Capital Cost Escalation'!$C39,'Capital Costs'!$D$7:$G$7,0))*AO$8*(1+$F39)^(AO$2), 0),0)</f>
        <v>0</v>
      </c>
      <c r="AP39" s="490">
        <f>IFERROR(IF(AP$6&lt;=$E$8,INDEX('Capital Costs'!$D$15:$G$55,MATCH('Capital Cost Escalation'!$E39,'Capital Costs'!$B$15:$B$55,0),MATCH('Capital Cost Escalation'!$C39,'Capital Costs'!$D$7:$G$7,0))*AP$8*(1+$F39)^(AP$2), 0),0)</f>
        <v>0</v>
      </c>
      <c r="AQ39" s="490">
        <f>IFERROR(IF(AQ$6&lt;=$E$8,INDEX('Capital Costs'!$D$15:$G$55,MATCH('Capital Cost Escalation'!$E39,'Capital Costs'!$B$15:$B$55,0),MATCH('Capital Cost Escalation'!$C39,'Capital Costs'!$D$7:$G$7,0))*AQ$8*(1+$F39)^(AQ$2), 0),0)</f>
        <v>0</v>
      </c>
      <c r="AR39" s="490">
        <f>IFERROR(IF(AR$6&lt;=$E$8,INDEX('Capital Costs'!$D$15:$G$55,MATCH('Capital Cost Escalation'!$E39,'Capital Costs'!$B$15:$B$55,0),MATCH('Capital Cost Escalation'!$C39,'Capital Costs'!$D$7:$G$7,0))*AR$8*(1+$F39)^(AR$2), 0),0)</f>
        <v>0</v>
      </c>
      <c r="AS39" s="490">
        <f>IFERROR(IF(AS$6&lt;=$E$8,INDEX('Capital Costs'!$D$15:$G$55,MATCH('Capital Cost Escalation'!$E39,'Capital Costs'!$B$15:$B$55,0),MATCH('Capital Cost Escalation'!$C39,'Capital Costs'!$D$7:$G$7,0))*AS$8*(1+$F39)^(AS$2), 0),0)</f>
        <v>0</v>
      </c>
      <c r="AT39" s="490">
        <f>IFERROR(IF(AT$6&lt;=$E$8,INDEX('Capital Costs'!$D$15:$G$55,MATCH('Capital Cost Escalation'!$E39,'Capital Costs'!$B$15:$B$55,0),MATCH('Capital Cost Escalation'!$C39,'Capital Costs'!$D$7:$G$7,0))*AT$8*(1+$F39)^(AT$2), 0),0)</f>
        <v>0</v>
      </c>
      <c r="AV39" s="827">
        <f t="shared" si="6"/>
        <v>8107143.0432649897</v>
      </c>
      <c r="AW39" s="828">
        <f>INDEX('Capital Costs'!$D$15:$G$55,MATCH('Capital Cost Escalation'!$E39,'Capital Costs'!$B$15:$B$55,0),MATCH('Capital Cost Escalation'!$C39,'Capital Costs'!$D$7:$G$7,0))</f>
        <v>7146800</v>
      </c>
    </row>
    <row r="40" spans="1:49">
      <c r="A40" s="487" t="str">
        <f t="shared" si="4"/>
        <v>__</v>
      </c>
      <c r="F40" s="1168"/>
      <c r="G40" s="490"/>
      <c r="H40" s="490"/>
      <c r="I40" s="490"/>
      <c r="J40" s="490"/>
      <c r="K40" s="490"/>
      <c r="L40" s="490"/>
      <c r="M40" s="490"/>
      <c r="N40" s="490"/>
      <c r="O40" s="490"/>
      <c r="P40" s="490"/>
      <c r="Q40" s="490"/>
      <c r="R40" s="490"/>
      <c r="S40" s="490"/>
      <c r="T40" s="490"/>
      <c r="U40" s="490"/>
      <c r="V40" s="490"/>
      <c r="W40" s="490"/>
      <c r="X40" s="490"/>
      <c r="Y40" s="490"/>
      <c r="Z40" s="490"/>
      <c r="AA40" s="490"/>
      <c r="AB40" s="490"/>
      <c r="AC40" s="490"/>
      <c r="AD40" s="490"/>
      <c r="AE40" s="490"/>
      <c r="AF40" s="490"/>
      <c r="AG40" s="490"/>
      <c r="AH40" s="490"/>
      <c r="AI40" s="490"/>
      <c r="AJ40" s="490"/>
      <c r="AK40" s="490"/>
      <c r="AL40" s="490"/>
      <c r="AM40" s="490"/>
      <c r="AN40" s="490"/>
      <c r="AO40" s="490"/>
      <c r="AP40" s="490"/>
      <c r="AQ40" s="490"/>
      <c r="AR40" s="490"/>
      <c r="AS40" s="490"/>
      <c r="AT40" s="490"/>
      <c r="AV40" s="99"/>
      <c r="AW40" s="828"/>
    </row>
    <row r="41" spans="1:49">
      <c r="A41" s="487" t="str">
        <f t="shared" si="4"/>
        <v>CT_WMAAC_Gas Turbines</v>
      </c>
      <c r="B41" s="478" t="s">
        <v>76</v>
      </c>
      <c r="C41" s="488" t="s">
        <v>122</v>
      </c>
      <c r="E41" s="442" t="s">
        <v>129</v>
      </c>
      <c r="F41" s="1325">
        <f>INDEX('Capital Costs_Nominal$'!$F:$F,MATCH('Capital Cost Escalation'!$E41,'Capital Costs_Nominal$'!$C:$C,0),1)</f>
        <v>2.3944839450136257E-3</v>
      </c>
      <c r="G41" s="490">
        <f>IFERROR(IF(G$6&lt;=$E$8,INDEX('Capital Costs'!$D$15:$G$55,MATCH('Capital Cost Escalation'!$E41,'Capital Costs'!$B$15:$B$55,0),MATCH('Capital Cost Escalation'!$C41,'Capital Costs'!$D$7:$G$7,0))*G$8*(1+$F41)^(G$2), 0),0)</f>
        <v>277625.15389508533</v>
      </c>
      <c r="H41" s="490">
        <f>IFERROR(IF(H$6&lt;=$E$8,INDEX('Capital Costs'!$D$15:$G$55,MATCH('Capital Cost Escalation'!$E41,'Capital Costs'!$B$15:$B$55,0),MATCH('Capital Cost Escalation'!$C41,'Capital Costs'!$D$7:$G$7,0))*H$8*(1+$F41)^(H$2), 0),0)</f>
        <v>331128.04276013002</v>
      </c>
      <c r="I41" s="490">
        <f>IFERROR(IF(I$6&lt;=$E$8,INDEX('Capital Costs'!$D$15:$G$55,MATCH('Capital Cost Escalation'!$E41,'Capital Costs'!$B$15:$B$55,0),MATCH('Capital Cost Escalation'!$C41,'Capital Costs'!$D$7:$G$7,0))*I$8*(1+$F41)^(I$2), 0),0)</f>
        <v>2002838.4591813346</v>
      </c>
      <c r="J41" s="490">
        <f>IFERROR(IF(J$6&lt;=$E$8,INDEX('Capital Costs'!$D$15:$G$55,MATCH('Capital Cost Escalation'!$E41,'Capital Costs'!$B$15:$B$55,0),MATCH('Capital Cost Escalation'!$C41,'Capital Costs'!$D$7:$G$7,0))*J$8*(1+$F41)^(J$2), 0),0)</f>
        <v>618924.67649505974</v>
      </c>
      <c r="K41" s="490">
        <f>IFERROR(IF(K$6&lt;=$E$8,INDEX('Capital Costs'!$D$15:$G$55,MATCH('Capital Cost Escalation'!$E41,'Capital Costs'!$B$15:$B$55,0),MATCH('Capital Cost Escalation'!$C41,'Capital Costs'!$D$7:$G$7,0))*K$8*(1+$F41)^(K$2), 0),0)</f>
        <v>1353284.0377057476</v>
      </c>
      <c r="L41" s="490">
        <f>IFERROR(IF(L$6&lt;=$E$8,INDEX('Capital Costs'!$D$15:$G$55,MATCH('Capital Cost Escalation'!$E41,'Capital Costs'!$B$15:$B$55,0),MATCH('Capital Cost Escalation'!$C41,'Capital Costs'!$D$7:$G$7,0))*L$8*(1+$F41)^(L$2), 0),0)</f>
        <v>858536.30050035799</v>
      </c>
      <c r="M41" s="490">
        <f>IFERROR(IF(M$6&lt;=$E$8,INDEX('Capital Costs'!$D$15:$G$55,MATCH('Capital Cost Escalation'!$E41,'Capital Costs'!$B$15:$B$55,0),MATCH('Capital Cost Escalation'!$C41,'Capital Costs'!$D$7:$G$7,0))*M$8*(1+$F41)^(M$2), 0),0)</f>
        <v>1686497.1727966836</v>
      </c>
      <c r="N41" s="490">
        <f>IFERROR(IF(N$6&lt;=$E$8,INDEX('Capital Costs'!$D$15:$G$55,MATCH('Capital Cost Escalation'!$E41,'Capital Costs'!$B$15:$B$55,0),MATCH('Capital Cost Escalation'!$C41,'Capital Costs'!$D$7:$G$7,0))*N$8*(1+$F41)^(N$2), 0),0)</f>
        <v>2242255.6713924049</v>
      </c>
      <c r="O41" s="490">
        <f>IFERROR(IF(O$6&lt;=$E$8,INDEX('Capital Costs'!$D$15:$G$55,MATCH('Capital Cost Escalation'!$E41,'Capital Costs'!$B$15:$B$55,0),MATCH('Capital Cost Escalation'!$C41,'Capital Costs'!$D$7:$G$7,0))*O$8*(1+$F41)^(O$2), 0),0)</f>
        <v>3137004.9320109608</v>
      </c>
      <c r="P41" s="490">
        <f>IFERROR(IF(P$6&lt;=$E$8,INDEX('Capital Costs'!$D$15:$G$55,MATCH('Capital Cost Escalation'!$E41,'Capital Costs'!$B$15:$B$55,0),MATCH('Capital Cost Escalation'!$C41,'Capital Costs'!$D$7:$G$7,0))*P$8*(1+$F41)^(P$2), 0),0)</f>
        <v>5226833.7064386904</v>
      </c>
      <c r="Q41" s="490">
        <f>IFERROR(IF(Q$6&lt;=$E$8,INDEX('Capital Costs'!$D$15:$G$55,MATCH('Capital Cost Escalation'!$E41,'Capital Costs'!$B$15:$B$55,0),MATCH('Capital Cost Escalation'!$C41,'Capital Costs'!$D$7:$G$7,0))*Q$8*(1+$F41)^(Q$2), 0),0)</f>
        <v>6364953.7993481541</v>
      </c>
      <c r="R41" s="490">
        <f>IFERROR(IF(R$6&lt;=$E$8,INDEX('Capital Costs'!$D$15:$G$55,MATCH('Capital Cost Escalation'!$E41,'Capital Costs'!$B$15:$B$55,0),MATCH('Capital Cost Escalation'!$C41,'Capital Costs'!$D$7:$G$7,0))*R$8*(1+$F41)^(R$2), 0),0)</f>
        <v>8161214.7579506002</v>
      </c>
      <c r="S41" s="490">
        <f>IFERROR(IF(S$6&lt;=$E$8,INDEX('Capital Costs'!$D$15:$G$55,MATCH('Capital Cost Escalation'!$E41,'Capital Costs'!$B$15:$B$55,0),MATCH('Capital Cost Escalation'!$C41,'Capital Costs'!$D$7:$G$7,0))*S$8*(1+$F41)^(S$2), 0),0)</f>
        <v>9095047.8181596305</v>
      </c>
      <c r="T41" s="490">
        <f>IFERROR(IF(T$6&lt;=$E$8,INDEX('Capital Costs'!$D$15:$G$55,MATCH('Capital Cost Escalation'!$E41,'Capital Costs'!$B$15:$B$55,0),MATCH('Capital Cost Escalation'!$C41,'Capital Costs'!$D$7:$G$7,0))*T$8*(1+$F41)^(T$2), 0),0)</f>
        <v>9671378.7289480772</v>
      </c>
      <c r="U41" s="490">
        <f>IFERROR(IF(U$6&lt;=$E$8,INDEX('Capital Costs'!$D$15:$G$55,MATCH('Capital Cost Escalation'!$E41,'Capital Costs'!$B$15:$B$55,0),MATCH('Capital Cost Escalation'!$C41,'Capital Costs'!$D$7:$G$7,0))*U$8*(1+$F41)^(U$2), 0),0)</f>
        <v>9074520.7414964344</v>
      </c>
      <c r="V41" s="490">
        <f>IFERROR(IF(V$6&lt;=$E$8,INDEX('Capital Costs'!$D$15:$G$55,MATCH('Capital Cost Escalation'!$E41,'Capital Costs'!$B$15:$B$55,0),MATCH('Capital Cost Escalation'!$C41,'Capital Costs'!$D$7:$G$7,0))*V$8*(1+$F41)^(V$2), 0),0)</f>
        <v>8043753.050796479</v>
      </c>
      <c r="W41" s="490">
        <f>IFERROR(IF(W$6&lt;=$E$8,INDEX('Capital Costs'!$D$15:$G$55,MATCH('Capital Cost Escalation'!$E41,'Capital Costs'!$B$15:$B$55,0),MATCH('Capital Cost Escalation'!$C41,'Capital Costs'!$D$7:$G$7,0))*W$8*(1+$F41)^(W$2), 0),0)</f>
        <v>6117948.9116165722</v>
      </c>
      <c r="X41" s="490">
        <f>IFERROR(IF(X$6&lt;=$E$8,INDEX('Capital Costs'!$D$15:$G$55,MATCH('Capital Cost Escalation'!$E41,'Capital Costs'!$B$15:$B$55,0),MATCH('Capital Cost Escalation'!$C41,'Capital Costs'!$D$7:$G$7,0))*X$8*(1+$F41)^(X$2), 0),0)</f>
        <v>3408589.0012382334</v>
      </c>
      <c r="Y41" s="490">
        <f>IFERROR(IF(Y$6&lt;=$E$8,INDEX('Capital Costs'!$D$15:$G$55,MATCH('Capital Cost Escalation'!$E41,'Capital Costs'!$B$15:$B$55,0),MATCH('Capital Cost Escalation'!$C41,'Capital Costs'!$D$7:$G$7,0))*Y$8*(1+$F41)^(Y$2), 0),0)</f>
        <v>721882.45207176404</v>
      </c>
      <c r="Z41" s="490">
        <f>IFERROR(IF(Z$6&lt;=$E$8,INDEX('Capital Costs'!$D$15:$G$55,MATCH('Capital Cost Escalation'!$E41,'Capital Costs'!$B$15:$B$55,0),MATCH('Capital Cost Escalation'!$C41,'Capital Costs'!$D$7:$G$7,0))*Z$8*(1+$F41)^(Z$2), 0),0)</f>
        <v>161171.81479693716</v>
      </c>
      <c r="AA41" s="490">
        <f>IFERROR(IF(AA$6&lt;=$E$8,INDEX('Capital Costs'!$D$15:$G$55,MATCH('Capital Cost Escalation'!$E41,'Capital Costs'!$B$15:$B$55,0),MATCH('Capital Cost Escalation'!$C41,'Capital Costs'!$D$7:$G$7,0))*AA$8*(1+$F41)^(AA$2), 0),0)</f>
        <v>0</v>
      </c>
      <c r="AB41" s="490">
        <f>IFERROR(IF(AB$6&lt;=$E$8,INDEX('Capital Costs'!$D$15:$G$55,MATCH('Capital Cost Escalation'!$E41,'Capital Costs'!$B$15:$B$55,0),MATCH('Capital Cost Escalation'!$C41,'Capital Costs'!$D$7:$G$7,0))*AB$8*(1+$F41)^(AB$2), 0),0)</f>
        <v>0</v>
      </c>
      <c r="AC41" s="490">
        <f>IFERROR(IF(AC$6&lt;=$E$8,INDEX('Capital Costs'!$D$15:$G$55,MATCH('Capital Cost Escalation'!$E41,'Capital Costs'!$B$15:$B$55,0),MATCH('Capital Cost Escalation'!$C41,'Capital Costs'!$D$7:$G$7,0))*AC$8*(1+$F41)^(AC$2), 0),0)</f>
        <v>0</v>
      </c>
      <c r="AD41" s="490">
        <f>IFERROR(IF(AD$6&lt;=$E$8,INDEX('Capital Costs'!$D$15:$G$55,MATCH('Capital Cost Escalation'!$E41,'Capital Costs'!$B$15:$B$55,0),MATCH('Capital Cost Escalation'!$C41,'Capital Costs'!$D$7:$G$7,0))*AD$8*(1+$F41)^(AD$2), 0),0)</f>
        <v>0</v>
      </c>
      <c r="AE41" s="490">
        <f>IFERROR(IF(AE$6&lt;=$E$8,INDEX('Capital Costs'!$D$15:$G$55,MATCH('Capital Cost Escalation'!$E41,'Capital Costs'!$B$15:$B$55,0),MATCH('Capital Cost Escalation'!$C41,'Capital Costs'!$D$7:$G$7,0))*AE$8*(1+$F41)^(AE$2), 0),0)</f>
        <v>0</v>
      </c>
      <c r="AF41" s="490">
        <f>IFERROR(IF(AF$6&lt;=$E$8,INDEX('Capital Costs'!$D$15:$G$55,MATCH('Capital Cost Escalation'!$E41,'Capital Costs'!$B$15:$B$55,0),MATCH('Capital Cost Escalation'!$C41,'Capital Costs'!$D$7:$G$7,0))*AF$8*(1+$F41)^(AF$2), 0),0)</f>
        <v>0</v>
      </c>
      <c r="AG41" s="490">
        <f>IFERROR(IF(AG$6&lt;=$E$8,INDEX('Capital Costs'!$D$15:$G$55,MATCH('Capital Cost Escalation'!$E41,'Capital Costs'!$B$15:$B$55,0),MATCH('Capital Cost Escalation'!$C41,'Capital Costs'!$D$7:$G$7,0))*AG$8*(1+$F41)^(AG$2), 0),0)</f>
        <v>0</v>
      </c>
      <c r="AH41" s="490">
        <f>IFERROR(IF(AH$6&lt;=$E$8,INDEX('Capital Costs'!$D$15:$G$55,MATCH('Capital Cost Escalation'!$E41,'Capital Costs'!$B$15:$B$55,0),MATCH('Capital Cost Escalation'!$C41,'Capital Costs'!$D$7:$G$7,0))*AH$8*(1+$F41)^(AH$2), 0),0)</f>
        <v>0</v>
      </c>
      <c r="AI41" s="490">
        <f>IFERROR(IF(AI$6&lt;=$E$8,INDEX('Capital Costs'!$D$15:$G$55,MATCH('Capital Cost Escalation'!$E41,'Capital Costs'!$B$15:$B$55,0),MATCH('Capital Cost Escalation'!$C41,'Capital Costs'!$D$7:$G$7,0))*AI$8*(1+$F41)^(AI$2), 0),0)</f>
        <v>0</v>
      </c>
      <c r="AJ41" s="490">
        <f>IFERROR(IF(AJ$6&lt;=$E$8,INDEX('Capital Costs'!$D$15:$G$55,MATCH('Capital Cost Escalation'!$E41,'Capital Costs'!$B$15:$B$55,0),MATCH('Capital Cost Escalation'!$C41,'Capital Costs'!$D$7:$G$7,0))*AJ$8*(1+$F41)^(AJ$2), 0),0)</f>
        <v>0</v>
      </c>
      <c r="AK41" s="490">
        <f>IFERROR(IF(AK$6&lt;=$E$8,INDEX('Capital Costs'!$D$15:$G$55,MATCH('Capital Cost Escalation'!$E41,'Capital Costs'!$B$15:$B$55,0),MATCH('Capital Cost Escalation'!$C41,'Capital Costs'!$D$7:$G$7,0))*AK$8*(1+$F41)^(AK$2), 0),0)</f>
        <v>0</v>
      </c>
      <c r="AL41" s="490">
        <f>IFERROR(IF(AL$6&lt;=$E$8,INDEX('Capital Costs'!$D$15:$G$55,MATCH('Capital Cost Escalation'!$E41,'Capital Costs'!$B$15:$B$55,0),MATCH('Capital Cost Escalation'!$C41,'Capital Costs'!$D$7:$G$7,0))*AL$8*(1+$F41)^(AL$2), 0),0)</f>
        <v>0</v>
      </c>
      <c r="AM41" s="490">
        <f>IFERROR(IF(AM$6&lt;=$E$8,INDEX('Capital Costs'!$D$15:$G$55,MATCH('Capital Cost Escalation'!$E41,'Capital Costs'!$B$15:$B$55,0),MATCH('Capital Cost Escalation'!$C41,'Capital Costs'!$D$7:$G$7,0))*AM$8*(1+$F41)^(AM$2), 0),0)</f>
        <v>0</v>
      </c>
      <c r="AN41" s="490">
        <f>IFERROR(IF(AN$6&lt;=$E$8,INDEX('Capital Costs'!$D$15:$G$55,MATCH('Capital Cost Escalation'!$E41,'Capital Costs'!$B$15:$B$55,0),MATCH('Capital Cost Escalation'!$C41,'Capital Costs'!$D$7:$G$7,0))*AN$8*(1+$F41)^(AN$2), 0),0)</f>
        <v>0</v>
      </c>
      <c r="AO41" s="490">
        <f>IFERROR(IF(AO$6&lt;=$E$8,INDEX('Capital Costs'!$D$15:$G$55,MATCH('Capital Cost Escalation'!$E41,'Capital Costs'!$B$15:$B$55,0),MATCH('Capital Cost Escalation'!$C41,'Capital Costs'!$D$7:$G$7,0))*AO$8*(1+$F41)^(AO$2), 0),0)</f>
        <v>0</v>
      </c>
      <c r="AP41" s="490">
        <f>IFERROR(IF(AP$6&lt;=$E$8,INDEX('Capital Costs'!$D$15:$G$55,MATCH('Capital Cost Escalation'!$E41,'Capital Costs'!$B$15:$B$55,0),MATCH('Capital Cost Escalation'!$C41,'Capital Costs'!$D$7:$G$7,0))*AP$8*(1+$F41)^(AP$2), 0),0)</f>
        <v>0</v>
      </c>
      <c r="AQ41" s="490">
        <f>IFERROR(IF(AQ$6&lt;=$E$8,INDEX('Capital Costs'!$D$15:$G$55,MATCH('Capital Cost Escalation'!$E41,'Capital Costs'!$B$15:$B$55,0),MATCH('Capital Cost Escalation'!$C41,'Capital Costs'!$D$7:$G$7,0))*AQ$8*(1+$F41)^(AQ$2), 0),0)</f>
        <v>0</v>
      </c>
      <c r="AR41" s="490">
        <f>IFERROR(IF(AR$6&lt;=$E$8,INDEX('Capital Costs'!$D$15:$G$55,MATCH('Capital Cost Escalation'!$E41,'Capital Costs'!$B$15:$B$55,0),MATCH('Capital Cost Escalation'!$C41,'Capital Costs'!$D$7:$G$7,0))*AR$8*(1+$F41)^(AR$2), 0),0)</f>
        <v>0</v>
      </c>
      <c r="AS41" s="490">
        <f>IFERROR(IF(AS$6&lt;=$E$8,INDEX('Capital Costs'!$D$15:$G$55,MATCH('Capital Cost Escalation'!$E41,'Capital Costs'!$B$15:$B$55,0),MATCH('Capital Cost Escalation'!$C41,'Capital Costs'!$D$7:$G$7,0))*AS$8*(1+$F41)^(AS$2), 0),0)</f>
        <v>0</v>
      </c>
      <c r="AT41" s="490">
        <f>IFERROR(IF(AT$6&lt;=$E$8,INDEX('Capital Costs'!$D$15:$G$55,MATCH('Capital Cost Escalation'!$E41,'Capital Costs'!$B$15:$B$55,0),MATCH('Capital Cost Escalation'!$C41,'Capital Costs'!$D$7:$G$7,0))*AT$8*(1+$F41)^(AT$2), 0),0)</f>
        <v>0</v>
      </c>
      <c r="AU41" s="491"/>
      <c r="AV41" s="827">
        <f>SUM(G41:AT41)</f>
        <v>78555389.229599342</v>
      </c>
      <c r="AW41" s="828">
        <f>INDEX('Capital Costs'!$D$15:$G$55,MATCH('Capital Cost Escalation'!$E41,'Capital Costs'!$B$15:$B$55,0),MATCH('Capital Cost Escalation'!$C41,'Capital Costs'!$D$7:$G$7,0))</f>
        <v>69250000</v>
      </c>
    </row>
    <row r="42" spans="1:49">
      <c r="A42" s="487" t="str">
        <f t="shared" si="4"/>
        <v>CT_WMAAC_HRSG / SCR</v>
      </c>
      <c r="B42" s="478" t="s">
        <v>76</v>
      </c>
      <c r="C42" s="488" t="s">
        <v>122</v>
      </c>
      <c r="E42" s="442" t="s">
        <v>130</v>
      </c>
      <c r="F42" s="1325">
        <f>INDEX('Capital Costs_Nominal$'!$F:$F,MATCH('Capital Cost Escalation'!$E42,'Capital Costs_Nominal$'!$C:$C,0),1)</f>
        <v>2.3944839450136257E-3</v>
      </c>
      <c r="G42" s="490">
        <f>IFERROR(IF(G$6&lt;=$E$8,INDEX('Capital Costs'!$D$15:$G$55,MATCH('Capital Cost Escalation'!$E42,'Capital Costs'!$B$15:$B$55,0),MATCH('Capital Cost Escalation'!$C42,'Capital Costs'!$D$7:$G$7,0))*G$8*(1+$F42)^(G$2), 0),0)</f>
        <v>118502.44276490164</v>
      </c>
      <c r="H42" s="490">
        <f>IFERROR(IF(H$6&lt;=$E$8,INDEX('Capital Costs'!$D$15:$G$55,MATCH('Capital Cost Escalation'!$E42,'Capital Costs'!$B$15:$B$55,0),MATCH('Capital Cost Escalation'!$C42,'Capital Costs'!$D$7:$G$7,0))*H$8*(1+$F42)^(H$2), 0),0)</f>
        <v>141339.79354718278</v>
      </c>
      <c r="I42" s="490">
        <f>IFERROR(IF(I$6&lt;=$E$8,INDEX('Capital Costs'!$D$15:$G$55,MATCH('Capital Cost Escalation'!$E42,'Capital Costs'!$B$15:$B$55,0),MATCH('Capital Cost Escalation'!$C42,'Capital Costs'!$D$7:$G$7,0))*I$8*(1+$F42)^(I$2), 0),0)</f>
        <v>854898.21994361235</v>
      </c>
      <c r="J42" s="490">
        <f>IFERROR(IF(J$6&lt;=$E$8,INDEX('Capital Costs'!$D$15:$G$55,MATCH('Capital Cost Escalation'!$E42,'Capital Costs'!$B$15:$B$55,0),MATCH('Capital Cost Escalation'!$C42,'Capital Costs'!$D$7:$G$7,0))*J$8*(1+$F42)^(J$2), 0),0)</f>
        <v>264183.86454945587</v>
      </c>
      <c r="K42" s="490">
        <f>IFERROR(IF(K$6&lt;=$E$8,INDEX('Capital Costs'!$D$15:$G$55,MATCH('Capital Cost Escalation'!$E42,'Capital Costs'!$B$15:$B$55,0),MATCH('Capital Cost Escalation'!$C42,'Capital Costs'!$D$7:$G$7,0))*K$8*(1+$F42)^(K$2), 0),0)</f>
        <v>577640.25331610721</v>
      </c>
      <c r="L42" s="490">
        <f>IFERROR(IF(L$6&lt;=$E$8,INDEX('Capital Costs'!$D$15:$G$55,MATCH('Capital Cost Escalation'!$E42,'Capital Costs'!$B$15:$B$55,0),MATCH('Capital Cost Escalation'!$C42,'Capital Costs'!$D$7:$G$7,0))*L$8*(1+$F42)^(L$2), 0),0)</f>
        <v>366460.48596187774</v>
      </c>
      <c r="M42" s="490">
        <f>IFERROR(IF(M$6&lt;=$E$8,INDEX('Capital Costs'!$D$15:$G$55,MATCH('Capital Cost Escalation'!$E42,'Capital Costs'!$B$15:$B$55,0),MATCH('Capital Cost Escalation'!$C42,'Capital Costs'!$D$7:$G$7,0))*M$8*(1+$F42)^(M$2), 0),0)</f>
        <v>719870.05459898757</v>
      </c>
      <c r="N42" s="490">
        <f>IFERROR(IF(N$6&lt;=$E$8,INDEX('Capital Costs'!$D$15:$G$55,MATCH('Capital Cost Escalation'!$E42,'Capital Costs'!$B$15:$B$55,0),MATCH('Capital Cost Escalation'!$C42,'Capital Costs'!$D$7:$G$7,0))*N$8*(1+$F42)^(N$2), 0),0)</f>
        <v>957091.857980086</v>
      </c>
      <c r="O42" s="490">
        <f>IFERROR(IF(O$6&lt;=$E$8,INDEX('Capital Costs'!$D$15:$G$55,MATCH('Capital Cost Escalation'!$E42,'Capital Costs'!$B$15:$B$55,0),MATCH('Capital Cost Escalation'!$C42,'Capital Costs'!$D$7:$G$7,0))*O$8*(1+$F42)^(O$2), 0),0)</f>
        <v>1339009.6041129068</v>
      </c>
      <c r="P42" s="490">
        <f>IFERROR(IF(P$6&lt;=$E$8,INDEX('Capital Costs'!$D$15:$G$55,MATCH('Capital Cost Escalation'!$E42,'Capital Costs'!$B$15:$B$55,0),MATCH('Capital Cost Escalation'!$C42,'Capital Costs'!$D$7:$G$7,0))*P$8*(1+$F42)^(P$2), 0),0)</f>
        <v>2231039.0591371926</v>
      </c>
      <c r="Q42" s="490">
        <f>IFERROR(IF(Q$6&lt;=$E$8,INDEX('Capital Costs'!$D$15:$G$55,MATCH('Capital Cost Escalation'!$E42,'Capital Costs'!$B$15:$B$55,0),MATCH('Capital Cost Escalation'!$C42,'Capital Costs'!$D$7:$G$7,0))*Q$8*(1+$F42)^(Q$2), 0),0)</f>
        <v>2716838.019632522</v>
      </c>
      <c r="R42" s="490">
        <f>IFERROR(IF(R$6&lt;=$E$8,INDEX('Capital Costs'!$D$15:$G$55,MATCH('Capital Cost Escalation'!$E42,'Capital Costs'!$B$15:$B$55,0),MATCH('Capital Cost Escalation'!$C42,'Capital Costs'!$D$7:$G$7,0))*R$8*(1+$F42)^(R$2), 0),0)</f>
        <v>3483560.0131232631</v>
      </c>
      <c r="S42" s="490">
        <f>IFERROR(IF(S$6&lt;=$E$8,INDEX('Capital Costs'!$D$15:$G$55,MATCH('Capital Cost Escalation'!$E42,'Capital Costs'!$B$15:$B$55,0),MATCH('Capital Cost Escalation'!$C42,'Capital Costs'!$D$7:$G$7,0))*S$8*(1+$F42)^(S$2), 0),0)</f>
        <v>3882160.4180822917</v>
      </c>
      <c r="T42" s="490">
        <f>IFERROR(IF(T$6&lt;=$E$8,INDEX('Capital Costs'!$D$15:$G$55,MATCH('Capital Cost Escalation'!$E42,'Capital Costs'!$B$15:$B$55,0),MATCH('Capital Cost Escalation'!$C42,'Capital Costs'!$D$7:$G$7,0))*T$8*(1+$F42)^(T$2), 0),0)</f>
        <v>4128163.418210879</v>
      </c>
      <c r="U42" s="490">
        <f>IFERROR(IF(U$6&lt;=$E$8,INDEX('Capital Costs'!$D$15:$G$55,MATCH('Capital Cost Escalation'!$E42,'Capital Costs'!$B$15:$B$55,0),MATCH('Capital Cost Escalation'!$C42,'Capital Costs'!$D$7:$G$7,0))*U$8*(1+$F42)^(U$2), 0),0)</f>
        <v>3873398.5725028003</v>
      </c>
      <c r="V42" s="490">
        <f>IFERROR(IF(V$6&lt;=$E$8,INDEX('Capital Costs'!$D$15:$G$55,MATCH('Capital Cost Escalation'!$E42,'Capital Costs'!$B$15:$B$55,0),MATCH('Capital Cost Escalation'!$C42,'Capital Costs'!$D$7:$G$7,0))*V$8*(1+$F42)^(V$2), 0),0)</f>
        <v>3433422.2679160731</v>
      </c>
      <c r="W42" s="490">
        <f>IFERROR(IF(W$6&lt;=$E$8,INDEX('Capital Costs'!$D$15:$G$55,MATCH('Capital Cost Escalation'!$E42,'Capital Costs'!$B$15:$B$55,0),MATCH('Capital Cost Escalation'!$C42,'Capital Costs'!$D$7:$G$7,0))*W$8*(1+$F42)^(W$2), 0),0)</f>
        <v>2611405.6329759294</v>
      </c>
      <c r="X42" s="490">
        <f>IFERROR(IF(X$6&lt;=$E$8,INDEX('Capital Costs'!$D$15:$G$55,MATCH('Capital Cost Escalation'!$E42,'Capital Costs'!$B$15:$B$55,0),MATCH('Capital Cost Escalation'!$C42,'Capital Costs'!$D$7:$G$7,0))*X$8*(1+$F42)^(X$2), 0),0)</f>
        <v>1454933.4502339466</v>
      </c>
      <c r="Y42" s="490">
        <f>IFERROR(IF(Y$6&lt;=$E$8,INDEX('Capital Costs'!$D$15:$G$55,MATCH('Capital Cost Escalation'!$E42,'Capital Costs'!$B$15:$B$55,0),MATCH('Capital Cost Escalation'!$C42,'Capital Costs'!$D$7:$G$7,0))*Y$8*(1+$F42)^(Y$2), 0),0)</f>
        <v>308130.70343023923</v>
      </c>
      <c r="Z42" s="490">
        <f>IFERROR(IF(Z$6&lt;=$E$8,INDEX('Capital Costs'!$D$15:$G$55,MATCH('Capital Cost Escalation'!$E42,'Capital Costs'!$B$15:$B$55,0),MATCH('Capital Cost Escalation'!$C42,'Capital Costs'!$D$7:$G$7,0))*Z$8*(1+$F42)^(Z$2), 0),0)</f>
        <v>68795.112727814951</v>
      </c>
      <c r="AA42" s="490">
        <f>IFERROR(IF(AA$6&lt;=$E$8,INDEX('Capital Costs'!$D$15:$G$55,MATCH('Capital Cost Escalation'!$E42,'Capital Costs'!$B$15:$B$55,0),MATCH('Capital Cost Escalation'!$C42,'Capital Costs'!$D$7:$G$7,0))*AA$8*(1+$F42)^(AA$2), 0),0)</f>
        <v>0</v>
      </c>
      <c r="AB42" s="490">
        <f>IFERROR(IF(AB$6&lt;=$E$8,INDEX('Capital Costs'!$D$15:$G$55,MATCH('Capital Cost Escalation'!$E42,'Capital Costs'!$B$15:$B$55,0),MATCH('Capital Cost Escalation'!$C42,'Capital Costs'!$D$7:$G$7,0))*AB$8*(1+$F42)^(AB$2), 0),0)</f>
        <v>0</v>
      </c>
      <c r="AC42" s="490">
        <f>IFERROR(IF(AC$6&lt;=$E$8,INDEX('Capital Costs'!$D$15:$G$55,MATCH('Capital Cost Escalation'!$E42,'Capital Costs'!$B$15:$B$55,0),MATCH('Capital Cost Escalation'!$C42,'Capital Costs'!$D$7:$G$7,0))*AC$8*(1+$F42)^(AC$2), 0),0)</f>
        <v>0</v>
      </c>
      <c r="AD42" s="490">
        <f>IFERROR(IF(AD$6&lt;=$E$8,INDEX('Capital Costs'!$D$15:$G$55,MATCH('Capital Cost Escalation'!$E42,'Capital Costs'!$B$15:$B$55,0),MATCH('Capital Cost Escalation'!$C42,'Capital Costs'!$D$7:$G$7,0))*AD$8*(1+$F42)^(AD$2), 0),0)</f>
        <v>0</v>
      </c>
      <c r="AE42" s="490">
        <f>IFERROR(IF(AE$6&lt;=$E$8,INDEX('Capital Costs'!$D$15:$G$55,MATCH('Capital Cost Escalation'!$E42,'Capital Costs'!$B$15:$B$55,0),MATCH('Capital Cost Escalation'!$C42,'Capital Costs'!$D$7:$G$7,0))*AE$8*(1+$F42)^(AE$2), 0),0)</f>
        <v>0</v>
      </c>
      <c r="AF42" s="490">
        <f>IFERROR(IF(AF$6&lt;=$E$8,INDEX('Capital Costs'!$D$15:$G$55,MATCH('Capital Cost Escalation'!$E42,'Capital Costs'!$B$15:$B$55,0),MATCH('Capital Cost Escalation'!$C42,'Capital Costs'!$D$7:$G$7,0))*AF$8*(1+$F42)^(AF$2), 0),0)</f>
        <v>0</v>
      </c>
      <c r="AG42" s="490">
        <f>IFERROR(IF(AG$6&lt;=$E$8,INDEX('Capital Costs'!$D$15:$G$55,MATCH('Capital Cost Escalation'!$E42,'Capital Costs'!$B$15:$B$55,0),MATCH('Capital Cost Escalation'!$C42,'Capital Costs'!$D$7:$G$7,0))*AG$8*(1+$F42)^(AG$2), 0),0)</f>
        <v>0</v>
      </c>
      <c r="AH42" s="490">
        <f>IFERROR(IF(AH$6&lt;=$E$8,INDEX('Capital Costs'!$D$15:$G$55,MATCH('Capital Cost Escalation'!$E42,'Capital Costs'!$B$15:$B$55,0),MATCH('Capital Cost Escalation'!$C42,'Capital Costs'!$D$7:$G$7,0))*AH$8*(1+$F42)^(AH$2), 0),0)</f>
        <v>0</v>
      </c>
      <c r="AI42" s="490">
        <f>IFERROR(IF(AI$6&lt;=$E$8,INDEX('Capital Costs'!$D$15:$G$55,MATCH('Capital Cost Escalation'!$E42,'Capital Costs'!$B$15:$B$55,0),MATCH('Capital Cost Escalation'!$C42,'Capital Costs'!$D$7:$G$7,0))*AI$8*(1+$F42)^(AI$2), 0),0)</f>
        <v>0</v>
      </c>
      <c r="AJ42" s="490">
        <f>IFERROR(IF(AJ$6&lt;=$E$8,INDEX('Capital Costs'!$D$15:$G$55,MATCH('Capital Cost Escalation'!$E42,'Capital Costs'!$B$15:$B$55,0),MATCH('Capital Cost Escalation'!$C42,'Capital Costs'!$D$7:$G$7,0))*AJ$8*(1+$F42)^(AJ$2), 0),0)</f>
        <v>0</v>
      </c>
      <c r="AK42" s="490">
        <f>IFERROR(IF(AK$6&lt;=$E$8,INDEX('Capital Costs'!$D$15:$G$55,MATCH('Capital Cost Escalation'!$E42,'Capital Costs'!$B$15:$B$55,0),MATCH('Capital Cost Escalation'!$C42,'Capital Costs'!$D$7:$G$7,0))*AK$8*(1+$F42)^(AK$2), 0),0)</f>
        <v>0</v>
      </c>
      <c r="AL42" s="490">
        <f>IFERROR(IF(AL$6&lt;=$E$8,INDEX('Capital Costs'!$D$15:$G$55,MATCH('Capital Cost Escalation'!$E42,'Capital Costs'!$B$15:$B$55,0),MATCH('Capital Cost Escalation'!$C42,'Capital Costs'!$D$7:$G$7,0))*AL$8*(1+$F42)^(AL$2), 0),0)</f>
        <v>0</v>
      </c>
      <c r="AM42" s="490">
        <f>IFERROR(IF(AM$6&lt;=$E$8,INDEX('Capital Costs'!$D$15:$G$55,MATCH('Capital Cost Escalation'!$E42,'Capital Costs'!$B$15:$B$55,0),MATCH('Capital Cost Escalation'!$C42,'Capital Costs'!$D$7:$G$7,0))*AM$8*(1+$F42)^(AM$2), 0),0)</f>
        <v>0</v>
      </c>
      <c r="AN42" s="490">
        <f>IFERROR(IF(AN$6&lt;=$E$8,INDEX('Capital Costs'!$D$15:$G$55,MATCH('Capital Cost Escalation'!$E42,'Capital Costs'!$B$15:$B$55,0),MATCH('Capital Cost Escalation'!$C42,'Capital Costs'!$D$7:$G$7,0))*AN$8*(1+$F42)^(AN$2), 0),0)</f>
        <v>0</v>
      </c>
      <c r="AO42" s="490">
        <f>IFERROR(IF(AO$6&lt;=$E$8,INDEX('Capital Costs'!$D$15:$G$55,MATCH('Capital Cost Escalation'!$E42,'Capital Costs'!$B$15:$B$55,0),MATCH('Capital Cost Escalation'!$C42,'Capital Costs'!$D$7:$G$7,0))*AO$8*(1+$F42)^(AO$2), 0),0)</f>
        <v>0</v>
      </c>
      <c r="AP42" s="490">
        <f>IFERROR(IF(AP$6&lt;=$E$8,INDEX('Capital Costs'!$D$15:$G$55,MATCH('Capital Cost Escalation'!$E42,'Capital Costs'!$B$15:$B$55,0),MATCH('Capital Cost Escalation'!$C42,'Capital Costs'!$D$7:$G$7,0))*AP$8*(1+$F42)^(AP$2), 0),0)</f>
        <v>0</v>
      </c>
      <c r="AQ42" s="490">
        <f>IFERROR(IF(AQ$6&lt;=$E$8,INDEX('Capital Costs'!$D$15:$G$55,MATCH('Capital Cost Escalation'!$E42,'Capital Costs'!$B$15:$B$55,0),MATCH('Capital Cost Escalation'!$C42,'Capital Costs'!$D$7:$G$7,0))*AQ$8*(1+$F42)^(AQ$2), 0),0)</f>
        <v>0</v>
      </c>
      <c r="AR42" s="490">
        <f>IFERROR(IF(AR$6&lt;=$E$8,INDEX('Capital Costs'!$D$15:$G$55,MATCH('Capital Cost Escalation'!$E42,'Capital Costs'!$B$15:$B$55,0),MATCH('Capital Cost Escalation'!$C42,'Capital Costs'!$D$7:$G$7,0))*AR$8*(1+$F42)^(AR$2), 0),0)</f>
        <v>0</v>
      </c>
      <c r="AS42" s="490">
        <f>IFERROR(IF(AS$6&lt;=$E$8,INDEX('Capital Costs'!$D$15:$G$55,MATCH('Capital Cost Escalation'!$E42,'Capital Costs'!$B$15:$B$55,0),MATCH('Capital Cost Escalation'!$C42,'Capital Costs'!$D$7:$G$7,0))*AS$8*(1+$F42)^(AS$2), 0),0)</f>
        <v>0</v>
      </c>
      <c r="AT42" s="490">
        <f>IFERROR(IF(AT$6&lt;=$E$8,INDEX('Capital Costs'!$D$15:$G$55,MATCH('Capital Cost Escalation'!$E42,'Capital Costs'!$B$15:$B$55,0),MATCH('Capital Cost Escalation'!$C42,'Capital Costs'!$D$7:$G$7,0))*AT$8*(1+$F42)^(AT$2), 0),0)</f>
        <v>0</v>
      </c>
      <c r="AV42" s="827">
        <f t="shared" ref="AV42:AV48" si="7">SUM(G42:AT42)</f>
        <v>33530843.244748067</v>
      </c>
      <c r="AW42" s="828">
        <f>INDEX('Capital Costs'!$D$15:$G$55,MATCH('Capital Cost Escalation'!$E42,'Capital Costs'!$B$15:$B$55,0),MATCH('Capital Cost Escalation'!$C42,'Capital Costs'!$D$7:$G$7,0))</f>
        <v>29558900</v>
      </c>
    </row>
    <row r="43" spans="1:49">
      <c r="A43" s="487" t="str">
        <f t="shared" si="4"/>
        <v>CT_WMAAC_Condenser</v>
      </c>
      <c r="B43" s="478" t="s">
        <v>76</v>
      </c>
      <c r="C43" s="488" t="s">
        <v>122</v>
      </c>
      <c r="E43" s="442" t="s">
        <v>134</v>
      </c>
      <c r="F43" s="1325">
        <f>INDEX('Capital Costs_Nominal$'!$F:$F,MATCH('Capital Cost Escalation'!$E43,'Capital Costs_Nominal$'!$C:$C,0),1)</f>
        <v>2.3944839450136257E-3</v>
      </c>
      <c r="G43" s="490">
        <f>IFERROR(IF(G$6&lt;=$E$8,INDEX('Capital Costs'!$D$15:$G$55,MATCH('Capital Cost Escalation'!$E43,'Capital Costs'!$B$15:$B$55,0),MATCH('Capital Cost Escalation'!$C43,'Capital Costs'!$D$7:$G$7,0))*G$8*(1+$F43)^(G$2), 0),0)</f>
        <v>0</v>
      </c>
      <c r="H43" s="490">
        <f>IFERROR(IF(H$6&lt;=$E$8,INDEX('Capital Costs'!$D$15:$G$55,MATCH('Capital Cost Escalation'!$E43,'Capital Costs'!$B$15:$B$55,0),MATCH('Capital Cost Escalation'!$C43,'Capital Costs'!$D$7:$G$7,0))*H$8*(1+$F43)^(H$2), 0),0)</f>
        <v>0</v>
      </c>
      <c r="I43" s="490">
        <f>IFERROR(IF(I$6&lt;=$E$8,INDEX('Capital Costs'!$D$15:$G$55,MATCH('Capital Cost Escalation'!$E43,'Capital Costs'!$B$15:$B$55,0),MATCH('Capital Cost Escalation'!$C43,'Capital Costs'!$D$7:$G$7,0))*I$8*(1+$F43)^(I$2), 0),0)</f>
        <v>0</v>
      </c>
      <c r="J43" s="490">
        <f>IFERROR(IF(J$6&lt;=$E$8,INDEX('Capital Costs'!$D$15:$G$55,MATCH('Capital Cost Escalation'!$E43,'Capital Costs'!$B$15:$B$55,0),MATCH('Capital Cost Escalation'!$C43,'Capital Costs'!$D$7:$G$7,0))*J$8*(1+$F43)^(J$2), 0),0)</f>
        <v>0</v>
      </c>
      <c r="K43" s="490">
        <f>IFERROR(IF(K$6&lt;=$E$8,INDEX('Capital Costs'!$D$15:$G$55,MATCH('Capital Cost Escalation'!$E43,'Capital Costs'!$B$15:$B$55,0),MATCH('Capital Cost Escalation'!$C43,'Capital Costs'!$D$7:$G$7,0))*K$8*(1+$F43)^(K$2), 0),0)</f>
        <v>0</v>
      </c>
      <c r="L43" s="490">
        <f>IFERROR(IF(L$6&lt;=$E$8,INDEX('Capital Costs'!$D$15:$G$55,MATCH('Capital Cost Escalation'!$E43,'Capital Costs'!$B$15:$B$55,0),MATCH('Capital Cost Escalation'!$C43,'Capital Costs'!$D$7:$G$7,0))*L$8*(1+$F43)^(L$2), 0),0)</f>
        <v>0</v>
      </c>
      <c r="M43" s="490">
        <f>IFERROR(IF(M$6&lt;=$E$8,INDEX('Capital Costs'!$D$15:$G$55,MATCH('Capital Cost Escalation'!$E43,'Capital Costs'!$B$15:$B$55,0),MATCH('Capital Cost Escalation'!$C43,'Capital Costs'!$D$7:$G$7,0))*M$8*(1+$F43)^(M$2), 0),0)</f>
        <v>0</v>
      </c>
      <c r="N43" s="490">
        <f>IFERROR(IF(N$6&lt;=$E$8,INDEX('Capital Costs'!$D$15:$G$55,MATCH('Capital Cost Escalation'!$E43,'Capital Costs'!$B$15:$B$55,0),MATCH('Capital Cost Escalation'!$C43,'Capital Costs'!$D$7:$G$7,0))*N$8*(1+$F43)^(N$2), 0),0)</f>
        <v>0</v>
      </c>
      <c r="O43" s="490">
        <f>IFERROR(IF(O$6&lt;=$E$8,INDEX('Capital Costs'!$D$15:$G$55,MATCH('Capital Cost Escalation'!$E43,'Capital Costs'!$B$15:$B$55,0),MATCH('Capital Cost Escalation'!$C43,'Capital Costs'!$D$7:$G$7,0))*O$8*(1+$F43)^(O$2), 0),0)</f>
        <v>0</v>
      </c>
      <c r="P43" s="490">
        <f>IFERROR(IF(P$6&lt;=$E$8,INDEX('Capital Costs'!$D$15:$G$55,MATCH('Capital Cost Escalation'!$E43,'Capital Costs'!$B$15:$B$55,0),MATCH('Capital Cost Escalation'!$C43,'Capital Costs'!$D$7:$G$7,0))*P$8*(1+$F43)^(P$2), 0),0)</f>
        <v>0</v>
      </c>
      <c r="Q43" s="490">
        <f>IFERROR(IF(Q$6&lt;=$E$8,INDEX('Capital Costs'!$D$15:$G$55,MATCH('Capital Cost Escalation'!$E43,'Capital Costs'!$B$15:$B$55,0),MATCH('Capital Cost Escalation'!$C43,'Capital Costs'!$D$7:$G$7,0))*Q$8*(1+$F43)^(Q$2), 0),0)</f>
        <v>0</v>
      </c>
      <c r="R43" s="490">
        <f>IFERROR(IF(R$6&lt;=$E$8,INDEX('Capital Costs'!$D$15:$G$55,MATCH('Capital Cost Escalation'!$E43,'Capital Costs'!$B$15:$B$55,0),MATCH('Capital Cost Escalation'!$C43,'Capital Costs'!$D$7:$G$7,0))*R$8*(1+$F43)^(R$2), 0),0)</f>
        <v>0</v>
      </c>
      <c r="S43" s="490">
        <f>IFERROR(IF(S$6&lt;=$E$8,INDEX('Capital Costs'!$D$15:$G$55,MATCH('Capital Cost Escalation'!$E43,'Capital Costs'!$B$15:$B$55,0),MATCH('Capital Cost Escalation'!$C43,'Capital Costs'!$D$7:$G$7,0))*S$8*(1+$F43)^(S$2), 0),0)</f>
        <v>0</v>
      </c>
      <c r="T43" s="490">
        <f>IFERROR(IF(T$6&lt;=$E$8,INDEX('Capital Costs'!$D$15:$G$55,MATCH('Capital Cost Escalation'!$E43,'Capital Costs'!$B$15:$B$55,0),MATCH('Capital Cost Escalation'!$C43,'Capital Costs'!$D$7:$G$7,0))*T$8*(1+$F43)^(T$2), 0),0)</f>
        <v>0</v>
      </c>
      <c r="U43" s="490">
        <f>IFERROR(IF(U$6&lt;=$E$8,INDEX('Capital Costs'!$D$15:$G$55,MATCH('Capital Cost Escalation'!$E43,'Capital Costs'!$B$15:$B$55,0),MATCH('Capital Cost Escalation'!$C43,'Capital Costs'!$D$7:$G$7,0))*U$8*(1+$F43)^(U$2), 0),0)</f>
        <v>0</v>
      </c>
      <c r="V43" s="490">
        <f>IFERROR(IF(V$6&lt;=$E$8,INDEX('Capital Costs'!$D$15:$G$55,MATCH('Capital Cost Escalation'!$E43,'Capital Costs'!$B$15:$B$55,0),MATCH('Capital Cost Escalation'!$C43,'Capital Costs'!$D$7:$G$7,0))*V$8*(1+$F43)^(V$2), 0),0)</f>
        <v>0</v>
      </c>
      <c r="W43" s="490">
        <f>IFERROR(IF(W$6&lt;=$E$8,INDEX('Capital Costs'!$D$15:$G$55,MATCH('Capital Cost Escalation'!$E43,'Capital Costs'!$B$15:$B$55,0),MATCH('Capital Cost Escalation'!$C43,'Capital Costs'!$D$7:$G$7,0))*W$8*(1+$F43)^(W$2), 0),0)</f>
        <v>0</v>
      </c>
      <c r="X43" s="490">
        <f>IFERROR(IF(X$6&lt;=$E$8,INDEX('Capital Costs'!$D$15:$G$55,MATCH('Capital Cost Escalation'!$E43,'Capital Costs'!$B$15:$B$55,0),MATCH('Capital Cost Escalation'!$C43,'Capital Costs'!$D$7:$G$7,0))*X$8*(1+$F43)^(X$2), 0),0)</f>
        <v>0</v>
      </c>
      <c r="Y43" s="490">
        <f>IFERROR(IF(Y$6&lt;=$E$8,INDEX('Capital Costs'!$D$15:$G$55,MATCH('Capital Cost Escalation'!$E43,'Capital Costs'!$B$15:$B$55,0),MATCH('Capital Cost Escalation'!$C43,'Capital Costs'!$D$7:$G$7,0))*Y$8*(1+$F43)^(Y$2), 0),0)</f>
        <v>0</v>
      </c>
      <c r="Z43" s="490">
        <f>IFERROR(IF(Z$6&lt;=$E$8,INDEX('Capital Costs'!$D$15:$G$55,MATCH('Capital Cost Escalation'!$E43,'Capital Costs'!$B$15:$B$55,0),MATCH('Capital Cost Escalation'!$C43,'Capital Costs'!$D$7:$G$7,0))*Z$8*(1+$F43)^(Z$2), 0),0)</f>
        <v>0</v>
      </c>
      <c r="AA43" s="490">
        <f>IFERROR(IF(AA$6&lt;=$E$8,INDEX('Capital Costs'!$D$15:$G$55,MATCH('Capital Cost Escalation'!$E43,'Capital Costs'!$B$15:$B$55,0),MATCH('Capital Cost Escalation'!$C43,'Capital Costs'!$D$7:$G$7,0))*AA$8*(1+$F43)^(AA$2), 0),0)</f>
        <v>0</v>
      </c>
      <c r="AB43" s="490">
        <f>IFERROR(IF(AB$6&lt;=$E$8,INDEX('Capital Costs'!$D$15:$G$55,MATCH('Capital Cost Escalation'!$E43,'Capital Costs'!$B$15:$B$55,0),MATCH('Capital Cost Escalation'!$C43,'Capital Costs'!$D$7:$G$7,0))*AB$8*(1+$F43)^(AB$2), 0),0)</f>
        <v>0</v>
      </c>
      <c r="AC43" s="490">
        <f>IFERROR(IF(AC$6&lt;=$E$8,INDEX('Capital Costs'!$D$15:$G$55,MATCH('Capital Cost Escalation'!$E43,'Capital Costs'!$B$15:$B$55,0),MATCH('Capital Cost Escalation'!$C43,'Capital Costs'!$D$7:$G$7,0))*AC$8*(1+$F43)^(AC$2), 0),0)</f>
        <v>0</v>
      </c>
      <c r="AD43" s="490">
        <f>IFERROR(IF(AD$6&lt;=$E$8,INDEX('Capital Costs'!$D$15:$G$55,MATCH('Capital Cost Escalation'!$E43,'Capital Costs'!$B$15:$B$55,0),MATCH('Capital Cost Escalation'!$C43,'Capital Costs'!$D$7:$G$7,0))*AD$8*(1+$F43)^(AD$2), 0),0)</f>
        <v>0</v>
      </c>
      <c r="AE43" s="490">
        <f>IFERROR(IF(AE$6&lt;=$E$8,INDEX('Capital Costs'!$D$15:$G$55,MATCH('Capital Cost Escalation'!$E43,'Capital Costs'!$B$15:$B$55,0),MATCH('Capital Cost Escalation'!$C43,'Capital Costs'!$D$7:$G$7,0))*AE$8*(1+$F43)^(AE$2), 0),0)</f>
        <v>0</v>
      </c>
      <c r="AF43" s="490">
        <f>IFERROR(IF(AF$6&lt;=$E$8,INDEX('Capital Costs'!$D$15:$G$55,MATCH('Capital Cost Escalation'!$E43,'Capital Costs'!$B$15:$B$55,0),MATCH('Capital Cost Escalation'!$C43,'Capital Costs'!$D$7:$G$7,0))*AF$8*(1+$F43)^(AF$2), 0),0)</f>
        <v>0</v>
      </c>
      <c r="AG43" s="490">
        <f>IFERROR(IF(AG$6&lt;=$E$8,INDEX('Capital Costs'!$D$15:$G$55,MATCH('Capital Cost Escalation'!$E43,'Capital Costs'!$B$15:$B$55,0),MATCH('Capital Cost Escalation'!$C43,'Capital Costs'!$D$7:$G$7,0))*AG$8*(1+$F43)^(AG$2), 0),0)</f>
        <v>0</v>
      </c>
      <c r="AH43" s="490">
        <f>IFERROR(IF(AH$6&lt;=$E$8,INDEX('Capital Costs'!$D$15:$G$55,MATCH('Capital Cost Escalation'!$E43,'Capital Costs'!$B$15:$B$55,0),MATCH('Capital Cost Escalation'!$C43,'Capital Costs'!$D$7:$G$7,0))*AH$8*(1+$F43)^(AH$2), 0),0)</f>
        <v>0</v>
      </c>
      <c r="AI43" s="490">
        <f>IFERROR(IF(AI$6&lt;=$E$8,INDEX('Capital Costs'!$D$15:$G$55,MATCH('Capital Cost Escalation'!$E43,'Capital Costs'!$B$15:$B$55,0),MATCH('Capital Cost Escalation'!$C43,'Capital Costs'!$D$7:$G$7,0))*AI$8*(1+$F43)^(AI$2), 0),0)</f>
        <v>0</v>
      </c>
      <c r="AJ43" s="490">
        <f>IFERROR(IF(AJ$6&lt;=$E$8,INDEX('Capital Costs'!$D$15:$G$55,MATCH('Capital Cost Escalation'!$E43,'Capital Costs'!$B$15:$B$55,0),MATCH('Capital Cost Escalation'!$C43,'Capital Costs'!$D$7:$G$7,0))*AJ$8*(1+$F43)^(AJ$2), 0),0)</f>
        <v>0</v>
      </c>
      <c r="AK43" s="490">
        <f>IFERROR(IF(AK$6&lt;=$E$8,INDEX('Capital Costs'!$D$15:$G$55,MATCH('Capital Cost Escalation'!$E43,'Capital Costs'!$B$15:$B$55,0),MATCH('Capital Cost Escalation'!$C43,'Capital Costs'!$D$7:$G$7,0))*AK$8*(1+$F43)^(AK$2), 0),0)</f>
        <v>0</v>
      </c>
      <c r="AL43" s="490">
        <f>IFERROR(IF(AL$6&lt;=$E$8,INDEX('Capital Costs'!$D$15:$G$55,MATCH('Capital Cost Escalation'!$E43,'Capital Costs'!$B$15:$B$55,0),MATCH('Capital Cost Escalation'!$C43,'Capital Costs'!$D$7:$G$7,0))*AL$8*(1+$F43)^(AL$2), 0),0)</f>
        <v>0</v>
      </c>
      <c r="AM43" s="490">
        <f>IFERROR(IF(AM$6&lt;=$E$8,INDEX('Capital Costs'!$D$15:$G$55,MATCH('Capital Cost Escalation'!$E43,'Capital Costs'!$B$15:$B$55,0),MATCH('Capital Cost Escalation'!$C43,'Capital Costs'!$D$7:$G$7,0))*AM$8*(1+$F43)^(AM$2), 0),0)</f>
        <v>0</v>
      </c>
      <c r="AN43" s="490">
        <f>IFERROR(IF(AN$6&lt;=$E$8,INDEX('Capital Costs'!$D$15:$G$55,MATCH('Capital Cost Escalation'!$E43,'Capital Costs'!$B$15:$B$55,0),MATCH('Capital Cost Escalation'!$C43,'Capital Costs'!$D$7:$G$7,0))*AN$8*(1+$F43)^(AN$2), 0),0)</f>
        <v>0</v>
      </c>
      <c r="AO43" s="490">
        <f>IFERROR(IF(AO$6&lt;=$E$8,INDEX('Capital Costs'!$D$15:$G$55,MATCH('Capital Cost Escalation'!$E43,'Capital Costs'!$B$15:$B$55,0),MATCH('Capital Cost Escalation'!$C43,'Capital Costs'!$D$7:$G$7,0))*AO$8*(1+$F43)^(AO$2), 0),0)</f>
        <v>0</v>
      </c>
      <c r="AP43" s="490">
        <f>IFERROR(IF(AP$6&lt;=$E$8,INDEX('Capital Costs'!$D$15:$G$55,MATCH('Capital Cost Escalation'!$E43,'Capital Costs'!$B$15:$B$55,0),MATCH('Capital Cost Escalation'!$C43,'Capital Costs'!$D$7:$G$7,0))*AP$8*(1+$F43)^(AP$2), 0),0)</f>
        <v>0</v>
      </c>
      <c r="AQ43" s="490">
        <f>IFERROR(IF(AQ$6&lt;=$E$8,INDEX('Capital Costs'!$D$15:$G$55,MATCH('Capital Cost Escalation'!$E43,'Capital Costs'!$B$15:$B$55,0),MATCH('Capital Cost Escalation'!$C43,'Capital Costs'!$D$7:$G$7,0))*AQ$8*(1+$F43)^(AQ$2), 0),0)</f>
        <v>0</v>
      </c>
      <c r="AR43" s="490">
        <f>IFERROR(IF(AR$6&lt;=$E$8,INDEX('Capital Costs'!$D$15:$G$55,MATCH('Capital Cost Escalation'!$E43,'Capital Costs'!$B$15:$B$55,0),MATCH('Capital Cost Escalation'!$C43,'Capital Costs'!$D$7:$G$7,0))*AR$8*(1+$F43)^(AR$2), 0),0)</f>
        <v>0</v>
      </c>
      <c r="AS43" s="490">
        <f>IFERROR(IF(AS$6&lt;=$E$8,INDEX('Capital Costs'!$D$15:$G$55,MATCH('Capital Cost Escalation'!$E43,'Capital Costs'!$B$15:$B$55,0),MATCH('Capital Cost Escalation'!$C43,'Capital Costs'!$D$7:$G$7,0))*AS$8*(1+$F43)^(AS$2), 0),0)</f>
        <v>0</v>
      </c>
      <c r="AT43" s="490">
        <f>IFERROR(IF(AT$6&lt;=$E$8,INDEX('Capital Costs'!$D$15:$G$55,MATCH('Capital Cost Escalation'!$E43,'Capital Costs'!$B$15:$B$55,0),MATCH('Capital Cost Escalation'!$C43,'Capital Costs'!$D$7:$G$7,0))*AT$8*(1+$F43)^(AT$2), 0),0)</f>
        <v>0</v>
      </c>
      <c r="AV43" s="827">
        <f t="shared" si="7"/>
        <v>0</v>
      </c>
      <c r="AW43" s="828">
        <f>INDEX('Capital Costs'!$D$15:$G$55,MATCH('Capital Cost Escalation'!$E43,'Capital Costs'!$B$15:$B$55,0),MATCH('Capital Cost Escalation'!$C43,'Capital Costs'!$D$7:$G$7,0))</f>
        <v>0</v>
      </c>
    </row>
    <row r="44" spans="1:49">
      <c r="A44" s="487" t="str">
        <f t="shared" si="4"/>
        <v>CT_WMAAC_Steam Turbines</v>
      </c>
      <c r="B44" s="478" t="s">
        <v>76</v>
      </c>
      <c r="C44" s="488" t="s">
        <v>122</v>
      </c>
      <c r="E44" s="442" t="s">
        <v>135</v>
      </c>
      <c r="F44" s="1325">
        <f>INDEX('Capital Costs_Nominal$'!$F:$F,MATCH('Capital Cost Escalation'!$E44,'Capital Costs_Nominal$'!$C:$C,0),1)</f>
        <v>2.3944839450136257E-3</v>
      </c>
      <c r="G44" s="490">
        <f>IFERROR(IF(G$6&lt;=$E$8,INDEX('Capital Costs'!$D$15:$G$55,MATCH('Capital Cost Escalation'!$E44,'Capital Costs'!$B$15:$B$55,0),MATCH('Capital Cost Escalation'!$C44,'Capital Costs'!$D$7:$G$7,0))*G$8*(1+$F44)^(G$2), 0),0)</f>
        <v>0</v>
      </c>
      <c r="H44" s="490">
        <f>IFERROR(IF(H$6&lt;=$E$8,INDEX('Capital Costs'!$D$15:$G$55,MATCH('Capital Cost Escalation'!$E44,'Capital Costs'!$B$15:$B$55,0),MATCH('Capital Cost Escalation'!$C44,'Capital Costs'!$D$7:$G$7,0))*H$8*(1+$F44)^(H$2), 0),0)</f>
        <v>0</v>
      </c>
      <c r="I44" s="490">
        <f>IFERROR(IF(I$6&lt;=$E$8,INDEX('Capital Costs'!$D$15:$G$55,MATCH('Capital Cost Escalation'!$E44,'Capital Costs'!$B$15:$B$55,0),MATCH('Capital Cost Escalation'!$C44,'Capital Costs'!$D$7:$G$7,0))*I$8*(1+$F44)^(I$2), 0),0)</f>
        <v>0</v>
      </c>
      <c r="J44" s="490">
        <f>IFERROR(IF(J$6&lt;=$E$8,INDEX('Capital Costs'!$D$15:$G$55,MATCH('Capital Cost Escalation'!$E44,'Capital Costs'!$B$15:$B$55,0),MATCH('Capital Cost Escalation'!$C44,'Capital Costs'!$D$7:$G$7,0))*J$8*(1+$F44)^(J$2), 0),0)</f>
        <v>0</v>
      </c>
      <c r="K44" s="490">
        <f>IFERROR(IF(K$6&lt;=$E$8,INDEX('Capital Costs'!$D$15:$G$55,MATCH('Capital Cost Escalation'!$E44,'Capital Costs'!$B$15:$B$55,0),MATCH('Capital Cost Escalation'!$C44,'Capital Costs'!$D$7:$G$7,0))*K$8*(1+$F44)^(K$2), 0),0)</f>
        <v>0</v>
      </c>
      <c r="L44" s="490">
        <f>IFERROR(IF(L$6&lt;=$E$8,INDEX('Capital Costs'!$D$15:$G$55,MATCH('Capital Cost Escalation'!$E44,'Capital Costs'!$B$15:$B$55,0),MATCH('Capital Cost Escalation'!$C44,'Capital Costs'!$D$7:$G$7,0))*L$8*(1+$F44)^(L$2), 0),0)</f>
        <v>0</v>
      </c>
      <c r="M44" s="490">
        <f>IFERROR(IF(M$6&lt;=$E$8,INDEX('Capital Costs'!$D$15:$G$55,MATCH('Capital Cost Escalation'!$E44,'Capital Costs'!$B$15:$B$55,0),MATCH('Capital Cost Escalation'!$C44,'Capital Costs'!$D$7:$G$7,0))*M$8*(1+$F44)^(M$2), 0),0)</f>
        <v>0</v>
      </c>
      <c r="N44" s="490">
        <f>IFERROR(IF(N$6&lt;=$E$8,INDEX('Capital Costs'!$D$15:$G$55,MATCH('Capital Cost Escalation'!$E44,'Capital Costs'!$B$15:$B$55,0),MATCH('Capital Cost Escalation'!$C44,'Capital Costs'!$D$7:$G$7,0))*N$8*(1+$F44)^(N$2), 0),0)</f>
        <v>0</v>
      </c>
      <c r="O44" s="490">
        <f>IFERROR(IF(O$6&lt;=$E$8,INDEX('Capital Costs'!$D$15:$G$55,MATCH('Capital Cost Escalation'!$E44,'Capital Costs'!$B$15:$B$55,0),MATCH('Capital Cost Escalation'!$C44,'Capital Costs'!$D$7:$G$7,0))*O$8*(1+$F44)^(O$2), 0),0)</f>
        <v>0</v>
      </c>
      <c r="P44" s="490">
        <f>IFERROR(IF(P$6&lt;=$E$8,INDEX('Capital Costs'!$D$15:$G$55,MATCH('Capital Cost Escalation'!$E44,'Capital Costs'!$B$15:$B$55,0),MATCH('Capital Cost Escalation'!$C44,'Capital Costs'!$D$7:$G$7,0))*P$8*(1+$F44)^(P$2), 0),0)</f>
        <v>0</v>
      </c>
      <c r="Q44" s="490">
        <f>IFERROR(IF(Q$6&lt;=$E$8,INDEX('Capital Costs'!$D$15:$G$55,MATCH('Capital Cost Escalation'!$E44,'Capital Costs'!$B$15:$B$55,0),MATCH('Capital Cost Escalation'!$C44,'Capital Costs'!$D$7:$G$7,0))*Q$8*(1+$F44)^(Q$2), 0),0)</f>
        <v>0</v>
      </c>
      <c r="R44" s="490">
        <f>IFERROR(IF(R$6&lt;=$E$8,INDEX('Capital Costs'!$D$15:$G$55,MATCH('Capital Cost Escalation'!$E44,'Capital Costs'!$B$15:$B$55,0),MATCH('Capital Cost Escalation'!$C44,'Capital Costs'!$D$7:$G$7,0))*R$8*(1+$F44)^(R$2), 0),0)</f>
        <v>0</v>
      </c>
      <c r="S44" s="490">
        <f>IFERROR(IF(S$6&lt;=$E$8,INDEX('Capital Costs'!$D$15:$G$55,MATCH('Capital Cost Escalation'!$E44,'Capital Costs'!$B$15:$B$55,0),MATCH('Capital Cost Escalation'!$C44,'Capital Costs'!$D$7:$G$7,0))*S$8*(1+$F44)^(S$2), 0),0)</f>
        <v>0</v>
      </c>
      <c r="T44" s="490">
        <f>IFERROR(IF(T$6&lt;=$E$8,INDEX('Capital Costs'!$D$15:$G$55,MATCH('Capital Cost Escalation'!$E44,'Capital Costs'!$B$15:$B$55,0),MATCH('Capital Cost Escalation'!$C44,'Capital Costs'!$D$7:$G$7,0))*T$8*(1+$F44)^(T$2), 0),0)</f>
        <v>0</v>
      </c>
      <c r="U44" s="490">
        <f>IFERROR(IF(U$6&lt;=$E$8,INDEX('Capital Costs'!$D$15:$G$55,MATCH('Capital Cost Escalation'!$E44,'Capital Costs'!$B$15:$B$55,0),MATCH('Capital Cost Escalation'!$C44,'Capital Costs'!$D$7:$G$7,0))*U$8*(1+$F44)^(U$2), 0),0)</f>
        <v>0</v>
      </c>
      <c r="V44" s="490">
        <f>IFERROR(IF(V$6&lt;=$E$8,INDEX('Capital Costs'!$D$15:$G$55,MATCH('Capital Cost Escalation'!$E44,'Capital Costs'!$B$15:$B$55,0),MATCH('Capital Cost Escalation'!$C44,'Capital Costs'!$D$7:$G$7,0))*V$8*(1+$F44)^(V$2), 0),0)</f>
        <v>0</v>
      </c>
      <c r="W44" s="490">
        <f>IFERROR(IF(W$6&lt;=$E$8,INDEX('Capital Costs'!$D$15:$G$55,MATCH('Capital Cost Escalation'!$E44,'Capital Costs'!$B$15:$B$55,0),MATCH('Capital Cost Escalation'!$C44,'Capital Costs'!$D$7:$G$7,0))*W$8*(1+$F44)^(W$2), 0),0)</f>
        <v>0</v>
      </c>
      <c r="X44" s="490">
        <f>IFERROR(IF(X$6&lt;=$E$8,INDEX('Capital Costs'!$D$15:$G$55,MATCH('Capital Cost Escalation'!$E44,'Capital Costs'!$B$15:$B$55,0),MATCH('Capital Cost Escalation'!$C44,'Capital Costs'!$D$7:$G$7,0))*X$8*(1+$F44)^(X$2), 0),0)</f>
        <v>0</v>
      </c>
      <c r="Y44" s="490">
        <f>IFERROR(IF(Y$6&lt;=$E$8,INDEX('Capital Costs'!$D$15:$G$55,MATCH('Capital Cost Escalation'!$E44,'Capital Costs'!$B$15:$B$55,0),MATCH('Capital Cost Escalation'!$C44,'Capital Costs'!$D$7:$G$7,0))*Y$8*(1+$F44)^(Y$2), 0),0)</f>
        <v>0</v>
      </c>
      <c r="Z44" s="490">
        <f>IFERROR(IF(Z$6&lt;=$E$8,INDEX('Capital Costs'!$D$15:$G$55,MATCH('Capital Cost Escalation'!$E44,'Capital Costs'!$B$15:$B$55,0),MATCH('Capital Cost Escalation'!$C44,'Capital Costs'!$D$7:$G$7,0))*Z$8*(1+$F44)^(Z$2), 0),0)</f>
        <v>0</v>
      </c>
      <c r="AA44" s="490">
        <f>IFERROR(IF(AA$6&lt;=$E$8,INDEX('Capital Costs'!$D$15:$G$55,MATCH('Capital Cost Escalation'!$E44,'Capital Costs'!$B$15:$B$55,0),MATCH('Capital Cost Escalation'!$C44,'Capital Costs'!$D$7:$G$7,0))*AA$8*(1+$F44)^(AA$2), 0),0)</f>
        <v>0</v>
      </c>
      <c r="AB44" s="490">
        <f>IFERROR(IF(AB$6&lt;=$E$8,INDEX('Capital Costs'!$D$15:$G$55,MATCH('Capital Cost Escalation'!$E44,'Capital Costs'!$B$15:$B$55,0),MATCH('Capital Cost Escalation'!$C44,'Capital Costs'!$D$7:$G$7,0))*AB$8*(1+$F44)^(AB$2), 0),0)</f>
        <v>0</v>
      </c>
      <c r="AC44" s="490">
        <f>IFERROR(IF(AC$6&lt;=$E$8,INDEX('Capital Costs'!$D$15:$G$55,MATCH('Capital Cost Escalation'!$E44,'Capital Costs'!$B$15:$B$55,0),MATCH('Capital Cost Escalation'!$C44,'Capital Costs'!$D$7:$G$7,0))*AC$8*(1+$F44)^(AC$2), 0),0)</f>
        <v>0</v>
      </c>
      <c r="AD44" s="490">
        <f>IFERROR(IF(AD$6&lt;=$E$8,INDEX('Capital Costs'!$D$15:$G$55,MATCH('Capital Cost Escalation'!$E44,'Capital Costs'!$B$15:$B$55,0),MATCH('Capital Cost Escalation'!$C44,'Capital Costs'!$D$7:$G$7,0))*AD$8*(1+$F44)^(AD$2), 0),0)</f>
        <v>0</v>
      </c>
      <c r="AE44" s="490">
        <f>IFERROR(IF(AE$6&lt;=$E$8,INDEX('Capital Costs'!$D$15:$G$55,MATCH('Capital Cost Escalation'!$E44,'Capital Costs'!$B$15:$B$55,0),MATCH('Capital Cost Escalation'!$C44,'Capital Costs'!$D$7:$G$7,0))*AE$8*(1+$F44)^(AE$2), 0),0)</f>
        <v>0</v>
      </c>
      <c r="AF44" s="490">
        <f>IFERROR(IF(AF$6&lt;=$E$8,INDEX('Capital Costs'!$D$15:$G$55,MATCH('Capital Cost Escalation'!$E44,'Capital Costs'!$B$15:$B$55,0),MATCH('Capital Cost Escalation'!$C44,'Capital Costs'!$D$7:$G$7,0))*AF$8*(1+$F44)^(AF$2), 0),0)</f>
        <v>0</v>
      </c>
      <c r="AG44" s="490">
        <f>IFERROR(IF(AG$6&lt;=$E$8,INDEX('Capital Costs'!$D$15:$G$55,MATCH('Capital Cost Escalation'!$E44,'Capital Costs'!$B$15:$B$55,0),MATCH('Capital Cost Escalation'!$C44,'Capital Costs'!$D$7:$G$7,0))*AG$8*(1+$F44)^(AG$2), 0),0)</f>
        <v>0</v>
      </c>
      <c r="AH44" s="490">
        <f>IFERROR(IF(AH$6&lt;=$E$8,INDEX('Capital Costs'!$D$15:$G$55,MATCH('Capital Cost Escalation'!$E44,'Capital Costs'!$B$15:$B$55,0),MATCH('Capital Cost Escalation'!$C44,'Capital Costs'!$D$7:$G$7,0))*AH$8*(1+$F44)^(AH$2), 0),0)</f>
        <v>0</v>
      </c>
      <c r="AI44" s="490">
        <f>IFERROR(IF(AI$6&lt;=$E$8,INDEX('Capital Costs'!$D$15:$G$55,MATCH('Capital Cost Escalation'!$E44,'Capital Costs'!$B$15:$B$55,0),MATCH('Capital Cost Escalation'!$C44,'Capital Costs'!$D$7:$G$7,0))*AI$8*(1+$F44)^(AI$2), 0),0)</f>
        <v>0</v>
      </c>
      <c r="AJ44" s="490">
        <f>IFERROR(IF(AJ$6&lt;=$E$8,INDEX('Capital Costs'!$D$15:$G$55,MATCH('Capital Cost Escalation'!$E44,'Capital Costs'!$B$15:$B$55,0),MATCH('Capital Cost Escalation'!$C44,'Capital Costs'!$D$7:$G$7,0))*AJ$8*(1+$F44)^(AJ$2), 0),0)</f>
        <v>0</v>
      </c>
      <c r="AK44" s="490">
        <f>IFERROR(IF(AK$6&lt;=$E$8,INDEX('Capital Costs'!$D$15:$G$55,MATCH('Capital Cost Escalation'!$E44,'Capital Costs'!$B$15:$B$55,0),MATCH('Capital Cost Escalation'!$C44,'Capital Costs'!$D$7:$G$7,0))*AK$8*(1+$F44)^(AK$2), 0),0)</f>
        <v>0</v>
      </c>
      <c r="AL44" s="490">
        <f>IFERROR(IF(AL$6&lt;=$E$8,INDEX('Capital Costs'!$D$15:$G$55,MATCH('Capital Cost Escalation'!$E44,'Capital Costs'!$B$15:$B$55,0),MATCH('Capital Cost Escalation'!$C44,'Capital Costs'!$D$7:$G$7,0))*AL$8*(1+$F44)^(AL$2), 0),0)</f>
        <v>0</v>
      </c>
      <c r="AM44" s="490">
        <f>IFERROR(IF(AM$6&lt;=$E$8,INDEX('Capital Costs'!$D$15:$G$55,MATCH('Capital Cost Escalation'!$E44,'Capital Costs'!$B$15:$B$55,0),MATCH('Capital Cost Escalation'!$C44,'Capital Costs'!$D$7:$G$7,0))*AM$8*(1+$F44)^(AM$2), 0),0)</f>
        <v>0</v>
      </c>
      <c r="AN44" s="490">
        <f>IFERROR(IF(AN$6&lt;=$E$8,INDEX('Capital Costs'!$D$15:$G$55,MATCH('Capital Cost Escalation'!$E44,'Capital Costs'!$B$15:$B$55,0),MATCH('Capital Cost Escalation'!$C44,'Capital Costs'!$D$7:$G$7,0))*AN$8*(1+$F44)^(AN$2), 0),0)</f>
        <v>0</v>
      </c>
      <c r="AO44" s="490">
        <f>IFERROR(IF(AO$6&lt;=$E$8,INDEX('Capital Costs'!$D$15:$G$55,MATCH('Capital Cost Escalation'!$E44,'Capital Costs'!$B$15:$B$55,0),MATCH('Capital Cost Escalation'!$C44,'Capital Costs'!$D$7:$G$7,0))*AO$8*(1+$F44)^(AO$2), 0),0)</f>
        <v>0</v>
      </c>
      <c r="AP44" s="490">
        <f>IFERROR(IF(AP$6&lt;=$E$8,INDEX('Capital Costs'!$D$15:$G$55,MATCH('Capital Cost Escalation'!$E44,'Capital Costs'!$B$15:$B$55,0),MATCH('Capital Cost Escalation'!$C44,'Capital Costs'!$D$7:$G$7,0))*AP$8*(1+$F44)^(AP$2), 0),0)</f>
        <v>0</v>
      </c>
      <c r="AQ44" s="490">
        <f>IFERROR(IF(AQ$6&lt;=$E$8,INDEX('Capital Costs'!$D$15:$G$55,MATCH('Capital Cost Escalation'!$E44,'Capital Costs'!$B$15:$B$55,0),MATCH('Capital Cost Escalation'!$C44,'Capital Costs'!$D$7:$G$7,0))*AQ$8*(1+$F44)^(AQ$2), 0),0)</f>
        <v>0</v>
      </c>
      <c r="AR44" s="490">
        <f>IFERROR(IF(AR$6&lt;=$E$8,INDEX('Capital Costs'!$D$15:$G$55,MATCH('Capital Cost Escalation'!$E44,'Capital Costs'!$B$15:$B$55,0),MATCH('Capital Cost Escalation'!$C44,'Capital Costs'!$D$7:$G$7,0))*AR$8*(1+$F44)^(AR$2), 0),0)</f>
        <v>0</v>
      </c>
      <c r="AS44" s="490">
        <f>IFERROR(IF(AS$6&lt;=$E$8,INDEX('Capital Costs'!$D$15:$G$55,MATCH('Capital Cost Escalation'!$E44,'Capital Costs'!$B$15:$B$55,0),MATCH('Capital Cost Escalation'!$C44,'Capital Costs'!$D$7:$G$7,0))*AS$8*(1+$F44)^(AS$2), 0),0)</f>
        <v>0</v>
      </c>
      <c r="AT44" s="490">
        <f>IFERROR(IF(AT$6&lt;=$E$8,INDEX('Capital Costs'!$D$15:$G$55,MATCH('Capital Cost Escalation'!$E44,'Capital Costs'!$B$15:$B$55,0),MATCH('Capital Cost Escalation'!$C44,'Capital Costs'!$D$7:$G$7,0))*AT$8*(1+$F44)^(AT$2), 0),0)</f>
        <v>0</v>
      </c>
      <c r="AV44" s="827">
        <f t="shared" si="7"/>
        <v>0</v>
      </c>
      <c r="AW44" s="828">
        <f>INDEX('Capital Costs'!$D$15:$G$55,MATCH('Capital Cost Escalation'!$E44,'Capital Costs'!$B$15:$B$55,0),MATCH('Capital Cost Escalation'!$C44,'Capital Costs'!$D$7:$G$7,0))</f>
        <v>0</v>
      </c>
    </row>
    <row r="45" spans="1:49">
      <c r="A45" s="487" t="str">
        <f t="shared" si="4"/>
        <v>CT_WMAAC_Other Equipment</v>
      </c>
      <c r="B45" s="478" t="s">
        <v>76</v>
      </c>
      <c r="C45" s="488" t="s">
        <v>122</v>
      </c>
      <c r="E45" s="442" t="s">
        <v>136</v>
      </c>
      <c r="F45" s="1325">
        <f>INDEX('Capital Costs_Nominal$'!$F:$F,MATCH('Capital Cost Escalation'!$E45,'Capital Costs_Nominal$'!$C:$C,0),1)</f>
        <v>2.3944839450136257E-3</v>
      </c>
      <c r="G45" s="490">
        <f>IFERROR(IF(G$6&lt;=$E$8,INDEX('Capital Costs'!$D$15:$G$55,MATCH('Capital Cost Escalation'!$E45,'Capital Costs'!$B$15:$B$55,0),MATCH('Capital Cost Escalation'!$C45,'Capital Costs'!$D$7:$G$7,0))*G$8*(1+$F45)^(G$2), 0),0)</f>
        <v>85318.920399264083</v>
      </c>
      <c r="H45" s="490">
        <f>IFERROR(IF(H$6&lt;=$E$8,INDEX('Capital Costs'!$D$15:$G$55,MATCH('Capital Cost Escalation'!$E45,'Capital Costs'!$B$15:$B$55,0),MATCH('Capital Cost Escalation'!$C45,'Capital Costs'!$D$7:$G$7,0))*H$8*(1+$F45)^(H$2), 0),0)</f>
        <v>101761.265958242</v>
      </c>
      <c r="I45" s="490">
        <f>IFERROR(IF(I$6&lt;=$E$8,INDEX('Capital Costs'!$D$15:$G$55,MATCH('Capital Cost Escalation'!$E45,'Capital Costs'!$B$15:$B$55,0),MATCH('Capital Cost Escalation'!$C45,'Capital Costs'!$D$7:$G$7,0))*I$8*(1+$F45)^(I$2), 0),0)</f>
        <v>615506.24168605637</v>
      </c>
      <c r="J45" s="490">
        <f>IFERROR(IF(J$6&lt;=$E$8,INDEX('Capital Costs'!$D$15:$G$55,MATCH('Capital Cost Escalation'!$E45,'Capital Costs'!$B$15:$B$55,0),MATCH('Capital Cost Escalation'!$C45,'Capital Costs'!$D$7:$G$7,0))*J$8*(1+$F45)^(J$2), 0),0)</f>
        <v>190206.05469696625</v>
      </c>
      <c r="K45" s="490">
        <f>IFERROR(IF(K$6&lt;=$E$8,INDEX('Capital Costs'!$D$15:$G$55,MATCH('Capital Cost Escalation'!$E45,'Capital Costs'!$B$15:$B$55,0),MATCH('Capital Cost Escalation'!$C45,'Capital Costs'!$D$7:$G$7,0))*K$8*(1+$F45)^(K$2), 0),0)</f>
        <v>415887.14664609975</v>
      </c>
      <c r="L45" s="490">
        <f>IFERROR(IF(L$6&lt;=$E$8,INDEX('Capital Costs'!$D$15:$G$55,MATCH('Capital Cost Escalation'!$E45,'Capital Costs'!$B$15:$B$55,0),MATCH('Capital Cost Escalation'!$C45,'Capital Costs'!$D$7:$G$7,0))*L$8*(1+$F45)^(L$2), 0),0)</f>
        <v>263842.77236618724</v>
      </c>
      <c r="M45" s="490">
        <f>IFERROR(IF(M$6&lt;=$E$8,INDEX('Capital Costs'!$D$15:$G$55,MATCH('Capital Cost Escalation'!$E45,'Capital Costs'!$B$15:$B$55,0),MATCH('Capital Cost Escalation'!$C45,'Capital Costs'!$D$7:$G$7,0))*M$8*(1+$F45)^(M$2), 0),0)</f>
        <v>518289.19685642142</v>
      </c>
      <c r="N45" s="490">
        <f>IFERROR(IF(N$6&lt;=$E$8,INDEX('Capital Costs'!$D$15:$G$55,MATCH('Capital Cost Escalation'!$E45,'Capital Costs'!$B$15:$B$55,0),MATCH('Capital Cost Escalation'!$C45,'Capital Costs'!$D$7:$G$7,0))*N$8*(1+$F45)^(N$2), 0),0)</f>
        <v>689083.21331222728</v>
      </c>
      <c r="O45" s="490">
        <f>IFERROR(IF(O$6&lt;=$E$8,INDEX('Capital Costs'!$D$15:$G$55,MATCH('Capital Cost Escalation'!$E45,'Capital Costs'!$B$15:$B$55,0),MATCH('Capital Cost Escalation'!$C45,'Capital Costs'!$D$7:$G$7,0))*O$8*(1+$F45)^(O$2), 0),0)</f>
        <v>964054.84276646457</v>
      </c>
      <c r="P45" s="490">
        <f>IFERROR(IF(P$6&lt;=$E$8,INDEX('Capital Costs'!$D$15:$G$55,MATCH('Capital Cost Escalation'!$E45,'Capital Costs'!$B$15:$B$55,0),MATCH('Capital Cost Escalation'!$C45,'Capital Costs'!$D$7:$G$7,0))*P$8*(1+$F45)^(P$2), 0),0)</f>
        <v>1606294.684336697</v>
      </c>
      <c r="Q45" s="490">
        <f>IFERROR(IF(Q$6&lt;=$E$8,INDEX('Capital Costs'!$D$15:$G$55,MATCH('Capital Cost Escalation'!$E45,'Capital Costs'!$B$15:$B$55,0),MATCH('Capital Cost Escalation'!$C45,'Capital Costs'!$D$7:$G$7,0))*Q$8*(1+$F45)^(Q$2), 0),0)</f>
        <v>1956058.2999507235</v>
      </c>
      <c r="R45" s="490">
        <f>IFERROR(IF(R$6&lt;=$E$8,INDEX('Capital Costs'!$D$15:$G$55,MATCH('Capital Cost Escalation'!$E45,'Capital Costs'!$B$15:$B$55,0),MATCH('Capital Cost Escalation'!$C45,'Capital Costs'!$D$7:$G$7,0))*R$8*(1+$F45)^(R$2), 0),0)</f>
        <v>2508079.7706032819</v>
      </c>
      <c r="S45" s="490">
        <f>IFERROR(IF(S$6&lt;=$E$8,INDEX('Capital Costs'!$D$15:$G$55,MATCH('Capital Cost Escalation'!$E45,'Capital Costs'!$B$15:$B$55,0),MATCH('Capital Cost Escalation'!$C45,'Capital Costs'!$D$7:$G$7,0))*S$8*(1+$F45)^(S$2), 0),0)</f>
        <v>2795062.5148263942</v>
      </c>
      <c r="T45" s="490">
        <f>IFERROR(IF(T$6&lt;=$E$8,INDEX('Capital Costs'!$D$15:$G$55,MATCH('Capital Cost Escalation'!$E45,'Capital Costs'!$B$15:$B$55,0),MATCH('Capital Cost Escalation'!$C45,'Capital Costs'!$D$7:$G$7,0))*T$8*(1+$F45)^(T$2), 0),0)</f>
        <v>2972178.7826116146</v>
      </c>
      <c r="U45" s="490">
        <f>IFERROR(IF(U$6&lt;=$E$8,INDEX('Capital Costs'!$D$15:$G$55,MATCH('Capital Cost Escalation'!$E45,'Capital Costs'!$B$15:$B$55,0),MATCH('Capital Cost Escalation'!$C45,'Capital Costs'!$D$7:$G$7,0))*U$8*(1+$F45)^(U$2), 0),0)</f>
        <v>2788754.1958744354</v>
      </c>
      <c r="V45" s="490">
        <f>IFERROR(IF(V$6&lt;=$E$8,INDEX('Capital Costs'!$D$15:$G$55,MATCH('Capital Cost Escalation'!$E45,'Capital Costs'!$B$15:$B$55,0),MATCH('Capital Cost Escalation'!$C45,'Capital Costs'!$D$7:$G$7,0))*V$8*(1+$F45)^(V$2), 0),0)</f>
        <v>2471981.7949622446</v>
      </c>
      <c r="W45" s="490">
        <f>IFERROR(IF(W$6&lt;=$E$8,INDEX('Capital Costs'!$D$15:$G$55,MATCH('Capital Cost Escalation'!$E45,'Capital Costs'!$B$15:$B$55,0),MATCH('Capital Cost Escalation'!$C45,'Capital Costs'!$D$7:$G$7,0))*W$8*(1+$F45)^(W$2), 0),0)</f>
        <v>1880149.5068931468</v>
      </c>
      <c r="X45" s="490">
        <f>IFERROR(IF(X$6&lt;=$E$8,INDEX('Capital Costs'!$D$15:$G$55,MATCH('Capital Cost Escalation'!$E45,'Capital Costs'!$B$15:$B$55,0),MATCH('Capital Cost Escalation'!$C45,'Capital Costs'!$D$7:$G$7,0))*X$8*(1+$F45)^(X$2), 0),0)</f>
        <v>1047517.235345151</v>
      </c>
      <c r="Y45" s="490">
        <f>IFERROR(IF(Y$6&lt;=$E$8,INDEX('Capital Costs'!$D$15:$G$55,MATCH('Capital Cost Escalation'!$E45,'Capital Costs'!$B$15:$B$55,0),MATCH('Capital Cost Escalation'!$C45,'Capital Costs'!$D$7:$G$7,0))*Y$8*(1+$F45)^(Y$2), 0),0)</f>
        <v>221846.7260686738</v>
      </c>
      <c r="Z45" s="490">
        <f>IFERROR(IF(Z$6&lt;=$E$8,INDEX('Capital Costs'!$D$15:$G$55,MATCH('Capital Cost Escalation'!$E45,'Capital Costs'!$B$15:$B$55,0),MATCH('Capital Cost Escalation'!$C45,'Capital Costs'!$D$7:$G$7,0))*Z$8*(1+$F45)^(Z$2), 0),0)</f>
        <v>49530.833371320979</v>
      </c>
      <c r="AA45" s="490">
        <f>IFERROR(IF(AA$6&lt;=$E$8,INDEX('Capital Costs'!$D$15:$G$55,MATCH('Capital Cost Escalation'!$E45,'Capital Costs'!$B$15:$B$55,0),MATCH('Capital Cost Escalation'!$C45,'Capital Costs'!$D$7:$G$7,0))*AA$8*(1+$F45)^(AA$2), 0),0)</f>
        <v>0</v>
      </c>
      <c r="AB45" s="490">
        <f>IFERROR(IF(AB$6&lt;=$E$8,INDEX('Capital Costs'!$D$15:$G$55,MATCH('Capital Cost Escalation'!$E45,'Capital Costs'!$B$15:$B$55,0),MATCH('Capital Cost Escalation'!$C45,'Capital Costs'!$D$7:$G$7,0))*AB$8*(1+$F45)^(AB$2), 0),0)</f>
        <v>0</v>
      </c>
      <c r="AC45" s="490">
        <f>IFERROR(IF(AC$6&lt;=$E$8,INDEX('Capital Costs'!$D$15:$G$55,MATCH('Capital Cost Escalation'!$E45,'Capital Costs'!$B$15:$B$55,0),MATCH('Capital Cost Escalation'!$C45,'Capital Costs'!$D$7:$G$7,0))*AC$8*(1+$F45)^(AC$2), 0),0)</f>
        <v>0</v>
      </c>
      <c r="AD45" s="490">
        <f>IFERROR(IF(AD$6&lt;=$E$8,INDEX('Capital Costs'!$D$15:$G$55,MATCH('Capital Cost Escalation'!$E45,'Capital Costs'!$B$15:$B$55,0),MATCH('Capital Cost Escalation'!$C45,'Capital Costs'!$D$7:$G$7,0))*AD$8*(1+$F45)^(AD$2), 0),0)</f>
        <v>0</v>
      </c>
      <c r="AE45" s="490">
        <f>IFERROR(IF(AE$6&lt;=$E$8,INDEX('Capital Costs'!$D$15:$G$55,MATCH('Capital Cost Escalation'!$E45,'Capital Costs'!$B$15:$B$55,0),MATCH('Capital Cost Escalation'!$C45,'Capital Costs'!$D$7:$G$7,0))*AE$8*(1+$F45)^(AE$2), 0),0)</f>
        <v>0</v>
      </c>
      <c r="AF45" s="490">
        <f>IFERROR(IF(AF$6&lt;=$E$8,INDEX('Capital Costs'!$D$15:$G$55,MATCH('Capital Cost Escalation'!$E45,'Capital Costs'!$B$15:$B$55,0),MATCH('Capital Cost Escalation'!$C45,'Capital Costs'!$D$7:$G$7,0))*AF$8*(1+$F45)^(AF$2), 0),0)</f>
        <v>0</v>
      </c>
      <c r="AG45" s="490">
        <f>IFERROR(IF(AG$6&lt;=$E$8,INDEX('Capital Costs'!$D$15:$G$55,MATCH('Capital Cost Escalation'!$E45,'Capital Costs'!$B$15:$B$55,0),MATCH('Capital Cost Escalation'!$C45,'Capital Costs'!$D$7:$G$7,0))*AG$8*(1+$F45)^(AG$2), 0),0)</f>
        <v>0</v>
      </c>
      <c r="AH45" s="490">
        <f>IFERROR(IF(AH$6&lt;=$E$8,INDEX('Capital Costs'!$D$15:$G$55,MATCH('Capital Cost Escalation'!$E45,'Capital Costs'!$B$15:$B$55,0),MATCH('Capital Cost Escalation'!$C45,'Capital Costs'!$D$7:$G$7,0))*AH$8*(1+$F45)^(AH$2), 0),0)</f>
        <v>0</v>
      </c>
      <c r="AI45" s="490">
        <f>IFERROR(IF(AI$6&lt;=$E$8,INDEX('Capital Costs'!$D$15:$G$55,MATCH('Capital Cost Escalation'!$E45,'Capital Costs'!$B$15:$B$55,0),MATCH('Capital Cost Escalation'!$C45,'Capital Costs'!$D$7:$G$7,0))*AI$8*(1+$F45)^(AI$2), 0),0)</f>
        <v>0</v>
      </c>
      <c r="AJ45" s="490">
        <f>IFERROR(IF(AJ$6&lt;=$E$8,INDEX('Capital Costs'!$D$15:$G$55,MATCH('Capital Cost Escalation'!$E45,'Capital Costs'!$B$15:$B$55,0),MATCH('Capital Cost Escalation'!$C45,'Capital Costs'!$D$7:$G$7,0))*AJ$8*(1+$F45)^(AJ$2), 0),0)</f>
        <v>0</v>
      </c>
      <c r="AK45" s="490">
        <f>IFERROR(IF(AK$6&lt;=$E$8,INDEX('Capital Costs'!$D$15:$G$55,MATCH('Capital Cost Escalation'!$E45,'Capital Costs'!$B$15:$B$55,0),MATCH('Capital Cost Escalation'!$C45,'Capital Costs'!$D$7:$G$7,0))*AK$8*(1+$F45)^(AK$2), 0),0)</f>
        <v>0</v>
      </c>
      <c r="AL45" s="490">
        <f>IFERROR(IF(AL$6&lt;=$E$8,INDEX('Capital Costs'!$D$15:$G$55,MATCH('Capital Cost Escalation'!$E45,'Capital Costs'!$B$15:$B$55,0),MATCH('Capital Cost Escalation'!$C45,'Capital Costs'!$D$7:$G$7,0))*AL$8*(1+$F45)^(AL$2), 0),0)</f>
        <v>0</v>
      </c>
      <c r="AM45" s="490">
        <f>IFERROR(IF(AM$6&lt;=$E$8,INDEX('Capital Costs'!$D$15:$G$55,MATCH('Capital Cost Escalation'!$E45,'Capital Costs'!$B$15:$B$55,0),MATCH('Capital Cost Escalation'!$C45,'Capital Costs'!$D$7:$G$7,0))*AM$8*(1+$F45)^(AM$2), 0),0)</f>
        <v>0</v>
      </c>
      <c r="AN45" s="490">
        <f>IFERROR(IF(AN$6&lt;=$E$8,INDEX('Capital Costs'!$D$15:$G$55,MATCH('Capital Cost Escalation'!$E45,'Capital Costs'!$B$15:$B$55,0),MATCH('Capital Cost Escalation'!$C45,'Capital Costs'!$D$7:$G$7,0))*AN$8*(1+$F45)^(AN$2), 0),0)</f>
        <v>0</v>
      </c>
      <c r="AO45" s="490">
        <f>IFERROR(IF(AO$6&lt;=$E$8,INDEX('Capital Costs'!$D$15:$G$55,MATCH('Capital Cost Escalation'!$E45,'Capital Costs'!$B$15:$B$55,0),MATCH('Capital Cost Escalation'!$C45,'Capital Costs'!$D$7:$G$7,0))*AO$8*(1+$F45)^(AO$2), 0),0)</f>
        <v>0</v>
      </c>
      <c r="AP45" s="490">
        <f>IFERROR(IF(AP$6&lt;=$E$8,INDEX('Capital Costs'!$D$15:$G$55,MATCH('Capital Cost Escalation'!$E45,'Capital Costs'!$B$15:$B$55,0),MATCH('Capital Cost Escalation'!$C45,'Capital Costs'!$D$7:$G$7,0))*AP$8*(1+$F45)^(AP$2), 0),0)</f>
        <v>0</v>
      </c>
      <c r="AQ45" s="490">
        <f>IFERROR(IF(AQ$6&lt;=$E$8,INDEX('Capital Costs'!$D$15:$G$55,MATCH('Capital Cost Escalation'!$E45,'Capital Costs'!$B$15:$B$55,0),MATCH('Capital Cost Escalation'!$C45,'Capital Costs'!$D$7:$G$7,0))*AQ$8*(1+$F45)^(AQ$2), 0),0)</f>
        <v>0</v>
      </c>
      <c r="AR45" s="490">
        <f>IFERROR(IF(AR$6&lt;=$E$8,INDEX('Capital Costs'!$D$15:$G$55,MATCH('Capital Cost Escalation'!$E45,'Capital Costs'!$B$15:$B$55,0),MATCH('Capital Cost Escalation'!$C45,'Capital Costs'!$D$7:$G$7,0))*AR$8*(1+$F45)^(AR$2), 0),0)</f>
        <v>0</v>
      </c>
      <c r="AS45" s="490">
        <f>IFERROR(IF(AS$6&lt;=$E$8,INDEX('Capital Costs'!$D$15:$G$55,MATCH('Capital Cost Escalation'!$E45,'Capital Costs'!$B$15:$B$55,0),MATCH('Capital Cost Escalation'!$C45,'Capital Costs'!$D$7:$G$7,0))*AS$8*(1+$F45)^(AS$2), 0),0)</f>
        <v>0</v>
      </c>
      <c r="AT45" s="490">
        <f>IFERROR(IF(AT$6&lt;=$E$8,INDEX('Capital Costs'!$D$15:$G$55,MATCH('Capital Cost Escalation'!$E45,'Capital Costs'!$B$15:$B$55,0),MATCH('Capital Cost Escalation'!$C45,'Capital Costs'!$D$7:$G$7,0))*AT$8*(1+$F45)^(AT$2), 0),0)</f>
        <v>0</v>
      </c>
      <c r="AV45" s="827">
        <f t="shared" si="7"/>
        <v>24141403.999531616</v>
      </c>
      <c r="AW45" s="828">
        <f>INDEX('Capital Costs'!$D$15:$G$55,MATCH('Capital Cost Escalation'!$E45,'Capital Costs'!$B$15:$B$55,0),MATCH('Capital Cost Escalation'!$C45,'Capital Costs'!$D$7:$G$7,0))</f>
        <v>21281700</v>
      </c>
    </row>
    <row r="46" spans="1:49">
      <c r="A46" s="487" t="str">
        <f t="shared" si="4"/>
        <v>CT_WMAAC_Construction Labor</v>
      </c>
      <c r="B46" s="478" t="s">
        <v>76</v>
      </c>
      <c r="C46" s="488" t="s">
        <v>122</v>
      </c>
      <c r="E46" s="442" t="s">
        <v>138</v>
      </c>
      <c r="F46" s="1325">
        <f>INDEX('Capital Costs_Nominal$'!$F:$F,MATCH('Capital Cost Escalation'!$E46,'Capital Costs_Nominal$'!$C:$C,0),1)</f>
        <v>3.6840339826600399E-3</v>
      </c>
      <c r="G46" s="490">
        <f>IFERROR(IF(G$6&lt;=$E$8,INDEX('Capital Costs'!$D$15:$G$55,MATCH('Capital Cost Escalation'!$E46,'Capital Costs'!$B$15:$B$55,0),MATCH('Capital Cost Escalation'!$C46,'Capital Costs'!$D$7:$G$7,0))*G$8*(1+$F46)^(G$2), 0),0)</f>
        <v>156579.86270507227</v>
      </c>
      <c r="H46" s="490">
        <f>IFERROR(IF(H$6&lt;=$E$8,INDEX('Capital Costs'!$D$15:$G$55,MATCH('Capital Cost Escalation'!$E46,'Capital Costs'!$B$15:$B$55,0),MATCH('Capital Cost Escalation'!$C46,'Capital Costs'!$D$7:$G$7,0))*H$8*(1+$F46)^(H$2), 0),0)</f>
        <v>186995.60756556145</v>
      </c>
      <c r="I46" s="490">
        <f>IFERROR(IF(I$6&lt;=$E$8,INDEX('Capital Costs'!$D$15:$G$55,MATCH('Capital Cost Escalation'!$E46,'Capital Costs'!$B$15:$B$55,0),MATCH('Capital Cost Escalation'!$C46,'Capital Costs'!$D$7:$G$7,0))*I$8*(1+$F46)^(I$2), 0),0)</f>
        <v>1132503.9177216161</v>
      </c>
      <c r="J46" s="490">
        <f>IFERROR(IF(J$6&lt;=$E$8,INDEX('Capital Costs'!$D$15:$G$55,MATCH('Capital Cost Escalation'!$E46,'Capital Costs'!$B$15:$B$55,0),MATCH('Capital Cost Escalation'!$C46,'Capital Costs'!$D$7:$G$7,0))*J$8*(1+$F46)^(J$2), 0),0)</f>
        <v>350420.84835852589</v>
      </c>
      <c r="K46" s="490">
        <f>IFERROR(IF(K$6&lt;=$E$8,INDEX('Capital Costs'!$D$15:$G$55,MATCH('Capital Cost Escalation'!$E46,'Capital Costs'!$B$15:$B$55,0),MATCH('Capital Cost Escalation'!$C46,'Capital Costs'!$D$7:$G$7,0))*K$8*(1+$F46)^(K$2), 0),0)</f>
        <v>767183.83811395115</v>
      </c>
      <c r="L46" s="490">
        <f>IFERROR(IF(L$6&lt;=$E$8,INDEX('Capital Costs'!$D$15:$G$55,MATCH('Capital Cost Escalation'!$E46,'Capital Costs'!$B$15:$B$55,0),MATCH('Capital Cost Escalation'!$C46,'Capital Costs'!$D$7:$G$7,0))*L$8*(1+$F46)^(L$2), 0),0)</f>
        <v>487334.87994068558</v>
      </c>
      <c r="M46" s="490">
        <f>IFERROR(IF(M$6&lt;=$E$8,INDEX('Capital Costs'!$D$15:$G$55,MATCH('Capital Cost Escalation'!$E46,'Capital Costs'!$B$15:$B$55,0),MATCH('Capital Cost Escalation'!$C46,'Capital Costs'!$D$7:$G$7,0))*M$8*(1+$F46)^(M$2), 0),0)</f>
        <v>958545.64545730932</v>
      </c>
      <c r="N46" s="490">
        <f>IFERROR(IF(N$6&lt;=$E$8,INDEX('Capital Costs'!$D$15:$G$55,MATCH('Capital Cost Escalation'!$E46,'Capital Costs'!$B$15:$B$55,0),MATCH('Capital Cost Escalation'!$C46,'Capital Costs'!$D$7:$G$7,0))*N$8*(1+$F46)^(N$2), 0),0)</f>
        <v>1276058.7205998448</v>
      </c>
      <c r="O46" s="490">
        <f>IFERROR(IF(O$6&lt;=$E$8,INDEX('Capital Costs'!$D$15:$G$55,MATCH('Capital Cost Escalation'!$E46,'Capital Costs'!$B$15:$B$55,0),MATCH('Capital Cost Escalation'!$C46,'Capital Costs'!$D$7:$G$7,0))*O$8*(1+$F46)^(O$2), 0),0)</f>
        <v>1787553.6194410375</v>
      </c>
      <c r="P46" s="490">
        <f>IFERROR(IF(P$6&lt;=$E$8,INDEX('Capital Costs'!$D$15:$G$55,MATCH('Capital Cost Escalation'!$E46,'Capital Costs'!$B$15:$B$55,0),MATCH('Capital Cost Escalation'!$C46,'Capital Costs'!$D$7:$G$7,0))*P$8*(1+$F46)^(P$2), 0),0)</f>
        <v>2982228.4358162275</v>
      </c>
      <c r="Q46" s="490">
        <f>IFERROR(IF(Q$6&lt;=$E$8,INDEX('Capital Costs'!$D$15:$G$55,MATCH('Capital Cost Escalation'!$E46,'Capital Costs'!$B$15:$B$55,0),MATCH('Capital Cost Escalation'!$C46,'Capital Costs'!$D$7:$G$7,0))*Q$8*(1+$F46)^(Q$2), 0),0)</f>
        <v>3636267.5225820607</v>
      </c>
      <c r="R46" s="490">
        <f>IFERROR(IF(R$6&lt;=$E$8,INDEX('Capital Costs'!$D$15:$G$55,MATCH('Capital Cost Escalation'!$E46,'Capital Costs'!$B$15:$B$55,0),MATCH('Capital Cost Escalation'!$C46,'Capital Costs'!$D$7:$G$7,0))*R$8*(1+$F46)^(R$2), 0),0)</f>
        <v>4668460.8940280378</v>
      </c>
      <c r="S46" s="490">
        <f>IFERROR(IF(S$6&lt;=$E$8,INDEX('Capital Costs'!$D$15:$G$55,MATCH('Capital Cost Escalation'!$E46,'Capital Costs'!$B$15:$B$55,0),MATCH('Capital Cost Escalation'!$C46,'Capital Costs'!$D$7:$G$7,0))*S$8*(1+$F46)^(S$2), 0),0)</f>
        <v>5209334.5988427876</v>
      </c>
      <c r="T46" s="490">
        <f>IFERROR(IF(T$6&lt;=$E$8,INDEX('Capital Costs'!$D$15:$G$55,MATCH('Capital Cost Escalation'!$E46,'Capital Costs'!$B$15:$B$55,0),MATCH('Capital Cost Escalation'!$C46,'Capital Costs'!$D$7:$G$7,0))*T$8*(1+$F46)^(T$2), 0),0)</f>
        <v>5546563.6950122118</v>
      </c>
      <c r="U46" s="490">
        <f>IFERROR(IF(U$6&lt;=$E$8,INDEX('Capital Costs'!$D$15:$G$55,MATCH('Capital Cost Escalation'!$E46,'Capital Costs'!$B$15:$B$55,0),MATCH('Capital Cost Escalation'!$C46,'Capital Costs'!$D$7:$G$7,0))*U$8*(1+$F46)^(U$2), 0),0)</f>
        <v>5210959.0389418714</v>
      </c>
      <c r="V46" s="490">
        <f>IFERROR(IF(V$6&lt;=$E$8,INDEX('Capital Costs'!$D$15:$G$55,MATCH('Capital Cost Escalation'!$E46,'Capital Costs'!$B$15:$B$55,0),MATCH('Capital Cost Escalation'!$C46,'Capital Costs'!$D$7:$G$7,0))*V$8*(1+$F46)^(V$2), 0),0)</f>
        <v>4624992.5583008481</v>
      </c>
      <c r="W46" s="490">
        <f>IFERROR(IF(W$6&lt;=$E$8,INDEX('Capital Costs'!$D$15:$G$55,MATCH('Capital Cost Escalation'!$E46,'Capital Costs'!$B$15:$B$55,0),MATCH('Capital Cost Escalation'!$C46,'Capital Costs'!$D$7:$G$7,0))*W$8*(1+$F46)^(W$2), 0),0)</f>
        <v>3522220.196121166</v>
      </c>
      <c r="X46" s="490">
        <f>IFERROR(IF(X$6&lt;=$E$8,INDEX('Capital Costs'!$D$15:$G$55,MATCH('Capital Cost Escalation'!$E46,'Capital Costs'!$B$15:$B$55,0),MATCH('Capital Cost Escalation'!$C46,'Capital Costs'!$D$7:$G$7,0))*X$8*(1+$F46)^(X$2), 0),0)</f>
        <v>1964914.4332883547</v>
      </c>
      <c r="Y46" s="490">
        <f>IFERROR(IF(Y$6&lt;=$E$8,INDEX('Capital Costs'!$D$15:$G$55,MATCH('Capital Cost Escalation'!$E46,'Capital Costs'!$B$15:$B$55,0),MATCH('Capital Cost Escalation'!$C46,'Capital Costs'!$D$7:$G$7,0))*Y$8*(1+$F46)^(Y$2), 0),0)</f>
        <v>416671.53919342172</v>
      </c>
      <c r="Z46" s="490">
        <f>IFERROR(IF(Z$6&lt;=$E$8,INDEX('Capital Costs'!$D$15:$G$55,MATCH('Capital Cost Escalation'!$E46,'Capital Costs'!$B$15:$B$55,0),MATCH('Capital Cost Escalation'!$C46,'Capital Costs'!$D$7:$G$7,0))*Z$8*(1+$F46)^(Z$2), 0),0)</f>
        <v>93148.270512062576</v>
      </c>
      <c r="AA46" s="490">
        <f>IFERROR(IF(AA$6&lt;=$E$8,INDEX('Capital Costs'!$D$15:$G$55,MATCH('Capital Cost Escalation'!$E46,'Capital Costs'!$B$15:$B$55,0),MATCH('Capital Cost Escalation'!$C46,'Capital Costs'!$D$7:$G$7,0))*AA$8*(1+$F46)^(AA$2), 0),0)</f>
        <v>0</v>
      </c>
      <c r="AB46" s="490">
        <f>IFERROR(IF(AB$6&lt;=$E$8,INDEX('Capital Costs'!$D$15:$G$55,MATCH('Capital Cost Escalation'!$E46,'Capital Costs'!$B$15:$B$55,0),MATCH('Capital Cost Escalation'!$C46,'Capital Costs'!$D$7:$G$7,0))*AB$8*(1+$F46)^(AB$2), 0),0)</f>
        <v>0</v>
      </c>
      <c r="AC46" s="490">
        <f>IFERROR(IF(AC$6&lt;=$E$8,INDEX('Capital Costs'!$D$15:$G$55,MATCH('Capital Cost Escalation'!$E46,'Capital Costs'!$B$15:$B$55,0),MATCH('Capital Cost Escalation'!$C46,'Capital Costs'!$D$7:$G$7,0))*AC$8*(1+$F46)^(AC$2), 0),0)</f>
        <v>0</v>
      </c>
      <c r="AD46" s="490">
        <f>IFERROR(IF(AD$6&lt;=$E$8,INDEX('Capital Costs'!$D$15:$G$55,MATCH('Capital Cost Escalation'!$E46,'Capital Costs'!$B$15:$B$55,0),MATCH('Capital Cost Escalation'!$C46,'Capital Costs'!$D$7:$G$7,0))*AD$8*(1+$F46)^(AD$2), 0),0)</f>
        <v>0</v>
      </c>
      <c r="AE46" s="490">
        <f>IFERROR(IF(AE$6&lt;=$E$8,INDEX('Capital Costs'!$D$15:$G$55,MATCH('Capital Cost Escalation'!$E46,'Capital Costs'!$B$15:$B$55,0),MATCH('Capital Cost Escalation'!$C46,'Capital Costs'!$D$7:$G$7,0))*AE$8*(1+$F46)^(AE$2), 0),0)</f>
        <v>0</v>
      </c>
      <c r="AF46" s="490">
        <f>IFERROR(IF(AF$6&lt;=$E$8,INDEX('Capital Costs'!$D$15:$G$55,MATCH('Capital Cost Escalation'!$E46,'Capital Costs'!$B$15:$B$55,0),MATCH('Capital Cost Escalation'!$C46,'Capital Costs'!$D$7:$G$7,0))*AF$8*(1+$F46)^(AF$2), 0),0)</f>
        <v>0</v>
      </c>
      <c r="AG46" s="490">
        <f>IFERROR(IF(AG$6&lt;=$E$8,INDEX('Capital Costs'!$D$15:$G$55,MATCH('Capital Cost Escalation'!$E46,'Capital Costs'!$B$15:$B$55,0),MATCH('Capital Cost Escalation'!$C46,'Capital Costs'!$D$7:$G$7,0))*AG$8*(1+$F46)^(AG$2), 0),0)</f>
        <v>0</v>
      </c>
      <c r="AH46" s="490">
        <f>IFERROR(IF(AH$6&lt;=$E$8,INDEX('Capital Costs'!$D$15:$G$55,MATCH('Capital Cost Escalation'!$E46,'Capital Costs'!$B$15:$B$55,0),MATCH('Capital Cost Escalation'!$C46,'Capital Costs'!$D$7:$G$7,0))*AH$8*(1+$F46)^(AH$2), 0),0)</f>
        <v>0</v>
      </c>
      <c r="AI46" s="490">
        <f>IFERROR(IF(AI$6&lt;=$E$8,INDEX('Capital Costs'!$D$15:$G$55,MATCH('Capital Cost Escalation'!$E46,'Capital Costs'!$B$15:$B$55,0),MATCH('Capital Cost Escalation'!$C46,'Capital Costs'!$D$7:$G$7,0))*AI$8*(1+$F46)^(AI$2), 0),0)</f>
        <v>0</v>
      </c>
      <c r="AJ46" s="490">
        <f>IFERROR(IF(AJ$6&lt;=$E$8,INDEX('Capital Costs'!$D$15:$G$55,MATCH('Capital Cost Escalation'!$E46,'Capital Costs'!$B$15:$B$55,0),MATCH('Capital Cost Escalation'!$C46,'Capital Costs'!$D$7:$G$7,0))*AJ$8*(1+$F46)^(AJ$2), 0),0)</f>
        <v>0</v>
      </c>
      <c r="AK46" s="490">
        <f>IFERROR(IF(AK$6&lt;=$E$8,INDEX('Capital Costs'!$D$15:$G$55,MATCH('Capital Cost Escalation'!$E46,'Capital Costs'!$B$15:$B$55,0),MATCH('Capital Cost Escalation'!$C46,'Capital Costs'!$D$7:$G$7,0))*AK$8*(1+$F46)^(AK$2), 0),0)</f>
        <v>0</v>
      </c>
      <c r="AL46" s="490">
        <f>IFERROR(IF(AL$6&lt;=$E$8,INDEX('Capital Costs'!$D$15:$G$55,MATCH('Capital Cost Escalation'!$E46,'Capital Costs'!$B$15:$B$55,0),MATCH('Capital Cost Escalation'!$C46,'Capital Costs'!$D$7:$G$7,0))*AL$8*(1+$F46)^(AL$2), 0),0)</f>
        <v>0</v>
      </c>
      <c r="AM46" s="490">
        <f>IFERROR(IF(AM$6&lt;=$E$8,INDEX('Capital Costs'!$D$15:$G$55,MATCH('Capital Cost Escalation'!$E46,'Capital Costs'!$B$15:$B$55,0),MATCH('Capital Cost Escalation'!$C46,'Capital Costs'!$D$7:$G$7,0))*AM$8*(1+$F46)^(AM$2), 0),0)</f>
        <v>0</v>
      </c>
      <c r="AN46" s="490">
        <f>IFERROR(IF(AN$6&lt;=$E$8,INDEX('Capital Costs'!$D$15:$G$55,MATCH('Capital Cost Escalation'!$E46,'Capital Costs'!$B$15:$B$55,0),MATCH('Capital Cost Escalation'!$C46,'Capital Costs'!$D$7:$G$7,0))*AN$8*(1+$F46)^(AN$2), 0),0)</f>
        <v>0</v>
      </c>
      <c r="AO46" s="490">
        <f>IFERROR(IF(AO$6&lt;=$E$8,INDEX('Capital Costs'!$D$15:$G$55,MATCH('Capital Cost Escalation'!$E46,'Capital Costs'!$B$15:$B$55,0),MATCH('Capital Cost Escalation'!$C46,'Capital Costs'!$D$7:$G$7,0))*AO$8*(1+$F46)^(AO$2), 0),0)</f>
        <v>0</v>
      </c>
      <c r="AP46" s="490">
        <f>IFERROR(IF(AP$6&lt;=$E$8,INDEX('Capital Costs'!$D$15:$G$55,MATCH('Capital Cost Escalation'!$E46,'Capital Costs'!$B$15:$B$55,0),MATCH('Capital Cost Escalation'!$C46,'Capital Costs'!$D$7:$G$7,0))*AP$8*(1+$F46)^(AP$2), 0),0)</f>
        <v>0</v>
      </c>
      <c r="AQ46" s="490">
        <f>IFERROR(IF(AQ$6&lt;=$E$8,INDEX('Capital Costs'!$D$15:$G$55,MATCH('Capital Cost Escalation'!$E46,'Capital Costs'!$B$15:$B$55,0),MATCH('Capital Cost Escalation'!$C46,'Capital Costs'!$D$7:$G$7,0))*AQ$8*(1+$F46)^(AQ$2), 0),0)</f>
        <v>0</v>
      </c>
      <c r="AR46" s="490">
        <f>IFERROR(IF(AR$6&lt;=$E$8,INDEX('Capital Costs'!$D$15:$G$55,MATCH('Capital Cost Escalation'!$E46,'Capital Costs'!$B$15:$B$55,0),MATCH('Capital Cost Escalation'!$C46,'Capital Costs'!$D$7:$G$7,0))*AR$8*(1+$F46)^(AR$2), 0),0)</f>
        <v>0</v>
      </c>
      <c r="AS46" s="490">
        <f>IFERROR(IF(AS$6&lt;=$E$8,INDEX('Capital Costs'!$D$15:$G$55,MATCH('Capital Cost Escalation'!$E46,'Capital Costs'!$B$15:$B$55,0),MATCH('Capital Cost Escalation'!$C46,'Capital Costs'!$D$7:$G$7,0))*AS$8*(1+$F46)^(AS$2), 0),0)</f>
        <v>0</v>
      </c>
      <c r="AT46" s="490">
        <f>IFERROR(IF(AT$6&lt;=$E$8,INDEX('Capital Costs'!$D$15:$G$55,MATCH('Capital Cost Escalation'!$E46,'Capital Costs'!$B$15:$B$55,0),MATCH('Capital Cost Escalation'!$C46,'Capital Costs'!$D$7:$G$7,0))*AT$8*(1+$F46)^(AT$2), 0),0)</f>
        <v>0</v>
      </c>
      <c r="AV46" s="827">
        <f t="shared" si="7"/>
        <v>44978938.12254265</v>
      </c>
      <c r="AW46" s="828">
        <f>INDEX('Capital Costs'!$D$15:$G$55,MATCH('Capital Cost Escalation'!$E46,'Capital Costs'!$B$15:$B$55,0),MATCH('Capital Cost Escalation'!$C46,'Capital Costs'!$D$7:$G$7,0))</f>
        <v>37051400</v>
      </c>
    </row>
    <row r="47" spans="1:49">
      <c r="A47" s="487" t="str">
        <f t="shared" si="4"/>
        <v xml:space="preserve">CT_WMAAC_Other Labor </v>
      </c>
      <c r="B47" s="478" t="s">
        <v>76</v>
      </c>
      <c r="C47" s="488" t="s">
        <v>122</v>
      </c>
      <c r="E47" s="442" t="s">
        <v>139</v>
      </c>
      <c r="F47" s="1325">
        <f>INDEX('Capital Costs_Nominal$'!$F:$F,MATCH('Capital Cost Escalation'!$E47,'Capital Costs_Nominal$'!$C:$C,0),1)</f>
        <v>3.6840339826600399E-3</v>
      </c>
      <c r="G47" s="490">
        <f>IFERROR(IF(G$6&lt;=$E$8,INDEX('Capital Costs'!$D$15:$G$55,MATCH('Capital Cost Escalation'!$E47,'Capital Costs'!$B$15:$B$55,0),MATCH('Capital Cost Escalation'!$C47,'Capital Costs'!$D$7:$G$7,0))*G$8*(1+$F47)^(G$2), 0),0)</f>
        <v>55543.39246304609</v>
      </c>
      <c r="H47" s="490">
        <f>IFERROR(IF(H$6&lt;=$E$8,INDEX('Capital Costs'!$D$15:$G$55,MATCH('Capital Cost Escalation'!$E47,'Capital Costs'!$B$15:$B$55,0),MATCH('Capital Cost Escalation'!$C47,'Capital Costs'!$D$7:$G$7,0))*H$8*(1+$F47)^(H$2), 0),0)</f>
        <v>66332.734238265955</v>
      </c>
      <c r="I47" s="490">
        <f>IFERROR(IF(I$6&lt;=$E$8,INDEX('Capital Costs'!$D$15:$G$55,MATCH('Capital Cost Escalation'!$E47,'Capital Costs'!$B$15:$B$55,0),MATCH('Capital Cost Escalation'!$C47,'Capital Costs'!$D$7:$G$7,0))*I$8*(1+$F47)^(I$2), 0),0)</f>
        <v>401731.79667701479</v>
      </c>
      <c r="J47" s="490">
        <f>IFERROR(IF(J$6&lt;=$E$8,INDEX('Capital Costs'!$D$15:$G$55,MATCH('Capital Cost Escalation'!$E47,'Capital Costs'!$B$15:$B$55,0),MATCH('Capital Cost Escalation'!$C47,'Capital Costs'!$D$7:$G$7,0))*J$8*(1+$F47)^(J$2), 0),0)</f>
        <v>124304.37970348699</v>
      </c>
      <c r="K47" s="490">
        <f>IFERROR(IF(K$6&lt;=$E$8,INDEX('Capital Costs'!$D$15:$G$55,MATCH('Capital Cost Escalation'!$E47,'Capital Costs'!$B$15:$B$55,0),MATCH('Capital Cost Escalation'!$C47,'Capital Costs'!$D$7:$G$7,0))*K$8*(1+$F47)^(K$2), 0),0)</f>
        <v>272142.23001288163</v>
      </c>
      <c r="L47" s="490">
        <f>IFERROR(IF(L$6&lt;=$E$8,INDEX('Capital Costs'!$D$15:$G$55,MATCH('Capital Cost Escalation'!$E47,'Capital Costs'!$B$15:$B$55,0),MATCH('Capital Cost Escalation'!$C47,'Capital Costs'!$D$7:$G$7,0))*L$8*(1+$F47)^(L$2), 0),0)</f>
        <v>172871.73478023554</v>
      </c>
      <c r="M47" s="490">
        <f>IFERROR(IF(M$6&lt;=$E$8,INDEX('Capital Costs'!$D$15:$G$55,MATCH('Capital Cost Escalation'!$E47,'Capital Costs'!$B$15:$B$55,0),MATCH('Capital Cost Escalation'!$C47,'Capital Costs'!$D$7:$G$7,0))*M$8*(1+$F47)^(M$2), 0),0)</f>
        <v>340023.78121675592</v>
      </c>
      <c r="N47" s="490">
        <f>IFERROR(IF(N$6&lt;=$E$8,INDEX('Capital Costs'!$D$15:$G$55,MATCH('Capital Cost Escalation'!$E47,'Capital Costs'!$B$15:$B$55,0),MATCH('Capital Cost Escalation'!$C47,'Capital Costs'!$D$7:$G$7,0))*N$8*(1+$F47)^(N$2), 0),0)</f>
        <v>452654.82482680498</v>
      </c>
      <c r="O47" s="490">
        <f>IFERROR(IF(O$6&lt;=$E$8,INDEX('Capital Costs'!$D$15:$G$55,MATCH('Capital Cost Escalation'!$E47,'Capital Costs'!$B$15:$B$55,0),MATCH('Capital Cost Escalation'!$C47,'Capital Costs'!$D$7:$G$7,0))*O$8*(1+$F47)^(O$2), 0),0)</f>
        <v>634096.8149931567</v>
      </c>
      <c r="P47" s="490">
        <f>IFERROR(IF(P$6&lt;=$E$8,INDEX('Capital Costs'!$D$15:$G$55,MATCH('Capital Cost Escalation'!$E47,'Capital Costs'!$B$15:$B$55,0),MATCH('Capital Cost Escalation'!$C47,'Capital Costs'!$D$7:$G$7,0))*P$8*(1+$F47)^(P$2), 0),0)</f>
        <v>1057882.4221924096</v>
      </c>
      <c r="Q47" s="490">
        <f>IFERROR(IF(Q$6&lt;=$E$8,INDEX('Capital Costs'!$D$15:$G$55,MATCH('Capital Cost Escalation'!$E47,'Capital Costs'!$B$15:$B$55,0),MATCH('Capital Cost Escalation'!$C47,'Capital Costs'!$D$7:$G$7,0))*Q$8*(1+$F47)^(Q$2), 0),0)</f>
        <v>1289888.9462422619</v>
      </c>
      <c r="R47" s="490">
        <f>IFERROR(IF(R$6&lt;=$E$8,INDEX('Capital Costs'!$D$15:$G$55,MATCH('Capital Cost Escalation'!$E47,'Capital Costs'!$B$15:$B$55,0),MATCH('Capital Cost Escalation'!$C47,'Capital Costs'!$D$7:$G$7,0))*R$8*(1+$F47)^(R$2), 0),0)</f>
        <v>1656037.6995846124</v>
      </c>
      <c r="S47" s="490">
        <f>IFERROR(IF(S$6&lt;=$E$8,INDEX('Capital Costs'!$D$15:$G$55,MATCH('Capital Cost Escalation'!$E47,'Capital Costs'!$B$15:$B$55,0),MATCH('Capital Cost Escalation'!$C47,'Capital Costs'!$D$7:$G$7,0))*S$8*(1+$F47)^(S$2), 0),0)</f>
        <v>1847901.1994016562</v>
      </c>
      <c r="T47" s="490">
        <f>IFERROR(IF(T$6&lt;=$E$8,INDEX('Capital Costs'!$D$15:$G$55,MATCH('Capital Cost Escalation'!$E47,'Capital Costs'!$B$15:$B$55,0),MATCH('Capital Cost Escalation'!$C47,'Capital Costs'!$D$7:$G$7,0))*T$8*(1+$F47)^(T$2), 0),0)</f>
        <v>1967526.0842042272</v>
      </c>
      <c r="U47" s="490">
        <f>IFERROR(IF(U$6&lt;=$E$8,INDEX('Capital Costs'!$D$15:$G$55,MATCH('Capital Cost Escalation'!$E47,'Capital Costs'!$B$15:$B$55,0),MATCH('Capital Cost Escalation'!$C47,'Capital Costs'!$D$7:$G$7,0))*U$8*(1+$F47)^(U$2), 0),0)</f>
        <v>1848477.4351474117</v>
      </c>
      <c r="V47" s="490">
        <f>IFERROR(IF(V$6&lt;=$E$8,INDEX('Capital Costs'!$D$15:$G$55,MATCH('Capital Cost Escalation'!$E47,'Capital Costs'!$B$15:$B$55,0),MATCH('Capital Cost Escalation'!$C47,'Capital Costs'!$D$7:$G$7,0))*V$8*(1+$F47)^(V$2), 0),0)</f>
        <v>1640618.2274424098</v>
      </c>
      <c r="W47" s="490">
        <f>IFERROR(IF(W$6&lt;=$E$8,INDEX('Capital Costs'!$D$15:$G$55,MATCH('Capital Cost Escalation'!$E47,'Capital Costs'!$B$15:$B$55,0),MATCH('Capital Cost Escalation'!$C47,'Capital Costs'!$D$7:$G$7,0))*W$8*(1+$F47)^(W$2), 0),0)</f>
        <v>1249433.0708599326</v>
      </c>
      <c r="X47" s="490">
        <f>IFERROR(IF(X$6&lt;=$E$8,INDEX('Capital Costs'!$D$15:$G$55,MATCH('Capital Cost Escalation'!$E47,'Capital Costs'!$B$15:$B$55,0),MATCH('Capital Cost Escalation'!$C47,'Capital Costs'!$D$7:$G$7,0))*X$8*(1+$F47)^(X$2), 0),0)</f>
        <v>697011.81006913376</v>
      </c>
      <c r="Y47" s="490">
        <f>IFERROR(IF(Y$6&lt;=$E$8,INDEX('Capital Costs'!$D$15:$G$55,MATCH('Capital Cost Escalation'!$E47,'Capital Costs'!$B$15:$B$55,0),MATCH('Capital Cost Escalation'!$C47,'Capital Costs'!$D$7:$G$7,0))*Y$8*(1+$F47)^(Y$2), 0),0)</f>
        <v>147805.41015796922</v>
      </c>
      <c r="Z47" s="490">
        <f>IFERROR(IF(Z$6&lt;=$E$8,INDEX('Capital Costs'!$D$15:$G$55,MATCH('Capital Cost Escalation'!$E47,'Capital Costs'!$B$15:$B$55,0),MATCH('Capital Cost Escalation'!$C47,'Capital Costs'!$D$7:$G$7,0))*Z$8*(1+$F47)^(Z$2), 0),0)</f>
        <v>33042.377588812858</v>
      </c>
      <c r="AA47" s="490">
        <f>IFERROR(IF(AA$6&lt;=$E$8,INDEX('Capital Costs'!$D$15:$G$55,MATCH('Capital Cost Escalation'!$E47,'Capital Costs'!$B$15:$B$55,0),MATCH('Capital Cost Escalation'!$C47,'Capital Costs'!$D$7:$G$7,0))*AA$8*(1+$F47)^(AA$2), 0),0)</f>
        <v>0</v>
      </c>
      <c r="AB47" s="490">
        <f>IFERROR(IF(AB$6&lt;=$E$8,INDEX('Capital Costs'!$D$15:$G$55,MATCH('Capital Cost Escalation'!$E47,'Capital Costs'!$B$15:$B$55,0),MATCH('Capital Cost Escalation'!$C47,'Capital Costs'!$D$7:$G$7,0))*AB$8*(1+$F47)^(AB$2), 0),0)</f>
        <v>0</v>
      </c>
      <c r="AC47" s="490">
        <f>IFERROR(IF(AC$6&lt;=$E$8,INDEX('Capital Costs'!$D$15:$G$55,MATCH('Capital Cost Escalation'!$E47,'Capital Costs'!$B$15:$B$55,0),MATCH('Capital Cost Escalation'!$C47,'Capital Costs'!$D$7:$G$7,0))*AC$8*(1+$F47)^(AC$2), 0),0)</f>
        <v>0</v>
      </c>
      <c r="AD47" s="490">
        <f>IFERROR(IF(AD$6&lt;=$E$8,INDEX('Capital Costs'!$D$15:$G$55,MATCH('Capital Cost Escalation'!$E47,'Capital Costs'!$B$15:$B$55,0),MATCH('Capital Cost Escalation'!$C47,'Capital Costs'!$D$7:$G$7,0))*AD$8*(1+$F47)^(AD$2), 0),0)</f>
        <v>0</v>
      </c>
      <c r="AE47" s="490">
        <f>IFERROR(IF(AE$6&lt;=$E$8,INDEX('Capital Costs'!$D$15:$G$55,MATCH('Capital Cost Escalation'!$E47,'Capital Costs'!$B$15:$B$55,0),MATCH('Capital Cost Escalation'!$C47,'Capital Costs'!$D$7:$G$7,0))*AE$8*(1+$F47)^(AE$2), 0),0)</f>
        <v>0</v>
      </c>
      <c r="AF47" s="490">
        <f>IFERROR(IF(AF$6&lt;=$E$8,INDEX('Capital Costs'!$D$15:$G$55,MATCH('Capital Cost Escalation'!$E47,'Capital Costs'!$B$15:$B$55,0),MATCH('Capital Cost Escalation'!$C47,'Capital Costs'!$D$7:$G$7,0))*AF$8*(1+$F47)^(AF$2), 0),0)</f>
        <v>0</v>
      </c>
      <c r="AG47" s="490">
        <f>IFERROR(IF(AG$6&lt;=$E$8,INDEX('Capital Costs'!$D$15:$G$55,MATCH('Capital Cost Escalation'!$E47,'Capital Costs'!$B$15:$B$55,0),MATCH('Capital Cost Escalation'!$C47,'Capital Costs'!$D$7:$G$7,0))*AG$8*(1+$F47)^(AG$2), 0),0)</f>
        <v>0</v>
      </c>
      <c r="AH47" s="490">
        <f>IFERROR(IF(AH$6&lt;=$E$8,INDEX('Capital Costs'!$D$15:$G$55,MATCH('Capital Cost Escalation'!$E47,'Capital Costs'!$B$15:$B$55,0),MATCH('Capital Cost Escalation'!$C47,'Capital Costs'!$D$7:$G$7,0))*AH$8*(1+$F47)^(AH$2), 0),0)</f>
        <v>0</v>
      </c>
      <c r="AI47" s="490">
        <f>IFERROR(IF(AI$6&lt;=$E$8,INDEX('Capital Costs'!$D$15:$G$55,MATCH('Capital Cost Escalation'!$E47,'Capital Costs'!$B$15:$B$55,0),MATCH('Capital Cost Escalation'!$C47,'Capital Costs'!$D$7:$G$7,0))*AI$8*(1+$F47)^(AI$2), 0),0)</f>
        <v>0</v>
      </c>
      <c r="AJ47" s="490">
        <f>IFERROR(IF(AJ$6&lt;=$E$8,INDEX('Capital Costs'!$D$15:$G$55,MATCH('Capital Cost Escalation'!$E47,'Capital Costs'!$B$15:$B$55,0),MATCH('Capital Cost Escalation'!$C47,'Capital Costs'!$D$7:$G$7,0))*AJ$8*(1+$F47)^(AJ$2), 0),0)</f>
        <v>0</v>
      </c>
      <c r="AK47" s="490">
        <f>IFERROR(IF(AK$6&lt;=$E$8,INDEX('Capital Costs'!$D$15:$G$55,MATCH('Capital Cost Escalation'!$E47,'Capital Costs'!$B$15:$B$55,0),MATCH('Capital Cost Escalation'!$C47,'Capital Costs'!$D$7:$G$7,0))*AK$8*(1+$F47)^(AK$2), 0),0)</f>
        <v>0</v>
      </c>
      <c r="AL47" s="490">
        <f>IFERROR(IF(AL$6&lt;=$E$8,INDEX('Capital Costs'!$D$15:$G$55,MATCH('Capital Cost Escalation'!$E47,'Capital Costs'!$B$15:$B$55,0),MATCH('Capital Cost Escalation'!$C47,'Capital Costs'!$D$7:$G$7,0))*AL$8*(1+$F47)^(AL$2), 0),0)</f>
        <v>0</v>
      </c>
      <c r="AM47" s="490">
        <f>IFERROR(IF(AM$6&lt;=$E$8,INDEX('Capital Costs'!$D$15:$G$55,MATCH('Capital Cost Escalation'!$E47,'Capital Costs'!$B$15:$B$55,0),MATCH('Capital Cost Escalation'!$C47,'Capital Costs'!$D$7:$G$7,0))*AM$8*(1+$F47)^(AM$2), 0),0)</f>
        <v>0</v>
      </c>
      <c r="AN47" s="490">
        <f>IFERROR(IF(AN$6&lt;=$E$8,INDEX('Capital Costs'!$D$15:$G$55,MATCH('Capital Cost Escalation'!$E47,'Capital Costs'!$B$15:$B$55,0),MATCH('Capital Cost Escalation'!$C47,'Capital Costs'!$D$7:$G$7,0))*AN$8*(1+$F47)^(AN$2), 0),0)</f>
        <v>0</v>
      </c>
      <c r="AO47" s="490">
        <f>IFERROR(IF(AO$6&lt;=$E$8,INDEX('Capital Costs'!$D$15:$G$55,MATCH('Capital Cost Escalation'!$E47,'Capital Costs'!$B$15:$B$55,0),MATCH('Capital Cost Escalation'!$C47,'Capital Costs'!$D$7:$G$7,0))*AO$8*(1+$F47)^(AO$2), 0),0)</f>
        <v>0</v>
      </c>
      <c r="AP47" s="490">
        <f>IFERROR(IF(AP$6&lt;=$E$8,INDEX('Capital Costs'!$D$15:$G$55,MATCH('Capital Cost Escalation'!$E47,'Capital Costs'!$B$15:$B$55,0),MATCH('Capital Cost Escalation'!$C47,'Capital Costs'!$D$7:$G$7,0))*AP$8*(1+$F47)^(AP$2), 0),0)</f>
        <v>0</v>
      </c>
      <c r="AQ47" s="490">
        <f>IFERROR(IF(AQ$6&lt;=$E$8,INDEX('Capital Costs'!$D$15:$G$55,MATCH('Capital Cost Escalation'!$E47,'Capital Costs'!$B$15:$B$55,0),MATCH('Capital Cost Escalation'!$C47,'Capital Costs'!$D$7:$G$7,0))*AQ$8*(1+$F47)^(AQ$2), 0),0)</f>
        <v>0</v>
      </c>
      <c r="AR47" s="490">
        <f>IFERROR(IF(AR$6&lt;=$E$8,INDEX('Capital Costs'!$D$15:$G$55,MATCH('Capital Cost Escalation'!$E47,'Capital Costs'!$B$15:$B$55,0),MATCH('Capital Cost Escalation'!$C47,'Capital Costs'!$D$7:$G$7,0))*AR$8*(1+$F47)^(AR$2), 0),0)</f>
        <v>0</v>
      </c>
      <c r="AS47" s="490">
        <f>IFERROR(IF(AS$6&lt;=$E$8,INDEX('Capital Costs'!$D$15:$G$55,MATCH('Capital Cost Escalation'!$E47,'Capital Costs'!$B$15:$B$55,0),MATCH('Capital Cost Escalation'!$C47,'Capital Costs'!$D$7:$G$7,0))*AS$8*(1+$F47)^(AS$2), 0),0)</f>
        <v>0</v>
      </c>
      <c r="AT47" s="490">
        <f>IFERROR(IF(AT$6&lt;=$E$8,INDEX('Capital Costs'!$D$15:$G$55,MATCH('Capital Cost Escalation'!$E47,'Capital Costs'!$B$15:$B$55,0),MATCH('Capital Cost Escalation'!$C47,'Capital Costs'!$D$7:$G$7,0))*AT$8*(1+$F47)^(AT$2), 0),0)</f>
        <v>0</v>
      </c>
      <c r="AV47" s="827">
        <f t="shared" si="7"/>
        <v>15955326.371802486</v>
      </c>
      <c r="AW47" s="828">
        <f>INDEX('Capital Costs'!$D$15:$G$55,MATCH('Capital Cost Escalation'!$E47,'Capital Costs'!$B$15:$B$55,0),MATCH('Capital Cost Escalation'!$C47,'Capital Costs'!$D$7:$G$7,0))</f>
        <v>13143200</v>
      </c>
    </row>
    <row r="48" spans="1:49">
      <c r="A48" s="487" t="str">
        <f t="shared" si="4"/>
        <v>CT_WMAAC_Materials</v>
      </c>
      <c r="B48" s="478" t="s">
        <v>76</v>
      </c>
      <c r="C48" s="488" t="s">
        <v>122</v>
      </c>
      <c r="E48" s="442" t="s">
        <v>140</v>
      </c>
      <c r="F48" s="1325">
        <f>INDEX('Capital Costs_Nominal$'!$F:$F,MATCH('Capital Cost Escalation'!$E48,'Capital Costs_Nominal$'!$C:$C,0),1)</f>
        <v>2.3944839450136257E-3</v>
      </c>
      <c r="G48" s="490">
        <f>IFERROR(IF(G$6&lt;=$E$8,INDEX('Capital Costs'!$D$15:$G$55,MATCH('Capital Cost Escalation'!$E48,'Capital Costs'!$B$15:$B$55,0),MATCH('Capital Cost Escalation'!$C48,'Capital Costs'!$D$7:$G$7,0))*G$8*(1+$F48)^(G$2), 0),0)</f>
        <v>28651.717687471421</v>
      </c>
      <c r="H48" s="490">
        <f>IFERROR(IF(H$6&lt;=$E$8,INDEX('Capital Costs'!$D$15:$G$55,MATCH('Capital Cost Escalation'!$E48,'Capital Costs'!$B$15:$B$55,0),MATCH('Capital Cost Escalation'!$C48,'Capital Costs'!$D$7:$G$7,0))*H$8*(1+$F48)^(H$2), 0),0)</f>
        <v>34173.370339322704</v>
      </c>
      <c r="I48" s="490">
        <f>IFERROR(IF(I$6&lt;=$E$8,INDEX('Capital Costs'!$D$15:$G$55,MATCH('Capital Cost Escalation'!$E48,'Capital Costs'!$B$15:$B$55,0),MATCH('Capital Cost Escalation'!$C48,'Capital Costs'!$D$7:$G$7,0))*I$8*(1+$F48)^(I$2), 0),0)</f>
        <v>206698.71335851497</v>
      </c>
      <c r="J48" s="490">
        <f>IFERROR(IF(J$6&lt;=$E$8,INDEX('Capital Costs'!$D$15:$G$55,MATCH('Capital Cost Escalation'!$E48,'Capital Costs'!$B$15:$B$55,0),MATCH('Capital Cost Escalation'!$C48,'Capital Costs'!$D$7:$G$7,0))*J$8*(1+$F48)^(J$2), 0),0)</f>
        <v>63874.814122381125</v>
      </c>
      <c r="K48" s="490">
        <f>IFERROR(IF(K$6&lt;=$E$8,INDEX('Capital Costs'!$D$15:$G$55,MATCH('Capital Cost Escalation'!$E48,'Capital Costs'!$B$15:$B$55,0),MATCH('Capital Cost Escalation'!$C48,'Capital Costs'!$D$7:$G$7,0))*K$8*(1+$F48)^(K$2), 0),0)</f>
        <v>139662.82109278609</v>
      </c>
      <c r="L48" s="490">
        <f>IFERROR(IF(L$6&lt;=$E$8,INDEX('Capital Costs'!$D$15:$G$55,MATCH('Capital Cost Escalation'!$E48,'Capital Costs'!$B$15:$B$55,0),MATCH('Capital Cost Escalation'!$C48,'Capital Costs'!$D$7:$G$7,0))*L$8*(1+$F48)^(L$2), 0),0)</f>
        <v>88603.425738858612</v>
      </c>
      <c r="M48" s="490">
        <f>IFERROR(IF(M$6&lt;=$E$8,INDEX('Capital Costs'!$D$15:$G$55,MATCH('Capital Cost Escalation'!$E48,'Capital Costs'!$B$15:$B$55,0),MATCH('Capital Cost Escalation'!$C48,'Capital Costs'!$D$7:$G$7,0))*M$8*(1+$F48)^(M$2), 0),0)</f>
        <v>174051.37898257526</v>
      </c>
      <c r="N48" s="490">
        <f>IFERROR(IF(N$6&lt;=$E$8,INDEX('Capital Costs'!$D$15:$G$55,MATCH('Capital Cost Escalation'!$E48,'Capital Costs'!$B$15:$B$55,0),MATCH('Capital Cost Escalation'!$C48,'Capital Costs'!$D$7:$G$7,0))*N$8*(1+$F48)^(N$2), 0),0)</f>
        <v>231407.26111635004</v>
      </c>
      <c r="O48" s="490">
        <f>IFERROR(IF(O$6&lt;=$E$8,INDEX('Capital Costs'!$D$15:$G$55,MATCH('Capital Cost Escalation'!$E48,'Capital Costs'!$B$15:$B$55,0),MATCH('Capital Cost Escalation'!$C48,'Capital Costs'!$D$7:$G$7,0))*O$8*(1+$F48)^(O$2), 0),0)</f>
        <v>323747.96892557305</v>
      </c>
      <c r="P48" s="490">
        <f>IFERROR(IF(P$6&lt;=$E$8,INDEX('Capital Costs'!$D$15:$G$55,MATCH('Capital Cost Escalation'!$E48,'Capital Costs'!$B$15:$B$55,0),MATCH('Capital Cost Escalation'!$C48,'Capital Costs'!$D$7:$G$7,0))*P$8*(1+$F48)^(P$2), 0),0)</f>
        <v>539424.33405308344</v>
      </c>
      <c r="Q48" s="490">
        <f>IFERROR(IF(Q$6&lt;=$E$8,INDEX('Capital Costs'!$D$15:$G$55,MATCH('Capital Cost Escalation'!$E48,'Capital Costs'!$B$15:$B$55,0),MATCH('Capital Cost Escalation'!$C48,'Capital Costs'!$D$7:$G$7,0))*Q$8*(1+$F48)^(Q$2), 0),0)</f>
        <v>656881.6146307782</v>
      </c>
      <c r="R48" s="490">
        <f>IFERROR(IF(R$6&lt;=$E$8,INDEX('Capital Costs'!$D$15:$G$55,MATCH('Capital Cost Escalation'!$E48,'Capital Costs'!$B$15:$B$55,0),MATCH('Capital Cost Escalation'!$C48,'Capital Costs'!$D$7:$G$7,0))*R$8*(1+$F48)^(R$2), 0),0)</f>
        <v>842260.9333158317</v>
      </c>
      <c r="S48" s="490">
        <f>IFERROR(IF(S$6&lt;=$E$8,INDEX('Capital Costs'!$D$15:$G$55,MATCH('Capital Cost Escalation'!$E48,'Capital Costs'!$B$15:$B$55,0),MATCH('Capital Cost Escalation'!$C48,'Capital Costs'!$D$7:$G$7,0))*S$8*(1+$F48)^(S$2), 0),0)</f>
        <v>938635.20212019118</v>
      </c>
      <c r="T48" s="490">
        <f>IFERROR(IF(T$6&lt;=$E$8,INDEX('Capital Costs'!$D$15:$G$55,MATCH('Capital Cost Escalation'!$E48,'Capital Costs'!$B$15:$B$55,0),MATCH('Capital Cost Escalation'!$C48,'Capital Costs'!$D$7:$G$7,0))*T$8*(1+$F48)^(T$2), 0),0)</f>
        <v>998114.21660716436</v>
      </c>
      <c r="U48" s="490">
        <f>IFERROR(IF(U$6&lt;=$E$8,INDEX('Capital Costs'!$D$15:$G$55,MATCH('Capital Cost Escalation'!$E48,'Capital Costs'!$B$15:$B$55,0),MATCH('Capital Cost Escalation'!$C48,'Capital Costs'!$D$7:$G$7,0))*U$8*(1+$F48)^(U$2), 0),0)</f>
        <v>936516.7485245734</v>
      </c>
      <c r="V48" s="490">
        <f>IFERROR(IF(V$6&lt;=$E$8,INDEX('Capital Costs'!$D$15:$G$55,MATCH('Capital Cost Escalation'!$E48,'Capital Costs'!$B$15:$B$55,0),MATCH('Capital Cost Escalation'!$C48,'Capital Costs'!$D$7:$G$7,0))*V$8*(1+$F48)^(V$2), 0),0)</f>
        <v>830138.54589793913</v>
      </c>
      <c r="W48" s="490">
        <f>IFERROR(IF(W$6&lt;=$E$8,INDEX('Capital Costs'!$D$15:$G$55,MATCH('Capital Cost Escalation'!$E48,'Capital Costs'!$B$15:$B$55,0),MATCH('Capital Cost Escalation'!$C48,'Capital Costs'!$D$7:$G$7,0))*W$8*(1+$F48)^(W$2), 0),0)</f>
        <v>631389.99684536201</v>
      </c>
      <c r="X48" s="490">
        <f>IFERROR(IF(X$6&lt;=$E$8,INDEX('Capital Costs'!$D$15:$G$55,MATCH('Capital Cost Escalation'!$E48,'Capital Costs'!$B$15:$B$55,0),MATCH('Capital Cost Escalation'!$C48,'Capital Costs'!$D$7:$G$7,0))*X$8*(1+$F48)^(X$2), 0),0)</f>
        <v>351776.22922815022</v>
      </c>
      <c r="Y48" s="490">
        <f>IFERROR(IF(Y$6&lt;=$E$8,INDEX('Capital Costs'!$D$15:$G$55,MATCH('Capital Cost Escalation'!$E48,'Capital Costs'!$B$15:$B$55,0),MATCH('Capital Cost Escalation'!$C48,'Capital Costs'!$D$7:$G$7,0))*Y$8*(1+$F48)^(Y$2), 0),0)</f>
        <v>74500.353912873412</v>
      </c>
      <c r="Z48" s="490">
        <f>IFERROR(IF(Z$6&lt;=$E$8,INDEX('Capital Costs'!$D$15:$G$55,MATCH('Capital Cost Escalation'!$E48,'Capital Costs'!$B$15:$B$55,0),MATCH('Capital Cost Escalation'!$C48,'Capital Costs'!$D$7:$G$7,0))*Z$8*(1+$F48)^(Z$2), 0),0)</f>
        <v>16633.396765209392</v>
      </c>
      <c r="AA48" s="490">
        <f>IFERROR(IF(AA$6&lt;=$E$8,INDEX('Capital Costs'!$D$15:$G$55,MATCH('Capital Cost Escalation'!$E48,'Capital Costs'!$B$15:$B$55,0),MATCH('Capital Cost Escalation'!$C48,'Capital Costs'!$D$7:$G$7,0))*AA$8*(1+$F48)^(AA$2), 0),0)</f>
        <v>0</v>
      </c>
      <c r="AB48" s="490">
        <f>IFERROR(IF(AB$6&lt;=$E$8,INDEX('Capital Costs'!$D$15:$G$55,MATCH('Capital Cost Escalation'!$E48,'Capital Costs'!$B$15:$B$55,0),MATCH('Capital Cost Escalation'!$C48,'Capital Costs'!$D$7:$G$7,0))*AB$8*(1+$F48)^(AB$2), 0),0)</f>
        <v>0</v>
      </c>
      <c r="AC48" s="490">
        <f>IFERROR(IF(AC$6&lt;=$E$8,INDEX('Capital Costs'!$D$15:$G$55,MATCH('Capital Cost Escalation'!$E48,'Capital Costs'!$B$15:$B$55,0),MATCH('Capital Cost Escalation'!$C48,'Capital Costs'!$D$7:$G$7,0))*AC$8*(1+$F48)^(AC$2), 0),0)</f>
        <v>0</v>
      </c>
      <c r="AD48" s="490">
        <f>IFERROR(IF(AD$6&lt;=$E$8,INDEX('Capital Costs'!$D$15:$G$55,MATCH('Capital Cost Escalation'!$E48,'Capital Costs'!$B$15:$B$55,0),MATCH('Capital Cost Escalation'!$C48,'Capital Costs'!$D$7:$G$7,0))*AD$8*(1+$F48)^(AD$2), 0),0)</f>
        <v>0</v>
      </c>
      <c r="AE48" s="490">
        <f>IFERROR(IF(AE$6&lt;=$E$8,INDEX('Capital Costs'!$D$15:$G$55,MATCH('Capital Cost Escalation'!$E48,'Capital Costs'!$B$15:$B$55,0),MATCH('Capital Cost Escalation'!$C48,'Capital Costs'!$D$7:$G$7,0))*AE$8*(1+$F48)^(AE$2), 0),0)</f>
        <v>0</v>
      </c>
      <c r="AF48" s="490">
        <f>IFERROR(IF(AF$6&lt;=$E$8,INDEX('Capital Costs'!$D$15:$G$55,MATCH('Capital Cost Escalation'!$E48,'Capital Costs'!$B$15:$B$55,0),MATCH('Capital Cost Escalation'!$C48,'Capital Costs'!$D$7:$G$7,0))*AF$8*(1+$F48)^(AF$2), 0),0)</f>
        <v>0</v>
      </c>
      <c r="AG48" s="490">
        <f>IFERROR(IF(AG$6&lt;=$E$8,INDEX('Capital Costs'!$D$15:$G$55,MATCH('Capital Cost Escalation'!$E48,'Capital Costs'!$B$15:$B$55,0),MATCH('Capital Cost Escalation'!$C48,'Capital Costs'!$D$7:$G$7,0))*AG$8*(1+$F48)^(AG$2), 0),0)</f>
        <v>0</v>
      </c>
      <c r="AH48" s="490">
        <f>IFERROR(IF(AH$6&lt;=$E$8,INDEX('Capital Costs'!$D$15:$G$55,MATCH('Capital Cost Escalation'!$E48,'Capital Costs'!$B$15:$B$55,0),MATCH('Capital Cost Escalation'!$C48,'Capital Costs'!$D$7:$G$7,0))*AH$8*(1+$F48)^(AH$2), 0),0)</f>
        <v>0</v>
      </c>
      <c r="AI48" s="490">
        <f>IFERROR(IF(AI$6&lt;=$E$8,INDEX('Capital Costs'!$D$15:$G$55,MATCH('Capital Cost Escalation'!$E48,'Capital Costs'!$B$15:$B$55,0),MATCH('Capital Cost Escalation'!$C48,'Capital Costs'!$D$7:$G$7,0))*AI$8*(1+$F48)^(AI$2), 0),0)</f>
        <v>0</v>
      </c>
      <c r="AJ48" s="490">
        <f>IFERROR(IF(AJ$6&lt;=$E$8,INDEX('Capital Costs'!$D$15:$G$55,MATCH('Capital Cost Escalation'!$E48,'Capital Costs'!$B$15:$B$55,0),MATCH('Capital Cost Escalation'!$C48,'Capital Costs'!$D$7:$G$7,0))*AJ$8*(1+$F48)^(AJ$2), 0),0)</f>
        <v>0</v>
      </c>
      <c r="AK48" s="490">
        <f>IFERROR(IF(AK$6&lt;=$E$8,INDEX('Capital Costs'!$D$15:$G$55,MATCH('Capital Cost Escalation'!$E48,'Capital Costs'!$B$15:$B$55,0),MATCH('Capital Cost Escalation'!$C48,'Capital Costs'!$D$7:$G$7,0))*AK$8*(1+$F48)^(AK$2), 0),0)</f>
        <v>0</v>
      </c>
      <c r="AL48" s="490">
        <f>IFERROR(IF(AL$6&lt;=$E$8,INDEX('Capital Costs'!$D$15:$G$55,MATCH('Capital Cost Escalation'!$E48,'Capital Costs'!$B$15:$B$55,0),MATCH('Capital Cost Escalation'!$C48,'Capital Costs'!$D$7:$G$7,0))*AL$8*(1+$F48)^(AL$2), 0),0)</f>
        <v>0</v>
      </c>
      <c r="AM48" s="490">
        <f>IFERROR(IF(AM$6&lt;=$E$8,INDEX('Capital Costs'!$D$15:$G$55,MATCH('Capital Cost Escalation'!$E48,'Capital Costs'!$B$15:$B$55,0),MATCH('Capital Cost Escalation'!$C48,'Capital Costs'!$D$7:$G$7,0))*AM$8*(1+$F48)^(AM$2), 0),0)</f>
        <v>0</v>
      </c>
      <c r="AN48" s="490">
        <f>IFERROR(IF(AN$6&lt;=$E$8,INDEX('Capital Costs'!$D$15:$G$55,MATCH('Capital Cost Escalation'!$E48,'Capital Costs'!$B$15:$B$55,0),MATCH('Capital Cost Escalation'!$C48,'Capital Costs'!$D$7:$G$7,0))*AN$8*(1+$F48)^(AN$2), 0),0)</f>
        <v>0</v>
      </c>
      <c r="AO48" s="490">
        <f>IFERROR(IF(AO$6&lt;=$E$8,INDEX('Capital Costs'!$D$15:$G$55,MATCH('Capital Cost Escalation'!$E48,'Capital Costs'!$B$15:$B$55,0),MATCH('Capital Cost Escalation'!$C48,'Capital Costs'!$D$7:$G$7,0))*AO$8*(1+$F48)^(AO$2), 0),0)</f>
        <v>0</v>
      </c>
      <c r="AP48" s="490">
        <f>IFERROR(IF(AP$6&lt;=$E$8,INDEX('Capital Costs'!$D$15:$G$55,MATCH('Capital Cost Escalation'!$E48,'Capital Costs'!$B$15:$B$55,0),MATCH('Capital Cost Escalation'!$C48,'Capital Costs'!$D$7:$G$7,0))*AP$8*(1+$F48)^(AP$2), 0),0)</f>
        <v>0</v>
      </c>
      <c r="AQ48" s="490">
        <f>IFERROR(IF(AQ$6&lt;=$E$8,INDEX('Capital Costs'!$D$15:$G$55,MATCH('Capital Cost Escalation'!$E48,'Capital Costs'!$B$15:$B$55,0),MATCH('Capital Cost Escalation'!$C48,'Capital Costs'!$D$7:$G$7,0))*AQ$8*(1+$F48)^(AQ$2), 0),0)</f>
        <v>0</v>
      </c>
      <c r="AR48" s="490">
        <f>IFERROR(IF(AR$6&lt;=$E$8,INDEX('Capital Costs'!$D$15:$G$55,MATCH('Capital Cost Escalation'!$E48,'Capital Costs'!$B$15:$B$55,0),MATCH('Capital Cost Escalation'!$C48,'Capital Costs'!$D$7:$G$7,0))*AR$8*(1+$F48)^(AR$2), 0),0)</f>
        <v>0</v>
      </c>
      <c r="AS48" s="490">
        <f>IFERROR(IF(AS$6&lt;=$E$8,INDEX('Capital Costs'!$D$15:$G$55,MATCH('Capital Cost Escalation'!$E48,'Capital Costs'!$B$15:$B$55,0),MATCH('Capital Cost Escalation'!$C48,'Capital Costs'!$D$7:$G$7,0))*AS$8*(1+$F48)^(AS$2), 0),0)</f>
        <v>0</v>
      </c>
      <c r="AT48" s="490">
        <f>IFERROR(IF(AT$6&lt;=$E$8,INDEX('Capital Costs'!$D$15:$G$55,MATCH('Capital Cost Escalation'!$E48,'Capital Costs'!$B$15:$B$55,0),MATCH('Capital Cost Escalation'!$C48,'Capital Costs'!$D$7:$G$7,0))*AT$8*(1+$F48)^(AT$2), 0),0)</f>
        <v>0</v>
      </c>
      <c r="AV48" s="827">
        <f t="shared" si="7"/>
        <v>8107143.0432649897</v>
      </c>
      <c r="AW48" s="828">
        <f>INDEX('Capital Costs'!$D$15:$G$55,MATCH('Capital Cost Escalation'!$E48,'Capital Costs'!$B$15:$B$55,0),MATCH('Capital Cost Escalation'!$C48,'Capital Costs'!$D$7:$G$7,0))</f>
        <v>7146800</v>
      </c>
    </row>
    <row r="49" spans="1:49">
      <c r="A49" s="487" t="str">
        <f t="shared" si="4"/>
        <v>__</v>
      </c>
      <c r="F49" s="1168"/>
    </row>
    <row r="50" spans="1:49">
      <c r="A50" s="487" t="str">
        <f t="shared" si="4"/>
        <v>__</v>
      </c>
      <c r="F50" s="1168"/>
    </row>
    <row r="51" spans="1:49" ht="30">
      <c r="A51" s="487" t="str">
        <f t="shared" si="4"/>
        <v>__</v>
      </c>
      <c r="D51" s="486" t="s">
        <v>74</v>
      </c>
      <c r="F51" s="1326" t="s">
        <v>174</v>
      </c>
    </row>
    <row r="52" spans="1:49" ht="6" customHeight="1">
      <c r="A52" s="487" t="str">
        <f t="shared" si="4"/>
        <v>__</v>
      </c>
      <c r="F52" s="1168"/>
    </row>
    <row r="53" spans="1:49">
      <c r="A53" s="487" t="str">
        <f t="shared" si="4"/>
        <v>CC_EMAAC_Gas Turbines</v>
      </c>
      <c r="B53" s="478" t="s">
        <v>77</v>
      </c>
      <c r="C53" s="488" t="s">
        <v>120</v>
      </c>
      <c r="E53" s="442" t="s">
        <v>129</v>
      </c>
      <c r="F53" s="1325">
        <f>INDEX('Capital Costs_Nominal$'!$F:$F,MATCH('Capital Cost Escalation'!$E53,'Capital Costs_Nominal$'!$C:$C,0),1)</f>
        <v>2.3944839450136257E-3</v>
      </c>
      <c r="G53" s="490">
        <f>IFERROR(IF(G$6&lt;=$E$9,INDEX('Capital Costs'!$H$15:$K$55,MATCH('Capital Cost Escalation'!$E53,'Capital Costs'!$B$15:$B$55,0),MATCH('Capital Cost Escalation'!$C53,'Capital Costs'!$H$7:$K$7,0))*G$9*(1+$F53)^(G$3), 0),0)</f>
        <v>14844.690555846651</v>
      </c>
      <c r="H53" s="490">
        <f>IFERROR(IF(H$6&lt;=$E$9,INDEX('Capital Costs'!$H$15:$K$55,MATCH('Capital Cost Escalation'!$E53,'Capital Costs'!$B$15:$B$55,0),MATCH('Capital Cost Escalation'!$C53,'Capital Costs'!$H$7:$K$7,0))*H$9*(1+$F53)^(H$3), 0),0)</f>
        <v>74401.179645256605</v>
      </c>
      <c r="I53" s="490">
        <f>IFERROR(IF(I$6&lt;=$E$9,INDEX('Capital Costs'!$H$15:$K$55,MATCH('Capital Cost Escalation'!$E53,'Capital Costs'!$B$15:$B$55,0),MATCH('Capital Cost Escalation'!$C53,'Capital Costs'!$H$7:$K$7,0))*I$9*(1+$F53)^(I$3), 0),0)</f>
        <v>74579.332075407234</v>
      </c>
      <c r="J53" s="490">
        <f>IFERROR(IF(J$6&lt;=$E$9,INDEX('Capital Costs'!$H$15:$K$55,MATCH('Capital Cost Escalation'!$E53,'Capital Costs'!$B$15:$B$55,0),MATCH('Capital Cost Escalation'!$C53,'Capital Costs'!$H$7:$K$7,0))*J$9*(1+$F53)^(J$3), 0),0)</f>
        <v>2526817.3947977778</v>
      </c>
      <c r="K53" s="490">
        <f>IFERROR(IF(K$6&lt;=$E$9,INDEX('Capital Costs'!$H$15:$K$55,MATCH('Capital Cost Escalation'!$E53,'Capital Costs'!$B$15:$B$55,0),MATCH('Capital Cost Escalation'!$C53,'Capital Costs'!$H$7:$K$7,0))*K$9*(1+$F53)^(K$3), 0),0)</f>
        <v>2472918.2843163572</v>
      </c>
      <c r="L53" s="490">
        <f>IFERROR(IF(L$6&lt;=$E$9,INDEX('Capital Costs'!$H$15:$K$55,MATCH('Capital Cost Escalation'!$E53,'Capital Costs'!$B$15:$B$55,0),MATCH('Capital Cost Escalation'!$C53,'Capital Costs'!$H$7:$K$7,0))*L$9*(1+$F53)^(L$3), 0),0)</f>
        <v>360558.49417388847</v>
      </c>
      <c r="M53" s="490">
        <f>IFERROR(IF(M$6&lt;=$E$9,INDEX('Capital Costs'!$H$15:$K$55,MATCH('Capital Cost Escalation'!$E53,'Capital Costs'!$B$15:$B$55,0),MATCH('Capital Cost Escalation'!$C53,'Capital Costs'!$H$7:$K$7,0))*M$9*(1+$F53)^(M$3), 0),0)</f>
        <v>542132.76854913926</v>
      </c>
      <c r="N53" s="490">
        <f>IFERROR(IF(N$6&lt;=$E$9,INDEX('Capital Costs'!$H$15:$K$55,MATCH('Capital Cost Escalation'!$E53,'Capital Costs'!$B$15:$B$55,0),MATCH('Capital Cost Escalation'!$C53,'Capital Costs'!$H$7:$K$7,0))*N$9*(1+$F53)^(N$3), 0),0)</f>
        <v>2188818.8897257475</v>
      </c>
      <c r="O53" s="490">
        <f>IFERROR(IF(O$6&lt;=$E$9,INDEX('Capital Costs'!$H$15:$K$55,MATCH('Capital Cost Escalation'!$E53,'Capital Costs'!$B$15:$B$55,0),MATCH('Capital Cost Escalation'!$C53,'Capital Costs'!$H$7:$K$7,0))*O$9*(1+$F53)^(O$3), 0),0)</f>
        <v>2315111.5665972969</v>
      </c>
      <c r="P53" s="490">
        <f>IFERROR(IF(P$6&lt;=$E$9,INDEX('Capital Costs'!$H$15:$K$55,MATCH('Capital Cost Escalation'!$E53,'Capital Costs'!$B$15:$B$55,0),MATCH('Capital Cost Escalation'!$C53,'Capital Costs'!$H$7:$K$7,0))*P$9*(1+$F53)^(P$3), 0),0)</f>
        <v>1941463.0601406991</v>
      </c>
      <c r="Q53" s="490">
        <f>IFERROR(IF(Q$6&lt;=$E$9,INDEX('Capital Costs'!$H$15:$K$55,MATCH('Capital Cost Escalation'!$E53,'Capital Costs'!$B$15:$B$55,0),MATCH('Capital Cost Escalation'!$C53,'Capital Costs'!$H$7:$K$7,0))*Q$9*(1+$F53)^(Q$3), 0),0)</f>
        <v>2067743.8536597958</v>
      </c>
      <c r="R53" s="490">
        <f>IFERROR(IF(R$6&lt;=$E$9,INDEX('Capital Costs'!$H$15:$K$55,MATCH('Capital Cost Escalation'!$E53,'Capital Costs'!$B$15:$B$55,0),MATCH('Capital Cost Escalation'!$C53,'Capital Costs'!$H$7:$K$7,0))*R$9*(1+$F53)^(R$3), 0),0)</f>
        <v>2194618.2703621252</v>
      </c>
      <c r="S53" s="490">
        <f>IFERROR(IF(S$6&lt;=$E$9,INDEX('Capital Costs'!$H$15:$K$55,MATCH('Capital Cost Escalation'!$E53,'Capital Costs'!$B$15:$B$55,0),MATCH('Capital Cost Escalation'!$C53,'Capital Costs'!$H$7:$K$7,0))*S$9*(1+$F53)^(S$3), 0),0)</f>
        <v>4201146.8288776642</v>
      </c>
      <c r="T53" s="490">
        <f>IFERROR(IF(T$6&lt;=$E$9,INDEX('Capital Costs'!$H$15:$K$55,MATCH('Capital Cost Escalation'!$E53,'Capital Costs'!$B$15:$B$55,0),MATCH('Capital Cost Escalation'!$C53,'Capital Costs'!$H$7:$K$7,0))*T$9*(1+$F53)^(T$3), 0),0)</f>
        <v>5956942.8818960451</v>
      </c>
      <c r="U53" s="490">
        <f>IFERROR(IF(U$6&lt;=$E$9,INDEX('Capital Costs'!$H$15:$K$55,MATCH('Capital Cost Escalation'!$E53,'Capital Costs'!$B$15:$B$55,0),MATCH('Capital Cost Escalation'!$C53,'Capital Costs'!$H$7:$K$7,0))*U$9*(1+$F53)^(U$3), 0),0)</f>
        <v>6508461.7862698147</v>
      </c>
      <c r="V53" s="490">
        <f>IFERROR(IF(V$6&lt;=$E$9,INDEX('Capital Costs'!$H$15:$K$55,MATCH('Capital Cost Escalation'!$E53,'Capital Costs'!$B$15:$B$55,0),MATCH('Capital Cost Escalation'!$C53,'Capital Costs'!$H$7:$K$7,0))*V$9*(1+$F53)^(V$3), 0),0)</f>
        <v>7447260.2775129862</v>
      </c>
      <c r="W53" s="490">
        <f>IFERROR(IF(W$6&lt;=$E$9,INDEX('Capital Costs'!$H$15:$K$55,MATCH('Capital Cost Escalation'!$E53,'Capital Costs'!$B$15:$B$55,0),MATCH('Capital Cost Escalation'!$C53,'Capital Costs'!$H$7:$K$7,0))*W$9*(1+$F53)^(W$3), 0),0)</f>
        <v>8220856.1320029227</v>
      </c>
      <c r="X53" s="490">
        <f>IFERROR(IF(X$6&lt;=$E$9,INDEX('Capital Costs'!$H$15:$K$55,MATCH('Capital Cost Escalation'!$E53,'Capital Costs'!$B$15:$B$55,0),MATCH('Capital Cost Escalation'!$C53,'Capital Costs'!$H$7:$K$7,0))*X$9*(1+$F53)^(X$3), 0),0)</f>
        <v>9647462.4468588512</v>
      </c>
      <c r="Y53" s="490">
        <f>IFERROR(IF(Y$6&lt;=$E$9,INDEX('Capital Costs'!$H$15:$K$55,MATCH('Capital Cost Escalation'!$E53,'Capital Costs'!$B$15:$B$55,0),MATCH('Capital Cost Escalation'!$C53,'Capital Costs'!$H$7:$K$7,0))*Y$9*(1+$F53)^(Y$3), 0),0)</f>
        <v>9856535.508890247</v>
      </c>
      <c r="Z53" s="490">
        <f>IFERROR(IF(Z$6&lt;=$E$9,INDEX('Capital Costs'!$H$15:$K$55,MATCH('Capital Cost Escalation'!$E53,'Capital Costs'!$B$15:$B$55,0),MATCH('Capital Cost Escalation'!$C53,'Capital Costs'!$H$7:$K$7,0))*Z$9*(1+$F53)^(Z$3), 0),0)</f>
        <v>9662649.5363208801</v>
      </c>
      <c r="AA53" s="490">
        <f>IFERROR(IF(AA$6&lt;=$E$9,INDEX('Capital Costs'!$H$15:$K$55,MATCH('Capital Cost Escalation'!$E53,'Capital Costs'!$B$15:$B$55,0),MATCH('Capital Cost Escalation'!$C53,'Capital Costs'!$H$7:$K$7,0))*AA$9*(1+$F53)^(AA$3), 0),0)</f>
        <v>9966082.670612881</v>
      </c>
      <c r="AB53" s="490">
        <f>IFERROR(IF(AB$6&lt;=$E$9,INDEX('Capital Costs'!$H$15:$K$55,MATCH('Capital Cost Escalation'!$E53,'Capital Costs'!$B$15:$B$55,0),MATCH('Capital Cost Escalation'!$C53,'Capital Costs'!$H$7:$K$7,0))*AB$9*(1+$F53)^(AB$3), 0),0)</f>
        <v>9474839.689697409</v>
      </c>
      <c r="AC53" s="490">
        <f>IFERROR(IF(AC$6&lt;=$E$9,INDEX('Capital Costs'!$H$15:$K$55,MATCH('Capital Cost Escalation'!$E53,'Capital Costs'!$B$15:$B$55,0),MATCH('Capital Cost Escalation'!$C53,'Capital Costs'!$H$7:$K$7,0))*AC$9*(1+$F53)^(AC$3), 0),0)</f>
        <v>9732227.0504717156</v>
      </c>
      <c r="AD53" s="490">
        <f>IFERROR(IF(AD$6&lt;=$E$9,INDEX('Capital Costs'!$H$15:$K$55,MATCH('Capital Cost Escalation'!$E53,'Capital Costs'!$B$15:$B$55,0),MATCH('Capital Cost Escalation'!$C53,'Capital Costs'!$H$7:$K$7,0))*AD$9*(1+$F53)^(AD$3), 0),0)</f>
        <v>9739846.5789159779</v>
      </c>
      <c r="AE53" s="490">
        <f>IFERROR(IF(AE$6&lt;=$E$9,INDEX('Capital Costs'!$H$15:$K$55,MATCH('Capital Cost Escalation'!$E53,'Capital Costs'!$B$15:$B$55,0),MATCH('Capital Cost Escalation'!$C53,'Capital Costs'!$H$7:$K$7,0))*AE$9*(1+$F53)^(AE$3), 0),0)</f>
        <v>9228631.0801906027</v>
      </c>
      <c r="AF53" s="490">
        <f>IFERROR(IF(AF$6&lt;=$E$9,INDEX('Capital Costs'!$H$15:$K$55,MATCH('Capital Cost Escalation'!$E53,'Capital Costs'!$B$15:$B$55,0),MATCH('Capital Cost Escalation'!$C53,'Capital Costs'!$H$7:$K$7,0))*AF$9*(1+$F53)^(AF$3), 0),0)</f>
        <v>9108894.8857354671</v>
      </c>
      <c r="AG53" s="490">
        <f>IFERROR(IF(AG$6&lt;=$E$9,INDEX('Capital Costs'!$H$15:$K$55,MATCH('Capital Cost Escalation'!$E53,'Capital Costs'!$B$15:$B$55,0),MATCH('Capital Cost Escalation'!$C53,'Capital Costs'!$H$7:$K$7,0))*AG$9*(1+$F53)^(AG$3), 0),0)</f>
        <v>7787955.107664383</v>
      </c>
      <c r="AH53" s="490">
        <f>IFERROR(IF(AH$6&lt;=$E$9,INDEX('Capital Costs'!$H$15:$K$55,MATCH('Capital Cost Escalation'!$E53,'Capital Costs'!$B$15:$B$55,0),MATCH('Capital Cost Escalation'!$C53,'Capital Costs'!$H$7:$K$7,0))*AH$9*(1+$F53)^(AH$3), 0),0)</f>
        <v>6587316.3251760993</v>
      </c>
      <c r="AI53" s="490">
        <f>IFERROR(IF(AI$6&lt;=$E$9,INDEX('Capital Costs'!$H$15:$K$55,MATCH('Capital Cost Escalation'!$E53,'Capital Costs'!$B$15:$B$55,0),MATCH('Capital Cost Escalation'!$C53,'Capital Costs'!$H$7:$K$7,0))*AI$9*(1+$F53)^(AI$3), 0),0)</f>
        <v>3777729.1166083533</v>
      </c>
      <c r="AJ53" s="490">
        <f>IFERROR(IF(AJ$6&lt;=$E$9,INDEX('Capital Costs'!$H$15:$K$55,MATCH('Capital Cost Escalation'!$E53,'Capital Costs'!$B$15:$B$55,0),MATCH('Capital Cost Escalation'!$C53,'Capital Costs'!$H$7:$K$7,0))*AJ$9*(1+$F53)^(AJ$3), 0),0)</f>
        <v>1129668.1210554391</v>
      </c>
      <c r="AK53" s="490">
        <f>IFERROR(IF(AK$6&lt;=$E$9,INDEX('Capital Costs'!$H$15:$K$55,MATCH('Capital Cost Escalation'!$E53,'Capital Costs'!$B$15:$B$55,0),MATCH('Capital Cost Escalation'!$C53,'Capital Costs'!$H$7:$K$7,0))*AK$9*(1+$F53)^(AK$3), 0),0)</f>
        <v>271131.58570403536</v>
      </c>
      <c r="AL53" s="490">
        <f>IFERROR(IF(AL$6&lt;=$E$9,INDEX('Capital Costs'!$H$15:$K$55,MATCH('Capital Cost Escalation'!$E53,'Capital Costs'!$B$15:$B$55,0),MATCH('Capital Cost Escalation'!$C53,'Capital Costs'!$H$7:$K$7,0))*AL$9*(1+$F53)^(AL$3), 0),0)</f>
        <v>191845.27477622801</v>
      </c>
      <c r="AM53" s="490">
        <f>IFERROR(IF(AM$6&lt;=$E$9,INDEX('Capital Costs'!$H$15:$K$55,MATCH('Capital Cost Escalation'!$E53,'Capital Costs'!$B$15:$B$55,0),MATCH('Capital Cost Escalation'!$C53,'Capital Costs'!$H$7:$K$7,0))*AM$9*(1+$F53)^(AM$3), 0),0)</f>
        <v>0</v>
      </c>
      <c r="AN53" s="490">
        <f>IFERROR(IF(AN$6&lt;=$E$9,INDEX('Capital Costs'!$H$15:$K$55,MATCH('Capital Cost Escalation'!$E53,'Capital Costs'!$B$15:$B$55,0),MATCH('Capital Cost Escalation'!$C53,'Capital Costs'!$H$7:$K$7,0))*AN$9*(1+$F53)^(AN$3), 0),0)</f>
        <v>0</v>
      </c>
      <c r="AO53" s="490">
        <f>IFERROR(IF(AO$6&lt;=$E$9,INDEX('Capital Costs'!$H$15:$K$55,MATCH('Capital Cost Escalation'!$E53,'Capital Costs'!$B$15:$B$55,0),MATCH('Capital Cost Escalation'!$C53,'Capital Costs'!$H$7:$K$7,0))*AO$9*(1+$F53)^(AO$3), 0),0)</f>
        <v>0</v>
      </c>
      <c r="AP53" s="490">
        <f>IFERROR(IF(AP$6&lt;=$E$9,INDEX('Capital Costs'!$H$15:$K$55,MATCH('Capital Cost Escalation'!$E53,'Capital Costs'!$B$15:$B$55,0),MATCH('Capital Cost Escalation'!$C53,'Capital Costs'!$H$7:$K$7,0))*AP$9*(1+$F53)^(AP$3), 0),0)</f>
        <v>0</v>
      </c>
      <c r="AQ53" s="490">
        <f>IFERROR(IF(AQ$6&lt;=$E$9,INDEX('Capital Costs'!$H$15:$K$55,MATCH('Capital Cost Escalation'!$E53,'Capital Costs'!$B$15:$B$55,0),MATCH('Capital Cost Escalation'!$C53,'Capital Costs'!$H$7:$K$7,0))*AQ$9*(1+$F53)^(AQ$3), 0),0)</f>
        <v>0</v>
      </c>
      <c r="AR53" s="490">
        <f>IFERROR(IF(AR$6&lt;=$E$9,INDEX('Capital Costs'!$H$15:$K$55,MATCH('Capital Cost Escalation'!$E53,'Capital Costs'!$B$15:$B$55,0),MATCH('Capital Cost Escalation'!$C53,'Capital Costs'!$H$7:$K$7,0))*AR$9*(1+$F53)^(AR$3), 0),0)</f>
        <v>0</v>
      </c>
      <c r="AS53" s="490">
        <f>IFERROR(IF(AS$6&lt;=$E$9,INDEX('Capital Costs'!$H$15:$K$55,MATCH('Capital Cost Escalation'!$E53,'Capital Costs'!$B$15:$B$55,0),MATCH('Capital Cost Escalation'!$C53,'Capital Costs'!$H$7:$K$7,0))*AS$9*(1+$F53)^(AS$3), 0),0)</f>
        <v>0</v>
      </c>
      <c r="AT53" s="490">
        <f>IFERROR(IF(AT$6&lt;=$E$9,INDEX('Capital Costs'!$H$15:$K$55,MATCH('Capital Cost Escalation'!$E53,'Capital Costs'!$B$15:$B$55,0),MATCH('Capital Cost Escalation'!$C53,'Capital Costs'!$H$7:$K$7,0))*AT$9*(1+$F53)^(AT$3), 0),0)</f>
        <v>0</v>
      </c>
      <c r="AU53" s="491"/>
      <c r="AV53" s="827">
        <f t="shared" ref="AV53:AV60" si="8">SUM(G53:AT53)</f>
        <v>155271490.66983736</v>
      </c>
      <c r="AW53" s="828">
        <f>INDEX('Capital Costs'!$H$15:$K$55,MATCH('Capital Cost Escalation'!$E53,'Capital Costs'!$B$15:$B$55,0),MATCH('Capital Cost Escalation'!$C53,'Capital Costs'!$H$7:$K$7,0))</f>
        <v>138500000</v>
      </c>
    </row>
    <row r="54" spans="1:49">
      <c r="A54" s="487" t="str">
        <f t="shared" si="4"/>
        <v>CC_EMAAC_HRSG / SCR</v>
      </c>
      <c r="B54" s="478" t="s">
        <v>77</v>
      </c>
      <c r="C54" s="488" t="s">
        <v>120</v>
      </c>
      <c r="E54" s="442" t="s">
        <v>130</v>
      </c>
      <c r="F54" s="1325">
        <f>INDEX('Capital Costs_Nominal$'!$F:$F,MATCH('Capital Cost Escalation'!$E54,'Capital Costs_Nominal$'!$C:$C,0),1)</f>
        <v>2.3944839450136257E-3</v>
      </c>
      <c r="G54" s="490">
        <f>IFERROR(IF(G$6&lt;=$E$9,INDEX('Capital Costs'!$H$15:$K$55,MATCH('Capital Cost Escalation'!$E54,'Capital Costs'!$B$15:$B$55,0),MATCH('Capital Cost Escalation'!$C54,'Capital Costs'!$H$7:$K$7,0))*G$9*(1+$F54)^(G$3), 0),0)</f>
        <v>7717.0954514148661</v>
      </c>
      <c r="H54" s="490">
        <f>IFERROR(IF(H$6&lt;=$E$9,INDEX('Capital Costs'!$H$15:$K$55,MATCH('Capital Cost Escalation'!$E54,'Capital Costs'!$B$15:$B$55,0),MATCH('Capital Cost Escalation'!$C54,'Capital Costs'!$H$7:$K$7,0))*H$9*(1+$F54)^(H$3), 0),0)</f>
        <v>38677.86956287708</v>
      </c>
      <c r="I54" s="490">
        <f>IFERROR(IF(I$6&lt;=$E$9,INDEX('Capital Costs'!$H$15:$K$55,MATCH('Capital Cost Escalation'!$E54,'Capital Costs'!$B$15:$B$55,0),MATCH('Capital Cost Escalation'!$C54,'Capital Costs'!$H$7:$K$7,0))*I$9*(1+$F54)^(I$3), 0),0)</f>
        <v>38770.483100572717</v>
      </c>
      <c r="J54" s="490">
        <f>IFERROR(IF(J$6&lt;=$E$9,INDEX('Capital Costs'!$H$15:$K$55,MATCH('Capital Cost Escalation'!$E54,'Capital Costs'!$B$15:$B$55,0),MATCH('Capital Cost Escalation'!$C54,'Capital Costs'!$H$7:$K$7,0))*J$9*(1+$F54)^(J$3), 0),0)</f>
        <v>1313580.1619165342</v>
      </c>
      <c r="K54" s="490">
        <f>IFERROR(IF(K$6&lt;=$E$9,INDEX('Capital Costs'!$H$15:$K$55,MATCH('Capital Cost Escalation'!$E54,'Capital Costs'!$B$15:$B$55,0),MATCH('Capital Cost Escalation'!$C54,'Capital Costs'!$H$7:$K$7,0))*K$9*(1+$F54)^(K$3), 0),0)</f>
        <v>1285560.4077312471</v>
      </c>
      <c r="L54" s="490">
        <f>IFERROR(IF(L$6&lt;=$E$9,INDEX('Capital Costs'!$H$15:$K$55,MATCH('Capital Cost Escalation'!$E54,'Capital Costs'!$B$15:$B$55,0),MATCH('Capital Cost Escalation'!$C54,'Capital Costs'!$H$7:$K$7,0))*L$9*(1+$F54)^(L$3), 0),0)</f>
        <v>187438.35076187705</v>
      </c>
      <c r="M54" s="490">
        <f>IFERROR(IF(M$6&lt;=$E$9,INDEX('Capital Costs'!$H$15:$K$55,MATCH('Capital Cost Escalation'!$E54,'Capital Costs'!$B$15:$B$55,0),MATCH('Capital Cost Escalation'!$C54,'Capital Costs'!$H$7:$K$7,0))*M$9*(1+$F54)^(M$3), 0),0)</f>
        <v>281830.75332518434</v>
      </c>
      <c r="N54" s="490">
        <f>IFERROR(IF(N$6&lt;=$E$9,INDEX('Capital Costs'!$H$15:$K$55,MATCH('Capital Cost Escalation'!$E54,'Capital Costs'!$B$15:$B$55,0),MATCH('Capital Cost Escalation'!$C54,'Capital Costs'!$H$7:$K$7,0))*N$9*(1+$F54)^(N$3), 0),0)</f>
        <v>1137869.7477274644</v>
      </c>
      <c r="O54" s="490">
        <f>IFERROR(IF(O$6&lt;=$E$9,INDEX('Capital Costs'!$H$15:$K$55,MATCH('Capital Cost Escalation'!$E54,'Capital Costs'!$B$15:$B$55,0),MATCH('Capital Cost Escalation'!$C54,'Capital Costs'!$H$7:$K$7,0))*O$9*(1+$F54)^(O$3), 0),0)</f>
        <v>1203523.7024910136</v>
      </c>
      <c r="P54" s="490">
        <f>IFERROR(IF(P$6&lt;=$E$9,INDEX('Capital Costs'!$H$15:$K$55,MATCH('Capital Cost Escalation'!$E54,'Capital Costs'!$B$15:$B$55,0),MATCH('Capital Cost Escalation'!$C54,'Capital Costs'!$H$7:$K$7,0))*P$9*(1+$F54)^(P$3), 0),0)</f>
        <v>1009280.4355966089</v>
      </c>
      <c r="Q54" s="490">
        <f>IFERROR(IF(Q$6&lt;=$E$9,INDEX('Capital Costs'!$H$15:$K$55,MATCH('Capital Cost Escalation'!$E54,'Capital Costs'!$B$15:$B$55,0),MATCH('Capital Cost Escalation'!$C54,'Capital Costs'!$H$7:$K$7,0))*Q$9*(1+$F54)^(Q$3), 0),0)</f>
        <v>1074928.2127328902</v>
      </c>
      <c r="R54" s="490">
        <f>IFERROR(IF(R$6&lt;=$E$9,INDEX('Capital Costs'!$H$15:$K$55,MATCH('Capital Cost Escalation'!$E54,'Capital Costs'!$B$15:$B$55,0),MATCH('Capital Cost Escalation'!$C54,'Capital Costs'!$H$7:$K$7,0))*R$9*(1+$F54)^(R$3), 0),0)</f>
        <v>1140884.5882026933</v>
      </c>
      <c r="S54" s="490">
        <f>IFERROR(IF(S$6&lt;=$E$9,INDEX('Capital Costs'!$H$15:$K$55,MATCH('Capital Cost Escalation'!$E54,'Capital Costs'!$B$15:$B$55,0),MATCH('Capital Cost Escalation'!$C54,'Capital Costs'!$H$7:$K$7,0))*S$9*(1+$F54)^(S$3), 0),0)</f>
        <v>2183989.6872143811</v>
      </c>
      <c r="T54" s="490">
        <f>IFERROR(IF(T$6&lt;=$E$9,INDEX('Capital Costs'!$H$15:$K$55,MATCH('Capital Cost Escalation'!$E54,'Capital Costs'!$B$15:$B$55,0),MATCH('Capital Cost Escalation'!$C54,'Capital Costs'!$H$7:$K$7,0))*T$9*(1+$F54)^(T$3), 0),0)</f>
        <v>3096750.0902275466</v>
      </c>
      <c r="U54" s="490">
        <f>IFERROR(IF(U$6&lt;=$E$9,INDEX('Capital Costs'!$H$15:$K$55,MATCH('Capital Cost Escalation'!$E54,'Capital Costs'!$B$15:$B$55,0),MATCH('Capital Cost Escalation'!$C54,'Capital Costs'!$H$7:$K$7,0))*U$9*(1+$F54)^(U$3), 0),0)</f>
        <v>3383460.2787828641</v>
      </c>
      <c r="V54" s="490">
        <f>IFERROR(IF(V$6&lt;=$E$9,INDEX('Capital Costs'!$H$15:$K$55,MATCH('Capital Cost Escalation'!$E54,'Capital Costs'!$B$15:$B$55,0),MATCH('Capital Cost Escalation'!$C54,'Capital Costs'!$H$7:$K$7,0))*V$9*(1+$F54)^(V$3), 0),0)</f>
        <v>3871499.9276601807</v>
      </c>
      <c r="W54" s="490">
        <f>IFERROR(IF(W$6&lt;=$E$9,INDEX('Capital Costs'!$H$15:$K$55,MATCH('Capital Cost Escalation'!$E54,'Capital Costs'!$B$15:$B$55,0),MATCH('Capital Cost Escalation'!$C54,'Capital Costs'!$H$7:$K$7,0))*W$9*(1+$F54)^(W$3), 0),0)</f>
        <v>4273658.0614022417</v>
      </c>
      <c r="X54" s="490">
        <f>IFERROR(IF(X$6&lt;=$E$9,INDEX('Capital Costs'!$H$15:$K$55,MATCH('Capital Cost Escalation'!$E54,'Capital Costs'!$B$15:$B$55,0),MATCH('Capital Cost Escalation'!$C54,'Capital Costs'!$H$7:$K$7,0))*X$9*(1+$F54)^(X$3), 0),0)</f>
        <v>5015287.3369952152</v>
      </c>
      <c r="Y54" s="490">
        <f>IFERROR(IF(Y$6&lt;=$E$9,INDEX('Capital Costs'!$H$15:$K$55,MATCH('Capital Cost Escalation'!$E54,'Capital Costs'!$B$15:$B$55,0),MATCH('Capital Cost Escalation'!$C54,'Capital Costs'!$H$7:$K$7,0))*Y$9*(1+$F54)^(Y$3), 0),0)</f>
        <v>5123975.1381956516</v>
      </c>
      <c r="Z54" s="490">
        <f>IFERROR(IF(Z$6&lt;=$E$9,INDEX('Capital Costs'!$H$15:$K$55,MATCH('Capital Cost Escalation'!$E54,'Capital Costs'!$B$15:$B$55,0),MATCH('Capital Cost Escalation'!$C54,'Capital Costs'!$H$7:$K$7,0))*Z$9*(1+$F54)^(Z$3), 0),0)</f>
        <v>5023182.4304339588</v>
      </c>
      <c r="AA54" s="490">
        <f>IFERROR(IF(AA$6&lt;=$E$9,INDEX('Capital Costs'!$H$15:$K$55,MATCH('Capital Cost Escalation'!$E54,'Capital Costs'!$B$15:$B$55,0),MATCH('Capital Cost Escalation'!$C54,'Capital Costs'!$H$7:$K$7,0))*AA$9*(1+$F54)^(AA$3), 0),0)</f>
        <v>5180923.8432066962</v>
      </c>
      <c r="AB54" s="490">
        <f>IFERROR(IF(AB$6&lt;=$E$9,INDEX('Capital Costs'!$H$15:$K$55,MATCH('Capital Cost Escalation'!$E54,'Capital Costs'!$B$15:$B$55,0),MATCH('Capital Cost Escalation'!$C54,'Capital Costs'!$H$7:$K$7,0))*AB$9*(1+$F54)^(AB$3), 0),0)</f>
        <v>4925548.4307452226</v>
      </c>
      <c r="AC54" s="490">
        <f>IFERROR(IF(AC$6&lt;=$E$9,INDEX('Capital Costs'!$H$15:$K$55,MATCH('Capital Cost Escalation'!$E54,'Capital Costs'!$B$15:$B$55,0),MATCH('Capital Cost Escalation'!$C54,'Capital Costs'!$H$7:$K$7,0))*AC$9*(1+$F54)^(AC$3), 0),0)</f>
        <v>5059352.6904979311</v>
      </c>
      <c r="AD54" s="490">
        <f>IFERROR(IF(AD$6&lt;=$E$9,INDEX('Capital Costs'!$H$15:$K$55,MATCH('Capital Cost Escalation'!$E54,'Capital Costs'!$B$15:$B$55,0),MATCH('Capital Cost Escalation'!$C54,'Capital Costs'!$H$7:$K$7,0))*AD$9*(1+$F54)^(AD$3), 0),0)</f>
        <v>5063313.7449960317</v>
      </c>
      <c r="AE54" s="490">
        <f>IFERROR(IF(AE$6&lt;=$E$9,INDEX('Capital Costs'!$H$15:$K$55,MATCH('Capital Cost Escalation'!$E54,'Capital Costs'!$B$15:$B$55,0),MATCH('Capital Cost Escalation'!$C54,'Capital Costs'!$H$7:$K$7,0))*AE$9*(1+$F54)^(AE$3), 0),0)</f>
        <v>4797555.507391504</v>
      </c>
      <c r="AF54" s="490">
        <f>IFERROR(IF(AF$6&lt;=$E$9,INDEX('Capital Costs'!$H$15:$K$55,MATCH('Capital Cost Escalation'!$E54,'Capital Costs'!$B$15:$B$55,0),MATCH('Capital Cost Escalation'!$C54,'Capital Costs'!$H$7:$K$7,0))*AF$9*(1+$F54)^(AF$3), 0),0)</f>
        <v>4735309.9767000265</v>
      </c>
      <c r="AG54" s="490">
        <f>IFERROR(IF(AG$6&lt;=$E$9,INDEX('Capital Costs'!$H$15:$K$55,MATCH('Capital Cost Escalation'!$E54,'Capital Costs'!$B$15:$B$55,0),MATCH('Capital Cost Escalation'!$C54,'Capital Costs'!$H$7:$K$7,0))*AG$9*(1+$F54)^(AG$3), 0),0)</f>
        <v>4048612.0415294985</v>
      </c>
      <c r="AH54" s="490">
        <f>IFERROR(IF(AH$6&lt;=$E$9,INDEX('Capital Costs'!$H$15:$K$55,MATCH('Capital Cost Escalation'!$E54,'Capital Costs'!$B$15:$B$55,0),MATCH('Capital Cost Escalation'!$C54,'Capital Costs'!$H$7:$K$7,0))*AH$9*(1+$F54)^(AH$3), 0),0)</f>
        <v>3424453.2520771059</v>
      </c>
      <c r="AI54" s="490">
        <f>IFERROR(IF(AI$6&lt;=$E$9,INDEX('Capital Costs'!$H$15:$K$55,MATCH('Capital Cost Escalation'!$E54,'Capital Costs'!$B$15:$B$55,0),MATCH('Capital Cost Escalation'!$C54,'Capital Costs'!$H$7:$K$7,0))*AI$9*(1+$F54)^(AI$3), 0),0)</f>
        <v>1963873.6201862921</v>
      </c>
      <c r="AJ54" s="490">
        <f>IFERROR(IF(AJ$6&lt;=$E$9,INDEX('Capital Costs'!$H$15:$K$55,MATCH('Capital Cost Escalation'!$E54,'Capital Costs'!$B$15:$B$55,0),MATCH('Capital Cost Escalation'!$C54,'Capital Costs'!$H$7:$K$7,0))*AJ$9*(1+$F54)^(AJ$3), 0),0)</f>
        <v>587264.29397827887</v>
      </c>
      <c r="AK54" s="490">
        <f>IFERROR(IF(AK$6&lt;=$E$9,INDEX('Capital Costs'!$H$15:$K$55,MATCH('Capital Cost Escalation'!$E54,'Capital Costs'!$B$15:$B$55,0),MATCH('Capital Cost Escalation'!$C54,'Capital Costs'!$H$7:$K$7,0))*AK$9*(1+$F54)^(AK$3), 0),0)</f>
        <v>140949.27199054544</v>
      </c>
      <c r="AL54" s="490">
        <f>IFERROR(IF(AL$6&lt;=$E$9,INDEX('Capital Costs'!$H$15:$K$55,MATCH('Capital Cost Escalation'!$E54,'Capital Costs'!$B$15:$B$55,0),MATCH('Capital Cost Escalation'!$C54,'Capital Costs'!$H$7:$K$7,0))*AL$9*(1+$F54)^(AL$3), 0),0)</f>
        <v>99731.83959486222</v>
      </c>
      <c r="AM54" s="490">
        <f>IFERROR(IF(AM$6&lt;=$E$9,INDEX('Capital Costs'!$H$15:$K$55,MATCH('Capital Cost Escalation'!$E54,'Capital Costs'!$B$15:$B$55,0),MATCH('Capital Cost Escalation'!$C54,'Capital Costs'!$H$7:$K$7,0))*AM$9*(1+$F54)^(AM$3), 0),0)</f>
        <v>0</v>
      </c>
      <c r="AN54" s="490">
        <f>IFERROR(IF(AN$6&lt;=$E$9,INDEX('Capital Costs'!$H$15:$K$55,MATCH('Capital Cost Escalation'!$E54,'Capital Costs'!$B$15:$B$55,0),MATCH('Capital Cost Escalation'!$C54,'Capital Costs'!$H$7:$K$7,0))*AN$9*(1+$F54)^(AN$3), 0),0)</f>
        <v>0</v>
      </c>
      <c r="AO54" s="490">
        <f>IFERROR(IF(AO$6&lt;=$E$9,INDEX('Capital Costs'!$H$15:$K$55,MATCH('Capital Cost Escalation'!$E54,'Capital Costs'!$B$15:$B$55,0),MATCH('Capital Cost Escalation'!$C54,'Capital Costs'!$H$7:$K$7,0))*AO$9*(1+$F54)^(AO$3), 0),0)</f>
        <v>0</v>
      </c>
      <c r="AP54" s="490">
        <f>IFERROR(IF(AP$6&lt;=$E$9,INDEX('Capital Costs'!$H$15:$K$55,MATCH('Capital Cost Escalation'!$E54,'Capital Costs'!$B$15:$B$55,0),MATCH('Capital Cost Escalation'!$C54,'Capital Costs'!$H$7:$K$7,0))*AP$9*(1+$F54)^(AP$3), 0),0)</f>
        <v>0</v>
      </c>
      <c r="AQ54" s="490">
        <f>IFERROR(IF(AQ$6&lt;=$E$9,INDEX('Capital Costs'!$H$15:$K$55,MATCH('Capital Cost Escalation'!$E54,'Capital Costs'!$B$15:$B$55,0),MATCH('Capital Cost Escalation'!$C54,'Capital Costs'!$H$7:$K$7,0))*AQ$9*(1+$F54)^(AQ$3), 0),0)</f>
        <v>0</v>
      </c>
      <c r="AR54" s="490">
        <f>IFERROR(IF(AR$6&lt;=$E$9,INDEX('Capital Costs'!$H$15:$K$55,MATCH('Capital Cost Escalation'!$E54,'Capital Costs'!$B$15:$B$55,0),MATCH('Capital Cost Escalation'!$C54,'Capital Costs'!$H$7:$K$7,0))*AR$9*(1+$F54)^(AR$3), 0),0)</f>
        <v>0</v>
      </c>
      <c r="AS54" s="490">
        <f>IFERROR(IF(AS$6&lt;=$E$9,INDEX('Capital Costs'!$H$15:$K$55,MATCH('Capital Cost Escalation'!$E54,'Capital Costs'!$B$15:$B$55,0),MATCH('Capital Cost Escalation'!$C54,'Capital Costs'!$H$7:$K$7,0))*AS$9*(1+$F54)^(AS$3), 0),0)</f>
        <v>0</v>
      </c>
      <c r="AT54" s="490">
        <f>IFERROR(IF(AT$6&lt;=$E$9,INDEX('Capital Costs'!$H$15:$K$55,MATCH('Capital Cost Escalation'!$E54,'Capital Costs'!$B$15:$B$55,0),MATCH('Capital Cost Escalation'!$C54,'Capital Costs'!$H$7:$K$7,0))*AT$9*(1+$F54)^(AT$3), 0),0)</f>
        <v>0</v>
      </c>
      <c r="AV54" s="827">
        <f t="shared" si="8"/>
        <v>80718753.272406399</v>
      </c>
      <c r="AW54" s="828">
        <f>INDEX('Capital Costs'!$H$15:$K$55,MATCH('Capital Cost Escalation'!$E54,'Capital Costs'!$B$15:$B$55,0),MATCH('Capital Cost Escalation'!$C54,'Capital Costs'!$H$7:$K$7,0))</f>
        <v>72000000</v>
      </c>
    </row>
    <row r="55" spans="1:49">
      <c r="A55" s="487" t="str">
        <f t="shared" si="4"/>
        <v>CC_EMAAC_Condenser</v>
      </c>
      <c r="B55" s="478" t="s">
        <v>77</v>
      </c>
      <c r="C55" s="488" t="s">
        <v>120</v>
      </c>
      <c r="E55" s="442" t="s">
        <v>134</v>
      </c>
      <c r="F55" s="1325">
        <f>INDEX('Capital Costs_Nominal$'!$F:$F,MATCH('Capital Cost Escalation'!$E55,'Capital Costs_Nominal$'!$C:$C,0),1)</f>
        <v>2.3944839450136257E-3</v>
      </c>
      <c r="G55" s="490">
        <f>IFERROR(IF(G$6&lt;=$E$9,INDEX('Capital Costs'!$H$15:$K$55,MATCH('Capital Cost Escalation'!$E55,'Capital Costs'!$B$15:$B$55,0),MATCH('Capital Cost Escalation'!$C55,'Capital Costs'!$H$7:$K$7,0))*G$9*(1+$F55)^(G$3), 0),0)</f>
        <v>5895.0034698308</v>
      </c>
      <c r="H55" s="490">
        <f>IFERROR(IF(H$6&lt;=$E$9,INDEX('Capital Costs'!$H$15:$K$55,MATCH('Capital Cost Escalation'!$E55,'Capital Costs'!$B$15:$B$55,0),MATCH('Capital Cost Escalation'!$C55,'Capital Costs'!$H$7:$K$7,0))*H$9*(1+$F55)^(H$3), 0),0)</f>
        <v>29545.594804975546</v>
      </c>
      <c r="I55" s="490">
        <f>IFERROR(IF(I$6&lt;=$E$9,INDEX('Capital Costs'!$H$15:$K$55,MATCH('Capital Cost Escalation'!$E55,'Capital Costs'!$B$15:$B$55,0),MATCH('Capital Cost Escalation'!$C55,'Capital Costs'!$H$7:$K$7,0))*I$9*(1+$F55)^(I$3), 0),0)</f>
        <v>29616.341257381937</v>
      </c>
      <c r="J55" s="490">
        <f>IFERROR(IF(J$6&lt;=$E$9,INDEX('Capital Costs'!$H$15:$K$55,MATCH('Capital Cost Escalation'!$E55,'Capital Costs'!$B$15:$B$55,0),MATCH('Capital Cost Escalation'!$C55,'Capital Costs'!$H$7:$K$7,0))*J$9*(1+$F55)^(J$3), 0),0)</f>
        <v>1003429.2903529081</v>
      </c>
      <c r="K55" s="490">
        <f>IFERROR(IF(K$6&lt;=$E$9,INDEX('Capital Costs'!$H$15:$K$55,MATCH('Capital Cost Escalation'!$E55,'Capital Costs'!$B$15:$B$55,0),MATCH('Capital Cost Escalation'!$C55,'Capital Costs'!$H$7:$K$7,0))*K$9*(1+$F55)^(K$3), 0),0)</f>
        <v>982025.31146136939</v>
      </c>
      <c r="L55" s="490">
        <f>IFERROR(IF(L$6&lt;=$E$9,INDEX('Capital Costs'!$H$15:$K$55,MATCH('Capital Cost Escalation'!$E55,'Capital Costs'!$B$15:$B$55,0),MATCH('Capital Cost Escalation'!$C55,'Capital Costs'!$H$7:$K$7,0))*L$9*(1+$F55)^(L$3), 0),0)</f>
        <v>143182.0734986561</v>
      </c>
      <c r="M55" s="490">
        <f>IFERROR(IF(M$6&lt;=$E$9,INDEX('Capital Costs'!$H$15:$K$55,MATCH('Capital Cost Escalation'!$E55,'Capital Costs'!$B$15:$B$55,0),MATCH('Capital Cost Escalation'!$C55,'Capital Costs'!$H$7:$K$7,0))*M$9*(1+$F55)^(M$3), 0),0)</f>
        <v>215287.3810122936</v>
      </c>
      <c r="N55" s="490">
        <f>IFERROR(IF(N$6&lt;=$E$9,INDEX('Capital Costs'!$H$15:$K$55,MATCH('Capital Cost Escalation'!$E55,'Capital Costs'!$B$15:$B$55,0),MATCH('Capital Cost Escalation'!$C55,'Capital Costs'!$H$7:$K$7,0))*N$9*(1+$F55)^(N$3), 0),0)</f>
        <v>869206.05729181319</v>
      </c>
      <c r="O55" s="490">
        <f>IFERROR(IF(O$6&lt;=$E$9,INDEX('Capital Costs'!$H$15:$K$55,MATCH('Capital Cost Escalation'!$E55,'Capital Costs'!$B$15:$B$55,0),MATCH('Capital Cost Escalation'!$C55,'Capital Costs'!$H$7:$K$7,0))*O$9*(1+$F55)^(O$3), 0),0)</f>
        <v>919358.38384730218</v>
      </c>
      <c r="P55" s="490">
        <f>IFERROR(IF(P$6&lt;=$E$9,INDEX('Capital Costs'!$H$15:$K$55,MATCH('Capital Cost Escalation'!$E55,'Capital Costs'!$B$15:$B$55,0),MATCH('Capital Cost Escalation'!$C55,'Capital Costs'!$H$7:$K$7,0))*P$9*(1+$F55)^(P$3), 0),0)</f>
        <v>770978.11052518734</v>
      </c>
      <c r="Q55" s="490">
        <f>IFERROR(IF(Q$6&lt;=$E$9,INDEX('Capital Costs'!$H$15:$K$55,MATCH('Capital Cost Escalation'!$E55,'Capital Costs'!$B$15:$B$55,0),MATCH('Capital Cost Escalation'!$C55,'Capital Costs'!$H$7:$K$7,0))*Q$9*(1+$F55)^(Q$3), 0),0)</f>
        <v>821125.71805984655</v>
      </c>
      <c r="R55" s="490">
        <f>IFERROR(IF(R$6&lt;=$E$9,INDEX('Capital Costs'!$H$15:$K$55,MATCH('Capital Cost Escalation'!$E55,'Capital Costs'!$B$15:$B$55,0),MATCH('Capital Cost Escalation'!$C55,'Capital Costs'!$H$7:$K$7,0))*R$9*(1+$F55)^(R$3), 0),0)</f>
        <v>871509.0604326129</v>
      </c>
      <c r="S55" s="490">
        <f>IFERROR(IF(S$6&lt;=$E$9,INDEX('Capital Costs'!$H$15:$K$55,MATCH('Capital Cost Escalation'!$E55,'Capital Costs'!$B$15:$B$55,0),MATCH('Capital Cost Escalation'!$C55,'Capital Costs'!$H$7:$K$7,0))*S$9*(1+$F55)^(S$3), 0),0)</f>
        <v>1668325.4555109856</v>
      </c>
      <c r="T55" s="490">
        <f>IFERROR(IF(T$6&lt;=$E$9,INDEX('Capital Costs'!$H$15:$K$55,MATCH('Capital Cost Escalation'!$E55,'Capital Costs'!$B$15:$B$55,0),MATCH('Capital Cost Escalation'!$C55,'Capital Costs'!$H$7:$K$7,0))*T$9*(1+$F55)^(T$3), 0),0)</f>
        <v>2365572.9855904868</v>
      </c>
      <c r="U55" s="490">
        <f>IFERROR(IF(U$6&lt;=$E$9,INDEX('Capital Costs'!$H$15:$K$55,MATCH('Capital Cost Escalation'!$E55,'Capital Costs'!$B$15:$B$55,0),MATCH('Capital Cost Escalation'!$C55,'Capital Costs'!$H$7:$K$7,0))*U$9*(1+$F55)^(U$3), 0),0)</f>
        <v>2584587.7129591322</v>
      </c>
      <c r="V55" s="490">
        <f>IFERROR(IF(V$6&lt;=$E$9,INDEX('Capital Costs'!$H$15:$K$55,MATCH('Capital Cost Escalation'!$E55,'Capital Costs'!$B$15:$B$55,0),MATCH('Capital Cost Escalation'!$C55,'Capital Costs'!$H$7:$K$7,0))*V$9*(1+$F55)^(V$3), 0),0)</f>
        <v>2957395.778073749</v>
      </c>
      <c r="W55" s="490">
        <f>IFERROR(IF(W$6&lt;=$E$9,INDEX('Capital Costs'!$H$15:$K$55,MATCH('Capital Cost Escalation'!$E55,'Capital Costs'!$B$15:$B$55,0),MATCH('Capital Cost Escalation'!$C55,'Capital Costs'!$H$7:$K$7,0))*W$9*(1+$F55)^(W$3), 0),0)</f>
        <v>3264599.9080156009</v>
      </c>
      <c r="X55" s="490">
        <f>IFERROR(IF(X$6&lt;=$E$9,INDEX('Capital Costs'!$H$15:$K$55,MATCH('Capital Cost Escalation'!$E55,'Capital Costs'!$B$15:$B$55,0),MATCH('Capital Cost Escalation'!$C55,'Capital Costs'!$H$7:$K$7,0))*X$9*(1+$F55)^(X$3), 0),0)</f>
        <v>3831122.2713157898</v>
      </c>
      <c r="Y55" s="490">
        <f>IFERROR(IF(Y$6&lt;=$E$9,INDEX('Capital Costs'!$H$15:$K$55,MATCH('Capital Cost Escalation'!$E55,'Capital Costs'!$B$15:$B$55,0),MATCH('Capital Cost Escalation'!$C55,'Capital Costs'!$H$7:$K$7,0))*Y$9*(1+$F55)^(Y$3), 0),0)</f>
        <v>3914147.6750105675</v>
      </c>
      <c r="Z55" s="490">
        <f>IFERROR(IF(Z$6&lt;=$E$9,INDEX('Capital Costs'!$H$15:$K$55,MATCH('Capital Cost Escalation'!$E55,'Capital Costs'!$B$15:$B$55,0),MATCH('Capital Cost Escalation'!$C55,'Capital Costs'!$H$7:$K$7,0))*Z$9*(1+$F55)^(Z$3), 0),0)</f>
        <v>3837153.2454703855</v>
      </c>
      <c r="AA55" s="490">
        <f>IFERROR(IF(AA$6&lt;=$E$9,INDEX('Capital Costs'!$H$15:$K$55,MATCH('Capital Cost Escalation'!$E55,'Capital Costs'!$B$15:$B$55,0),MATCH('Capital Cost Escalation'!$C55,'Capital Costs'!$H$7:$K$7,0))*AA$9*(1+$F55)^(AA$3), 0),0)</f>
        <v>3957650.1580051151</v>
      </c>
      <c r="AB55" s="490">
        <f>IFERROR(IF(AB$6&lt;=$E$9,INDEX('Capital Costs'!$H$15:$K$55,MATCH('Capital Cost Escalation'!$E55,'Capital Costs'!$B$15:$B$55,0),MATCH('Capital Cost Escalation'!$C55,'Capital Costs'!$H$7:$K$7,0))*AB$9*(1+$F55)^(AB$3), 0),0)</f>
        <v>3762571.7179303789</v>
      </c>
      <c r="AC55" s="490">
        <f>IFERROR(IF(AC$6&lt;=$E$9,INDEX('Capital Costs'!$H$15:$K$55,MATCH('Capital Cost Escalation'!$E55,'Capital Costs'!$B$15:$B$55,0),MATCH('Capital Cost Escalation'!$C55,'Capital Costs'!$H$7:$K$7,0))*AC$9*(1+$F55)^(AC$3), 0),0)</f>
        <v>3864783.3052414753</v>
      </c>
      <c r="AD55" s="490">
        <f>IFERROR(IF(AD$6&lt;=$E$9,INDEX('Capital Costs'!$H$15:$K$55,MATCH('Capital Cost Escalation'!$E55,'Capital Costs'!$B$15:$B$55,0),MATCH('Capital Cost Escalation'!$C55,'Capital Costs'!$H$7:$K$7,0))*AD$9*(1+$F55)^(AD$3), 0),0)</f>
        <v>3867809.1107608578</v>
      </c>
      <c r="AE55" s="490">
        <f>IFERROR(IF(AE$6&lt;=$E$9,INDEX('Capital Costs'!$H$15:$K$55,MATCH('Capital Cost Escalation'!$E55,'Capital Costs'!$B$15:$B$55,0),MATCH('Capital Cost Escalation'!$C55,'Capital Costs'!$H$7:$K$7,0))*AE$9*(1+$F55)^(AE$3), 0),0)</f>
        <v>3664799.3459240659</v>
      </c>
      <c r="AF55" s="490">
        <f>IFERROR(IF(AF$6&lt;=$E$9,INDEX('Capital Costs'!$H$15:$K$55,MATCH('Capital Cost Escalation'!$E55,'Capital Costs'!$B$15:$B$55,0),MATCH('Capital Cost Escalation'!$C55,'Capital Costs'!$H$7:$K$7,0))*AF$9*(1+$F55)^(AF$3), 0),0)</f>
        <v>3617250.6766458531</v>
      </c>
      <c r="AG55" s="490">
        <f>IFERROR(IF(AG$6&lt;=$E$9,INDEX('Capital Costs'!$H$15:$K$55,MATCH('Capital Cost Escalation'!$E55,'Capital Costs'!$B$15:$B$55,0),MATCH('Capital Cost Escalation'!$C55,'Capital Costs'!$H$7:$K$7,0))*AG$9*(1+$F55)^(AG$3), 0),0)</f>
        <v>3092689.7539461451</v>
      </c>
      <c r="AH55" s="490">
        <f>IFERROR(IF(AH$6&lt;=$E$9,INDEX('Capital Costs'!$H$15:$K$55,MATCH('Capital Cost Escalation'!$E55,'Capital Costs'!$B$15:$B$55,0),MATCH('Capital Cost Escalation'!$C55,'Capital Costs'!$H$7:$K$7,0))*AH$9*(1+$F55)^(AH$3), 0),0)</f>
        <v>2615901.7897811225</v>
      </c>
      <c r="AI55" s="490">
        <f>IFERROR(IF(AI$6&lt;=$E$9,INDEX('Capital Costs'!$H$15:$K$55,MATCH('Capital Cost Escalation'!$E55,'Capital Costs'!$B$15:$B$55,0),MATCH('Capital Cost Escalation'!$C55,'Capital Costs'!$H$7:$K$7,0))*AI$9*(1+$F55)^(AI$3), 0),0)</f>
        <v>1500181.2376423066</v>
      </c>
      <c r="AJ55" s="490">
        <f>IFERROR(IF(AJ$6&lt;=$E$9,INDEX('Capital Costs'!$H$15:$K$55,MATCH('Capital Cost Escalation'!$E55,'Capital Costs'!$B$15:$B$55,0),MATCH('Capital Cost Escalation'!$C55,'Capital Costs'!$H$7:$K$7,0))*AJ$9*(1+$F55)^(AJ$3), 0),0)</f>
        <v>448604.66901118529</v>
      </c>
      <c r="AK55" s="490">
        <f>IFERROR(IF(AK$6&lt;=$E$9,INDEX('Capital Costs'!$H$15:$K$55,MATCH('Capital Cost Escalation'!$E55,'Capital Costs'!$B$15:$B$55,0),MATCH('Capital Cost Escalation'!$C55,'Capital Costs'!$H$7:$K$7,0))*AK$9*(1+$F55)^(AK$3), 0),0)</f>
        <v>107669.58277055553</v>
      </c>
      <c r="AL55" s="490">
        <f>IFERROR(IF(AL$6&lt;=$E$9,INDEX('Capital Costs'!$H$15:$K$55,MATCH('Capital Cost Escalation'!$E55,'Capital Costs'!$B$15:$B$55,0),MATCH('Capital Cost Escalation'!$C55,'Capital Costs'!$H$7:$K$7,0))*AL$9*(1+$F55)^(AL$3), 0),0)</f>
        <v>76184.044134964206</v>
      </c>
      <c r="AM55" s="490">
        <f>IFERROR(IF(AM$6&lt;=$E$9,INDEX('Capital Costs'!$H$15:$K$55,MATCH('Capital Cost Escalation'!$E55,'Capital Costs'!$B$15:$B$55,0),MATCH('Capital Cost Escalation'!$C55,'Capital Costs'!$H$7:$K$7,0))*AM$9*(1+$F55)^(AM$3), 0),0)</f>
        <v>0</v>
      </c>
      <c r="AN55" s="490">
        <f>IFERROR(IF(AN$6&lt;=$E$9,INDEX('Capital Costs'!$H$15:$K$55,MATCH('Capital Cost Escalation'!$E55,'Capital Costs'!$B$15:$B$55,0),MATCH('Capital Cost Escalation'!$C55,'Capital Costs'!$H$7:$K$7,0))*AN$9*(1+$F55)^(AN$3), 0),0)</f>
        <v>0</v>
      </c>
      <c r="AO55" s="490">
        <f>IFERROR(IF(AO$6&lt;=$E$9,INDEX('Capital Costs'!$H$15:$K$55,MATCH('Capital Cost Escalation'!$E55,'Capital Costs'!$B$15:$B$55,0),MATCH('Capital Cost Escalation'!$C55,'Capital Costs'!$H$7:$K$7,0))*AO$9*(1+$F55)^(AO$3), 0),0)</f>
        <v>0</v>
      </c>
      <c r="AP55" s="490">
        <f>IFERROR(IF(AP$6&lt;=$E$9,INDEX('Capital Costs'!$H$15:$K$55,MATCH('Capital Cost Escalation'!$E55,'Capital Costs'!$B$15:$B$55,0),MATCH('Capital Cost Escalation'!$C55,'Capital Costs'!$H$7:$K$7,0))*AP$9*(1+$F55)^(AP$3), 0),0)</f>
        <v>0</v>
      </c>
      <c r="AQ55" s="490">
        <f>IFERROR(IF(AQ$6&lt;=$E$9,INDEX('Capital Costs'!$H$15:$K$55,MATCH('Capital Cost Escalation'!$E55,'Capital Costs'!$B$15:$B$55,0),MATCH('Capital Cost Escalation'!$C55,'Capital Costs'!$H$7:$K$7,0))*AQ$9*(1+$F55)^(AQ$3), 0),0)</f>
        <v>0</v>
      </c>
      <c r="AR55" s="490">
        <f>IFERROR(IF(AR$6&lt;=$E$9,INDEX('Capital Costs'!$H$15:$K$55,MATCH('Capital Cost Escalation'!$E55,'Capital Costs'!$B$15:$B$55,0),MATCH('Capital Cost Escalation'!$C55,'Capital Costs'!$H$7:$K$7,0))*AR$9*(1+$F55)^(AR$3), 0),0)</f>
        <v>0</v>
      </c>
      <c r="AS55" s="490">
        <f>IFERROR(IF(AS$6&lt;=$E$9,INDEX('Capital Costs'!$H$15:$K$55,MATCH('Capital Cost Escalation'!$E55,'Capital Costs'!$B$15:$B$55,0),MATCH('Capital Cost Escalation'!$C55,'Capital Costs'!$H$7:$K$7,0))*AS$9*(1+$F55)^(AS$3), 0),0)</f>
        <v>0</v>
      </c>
      <c r="AT55" s="490">
        <f>IFERROR(IF(AT$6&lt;=$E$9,INDEX('Capital Costs'!$H$15:$K$55,MATCH('Capital Cost Escalation'!$E55,'Capital Costs'!$B$15:$B$55,0),MATCH('Capital Cost Escalation'!$C55,'Capital Costs'!$H$7:$K$7,0))*AT$9*(1+$F55)^(AT$3), 0),0)</f>
        <v>0</v>
      </c>
      <c r="AV55" s="827">
        <f t="shared" si="8"/>
        <v>61660158.749754898</v>
      </c>
      <c r="AW55" s="828">
        <f>INDEX('Capital Costs'!$H$15:$K$55,MATCH('Capital Cost Escalation'!$E55,'Capital Costs'!$B$15:$B$55,0),MATCH('Capital Cost Escalation'!$C55,'Capital Costs'!$H$7:$K$7,0))</f>
        <v>55000000</v>
      </c>
    </row>
    <row r="56" spans="1:49">
      <c r="A56" s="487" t="str">
        <f t="shared" si="4"/>
        <v>CC_EMAAC_Steam Turbines</v>
      </c>
      <c r="B56" s="478" t="s">
        <v>77</v>
      </c>
      <c r="C56" s="488" t="s">
        <v>120</v>
      </c>
      <c r="E56" s="442" t="s">
        <v>135</v>
      </c>
      <c r="F56" s="1325">
        <f>INDEX('Capital Costs_Nominal$'!$F:$F,MATCH('Capital Cost Escalation'!$E56,'Capital Costs_Nominal$'!$C:$C,0),1)</f>
        <v>2.3944839450136257E-3</v>
      </c>
      <c r="G56" s="490">
        <f>IFERROR(IF(G$6&lt;=$E$9,INDEX('Capital Costs'!$H$15:$K$55,MATCH('Capital Cost Escalation'!$E56,'Capital Costs'!$B$15:$B$55,0),MATCH('Capital Cost Escalation'!$C56,'Capital Costs'!$H$7:$K$7,0))*G$9*(1+$F56)^(G$3), 0),0)</f>
        <v>8102.9502239856092</v>
      </c>
      <c r="H56" s="490">
        <f>IFERROR(IF(H$6&lt;=$E$9,INDEX('Capital Costs'!$H$15:$K$55,MATCH('Capital Cost Escalation'!$E56,'Capital Costs'!$B$15:$B$55,0),MATCH('Capital Cost Escalation'!$C56,'Capital Costs'!$H$7:$K$7,0))*H$9*(1+$F56)^(H$3), 0),0)</f>
        <v>40611.763041020931</v>
      </c>
      <c r="I56" s="490">
        <f>IFERROR(IF(I$6&lt;=$E$9,INDEX('Capital Costs'!$H$15:$K$55,MATCH('Capital Cost Escalation'!$E56,'Capital Costs'!$B$15:$B$55,0),MATCH('Capital Cost Escalation'!$C56,'Capital Costs'!$H$7:$K$7,0))*I$9*(1+$F56)^(I$3), 0),0)</f>
        <v>40709.007255601347</v>
      </c>
      <c r="J56" s="490">
        <f>IFERROR(IF(J$6&lt;=$E$9,INDEX('Capital Costs'!$H$15:$K$55,MATCH('Capital Cost Escalation'!$E56,'Capital Costs'!$B$15:$B$55,0),MATCH('Capital Cost Escalation'!$C56,'Capital Costs'!$H$7:$K$7,0))*J$9*(1+$F56)^(J$3), 0),0)</f>
        <v>1379259.1700123609</v>
      </c>
      <c r="K56" s="490">
        <f>IFERROR(IF(K$6&lt;=$E$9,INDEX('Capital Costs'!$H$15:$K$55,MATCH('Capital Cost Escalation'!$E56,'Capital Costs'!$B$15:$B$55,0),MATCH('Capital Cost Escalation'!$C56,'Capital Costs'!$H$7:$K$7,0))*K$9*(1+$F56)^(K$3), 0),0)</f>
        <v>1349838.4281178096</v>
      </c>
      <c r="L56" s="490">
        <f>IFERROR(IF(L$6&lt;=$E$9,INDEX('Capital Costs'!$H$15:$K$55,MATCH('Capital Cost Escalation'!$E56,'Capital Costs'!$B$15:$B$55,0),MATCH('Capital Cost Escalation'!$C56,'Capital Costs'!$H$7:$K$7,0))*L$9*(1+$F56)^(L$3), 0),0)</f>
        <v>196810.26829997089</v>
      </c>
      <c r="M56" s="490">
        <f>IFERROR(IF(M$6&lt;=$E$9,INDEX('Capital Costs'!$H$15:$K$55,MATCH('Capital Cost Escalation'!$E56,'Capital Costs'!$B$15:$B$55,0),MATCH('Capital Cost Escalation'!$C56,'Capital Costs'!$H$7:$K$7,0))*M$9*(1+$F56)^(M$3), 0),0)</f>
        <v>295922.29099144356</v>
      </c>
      <c r="N56" s="490">
        <f>IFERROR(IF(N$6&lt;=$E$9,INDEX('Capital Costs'!$H$15:$K$55,MATCH('Capital Cost Escalation'!$E56,'Capital Costs'!$B$15:$B$55,0),MATCH('Capital Cost Escalation'!$C56,'Capital Costs'!$H$7:$K$7,0))*N$9*(1+$F56)^(N$3), 0),0)</f>
        <v>1194763.2351138378</v>
      </c>
      <c r="O56" s="490">
        <f>IFERROR(IF(O$6&lt;=$E$9,INDEX('Capital Costs'!$H$15:$K$55,MATCH('Capital Cost Escalation'!$E56,'Capital Costs'!$B$15:$B$55,0),MATCH('Capital Cost Escalation'!$C56,'Capital Costs'!$H$7:$K$7,0))*O$9*(1+$F56)^(O$3), 0),0)</f>
        <v>1263699.8876155643</v>
      </c>
      <c r="P56" s="490">
        <f>IFERROR(IF(P$6&lt;=$E$9,INDEX('Capital Costs'!$H$15:$K$55,MATCH('Capital Cost Escalation'!$E56,'Capital Costs'!$B$15:$B$55,0),MATCH('Capital Cost Escalation'!$C56,'Capital Costs'!$H$7:$K$7,0))*P$9*(1+$F56)^(P$3), 0),0)</f>
        <v>1059744.4573764394</v>
      </c>
      <c r="Q56" s="490">
        <f>IFERROR(IF(Q$6&lt;=$E$9,INDEX('Capital Costs'!$H$15:$K$55,MATCH('Capital Cost Escalation'!$E56,'Capital Costs'!$B$15:$B$55,0),MATCH('Capital Cost Escalation'!$C56,'Capital Costs'!$H$7:$K$7,0))*Q$9*(1+$F56)^(Q$3), 0),0)</f>
        <v>1128674.6233695347</v>
      </c>
      <c r="R56" s="490">
        <f>IFERROR(IF(R$6&lt;=$E$9,INDEX('Capital Costs'!$H$15:$K$55,MATCH('Capital Cost Escalation'!$E56,'Capital Costs'!$B$15:$B$55,0),MATCH('Capital Cost Escalation'!$C56,'Capital Costs'!$H$7:$K$7,0))*R$9*(1+$F56)^(R$3), 0),0)</f>
        <v>1197928.817612828</v>
      </c>
      <c r="S56" s="490">
        <f>IFERROR(IF(S$6&lt;=$E$9,INDEX('Capital Costs'!$H$15:$K$55,MATCH('Capital Cost Escalation'!$E56,'Capital Costs'!$B$15:$B$55,0),MATCH('Capital Cost Escalation'!$C56,'Capital Costs'!$H$7:$K$7,0))*S$9*(1+$F56)^(S$3), 0),0)</f>
        <v>2293189.1715751002</v>
      </c>
      <c r="T56" s="490">
        <f>IFERROR(IF(T$6&lt;=$E$9,INDEX('Capital Costs'!$H$15:$K$55,MATCH('Capital Cost Escalation'!$E56,'Capital Costs'!$B$15:$B$55,0),MATCH('Capital Cost Escalation'!$C56,'Capital Costs'!$H$7:$K$7,0))*T$9*(1+$F56)^(T$3), 0),0)</f>
        <v>3251587.5947389239</v>
      </c>
      <c r="U56" s="490">
        <f>IFERROR(IF(U$6&lt;=$E$9,INDEX('Capital Costs'!$H$15:$K$55,MATCH('Capital Cost Escalation'!$E56,'Capital Costs'!$B$15:$B$55,0),MATCH('Capital Cost Escalation'!$C56,'Capital Costs'!$H$7:$K$7,0))*U$9*(1+$F56)^(U$3), 0),0)</f>
        <v>3552633.2927220073</v>
      </c>
      <c r="V56" s="490">
        <f>IFERROR(IF(V$6&lt;=$E$9,INDEX('Capital Costs'!$H$15:$K$55,MATCH('Capital Cost Escalation'!$E56,'Capital Costs'!$B$15:$B$55,0),MATCH('Capital Cost Escalation'!$C56,'Capital Costs'!$H$7:$K$7,0))*V$9*(1+$F56)^(V$3), 0),0)</f>
        <v>4065074.9240431897</v>
      </c>
      <c r="W56" s="490">
        <f>IFERROR(IF(W$6&lt;=$E$9,INDEX('Capital Costs'!$H$15:$K$55,MATCH('Capital Cost Escalation'!$E56,'Capital Costs'!$B$15:$B$55,0),MATCH('Capital Cost Escalation'!$C56,'Capital Costs'!$H$7:$K$7,0))*W$9*(1+$F56)^(W$3), 0),0)</f>
        <v>4487340.9644723535</v>
      </c>
      <c r="X56" s="490">
        <f>IFERROR(IF(X$6&lt;=$E$9,INDEX('Capital Costs'!$H$15:$K$55,MATCH('Capital Cost Escalation'!$E56,'Capital Costs'!$B$15:$B$55,0),MATCH('Capital Cost Escalation'!$C56,'Capital Costs'!$H$7:$K$7,0))*X$9*(1+$F56)^(X$3), 0),0)</f>
        <v>5266051.7038449766</v>
      </c>
      <c r="Y56" s="490">
        <f>IFERROR(IF(Y$6&lt;=$E$9,INDEX('Capital Costs'!$H$15:$K$55,MATCH('Capital Cost Escalation'!$E56,'Capital Costs'!$B$15:$B$55,0),MATCH('Capital Cost Escalation'!$C56,'Capital Costs'!$H$7:$K$7,0))*Y$9*(1+$F56)^(Y$3), 0),0)</f>
        <v>5380173.8951054346</v>
      </c>
      <c r="Z56" s="490">
        <f>IFERROR(IF(Z$6&lt;=$E$9,INDEX('Capital Costs'!$H$15:$K$55,MATCH('Capital Cost Escalation'!$E56,'Capital Costs'!$B$15:$B$55,0),MATCH('Capital Cost Escalation'!$C56,'Capital Costs'!$H$7:$K$7,0))*Z$9*(1+$F56)^(Z$3), 0),0)</f>
        <v>5274341.5519556571</v>
      </c>
      <c r="AA56" s="490">
        <f>IFERROR(IF(AA$6&lt;=$E$9,INDEX('Capital Costs'!$H$15:$K$55,MATCH('Capital Cost Escalation'!$E56,'Capital Costs'!$B$15:$B$55,0),MATCH('Capital Cost Escalation'!$C56,'Capital Costs'!$H$7:$K$7,0))*AA$9*(1+$F56)^(AA$3), 0),0)</f>
        <v>5439970.0353670307</v>
      </c>
      <c r="AB56" s="490">
        <f>IFERROR(IF(AB$6&lt;=$E$9,INDEX('Capital Costs'!$H$15:$K$55,MATCH('Capital Cost Escalation'!$E56,'Capital Costs'!$B$15:$B$55,0),MATCH('Capital Cost Escalation'!$C56,'Capital Costs'!$H$7:$K$7,0))*AB$9*(1+$F56)^(AB$3), 0),0)</f>
        <v>5171825.8522824841</v>
      </c>
      <c r="AC56" s="490">
        <f>IFERROR(IF(AC$6&lt;=$E$9,INDEX('Capital Costs'!$H$15:$K$55,MATCH('Capital Cost Escalation'!$E56,'Capital Costs'!$B$15:$B$55,0),MATCH('Capital Cost Escalation'!$C56,'Capital Costs'!$H$7:$K$7,0))*AC$9*(1+$F56)^(AC$3), 0),0)</f>
        <v>5312320.3250228278</v>
      </c>
      <c r="AD56" s="490">
        <f>IFERROR(IF(AD$6&lt;=$E$9,INDEX('Capital Costs'!$H$15:$K$55,MATCH('Capital Cost Escalation'!$E56,'Capital Costs'!$B$15:$B$55,0),MATCH('Capital Cost Escalation'!$C56,'Capital Costs'!$H$7:$K$7,0))*AD$9*(1+$F56)^(AD$3), 0),0)</f>
        <v>5316479.4322458338</v>
      </c>
      <c r="AE56" s="490">
        <f>IFERROR(IF(AE$6&lt;=$E$9,INDEX('Capital Costs'!$H$15:$K$55,MATCH('Capital Cost Escalation'!$E56,'Capital Costs'!$B$15:$B$55,0),MATCH('Capital Cost Escalation'!$C56,'Capital Costs'!$H$7:$K$7,0))*AE$9*(1+$F56)^(AE$3), 0),0)</f>
        <v>5037433.2827610793</v>
      </c>
      <c r="AF56" s="490">
        <f>IFERROR(IF(AF$6&lt;=$E$9,INDEX('Capital Costs'!$H$15:$K$55,MATCH('Capital Cost Escalation'!$E56,'Capital Costs'!$B$15:$B$55,0),MATCH('Capital Cost Escalation'!$C56,'Capital Costs'!$H$7:$K$7,0))*AF$9*(1+$F56)^(AF$3), 0),0)</f>
        <v>4972075.4755350268</v>
      </c>
      <c r="AG56" s="490">
        <f>IFERROR(IF(AG$6&lt;=$E$9,INDEX('Capital Costs'!$H$15:$K$55,MATCH('Capital Cost Escalation'!$E56,'Capital Costs'!$B$15:$B$55,0),MATCH('Capital Cost Escalation'!$C56,'Capital Costs'!$H$7:$K$7,0))*AG$9*(1+$F56)^(AG$3), 0),0)</f>
        <v>4251042.6436059736</v>
      </c>
      <c r="AH56" s="490">
        <f>IFERROR(IF(AH$6&lt;=$E$9,INDEX('Capital Costs'!$H$15:$K$55,MATCH('Capital Cost Escalation'!$E56,'Capital Costs'!$B$15:$B$55,0),MATCH('Capital Cost Escalation'!$C56,'Capital Costs'!$H$7:$K$7,0))*AH$9*(1+$F56)^(AH$3), 0),0)</f>
        <v>3595675.9146809611</v>
      </c>
      <c r="AI56" s="490">
        <f>IFERROR(IF(AI$6&lt;=$E$9,INDEX('Capital Costs'!$H$15:$K$55,MATCH('Capital Cost Escalation'!$E56,'Capital Costs'!$B$15:$B$55,0),MATCH('Capital Cost Escalation'!$C56,'Capital Costs'!$H$7:$K$7,0))*AI$9*(1+$F56)^(AI$3), 0),0)</f>
        <v>2062067.3011956066</v>
      </c>
      <c r="AJ56" s="490">
        <f>IFERROR(IF(AJ$6&lt;=$E$9,INDEX('Capital Costs'!$H$15:$K$55,MATCH('Capital Cost Escalation'!$E56,'Capital Costs'!$B$15:$B$55,0),MATCH('Capital Cost Escalation'!$C56,'Capital Costs'!$H$7:$K$7,0))*AJ$9*(1+$F56)^(AJ$3), 0),0)</f>
        <v>616627.50867719285</v>
      </c>
      <c r="AK56" s="490">
        <f>IFERROR(IF(AK$6&lt;=$E$9,INDEX('Capital Costs'!$H$15:$K$55,MATCH('Capital Cost Escalation'!$E56,'Capital Costs'!$B$15:$B$55,0),MATCH('Capital Cost Escalation'!$C56,'Capital Costs'!$H$7:$K$7,0))*AK$9*(1+$F56)^(AK$3), 0),0)</f>
        <v>147996.73559007273</v>
      </c>
      <c r="AL56" s="490">
        <f>IFERROR(IF(AL$6&lt;=$E$9,INDEX('Capital Costs'!$H$15:$K$55,MATCH('Capital Cost Escalation'!$E56,'Capital Costs'!$B$15:$B$55,0),MATCH('Capital Cost Escalation'!$C56,'Capital Costs'!$H$7:$K$7,0))*AL$9*(1+$F56)^(AL$3), 0),0)</f>
        <v>104718.43157460533</v>
      </c>
      <c r="AM56" s="490">
        <f>IFERROR(IF(AM$6&lt;=$E$9,INDEX('Capital Costs'!$H$15:$K$55,MATCH('Capital Cost Escalation'!$E56,'Capital Costs'!$B$15:$B$55,0),MATCH('Capital Cost Escalation'!$C56,'Capital Costs'!$H$7:$K$7,0))*AM$9*(1+$F56)^(AM$3), 0),0)</f>
        <v>0</v>
      </c>
      <c r="AN56" s="490">
        <f>IFERROR(IF(AN$6&lt;=$E$9,INDEX('Capital Costs'!$H$15:$K$55,MATCH('Capital Cost Escalation'!$E56,'Capital Costs'!$B$15:$B$55,0),MATCH('Capital Cost Escalation'!$C56,'Capital Costs'!$H$7:$K$7,0))*AN$9*(1+$F56)^(AN$3), 0),0)</f>
        <v>0</v>
      </c>
      <c r="AO56" s="490">
        <f>IFERROR(IF(AO$6&lt;=$E$9,INDEX('Capital Costs'!$H$15:$K$55,MATCH('Capital Cost Escalation'!$E56,'Capital Costs'!$B$15:$B$55,0),MATCH('Capital Cost Escalation'!$C56,'Capital Costs'!$H$7:$K$7,0))*AO$9*(1+$F56)^(AO$3), 0),0)</f>
        <v>0</v>
      </c>
      <c r="AP56" s="490">
        <f>IFERROR(IF(AP$6&lt;=$E$9,INDEX('Capital Costs'!$H$15:$K$55,MATCH('Capital Cost Escalation'!$E56,'Capital Costs'!$B$15:$B$55,0),MATCH('Capital Cost Escalation'!$C56,'Capital Costs'!$H$7:$K$7,0))*AP$9*(1+$F56)^(AP$3), 0),0)</f>
        <v>0</v>
      </c>
      <c r="AQ56" s="490">
        <f>IFERROR(IF(AQ$6&lt;=$E$9,INDEX('Capital Costs'!$H$15:$K$55,MATCH('Capital Cost Escalation'!$E56,'Capital Costs'!$B$15:$B$55,0),MATCH('Capital Cost Escalation'!$C56,'Capital Costs'!$H$7:$K$7,0))*AQ$9*(1+$F56)^(AQ$3), 0),0)</f>
        <v>0</v>
      </c>
      <c r="AR56" s="490">
        <f>IFERROR(IF(AR$6&lt;=$E$9,INDEX('Capital Costs'!$H$15:$K$55,MATCH('Capital Cost Escalation'!$E56,'Capital Costs'!$B$15:$B$55,0),MATCH('Capital Cost Escalation'!$C56,'Capital Costs'!$H$7:$K$7,0))*AR$9*(1+$F56)^(AR$3), 0),0)</f>
        <v>0</v>
      </c>
      <c r="AS56" s="490">
        <f>IFERROR(IF(AS$6&lt;=$E$9,INDEX('Capital Costs'!$H$15:$K$55,MATCH('Capital Cost Escalation'!$E56,'Capital Costs'!$B$15:$B$55,0),MATCH('Capital Cost Escalation'!$C56,'Capital Costs'!$H$7:$K$7,0))*AS$9*(1+$F56)^(AS$3), 0),0)</f>
        <v>0</v>
      </c>
      <c r="AT56" s="490">
        <f>IFERROR(IF(AT$6&lt;=$E$9,INDEX('Capital Costs'!$H$15:$K$55,MATCH('Capital Cost Escalation'!$E56,'Capital Costs'!$B$15:$B$55,0),MATCH('Capital Cost Escalation'!$C56,'Capital Costs'!$H$7:$K$7,0))*AT$9*(1+$F56)^(AT$3), 0),0)</f>
        <v>0</v>
      </c>
      <c r="AV56" s="827">
        <f t="shared" si="8"/>
        <v>84754690.936026722</v>
      </c>
      <c r="AW56" s="828">
        <f>INDEX('Capital Costs'!$H$15:$K$55,MATCH('Capital Cost Escalation'!$E56,'Capital Costs'!$B$15:$B$55,0),MATCH('Capital Cost Escalation'!$C56,'Capital Costs'!$H$7:$K$7,0))</f>
        <v>75600000</v>
      </c>
    </row>
    <row r="57" spans="1:49">
      <c r="A57" s="487" t="str">
        <f t="shared" si="4"/>
        <v>CC_EMAAC_Other Equipment</v>
      </c>
      <c r="B57" s="478" t="s">
        <v>77</v>
      </c>
      <c r="C57" s="488" t="s">
        <v>120</v>
      </c>
      <c r="E57" s="442" t="s">
        <v>136</v>
      </c>
      <c r="F57" s="1325">
        <f>INDEX('Capital Costs_Nominal$'!$F:$F,MATCH('Capital Cost Escalation'!$E57,'Capital Costs_Nominal$'!$C:$C,0),1)</f>
        <v>2.3944839450136257E-3</v>
      </c>
      <c r="G57" s="490">
        <f>IFERROR(IF(G$6&lt;=$E$9,INDEX('Capital Costs'!$H$15:$K$55,MATCH('Capital Cost Escalation'!$E57,'Capital Costs'!$B$15:$B$55,0),MATCH('Capital Cost Escalation'!$C57,'Capital Costs'!$H$7:$K$7,0))*G$9*(1+$F57)^(G$3), 0),0)</f>
        <v>8254.5054041008952</v>
      </c>
      <c r="H57" s="490">
        <f>IFERROR(IF(H$6&lt;=$E$9,INDEX('Capital Costs'!$H$15:$K$55,MATCH('Capital Cost Escalation'!$E57,'Capital Costs'!$B$15:$B$55,0),MATCH('Capital Cost Escalation'!$C57,'Capital Costs'!$H$7:$K$7,0))*H$9*(1+$F57)^(H$3), 0),0)</f>
        <v>41371.35342382521</v>
      </c>
      <c r="I57" s="490">
        <f>IFERROR(IF(I$6&lt;=$E$9,INDEX('Capital Costs'!$H$15:$K$55,MATCH('Capital Cost Escalation'!$E57,'Capital Costs'!$B$15:$B$55,0),MATCH('Capital Cost Escalation'!$C57,'Capital Costs'!$H$7:$K$7,0))*I$9*(1+$F57)^(I$3), 0),0)</f>
        <v>41470.416465382041</v>
      </c>
      <c r="J57" s="490">
        <f>IFERROR(IF(J$6&lt;=$E$9,INDEX('Capital Costs'!$H$15:$K$55,MATCH('Capital Cost Escalation'!$E57,'Capital Costs'!$B$15:$B$55,0),MATCH('Capital Cost Escalation'!$C57,'Capital Costs'!$H$7:$K$7,0))*J$9*(1+$F57)^(J$3), 0),0)</f>
        <v>1405056.4248588884</v>
      </c>
      <c r="K57" s="490">
        <f>IFERROR(IF(K$6&lt;=$E$9,INDEX('Capital Costs'!$H$15:$K$55,MATCH('Capital Cost Escalation'!$E57,'Capital Costs'!$B$15:$B$55,0),MATCH('Capital Cost Escalation'!$C57,'Capital Costs'!$H$7:$K$7,0))*K$9*(1+$F57)^(K$3), 0),0)</f>
        <v>1375085.4061251981</v>
      </c>
      <c r="L57" s="490">
        <f>IFERROR(IF(L$6&lt;=$E$9,INDEX('Capital Costs'!$H$15:$K$55,MATCH('Capital Cost Escalation'!$E57,'Capital Costs'!$B$15:$B$55,0),MATCH('Capital Cost Escalation'!$C57,'Capital Costs'!$H$7:$K$7,0))*L$9*(1+$F57)^(L$3), 0),0)</f>
        <v>200491.34924409998</v>
      </c>
      <c r="M57" s="490">
        <f>IFERROR(IF(M$6&lt;=$E$9,INDEX('Capital Costs'!$H$15:$K$55,MATCH('Capital Cost Escalation'!$E57,'Capital Costs'!$B$15:$B$55,0),MATCH('Capital Cost Escalation'!$C57,'Capital Costs'!$H$7:$K$7,0))*M$9*(1+$F57)^(M$3), 0),0)</f>
        <v>301457.13384146866</v>
      </c>
      <c r="N57" s="490">
        <f>IFERROR(IF(N$6&lt;=$E$9,INDEX('Capital Costs'!$H$15:$K$55,MATCH('Capital Cost Escalation'!$E57,'Capital Costs'!$B$15:$B$55,0),MATCH('Capital Cost Escalation'!$C57,'Capital Costs'!$H$7:$K$7,0))*N$9*(1+$F57)^(N$3), 0),0)</f>
        <v>1217109.7326594854</v>
      </c>
      <c r="O57" s="490">
        <f>IFERROR(IF(O$6&lt;=$E$9,INDEX('Capital Costs'!$H$15:$K$55,MATCH('Capital Cost Escalation'!$E57,'Capital Costs'!$B$15:$B$55,0),MATCH('Capital Cost Escalation'!$C57,'Capital Costs'!$H$7:$K$7,0))*O$9*(1+$F57)^(O$3), 0),0)</f>
        <v>1287335.7558839296</v>
      </c>
      <c r="P57" s="490">
        <f>IFERROR(IF(P$6&lt;=$E$9,INDEX('Capital Costs'!$H$15:$K$55,MATCH('Capital Cost Escalation'!$E57,'Capital Costs'!$B$15:$B$55,0),MATCH('Capital Cost Escalation'!$C57,'Capital Costs'!$H$7:$K$7,0))*P$9*(1+$F57)^(P$3), 0),0)</f>
        <v>1079565.6037088507</v>
      </c>
      <c r="Q57" s="490">
        <f>IFERROR(IF(Q$6&lt;=$E$9,INDEX('Capital Costs'!$H$15:$K$55,MATCH('Capital Cost Escalation'!$E57,'Capital Costs'!$B$15:$B$55,0),MATCH('Capital Cost Escalation'!$C57,'Capital Costs'!$H$7:$K$7,0))*Q$9*(1+$F57)^(Q$3), 0),0)</f>
        <v>1149785.0191029278</v>
      </c>
      <c r="R57" s="490">
        <f>IFERROR(IF(R$6&lt;=$E$9,INDEX('Capital Costs'!$H$15:$K$55,MATCH('Capital Cost Escalation'!$E57,'Capital Costs'!$B$15:$B$55,0),MATCH('Capital Cost Escalation'!$C57,'Capital Costs'!$H$7:$K$7,0))*R$9*(1+$F57)^(R$3), 0),0)</f>
        <v>1220334.5232755863</v>
      </c>
      <c r="S57" s="490">
        <f>IFERROR(IF(S$6&lt;=$E$9,INDEX('Capital Costs'!$H$15:$K$55,MATCH('Capital Cost Escalation'!$E57,'Capital Costs'!$B$15:$B$55,0),MATCH('Capital Cost Escalation'!$C57,'Capital Costs'!$H$7:$K$7,0))*S$9*(1+$F57)^(S$3), 0),0)</f>
        <v>2336080.3023767825</v>
      </c>
      <c r="T57" s="490">
        <f>IFERROR(IF(T$6&lt;=$E$9,INDEX('Capital Costs'!$H$15:$K$55,MATCH('Capital Cost Escalation'!$E57,'Capital Costs'!$B$15:$B$55,0),MATCH('Capital Cost Escalation'!$C57,'Capital Costs'!$H$7:$K$7,0))*T$9*(1+$F57)^(T$3), 0),0)</f>
        <v>3312404.3256775592</v>
      </c>
      <c r="U57" s="490">
        <f>IFERROR(IF(U$6&lt;=$E$9,INDEX('Capital Costs'!$H$15:$K$55,MATCH('Capital Cost Escalation'!$E57,'Capital Costs'!$B$15:$B$55,0),MATCH('Capital Cost Escalation'!$C57,'Capital Costs'!$H$7:$K$7,0))*U$9*(1+$F57)^(U$3), 0),0)</f>
        <v>3619080.6931969929</v>
      </c>
      <c r="V57" s="490">
        <f>IFERROR(IF(V$6&lt;=$E$9,INDEX('Capital Costs'!$H$15:$K$55,MATCH('Capital Cost Escalation'!$E57,'Capital Costs'!$B$15:$B$55,0),MATCH('Capital Cost Escalation'!$C57,'Capital Costs'!$H$7:$K$7,0))*V$9*(1+$F57)^(V$3), 0),0)</f>
        <v>4141106.8809558493</v>
      </c>
      <c r="W57" s="490">
        <f>IFERROR(IF(W$6&lt;=$E$9,INDEX('Capital Costs'!$H$15:$K$55,MATCH('Capital Cost Escalation'!$E57,'Capital Costs'!$B$15:$B$55,0),MATCH('Capital Cost Escalation'!$C57,'Capital Costs'!$H$7:$K$7,0))*W$9*(1+$F57)^(W$3), 0),0)</f>
        <v>4571270.8602893362</v>
      </c>
      <c r="X57" s="490">
        <f>IFERROR(IF(X$6&lt;=$E$9,INDEX('Capital Costs'!$H$15:$K$55,MATCH('Capital Cost Escalation'!$E57,'Capital Costs'!$B$15:$B$55,0),MATCH('Capital Cost Escalation'!$C57,'Capital Costs'!$H$7:$K$7,0))*X$9*(1+$F57)^(X$3), 0),0)</f>
        <v>5364546.3746020775</v>
      </c>
      <c r="Y57" s="490">
        <f>IFERROR(IF(Y$6&lt;=$E$9,INDEX('Capital Costs'!$H$15:$K$55,MATCH('Capital Cost Escalation'!$E57,'Capital Costs'!$B$15:$B$55,0),MATCH('Capital Cost Escalation'!$C57,'Capital Costs'!$H$7:$K$7,0))*Y$9*(1+$F57)^(Y$3), 0),0)</f>
        <v>5480803.0735138878</v>
      </c>
      <c r="Z57" s="490">
        <f>IFERROR(IF(Z$6&lt;=$E$9,INDEX('Capital Costs'!$H$15:$K$55,MATCH('Capital Cost Escalation'!$E57,'Capital Costs'!$B$15:$B$55,0),MATCH('Capital Cost Escalation'!$C57,'Capital Costs'!$H$7:$K$7,0))*Z$9*(1+$F57)^(Z$3), 0),0)</f>
        <v>5372991.2735755686</v>
      </c>
      <c r="AA57" s="490">
        <f>IFERROR(IF(AA$6&lt;=$E$9,INDEX('Capital Costs'!$H$15:$K$55,MATCH('Capital Cost Escalation'!$E57,'Capital Costs'!$B$15:$B$55,0),MATCH('Capital Cost Escalation'!$C57,'Capital Costs'!$H$7:$K$7,0))*AA$9*(1+$F57)^(AA$3), 0),0)</f>
        <v>5541717.623065562</v>
      </c>
      <c r="AB57" s="490">
        <f>IFERROR(IF(AB$6&lt;=$E$9,INDEX('Capital Costs'!$H$15:$K$55,MATCH('Capital Cost Escalation'!$E57,'Capital Costs'!$B$15:$B$55,0),MATCH('Capital Cost Escalation'!$C57,'Capital Costs'!$H$7:$K$7,0))*AB$9*(1+$F57)^(AB$3), 0),0)</f>
        <v>5268558.1506307311</v>
      </c>
      <c r="AC57" s="490">
        <f>IFERROR(IF(AC$6&lt;=$E$9,INDEX('Capital Costs'!$H$15:$K$55,MATCH('Capital Cost Escalation'!$E57,'Capital Costs'!$B$15:$B$55,0),MATCH('Capital Cost Escalation'!$C57,'Capital Costs'!$H$7:$K$7,0))*AC$9*(1+$F57)^(AC$3), 0),0)</f>
        <v>5411680.3903612178</v>
      </c>
      <c r="AD57" s="490">
        <f>IFERROR(IF(AD$6&lt;=$E$9,INDEX('Capital Costs'!$H$15:$K$55,MATCH('Capital Cost Escalation'!$E57,'Capital Costs'!$B$15:$B$55,0),MATCH('Capital Cost Escalation'!$C57,'Capital Costs'!$H$7:$K$7,0))*AD$9*(1+$F57)^(AD$3), 0),0)</f>
        <v>5415917.2882933952</v>
      </c>
      <c r="AE57" s="490">
        <f>IFERROR(IF(AE$6&lt;=$E$9,INDEX('Capital Costs'!$H$15:$K$55,MATCH('Capital Cost Escalation'!$E57,'Capital Costs'!$B$15:$B$55,0),MATCH('Capital Cost Escalation'!$C57,'Capital Costs'!$H$7:$K$7,0))*AE$9*(1+$F57)^(AE$3), 0),0)</f>
        <v>5131651.9423090182</v>
      </c>
      <c r="AF57" s="490">
        <f>IFERROR(IF(AF$6&lt;=$E$9,INDEX('Capital Costs'!$H$15:$K$55,MATCH('Capital Cost Escalation'!$E57,'Capital Costs'!$B$15:$B$55,0),MATCH('Capital Cost Escalation'!$C57,'Capital Costs'!$H$7:$K$7,0))*AF$9*(1+$F57)^(AF$3), 0),0)</f>
        <v>5065071.7020218857</v>
      </c>
      <c r="AG57" s="490">
        <f>IFERROR(IF(AG$6&lt;=$E$9,INDEX('Capital Costs'!$H$15:$K$55,MATCH('Capital Cost Escalation'!$E57,'Capital Costs'!$B$15:$B$55,0),MATCH('Capital Cost Escalation'!$C57,'Capital Costs'!$H$7:$K$7,0))*AG$9*(1+$F57)^(AG$3), 0),0)</f>
        <v>4330552.8856437895</v>
      </c>
      <c r="AH57" s="490">
        <f>IFERROR(IF(AH$6&lt;=$E$9,INDEX('Capital Costs'!$H$15:$K$55,MATCH('Capital Cost Escalation'!$E57,'Capital Costs'!$B$15:$B$55,0),MATCH('Capital Cost Escalation'!$C57,'Capital Costs'!$H$7:$K$7,0))*AH$9*(1+$F57)^(AH$3), 0),0)</f>
        <v>3662928.3716036975</v>
      </c>
      <c r="AI57" s="490">
        <f>IFERROR(IF(AI$6&lt;=$E$9,INDEX('Capital Costs'!$H$15:$K$55,MATCH('Capital Cost Escalation'!$E57,'Capital Costs'!$B$15:$B$55,0),MATCH('Capital Cost Escalation'!$C57,'Capital Costs'!$H$7:$K$7,0))*AI$9*(1+$F57)^(AI$3), 0),0)</f>
        <v>2100635.5970142656</v>
      </c>
      <c r="AJ57" s="490">
        <f>IFERROR(IF(AJ$6&lt;=$E$9,INDEX('Capital Costs'!$H$15:$K$55,MATCH('Capital Cost Escalation'!$E57,'Capital Costs'!$B$15:$B$55,0),MATCH('Capital Cost Escalation'!$C57,'Capital Costs'!$H$7:$K$7,0))*AJ$9*(1+$F57)^(AJ$3), 0),0)</f>
        <v>628160.72689504398</v>
      </c>
      <c r="AK57" s="490">
        <f>IFERROR(IF(AK$6&lt;=$E$9,INDEX('Capital Costs'!$H$15:$K$55,MATCH('Capital Cost Escalation'!$E57,'Capital Costs'!$B$15:$B$55,0),MATCH('Capital Cost Escalation'!$C57,'Capital Costs'!$H$7:$K$7,0))*AK$9*(1+$F57)^(AK$3), 0),0)</f>
        <v>150764.82268166481</v>
      </c>
      <c r="AL57" s="490">
        <f>IFERROR(IF(AL$6&lt;=$E$9,INDEX('Capital Costs'!$H$15:$K$55,MATCH('Capital Cost Escalation'!$E57,'Capital Costs'!$B$15:$B$55,0),MATCH('Capital Cost Escalation'!$C57,'Capital Costs'!$H$7:$K$7,0))*AL$9*(1+$F57)^(AL$3), 0),0)</f>
        <v>106677.05409109332</v>
      </c>
      <c r="AM57" s="490">
        <f>IFERROR(IF(AM$6&lt;=$E$9,INDEX('Capital Costs'!$H$15:$K$55,MATCH('Capital Cost Escalation'!$E57,'Capital Costs'!$B$15:$B$55,0),MATCH('Capital Cost Escalation'!$C57,'Capital Costs'!$H$7:$K$7,0))*AM$9*(1+$F57)^(AM$3), 0),0)</f>
        <v>0</v>
      </c>
      <c r="AN57" s="490">
        <f>IFERROR(IF(AN$6&lt;=$E$9,INDEX('Capital Costs'!$H$15:$K$55,MATCH('Capital Cost Escalation'!$E57,'Capital Costs'!$B$15:$B$55,0),MATCH('Capital Cost Escalation'!$C57,'Capital Costs'!$H$7:$K$7,0))*AN$9*(1+$F57)^(AN$3), 0),0)</f>
        <v>0</v>
      </c>
      <c r="AO57" s="490">
        <f>IFERROR(IF(AO$6&lt;=$E$9,INDEX('Capital Costs'!$H$15:$K$55,MATCH('Capital Cost Escalation'!$E57,'Capital Costs'!$B$15:$B$55,0),MATCH('Capital Cost Escalation'!$C57,'Capital Costs'!$H$7:$K$7,0))*AO$9*(1+$F57)^(AO$3), 0),0)</f>
        <v>0</v>
      </c>
      <c r="AP57" s="490">
        <f>IFERROR(IF(AP$6&lt;=$E$9,INDEX('Capital Costs'!$H$15:$K$55,MATCH('Capital Cost Escalation'!$E57,'Capital Costs'!$B$15:$B$55,0),MATCH('Capital Cost Escalation'!$C57,'Capital Costs'!$H$7:$K$7,0))*AP$9*(1+$F57)^(AP$3), 0),0)</f>
        <v>0</v>
      </c>
      <c r="AQ57" s="490">
        <f>IFERROR(IF(AQ$6&lt;=$E$9,INDEX('Capital Costs'!$H$15:$K$55,MATCH('Capital Cost Escalation'!$E57,'Capital Costs'!$B$15:$B$55,0),MATCH('Capital Cost Escalation'!$C57,'Capital Costs'!$H$7:$K$7,0))*AQ$9*(1+$F57)^(AQ$3), 0),0)</f>
        <v>0</v>
      </c>
      <c r="AR57" s="490">
        <f>IFERROR(IF(AR$6&lt;=$E$9,INDEX('Capital Costs'!$H$15:$K$55,MATCH('Capital Cost Escalation'!$E57,'Capital Costs'!$B$15:$B$55,0),MATCH('Capital Cost Escalation'!$C57,'Capital Costs'!$H$7:$K$7,0))*AR$9*(1+$F57)^(AR$3), 0),0)</f>
        <v>0</v>
      </c>
      <c r="AS57" s="490">
        <f>IFERROR(IF(AS$6&lt;=$E$9,INDEX('Capital Costs'!$H$15:$K$55,MATCH('Capital Cost Escalation'!$E57,'Capital Costs'!$B$15:$B$55,0),MATCH('Capital Cost Escalation'!$C57,'Capital Costs'!$H$7:$K$7,0))*AS$9*(1+$F57)^(AS$3), 0),0)</f>
        <v>0</v>
      </c>
      <c r="AT57" s="490">
        <f>IFERROR(IF(AT$6&lt;=$E$9,INDEX('Capital Costs'!$H$15:$K$55,MATCH('Capital Cost Escalation'!$E57,'Capital Costs'!$B$15:$B$55,0),MATCH('Capital Cost Escalation'!$C57,'Capital Costs'!$H$7:$K$7,0))*AT$9*(1+$F57)^(AT$3), 0),0)</f>
        <v>0</v>
      </c>
      <c r="AV57" s="827">
        <f t="shared" si="8"/>
        <v>86339917.562793165</v>
      </c>
      <c r="AW57" s="828">
        <f>INDEX('Capital Costs'!$H$15:$K$55,MATCH('Capital Cost Escalation'!$E57,'Capital Costs'!$B$15:$B$55,0),MATCH('Capital Cost Escalation'!$C57,'Capital Costs'!$H$7:$K$7,0))</f>
        <v>77014000</v>
      </c>
    </row>
    <row r="58" spans="1:49">
      <c r="A58" s="487" t="str">
        <f t="shared" si="4"/>
        <v>CC_EMAAC_Construction Labor</v>
      </c>
      <c r="B58" s="478" t="s">
        <v>77</v>
      </c>
      <c r="C58" s="488" t="s">
        <v>120</v>
      </c>
      <c r="E58" s="442" t="s">
        <v>138</v>
      </c>
      <c r="F58" s="1325">
        <f>INDEX('Capital Costs_Nominal$'!$F:$F,MATCH('Capital Cost Escalation'!$E58,'Capital Costs_Nominal$'!$C:$C,0),1)</f>
        <v>3.6840339826600399E-3</v>
      </c>
      <c r="G58" s="490">
        <f>IFERROR(IF(G$6&lt;=$E$9,INDEX('Capital Costs'!$H$15:$K$55,MATCH('Capital Cost Escalation'!$E58,'Capital Costs'!$B$15:$B$55,0),MATCH('Capital Cost Escalation'!$C58,'Capital Costs'!$H$7:$K$7,0))*G$9*(1+$F58)^(G$3), 0),0)</f>
        <v>34109.137089608688</v>
      </c>
      <c r="H58" s="490">
        <f>IFERROR(IF(H$6&lt;=$E$9,INDEX('Capital Costs'!$H$15:$K$55,MATCH('Capital Cost Escalation'!$E58,'Capital Costs'!$B$15:$B$55,0),MATCH('Capital Cost Escalation'!$C58,'Capital Costs'!$H$7:$K$7,0))*H$9*(1+$F58)^(H$3), 0),0)</f>
        <v>171173.98154883011</v>
      </c>
      <c r="I58" s="490">
        <f>IFERROR(IF(I$6&lt;=$E$9,INDEX('Capital Costs'!$H$15:$K$55,MATCH('Capital Cost Escalation'!$E58,'Capital Costs'!$B$15:$B$55,0),MATCH('Capital Cost Escalation'!$C58,'Capital Costs'!$H$7:$K$7,0))*I$9*(1+$F58)^(I$3), 0),0)</f>
        <v>171804.59231380327</v>
      </c>
      <c r="J58" s="490">
        <f>IFERROR(IF(J$6&lt;=$E$9,INDEX('Capital Costs'!$H$15:$K$55,MATCH('Capital Cost Escalation'!$E58,'Capital Costs'!$B$15:$B$55,0),MATCH('Capital Cost Escalation'!$C58,'Capital Costs'!$H$7:$K$7,0))*J$9*(1+$F58)^(J$3), 0),0)</f>
        <v>5828388.3879349334</v>
      </c>
      <c r="K58" s="490">
        <f>IFERROR(IF(K$6&lt;=$E$9,INDEX('Capital Costs'!$H$15:$K$55,MATCH('Capital Cost Escalation'!$E58,'Capital Costs'!$B$15:$B$55,0),MATCH('Capital Cost Escalation'!$C58,'Capital Costs'!$H$7:$K$7,0))*K$9*(1+$F58)^(K$3), 0),0)</f>
        <v>5711402.1352386829</v>
      </c>
      <c r="L58" s="490">
        <f>IFERROR(IF(L$6&lt;=$E$9,INDEX('Capital Costs'!$H$15:$K$55,MATCH('Capital Cost Escalation'!$E58,'Capital Costs'!$B$15:$B$55,0),MATCH('Capital Cost Escalation'!$C58,'Capital Costs'!$H$7:$K$7,0))*L$9*(1+$F58)^(L$3), 0),0)</f>
        <v>833809.91051542386</v>
      </c>
      <c r="M58" s="490">
        <f>IFERROR(IF(M$6&lt;=$E$9,INDEX('Capital Costs'!$H$15:$K$55,MATCH('Capital Cost Escalation'!$E58,'Capital Costs'!$B$15:$B$55,0),MATCH('Capital Cost Escalation'!$C58,'Capital Costs'!$H$7:$K$7,0))*M$9*(1+$F58)^(M$3), 0),0)</f>
        <v>1255322.5418412625</v>
      </c>
      <c r="N58" s="490">
        <f>IFERROR(IF(N$6&lt;=$E$9,INDEX('Capital Costs'!$H$15:$K$55,MATCH('Capital Cost Escalation'!$E58,'Capital Costs'!$B$15:$B$55,0),MATCH('Capital Cost Escalation'!$C58,'Capital Costs'!$H$7:$K$7,0))*N$9*(1+$F58)^(N$3), 0),0)</f>
        <v>5074787.3041102123</v>
      </c>
      <c r="O58" s="490">
        <f>IFERROR(IF(O$6&lt;=$E$9,INDEX('Capital Costs'!$H$15:$K$55,MATCH('Capital Cost Escalation'!$E58,'Capital Costs'!$B$15:$B$55,0),MATCH('Capital Cost Escalation'!$C58,'Capital Costs'!$H$7:$K$7,0))*O$9*(1+$F58)^(O$3), 0),0)</f>
        <v>5374502.7443308895</v>
      </c>
      <c r="P58" s="490">
        <f>IFERROR(IF(P$6&lt;=$E$9,INDEX('Capital Costs'!$H$15:$K$55,MATCH('Capital Cost Escalation'!$E58,'Capital Costs'!$B$15:$B$55,0),MATCH('Capital Cost Escalation'!$C58,'Capital Costs'!$H$7:$K$7,0))*P$9*(1+$F58)^(P$3), 0),0)</f>
        <v>4512880.6024206262</v>
      </c>
      <c r="Q58" s="490">
        <f>IFERROR(IF(Q$6&lt;=$E$9,INDEX('Capital Costs'!$H$15:$K$55,MATCH('Capital Cost Escalation'!$E58,'Capital Costs'!$B$15:$B$55,0),MATCH('Capital Cost Escalation'!$C58,'Capital Costs'!$H$7:$K$7,0))*Q$9*(1+$F58)^(Q$3), 0),0)</f>
        <v>4812600.3459146088</v>
      </c>
      <c r="R58" s="490">
        <f>IFERROR(IF(R$6&lt;=$E$9,INDEX('Capital Costs'!$H$15:$K$55,MATCH('Capital Cost Escalation'!$E58,'Capital Costs'!$B$15:$B$55,0),MATCH('Capital Cost Escalation'!$C58,'Capital Costs'!$H$7:$K$7,0))*R$9*(1+$F58)^(R$3), 0),0)</f>
        <v>5114467.1955535598</v>
      </c>
      <c r="S58" s="490">
        <f>IFERROR(IF(S$6&lt;=$E$9,INDEX('Capital Costs'!$H$15:$K$55,MATCH('Capital Cost Escalation'!$E58,'Capital Costs'!$B$15:$B$55,0),MATCH('Capital Cost Escalation'!$C58,'Capital Costs'!$H$7:$K$7,0))*S$9*(1+$F58)^(S$3), 0),0)</f>
        <v>9803194.397839753</v>
      </c>
      <c r="T58" s="490">
        <f>IFERROR(IF(T$6&lt;=$E$9,INDEX('Capital Costs'!$H$15:$K$55,MATCH('Capital Cost Escalation'!$E58,'Capital Costs'!$B$15:$B$55,0),MATCH('Capital Cost Escalation'!$C58,'Capital Costs'!$H$7:$K$7,0))*T$9*(1+$F58)^(T$3), 0),0)</f>
        <v>13918150.810783518</v>
      </c>
      <c r="U58" s="490">
        <f>IFERROR(IF(U$6&lt;=$E$9,INDEX('Capital Costs'!$H$15:$K$55,MATCH('Capital Cost Escalation'!$E58,'Capital Costs'!$B$15:$B$55,0),MATCH('Capital Cost Escalation'!$C58,'Capital Costs'!$H$7:$K$7,0))*U$9*(1+$F58)^(U$3), 0),0)</f>
        <v>15226314.957765561</v>
      </c>
      <c r="V58" s="490">
        <f>IFERROR(IF(V$6&lt;=$E$9,INDEX('Capital Costs'!$H$15:$K$55,MATCH('Capital Cost Escalation'!$E58,'Capital Costs'!$B$15:$B$55,0),MATCH('Capital Cost Escalation'!$C58,'Capital Costs'!$H$7:$K$7,0))*V$9*(1+$F58)^(V$3), 0),0)</f>
        <v>17445014.297731869</v>
      </c>
      <c r="W58" s="490">
        <f>IFERROR(IF(W$6&lt;=$E$9,INDEX('Capital Costs'!$H$15:$K$55,MATCH('Capital Cost Escalation'!$E58,'Capital Costs'!$B$15:$B$55,0),MATCH('Capital Cost Escalation'!$C58,'Capital Costs'!$H$7:$K$7,0))*W$9*(1+$F58)^(W$3), 0),0)</f>
        <v>19281916.277444281</v>
      </c>
      <c r="X58" s="490">
        <f>IFERROR(IF(X$6&lt;=$E$9,INDEX('Capital Costs'!$H$15:$K$55,MATCH('Capital Cost Escalation'!$E58,'Capital Costs'!$B$15:$B$55,0),MATCH('Capital Cost Escalation'!$C58,'Capital Costs'!$H$7:$K$7,0))*X$9*(1+$F58)^(X$3), 0),0)</f>
        <v>22657113.965574082</v>
      </c>
      <c r="Y58" s="490">
        <f>IFERROR(IF(Y$6&lt;=$E$9,INDEX('Capital Costs'!$H$15:$K$55,MATCH('Capital Cost Escalation'!$E58,'Capital Costs'!$B$15:$B$55,0),MATCH('Capital Cost Escalation'!$C58,'Capital Costs'!$H$7:$K$7,0))*Y$9*(1+$F58)^(Y$3), 0),0)</f>
        <v>23177902.45766788</v>
      </c>
      <c r="Z58" s="490">
        <f>IFERROR(IF(Z$6&lt;=$E$9,INDEX('Capital Costs'!$H$15:$K$55,MATCH('Capital Cost Escalation'!$E58,'Capital Costs'!$B$15:$B$55,0),MATCH('Capital Cost Escalation'!$C58,'Capital Costs'!$H$7:$K$7,0))*Z$9*(1+$F58)^(Z$3), 0),0)</f>
        <v>22751205.623925366</v>
      </c>
      <c r="AA58" s="490">
        <f>IFERROR(IF(AA$6&lt;=$E$9,INDEX('Capital Costs'!$H$15:$K$55,MATCH('Capital Cost Escalation'!$E58,'Capital Costs'!$B$15:$B$55,0),MATCH('Capital Cost Escalation'!$C58,'Capital Costs'!$H$7:$K$7,0))*AA$9*(1+$F58)^(AA$3), 0),0)</f>
        <v>23495842.406266645</v>
      </c>
      <c r="AB58" s="490">
        <f>IFERROR(IF(AB$6&lt;=$E$9,INDEX('Capital Costs'!$H$15:$K$55,MATCH('Capital Cost Escalation'!$E58,'Capital Costs'!$B$15:$B$55,0),MATCH('Capital Cost Escalation'!$C58,'Capital Costs'!$H$7:$K$7,0))*AB$9*(1+$F58)^(AB$3), 0),0)</f>
        <v>22366434.290785205</v>
      </c>
      <c r="AC58" s="490">
        <f>IFERROR(IF(AC$6&lt;=$E$9,INDEX('Capital Costs'!$H$15:$K$55,MATCH('Capital Cost Escalation'!$E58,'Capital Costs'!$B$15:$B$55,0),MATCH('Capital Cost Escalation'!$C58,'Capital Costs'!$H$7:$K$7,0))*AC$9*(1+$F58)^(AC$3), 0),0)</f>
        <v>23003581.750832405</v>
      </c>
      <c r="AD58" s="490">
        <f>IFERROR(IF(AD$6&lt;=$E$9,INDEX('Capital Costs'!$H$15:$K$55,MATCH('Capital Cost Escalation'!$E58,'Capital Costs'!$B$15:$B$55,0),MATCH('Capital Cost Escalation'!$C58,'Capital Costs'!$H$7:$K$7,0))*AD$9*(1+$F58)^(AD$3), 0),0)</f>
        <v>23051208.229770817</v>
      </c>
      <c r="AE58" s="490">
        <f>IFERROR(IF(AE$6&lt;=$E$9,INDEX('Capital Costs'!$H$15:$K$55,MATCH('Capital Cost Escalation'!$E58,'Capital Costs'!$B$15:$B$55,0),MATCH('Capital Cost Escalation'!$C58,'Capital Costs'!$H$7:$K$7,0))*AE$9*(1+$F58)^(AE$3), 0),0)</f>
        <v>21869417.251052182</v>
      </c>
      <c r="AF58" s="490">
        <f>IFERROR(IF(AF$6&lt;=$E$9,INDEX('Capital Costs'!$H$15:$K$55,MATCH('Capital Cost Escalation'!$E58,'Capital Costs'!$B$15:$B$55,0),MATCH('Capital Cost Escalation'!$C58,'Capital Costs'!$H$7:$K$7,0))*AF$9*(1+$F58)^(AF$3), 0),0)</f>
        <v>21613443.420833267</v>
      </c>
      <c r="AG58" s="490">
        <f>IFERROR(IF(AG$6&lt;=$E$9,INDEX('Capital Costs'!$H$15:$K$55,MATCH('Capital Cost Escalation'!$E58,'Capital Costs'!$B$15:$B$55,0),MATCH('Capital Cost Escalation'!$C58,'Capital Costs'!$H$7:$K$7,0))*AG$9*(1+$F58)^(AG$3), 0),0)</f>
        <v>18502911.010160573</v>
      </c>
      <c r="AH58" s="490">
        <f>IFERROR(IF(AH$6&lt;=$E$9,INDEX('Capital Costs'!$H$15:$K$55,MATCH('Capital Cost Escalation'!$E58,'Capital Costs'!$B$15:$B$55,0),MATCH('Capital Cost Escalation'!$C58,'Capital Costs'!$H$7:$K$7,0))*AH$9*(1+$F58)^(AH$3), 0),0)</f>
        <v>15670522.854056098</v>
      </c>
      <c r="AI58" s="490">
        <f>IFERROR(IF(AI$6&lt;=$E$9,INDEX('Capital Costs'!$H$15:$K$55,MATCH('Capital Cost Escalation'!$E58,'Capital Costs'!$B$15:$B$55,0),MATCH('Capital Cost Escalation'!$C58,'Capital Costs'!$H$7:$K$7,0))*AI$9*(1+$F58)^(AI$3), 0),0)</f>
        <v>8998375.8535596281</v>
      </c>
      <c r="AJ58" s="490">
        <f>IFERROR(IF(AJ$6&lt;=$E$9,INDEX('Capital Costs'!$H$15:$K$55,MATCH('Capital Cost Escalation'!$E58,'Capital Costs'!$B$15:$B$55,0),MATCH('Capital Cost Escalation'!$C58,'Capital Costs'!$H$7:$K$7,0))*AJ$9*(1+$F58)^(AJ$3), 0),0)</f>
        <v>2694278.8172079623</v>
      </c>
      <c r="AK58" s="490">
        <f>IFERROR(IF(AK$6&lt;=$E$9,INDEX('Capital Costs'!$H$15:$K$55,MATCH('Capital Cost Escalation'!$E58,'Capital Costs'!$B$15:$B$55,0),MATCH('Capital Cost Escalation'!$C58,'Capital Costs'!$H$7:$K$7,0))*AK$9*(1+$F58)^(AK$3), 0),0)</f>
        <v>647485.61609575222</v>
      </c>
      <c r="AL58" s="490">
        <f>IFERROR(IF(AL$6&lt;=$E$9,INDEX('Capital Costs'!$H$15:$K$55,MATCH('Capital Cost Escalation'!$E58,'Capital Costs'!$B$15:$B$55,0),MATCH('Capital Cost Escalation'!$C58,'Capital Costs'!$H$7:$K$7,0))*AL$9*(1+$F58)^(AL$3), 0),0)</f>
        <v>458732.45301792875</v>
      </c>
      <c r="AM58" s="490">
        <f>IFERROR(IF(AM$6&lt;=$E$9,INDEX('Capital Costs'!$H$15:$K$55,MATCH('Capital Cost Escalation'!$E58,'Capital Costs'!$B$15:$B$55,0),MATCH('Capital Cost Escalation'!$C58,'Capital Costs'!$H$7:$K$7,0))*AM$9*(1+$F58)^(AM$3), 0),0)</f>
        <v>0</v>
      </c>
      <c r="AN58" s="490">
        <f>IFERROR(IF(AN$6&lt;=$E$9,INDEX('Capital Costs'!$H$15:$K$55,MATCH('Capital Cost Escalation'!$E58,'Capital Costs'!$B$15:$B$55,0),MATCH('Capital Cost Escalation'!$C58,'Capital Costs'!$H$7:$K$7,0))*AN$9*(1+$F58)^(AN$3), 0),0)</f>
        <v>0</v>
      </c>
      <c r="AO58" s="490">
        <f>IFERROR(IF(AO$6&lt;=$E$9,INDEX('Capital Costs'!$H$15:$K$55,MATCH('Capital Cost Escalation'!$E58,'Capital Costs'!$B$15:$B$55,0),MATCH('Capital Cost Escalation'!$C58,'Capital Costs'!$H$7:$K$7,0))*AO$9*(1+$F58)^(AO$3), 0),0)</f>
        <v>0</v>
      </c>
      <c r="AP58" s="490">
        <f>IFERROR(IF(AP$6&lt;=$E$9,INDEX('Capital Costs'!$H$15:$K$55,MATCH('Capital Cost Escalation'!$E58,'Capital Costs'!$B$15:$B$55,0),MATCH('Capital Cost Escalation'!$C58,'Capital Costs'!$H$7:$K$7,0))*AP$9*(1+$F58)^(AP$3), 0),0)</f>
        <v>0</v>
      </c>
      <c r="AQ58" s="490">
        <f>IFERROR(IF(AQ$6&lt;=$E$9,INDEX('Capital Costs'!$H$15:$K$55,MATCH('Capital Cost Escalation'!$E58,'Capital Costs'!$B$15:$B$55,0),MATCH('Capital Cost Escalation'!$C58,'Capital Costs'!$H$7:$K$7,0))*AQ$9*(1+$F58)^(AQ$3), 0),0)</f>
        <v>0</v>
      </c>
      <c r="AR58" s="490">
        <f>IFERROR(IF(AR$6&lt;=$E$9,INDEX('Capital Costs'!$H$15:$K$55,MATCH('Capital Cost Escalation'!$E58,'Capital Costs'!$B$15:$B$55,0),MATCH('Capital Cost Escalation'!$C58,'Capital Costs'!$H$7:$K$7,0))*AR$9*(1+$F58)^(AR$3), 0),0)</f>
        <v>0</v>
      </c>
      <c r="AS58" s="490">
        <f>IFERROR(IF(AS$6&lt;=$E$9,INDEX('Capital Costs'!$H$15:$K$55,MATCH('Capital Cost Escalation'!$E58,'Capital Costs'!$B$15:$B$55,0),MATCH('Capital Cost Escalation'!$C58,'Capital Costs'!$H$7:$K$7,0))*AS$9*(1+$F58)^(AS$3), 0),0)</f>
        <v>0</v>
      </c>
      <c r="AT58" s="490">
        <f>IFERROR(IF(AT$6&lt;=$E$9,INDEX('Capital Costs'!$H$15:$K$55,MATCH('Capital Cost Escalation'!$E58,'Capital Costs'!$B$15:$B$55,0),MATCH('Capital Cost Escalation'!$C58,'Capital Costs'!$H$7:$K$7,0))*AT$9*(1+$F58)^(AT$3), 0),0)</f>
        <v>0</v>
      </c>
      <c r="AV58" s="827">
        <f t="shared" si="8"/>
        <v>365528295.62118328</v>
      </c>
      <c r="AW58" s="828">
        <f>INDEX('Capital Costs'!$H$15:$K$55,MATCH('Capital Cost Escalation'!$E58,'Capital Costs'!$B$15:$B$55,0),MATCH('Capital Cost Escalation'!$C58,'Capital Costs'!$H$7:$K$7,0))</f>
        <v>306589500</v>
      </c>
    </row>
    <row r="59" spans="1:49">
      <c r="A59" s="487" t="str">
        <f t="shared" si="4"/>
        <v xml:space="preserve">CC_EMAAC_Other Labor </v>
      </c>
      <c r="B59" s="478" t="s">
        <v>77</v>
      </c>
      <c r="C59" s="488" t="s">
        <v>120</v>
      </c>
      <c r="E59" s="442" t="s">
        <v>139</v>
      </c>
      <c r="F59" s="1325">
        <f>INDEX('Capital Costs_Nominal$'!$F:$F,MATCH('Capital Cost Escalation'!$E59,'Capital Costs_Nominal$'!$C:$C,0),1)</f>
        <v>3.6840339826600399E-3</v>
      </c>
      <c r="G59" s="490">
        <f>IFERROR(IF(G$6&lt;=$E$9,INDEX('Capital Costs'!$H$15:$K$55,MATCH('Capital Cost Escalation'!$E59,'Capital Costs'!$B$15:$B$55,0),MATCH('Capital Cost Escalation'!$C59,'Capital Costs'!$H$7:$K$7,0))*G$9*(1+$F59)^(G$3), 0),0)</f>
        <v>7049.140450173295</v>
      </c>
      <c r="H59" s="490">
        <f>IFERROR(IF(H$6&lt;=$E$9,INDEX('Capital Costs'!$H$15:$K$55,MATCH('Capital Cost Escalation'!$E59,'Capital Costs'!$B$15:$B$55,0),MATCH('Capital Cost Escalation'!$C59,'Capital Costs'!$H$7:$K$7,0))*H$9*(1+$F59)^(H$3), 0),0)</f>
        <v>35375.548615701387</v>
      </c>
      <c r="I59" s="490">
        <f>IFERROR(IF(I$6&lt;=$E$9,INDEX('Capital Costs'!$H$15:$K$55,MATCH('Capital Cost Escalation'!$E59,'Capital Costs'!$B$15:$B$55,0),MATCH('Capital Cost Escalation'!$C59,'Capital Costs'!$H$7:$K$7,0))*I$9*(1+$F59)^(I$3), 0),0)</f>
        <v>35505.873338956881</v>
      </c>
      <c r="J59" s="490">
        <f>IFERROR(IF(J$6&lt;=$E$9,INDEX('Capital Costs'!$H$15:$K$55,MATCH('Capital Cost Escalation'!$E59,'Capital Costs'!$B$15:$B$55,0),MATCH('Capital Cost Escalation'!$C59,'Capital Costs'!$H$7:$K$7,0))*J$9*(1+$F59)^(J$3), 0),0)</f>
        <v>1204519.72258275</v>
      </c>
      <c r="K59" s="490">
        <f>IFERROR(IF(K$6&lt;=$E$9,INDEX('Capital Costs'!$H$15:$K$55,MATCH('Capital Cost Escalation'!$E59,'Capital Costs'!$B$15:$B$55,0),MATCH('Capital Cost Escalation'!$C59,'Capital Costs'!$H$7:$K$7,0))*K$9*(1+$F59)^(K$3), 0),0)</f>
        <v>1180342.8422404281</v>
      </c>
      <c r="L59" s="490">
        <f>IFERROR(IF(L$6&lt;=$E$9,INDEX('Capital Costs'!$H$15:$K$55,MATCH('Capital Cost Escalation'!$E59,'Capital Costs'!$B$15:$B$55,0),MATCH('Capital Cost Escalation'!$C59,'Capital Costs'!$H$7:$K$7,0))*L$9*(1+$F59)^(L$3), 0),0)</f>
        <v>172318.7295101718</v>
      </c>
      <c r="M59" s="490">
        <f>IFERROR(IF(M$6&lt;=$E$9,INDEX('Capital Costs'!$H$15:$K$55,MATCH('Capital Cost Escalation'!$E59,'Capital Costs'!$B$15:$B$55,0),MATCH('Capital Cost Escalation'!$C59,'Capital Costs'!$H$7:$K$7,0))*M$9*(1+$F59)^(M$3), 0),0)</f>
        <v>259430.3363483042</v>
      </c>
      <c r="N59" s="490">
        <f>IFERROR(IF(N$6&lt;=$E$9,INDEX('Capital Costs'!$H$15:$K$55,MATCH('Capital Cost Escalation'!$E59,'Capital Costs'!$B$15:$B$55,0),MATCH('Capital Cost Escalation'!$C59,'Capital Costs'!$H$7:$K$7,0))*N$9*(1+$F59)^(N$3), 0),0)</f>
        <v>1048777.2929420529</v>
      </c>
      <c r="O59" s="490">
        <f>IFERROR(IF(O$6&lt;=$E$9,INDEX('Capital Costs'!$H$15:$K$55,MATCH('Capital Cost Escalation'!$E59,'Capital Costs'!$B$15:$B$55,0),MATCH('Capital Cost Escalation'!$C59,'Capital Costs'!$H$7:$K$7,0))*O$9*(1+$F59)^(O$3), 0),0)</f>
        <v>1110717.7702883624</v>
      </c>
      <c r="P59" s="490">
        <f>IFERROR(IF(P$6&lt;=$E$9,INDEX('Capital Costs'!$H$15:$K$55,MATCH('Capital Cost Escalation'!$E59,'Capital Costs'!$B$15:$B$55,0),MATCH('Capital Cost Escalation'!$C59,'Capital Costs'!$H$7:$K$7,0))*P$9*(1+$F59)^(P$3), 0),0)</f>
        <v>932651.24584512378</v>
      </c>
      <c r="Q59" s="490">
        <f>IFERROR(IF(Q$6&lt;=$E$9,INDEX('Capital Costs'!$H$15:$K$55,MATCH('Capital Cost Escalation'!$E59,'Capital Costs'!$B$15:$B$55,0),MATCH('Capital Cost Escalation'!$C59,'Capital Costs'!$H$7:$K$7,0))*Q$9*(1+$F59)^(Q$3), 0),0)</f>
        <v>994592.61252433667</v>
      </c>
      <c r="R59" s="490">
        <f>IFERROR(IF(R$6&lt;=$E$9,INDEX('Capital Costs'!$H$15:$K$55,MATCH('Capital Cost Escalation'!$E59,'Capital Costs'!$B$15:$B$55,0),MATCH('Capital Cost Escalation'!$C59,'Capital Costs'!$H$7:$K$7,0))*R$9*(1+$F59)^(R$3), 0),0)</f>
        <v>1056977.7093611774</v>
      </c>
      <c r="S59" s="490">
        <f>IFERROR(IF(S$6&lt;=$E$9,INDEX('Capital Costs'!$H$15:$K$55,MATCH('Capital Cost Escalation'!$E59,'Capital Costs'!$B$15:$B$55,0),MATCH('Capital Cost Escalation'!$C59,'Capital Costs'!$H$7:$K$7,0))*S$9*(1+$F59)^(S$3), 0),0)</f>
        <v>2025970.1671484653</v>
      </c>
      <c r="T59" s="490">
        <f>IFERROR(IF(T$6&lt;=$E$9,INDEX('Capital Costs'!$H$15:$K$55,MATCH('Capital Cost Escalation'!$E59,'Capital Costs'!$B$15:$B$55,0),MATCH('Capital Cost Escalation'!$C59,'Capital Costs'!$H$7:$K$7,0))*T$9*(1+$F59)^(T$3), 0),0)</f>
        <v>2876384.6946393647</v>
      </c>
      <c r="U59" s="490">
        <f>IFERROR(IF(U$6&lt;=$E$9,INDEX('Capital Costs'!$H$15:$K$55,MATCH('Capital Cost Escalation'!$E59,'Capital Costs'!$B$15:$B$55,0),MATCH('Capital Cost Escalation'!$C59,'Capital Costs'!$H$7:$K$7,0))*U$9*(1+$F59)^(U$3), 0),0)</f>
        <v>3146735.5035657757</v>
      </c>
      <c r="V59" s="490">
        <f>IFERROR(IF(V$6&lt;=$E$9,INDEX('Capital Costs'!$H$15:$K$55,MATCH('Capital Cost Escalation'!$E59,'Capital Costs'!$B$15:$B$55,0),MATCH('Capital Cost Escalation'!$C59,'Capital Costs'!$H$7:$K$7,0))*V$9*(1+$F59)^(V$3), 0),0)</f>
        <v>3605261.4176937523</v>
      </c>
      <c r="W59" s="490">
        <f>IFERROR(IF(W$6&lt;=$E$9,INDEX('Capital Costs'!$H$15:$K$55,MATCH('Capital Cost Escalation'!$E59,'Capital Costs'!$B$15:$B$55,0),MATCH('Capital Cost Escalation'!$C59,'Capital Costs'!$H$7:$K$7,0))*W$9*(1+$F59)^(W$3), 0),0)</f>
        <v>3984883.4531083903</v>
      </c>
      <c r="X59" s="490">
        <f>IFERROR(IF(X$6&lt;=$E$9,INDEX('Capital Costs'!$H$15:$K$55,MATCH('Capital Cost Escalation'!$E59,'Capital Costs'!$B$15:$B$55,0),MATCH('Capital Cost Escalation'!$C59,'Capital Costs'!$H$7:$K$7,0))*X$9*(1+$F59)^(X$3), 0),0)</f>
        <v>4682416.2721950235</v>
      </c>
      <c r="Y59" s="490">
        <f>IFERROR(IF(Y$6&lt;=$E$9,INDEX('Capital Costs'!$H$15:$K$55,MATCH('Capital Cost Escalation'!$E59,'Capital Costs'!$B$15:$B$55,0),MATCH('Capital Cost Escalation'!$C59,'Capital Costs'!$H$7:$K$7,0))*Y$9*(1+$F59)^(Y$3), 0),0)</f>
        <v>4790044.6538793417</v>
      </c>
      <c r="Z59" s="490">
        <f>IFERROR(IF(Z$6&lt;=$E$9,INDEX('Capital Costs'!$H$15:$K$55,MATCH('Capital Cost Escalation'!$E59,'Capital Costs'!$B$15:$B$55,0),MATCH('Capital Cost Escalation'!$C59,'Capital Costs'!$H$7:$K$7,0))*Z$9*(1+$F59)^(Z$3), 0),0)</f>
        <v>4701861.6575521911</v>
      </c>
      <c r="AA59" s="490">
        <f>IFERROR(IF(AA$6&lt;=$E$9,INDEX('Capital Costs'!$H$15:$K$55,MATCH('Capital Cost Escalation'!$E59,'Capital Costs'!$B$15:$B$55,0),MATCH('Capital Cost Escalation'!$C59,'Capital Costs'!$H$7:$K$7,0))*AA$9*(1+$F59)^(AA$3), 0),0)</f>
        <v>4855751.4862306155</v>
      </c>
      <c r="AB59" s="490">
        <f>IFERROR(IF(AB$6&lt;=$E$9,INDEX('Capital Costs'!$H$15:$K$55,MATCH('Capital Cost Escalation'!$E59,'Capital Costs'!$B$15:$B$55,0),MATCH('Capital Cost Escalation'!$C59,'Capital Costs'!$H$7:$K$7,0))*AB$9*(1+$F59)^(AB$3), 0),0)</f>
        <v>4622343.1648568204</v>
      </c>
      <c r="AC59" s="490">
        <f>IFERROR(IF(AC$6&lt;=$E$9,INDEX('Capital Costs'!$H$15:$K$55,MATCH('Capital Cost Escalation'!$E59,'Capital Costs'!$B$15:$B$55,0),MATCH('Capital Cost Escalation'!$C59,'Capital Costs'!$H$7:$K$7,0))*AC$9*(1+$F59)^(AC$3), 0),0)</f>
        <v>4754018.7895301925</v>
      </c>
      <c r="AD59" s="490">
        <f>IFERROR(IF(AD$6&lt;=$E$9,INDEX('Capital Costs'!$H$15:$K$55,MATCH('Capital Cost Escalation'!$E59,'Capital Costs'!$B$15:$B$55,0),MATCH('Capital Cost Escalation'!$C59,'Capital Costs'!$H$7:$K$7,0))*AD$9*(1+$F59)^(AD$3), 0),0)</f>
        <v>4763861.4817772033</v>
      </c>
      <c r="AE59" s="490">
        <f>IFERROR(IF(AE$6&lt;=$E$9,INDEX('Capital Costs'!$H$15:$K$55,MATCH('Capital Cost Escalation'!$E59,'Capital Costs'!$B$15:$B$55,0),MATCH('Capital Cost Escalation'!$C59,'Capital Costs'!$H$7:$K$7,0))*AE$9*(1+$F59)^(AE$3), 0),0)</f>
        <v>4519627.4933930952</v>
      </c>
      <c r="AF59" s="490">
        <f>IFERROR(IF(AF$6&lt;=$E$9,INDEX('Capital Costs'!$H$15:$K$55,MATCH('Capital Cost Escalation'!$E59,'Capital Costs'!$B$15:$B$55,0),MATCH('Capital Cost Escalation'!$C59,'Capital Costs'!$H$7:$K$7,0))*AF$9*(1+$F59)^(AF$3), 0),0)</f>
        <v>4466726.8446302256</v>
      </c>
      <c r="AG59" s="490">
        <f>IFERROR(IF(AG$6&lt;=$E$9,INDEX('Capital Costs'!$H$15:$K$55,MATCH('Capital Cost Escalation'!$E59,'Capital Costs'!$B$15:$B$55,0),MATCH('Capital Cost Escalation'!$C59,'Capital Costs'!$H$7:$K$7,0))*AG$9*(1+$F59)^(AG$3), 0),0)</f>
        <v>3823890.8860410582</v>
      </c>
      <c r="AH59" s="490">
        <f>IFERROR(IF(AH$6&lt;=$E$9,INDEX('Capital Costs'!$H$15:$K$55,MATCH('Capital Cost Escalation'!$E59,'Capital Costs'!$B$15:$B$55,0),MATCH('Capital Cost Escalation'!$C59,'Capital Costs'!$H$7:$K$7,0))*AH$9*(1+$F59)^(AH$3), 0),0)</f>
        <v>3238537.4111250835</v>
      </c>
      <c r="AI59" s="490">
        <f>IFERROR(IF(AI$6&lt;=$E$9,INDEX('Capital Costs'!$H$15:$K$55,MATCH('Capital Cost Escalation'!$E59,'Capital Costs'!$B$15:$B$55,0),MATCH('Capital Cost Escalation'!$C59,'Capital Costs'!$H$7:$K$7,0))*AI$9*(1+$F59)^(AI$3), 0),0)</f>
        <v>1859642.9176308285</v>
      </c>
      <c r="AJ59" s="490">
        <f>IFERROR(IF(AJ$6&lt;=$E$9,INDEX('Capital Costs'!$H$15:$K$55,MATCH('Capital Cost Escalation'!$E59,'Capital Costs'!$B$15:$B$55,0),MATCH('Capital Cost Escalation'!$C59,'Capital Costs'!$H$7:$K$7,0))*AJ$9*(1+$F59)^(AJ$3), 0),0)</f>
        <v>556811.20705371664</v>
      </c>
      <c r="AK59" s="490">
        <f>IFERROR(IF(AK$6&lt;=$E$9,INDEX('Capital Costs'!$H$15:$K$55,MATCH('Capital Cost Escalation'!$E59,'Capital Costs'!$B$15:$B$55,0),MATCH('Capital Cost Escalation'!$C59,'Capital Costs'!$H$7:$K$7,0))*AK$9*(1+$F59)^(AK$3), 0),0)</f>
        <v>133812.15230790543</v>
      </c>
      <c r="AL59" s="490">
        <f>IFERROR(IF(AL$6&lt;=$E$9,INDEX('Capital Costs'!$H$15:$K$55,MATCH('Capital Cost Escalation'!$E59,'Capital Costs'!$B$15:$B$55,0),MATCH('Capital Cost Escalation'!$C59,'Capital Costs'!$H$7:$K$7,0))*AL$9*(1+$F59)^(AL$3), 0),0)</f>
        <v>94803.614699506303</v>
      </c>
      <c r="AM59" s="490">
        <f>IFERROR(IF(AM$6&lt;=$E$9,INDEX('Capital Costs'!$H$15:$K$55,MATCH('Capital Cost Escalation'!$E59,'Capital Costs'!$B$15:$B$55,0),MATCH('Capital Cost Escalation'!$C59,'Capital Costs'!$H$7:$K$7,0))*AM$9*(1+$F59)^(AM$3), 0),0)</f>
        <v>0</v>
      </c>
      <c r="AN59" s="490">
        <f>IFERROR(IF(AN$6&lt;=$E$9,INDEX('Capital Costs'!$H$15:$K$55,MATCH('Capital Cost Escalation'!$E59,'Capital Costs'!$B$15:$B$55,0),MATCH('Capital Cost Escalation'!$C59,'Capital Costs'!$H$7:$K$7,0))*AN$9*(1+$F59)^(AN$3), 0),0)</f>
        <v>0</v>
      </c>
      <c r="AO59" s="490">
        <f>IFERROR(IF(AO$6&lt;=$E$9,INDEX('Capital Costs'!$H$15:$K$55,MATCH('Capital Cost Escalation'!$E59,'Capital Costs'!$B$15:$B$55,0),MATCH('Capital Cost Escalation'!$C59,'Capital Costs'!$H$7:$K$7,0))*AO$9*(1+$F59)^(AO$3), 0),0)</f>
        <v>0</v>
      </c>
      <c r="AP59" s="490">
        <f>IFERROR(IF(AP$6&lt;=$E$9,INDEX('Capital Costs'!$H$15:$K$55,MATCH('Capital Cost Escalation'!$E59,'Capital Costs'!$B$15:$B$55,0),MATCH('Capital Cost Escalation'!$C59,'Capital Costs'!$H$7:$K$7,0))*AP$9*(1+$F59)^(AP$3), 0),0)</f>
        <v>0</v>
      </c>
      <c r="AQ59" s="490">
        <f>IFERROR(IF(AQ$6&lt;=$E$9,INDEX('Capital Costs'!$H$15:$K$55,MATCH('Capital Cost Escalation'!$E59,'Capital Costs'!$B$15:$B$55,0),MATCH('Capital Cost Escalation'!$C59,'Capital Costs'!$H$7:$K$7,0))*AQ$9*(1+$F59)^(AQ$3), 0),0)</f>
        <v>0</v>
      </c>
      <c r="AR59" s="490">
        <f>IFERROR(IF(AR$6&lt;=$E$9,INDEX('Capital Costs'!$H$15:$K$55,MATCH('Capital Cost Escalation'!$E59,'Capital Costs'!$B$15:$B$55,0),MATCH('Capital Cost Escalation'!$C59,'Capital Costs'!$H$7:$K$7,0))*AR$9*(1+$F59)^(AR$3), 0),0)</f>
        <v>0</v>
      </c>
      <c r="AS59" s="490">
        <f>IFERROR(IF(AS$6&lt;=$E$9,INDEX('Capital Costs'!$H$15:$K$55,MATCH('Capital Cost Escalation'!$E59,'Capital Costs'!$B$15:$B$55,0),MATCH('Capital Cost Escalation'!$C59,'Capital Costs'!$H$7:$K$7,0))*AS$9*(1+$F59)^(AS$3), 0),0)</f>
        <v>0</v>
      </c>
      <c r="AT59" s="490">
        <f>IFERROR(IF(AT$6&lt;=$E$9,INDEX('Capital Costs'!$H$15:$K$55,MATCH('Capital Cost Escalation'!$E59,'Capital Costs'!$B$15:$B$55,0),MATCH('Capital Cost Escalation'!$C59,'Capital Costs'!$H$7:$K$7,0))*AT$9*(1+$F59)^(AT$3), 0),0)</f>
        <v>0</v>
      </c>
      <c r="AV59" s="827">
        <f t="shared" si="8"/>
        <v>75541644.093106091</v>
      </c>
      <c r="AW59" s="828">
        <f>INDEX('Capital Costs'!$H$15:$K$55,MATCH('Capital Cost Escalation'!$E59,'Capital Costs'!$B$15:$B$55,0),MATCH('Capital Cost Escalation'!$C59,'Capital Costs'!$H$7:$K$7,0))</f>
        <v>63361100</v>
      </c>
    </row>
    <row r="60" spans="1:49">
      <c r="A60" s="487" t="str">
        <f t="shared" si="4"/>
        <v>CC_EMAAC_Materials</v>
      </c>
      <c r="B60" s="478" t="s">
        <v>77</v>
      </c>
      <c r="C60" s="488" t="s">
        <v>120</v>
      </c>
      <c r="E60" s="442" t="s">
        <v>140</v>
      </c>
      <c r="F60" s="1325">
        <f>INDEX('Capital Costs_Nominal$'!$F:$F,MATCH('Capital Cost Escalation'!$E60,'Capital Costs_Nominal$'!$C:$C,0),1)</f>
        <v>2.3944839450136257E-3</v>
      </c>
      <c r="G60" s="490">
        <f>IFERROR(IF(G$6&lt;=$E$9,INDEX('Capital Costs'!$H$15:$K$55,MATCH('Capital Cost Escalation'!$E60,'Capital Costs'!$B$15:$B$55,0),MATCH('Capital Cost Escalation'!$C60,'Capital Costs'!$H$7:$K$7,0))*G$9*(1+$F60)^(G$3), 0),0)</f>
        <v>7214.4338646364577</v>
      </c>
      <c r="H60" s="490">
        <f>IFERROR(IF(H$6&lt;=$E$9,INDEX('Capital Costs'!$H$15:$K$55,MATCH('Capital Cost Escalation'!$E60,'Capital Costs'!$B$15:$B$55,0),MATCH('Capital Cost Escalation'!$C60,'Capital Costs'!$H$7:$K$7,0))*H$9*(1+$F60)^(H$3), 0),0)</f>
        <v>36158.543553488453</v>
      </c>
      <c r="I60" s="490">
        <f>IFERROR(IF(I$6&lt;=$E$9,INDEX('Capital Costs'!$H$15:$K$55,MATCH('Capital Cost Escalation'!$E60,'Capital Costs'!$B$15:$B$55,0),MATCH('Capital Cost Escalation'!$C60,'Capital Costs'!$H$7:$K$7,0))*I$9*(1+$F60)^(I$3), 0),0)</f>
        <v>36245.124605502351</v>
      </c>
      <c r="J60" s="490">
        <f>IFERROR(IF(J$6&lt;=$E$9,INDEX('Capital Costs'!$H$15:$K$55,MATCH('Capital Cost Escalation'!$E60,'Capital Costs'!$B$15:$B$55,0),MATCH('Capital Cost Escalation'!$C60,'Capital Costs'!$H$7:$K$7,0))*J$9*(1+$F60)^(J$3), 0),0)</f>
        <v>1228018.6585365876</v>
      </c>
      <c r="K60" s="490">
        <f>IFERROR(IF(K$6&lt;=$E$9,INDEX('Capital Costs'!$H$15:$K$55,MATCH('Capital Cost Escalation'!$E60,'Capital Costs'!$B$15:$B$55,0),MATCH('Capital Cost Escalation'!$C60,'Capital Costs'!$H$7:$K$7,0))*K$9*(1+$F60)^(K$3), 0),0)</f>
        <v>1201824.0021732193</v>
      </c>
      <c r="L60" s="490">
        <f>IFERROR(IF(L$6&lt;=$E$9,INDEX('Capital Costs'!$H$15:$K$55,MATCH('Capital Cost Escalation'!$E60,'Capital Costs'!$B$15:$B$55,0),MATCH('Capital Cost Escalation'!$C60,'Capital Costs'!$H$7:$K$7,0))*L$9*(1+$F60)^(L$3), 0),0)</f>
        <v>175229.34552016802</v>
      </c>
      <c r="M60" s="490">
        <f>IFERROR(IF(M$6&lt;=$E$9,INDEX('Capital Costs'!$H$15:$K$55,MATCH('Capital Cost Escalation'!$E60,'Capital Costs'!$B$15:$B$55,0),MATCH('Capital Cost Escalation'!$C60,'Capital Costs'!$H$7:$K$7,0))*M$9*(1+$F60)^(M$3), 0),0)</f>
        <v>263473.39406206697</v>
      </c>
      <c r="N60" s="490">
        <f>IFERROR(IF(N$6&lt;=$E$9,INDEX('Capital Costs'!$H$15:$K$55,MATCH('Capital Cost Escalation'!$E60,'Capital Costs'!$B$15:$B$55,0),MATCH('Capital Cost Escalation'!$C60,'Capital Costs'!$H$7:$K$7,0))*N$9*(1+$F60)^(N$3), 0),0)</f>
        <v>1063753.3374095163</v>
      </c>
      <c r="O60" s="490">
        <f>IFERROR(IF(O$6&lt;=$E$9,INDEX('Capital Costs'!$H$15:$K$55,MATCH('Capital Cost Escalation'!$E60,'Capital Costs'!$B$15:$B$55,0),MATCH('Capital Cost Escalation'!$C60,'Capital Costs'!$H$7:$K$7,0))*O$9*(1+$F60)^(O$3), 0),0)</f>
        <v>1125130.8488807031</v>
      </c>
      <c r="P60" s="490">
        <f>IFERROR(IF(P$6&lt;=$E$9,INDEX('Capital Costs'!$H$15:$K$55,MATCH('Capital Cost Escalation'!$E60,'Capital Costs'!$B$15:$B$55,0),MATCH('Capital Cost Escalation'!$C60,'Capital Costs'!$H$7:$K$7,0))*P$9*(1+$F60)^(P$3), 0),0)</f>
        <v>943539.83300131757</v>
      </c>
      <c r="Q60" s="490">
        <f>IFERROR(IF(Q$6&lt;=$E$9,INDEX('Capital Costs'!$H$15:$K$55,MATCH('Capital Cost Escalation'!$E60,'Capital Costs'!$B$15:$B$55,0),MATCH('Capital Cost Escalation'!$C60,'Capital Costs'!$H$7:$K$7,0))*Q$9*(1+$F60)^(Q$3), 0),0)</f>
        <v>1004911.5692318525</v>
      </c>
      <c r="R60" s="490">
        <f>IFERROR(IF(R$6&lt;=$E$9,INDEX('Capital Costs'!$H$15:$K$55,MATCH('Capital Cost Escalation'!$E60,'Capital Costs'!$B$15:$B$55,0),MATCH('Capital Cost Escalation'!$C60,'Capital Costs'!$H$7:$K$7,0))*R$9*(1+$F60)^(R$3), 0),0)</f>
        <v>1066571.8029005683</v>
      </c>
      <c r="S60" s="490">
        <f>IFERROR(IF(S$6&lt;=$E$9,INDEX('Capital Costs'!$H$15:$K$55,MATCH('Capital Cost Escalation'!$E60,'Capital Costs'!$B$15:$B$55,0),MATCH('Capital Cost Escalation'!$C60,'Capital Costs'!$H$7:$K$7,0))*S$9*(1+$F60)^(S$3), 0),0)</f>
        <v>2041733.0922824645</v>
      </c>
      <c r="T60" s="490">
        <f>IFERROR(IF(T$6&lt;=$E$9,INDEX('Capital Costs'!$H$15:$K$55,MATCH('Capital Cost Escalation'!$E60,'Capital Costs'!$B$15:$B$55,0),MATCH('Capital Cost Escalation'!$C60,'Capital Costs'!$H$7:$K$7,0))*T$9*(1+$F60)^(T$3), 0),0)</f>
        <v>2895039.8322671419</v>
      </c>
      <c r="U60" s="490">
        <f>IFERROR(IF(U$6&lt;=$E$9,INDEX('Capital Costs'!$H$15:$K$55,MATCH('Capital Cost Escalation'!$E60,'Capital Costs'!$B$15:$B$55,0),MATCH('Capital Cost Escalation'!$C60,'Capital Costs'!$H$7:$K$7,0))*U$9*(1+$F60)^(U$3), 0),0)</f>
        <v>3163074.8341240324</v>
      </c>
      <c r="V60" s="490">
        <f>IFERROR(IF(V$6&lt;=$E$9,INDEX('Capital Costs'!$H$15:$K$55,MATCH('Capital Cost Escalation'!$E60,'Capital Costs'!$B$15:$B$55,0),MATCH('Capital Cost Escalation'!$C60,'Capital Costs'!$H$7:$K$7,0))*V$9*(1+$F60)^(V$3), 0),0)</f>
        <v>3619325.478205448</v>
      </c>
      <c r="W60" s="490">
        <f>IFERROR(IF(W$6&lt;=$E$9,INDEX('Capital Costs'!$H$15:$K$55,MATCH('Capital Cost Escalation'!$E60,'Capital Costs'!$B$15:$B$55,0),MATCH('Capital Cost Escalation'!$C60,'Capital Costs'!$H$7:$K$7,0))*W$9*(1+$F60)^(W$3), 0),0)</f>
        <v>3995288.5950638494</v>
      </c>
      <c r="X60" s="490">
        <f>IFERROR(IF(X$6&lt;=$E$9,INDEX('Capital Costs'!$H$15:$K$55,MATCH('Capital Cost Escalation'!$E60,'Capital Costs'!$B$15:$B$55,0),MATCH('Capital Cost Escalation'!$C60,'Capital Costs'!$H$7:$K$7,0))*X$9*(1+$F60)^(X$3), 0),0)</f>
        <v>4688611.0237585474</v>
      </c>
      <c r="Y60" s="490">
        <f>IFERROR(IF(Y$6&lt;=$E$9,INDEX('Capital Costs'!$H$15:$K$55,MATCH('Capital Cost Escalation'!$E60,'Capital Costs'!$B$15:$B$55,0),MATCH('Capital Cost Escalation'!$C60,'Capital Costs'!$H$7:$K$7,0))*Y$9*(1+$F60)^(Y$3), 0),0)</f>
        <v>4790219.3242635699</v>
      </c>
      <c r="Z60" s="490">
        <f>IFERROR(IF(Z$6&lt;=$E$9,INDEX('Capital Costs'!$H$15:$K$55,MATCH('Capital Cost Escalation'!$E60,'Capital Costs'!$B$15:$B$55,0),MATCH('Capital Cost Escalation'!$C60,'Capital Costs'!$H$7:$K$7,0))*Z$9*(1+$F60)^(Z$3), 0),0)</f>
        <v>4695991.8615138317</v>
      </c>
      <c r="AA60" s="490">
        <f>IFERROR(IF(AA$6&lt;=$E$9,INDEX('Capital Costs'!$H$15:$K$55,MATCH('Capital Cost Escalation'!$E60,'Capital Costs'!$B$15:$B$55,0),MATCH('Capital Cost Escalation'!$C60,'Capital Costs'!$H$7:$K$7,0))*AA$9*(1+$F60)^(AA$3), 0),0)</f>
        <v>4843458.6120973798</v>
      </c>
      <c r="AB60" s="490">
        <f>IFERROR(IF(AB$6&lt;=$E$9,INDEX('Capital Costs'!$H$15:$K$55,MATCH('Capital Cost Escalation'!$E60,'Capital Costs'!$B$15:$B$55,0),MATCH('Capital Cost Escalation'!$C60,'Capital Costs'!$H$7:$K$7,0))*AB$9*(1+$F60)^(AB$3), 0),0)</f>
        <v>4604717.3608770436</v>
      </c>
      <c r="AC60" s="490">
        <f>IFERROR(IF(AC$6&lt;=$E$9,INDEX('Capital Costs'!$H$15:$K$55,MATCH('Capital Cost Escalation'!$E60,'Capital Costs'!$B$15:$B$55,0),MATCH('Capital Cost Escalation'!$C60,'Capital Costs'!$H$7:$K$7,0))*AC$9*(1+$F60)^(AC$3), 0),0)</f>
        <v>4729806.1314993594</v>
      </c>
      <c r="AD60" s="490">
        <f>IFERROR(IF(AD$6&lt;=$E$9,INDEX('Capital Costs'!$H$15:$K$55,MATCH('Capital Cost Escalation'!$E60,'Capital Costs'!$B$15:$B$55,0),MATCH('Capital Cost Escalation'!$C60,'Capital Costs'!$H$7:$K$7,0))*AD$9*(1+$F60)^(AD$3), 0),0)</f>
        <v>4733509.1783115547</v>
      </c>
      <c r="AE60" s="490">
        <f>IFERROR(IF(AE$6&lt;=$E$9,INDEX('Capital Costs'!$H$15:$K$55,MATCH('Capital Cost Escalation'!$E60,'Capital Costs'!$B$15:$B$55,0),MATCH('Capital Cost Escalation'!$C60,'Capital Costs'!$H$7:$K$7,0))*AE$9*(1+$F60)^(AE$3), 0),0)</f>
        <v>4485061.3988003284</v>
      </c>
      <c r="AF60" s="490">
        <f>IFERROR(IF(AF$6&lt;=$E$9,INDEX('Capital Costs'!$H$15:$K$55,MATCH('Capital Cost Escalation'!$E60,'Capital Costs'!$B$15:$B$55,0),MATCH('Capital Cost Escalation'!$C60,'Capital Costs'!$H$7:$K$7,0))*AF$9*(1+$F60)^(AF$3), 0),0)</f>
        <v>4426870.2999121398</v>
      </c>
      <c r="AG60" s="490">
        <f>IFERROR(IF(AG$6&lt;=$E$9,INDEX('Capital Costs'!$H$15:$K$55,MATCH('Capital Cost Escalation'!$E60,'Capital Costs'!$B$15:$B$55,0),MATCH('Capital Cost Escalation'!$C60,'Capital Costs'!$H$7:$K$7,0))*AG$9*(1+$F60)^(AG$3), 0),0)</f>
        <v>3784901.1977466512</v>
      </c>
      <c r="AH60" s="490">
        <f>IFERROR(IF(AH$6&lt;=$E$9,INDEX('Capital Costs'!$H$15:$K$55,MATCH('Capital Cost Escalation'!$E60,'Capital Costs'!$B$15:$B$55,0),MATCH('Capital Cost Escalation'!$C60,'Capital Costs'!$H$7:$K$7,0))*AH$9*(1+$F60)^(AH$3), 0),0)</f>
        <v>3201397.6845550057</v>
      </c>
      <c r="AI60" s="490">
        <f>IFERROR(IF(AI$6&lt;=$E$9,INDEX('Capital Costs'!$H$15:$K$55,MATCH('Capital Cost Escalation'!$E60,'Capital Costs'!$B$15:$B$55,0),MATCH('Capital Cost Escalation'!$C60,'Capital Costs'!$H$7:$K$7,0))*AI$9*(1+$F60)^(AI$3), 0),0)</f>
        <v>1835954.5298536576</v>
      </c>
      <c r="AJ60" s="490">
        <f>IFERROR(IF(AJ$6&lt;=$E$9,INDEX('Capital Costs'!$H$15:$K$55,MATCH('Capital Cost Escalation'!$E60,'Capital Costs'!$B$15:$B$55,0),MATCH('Capital Cost Escalation'!$C60,'Capital Costs'!$H$7:$K$7,0))*AJ$9*(1+$F60)^(AJ$3), 0),0)</f>
        <v>549012.18167412153</v>
      </c>
      <c r="AK60" s="490">
        <f>IFERROR(IF(AK$6&lt;=$E$9,INDEX('Capital Costs'!$H$15:$K$55,MATCH('Capital Cost Escalation'!$E60,'Capital Costs'!$B$15:$B$55,0),MATCH('Capital Cost Escalation'!$C60,'Capital Costs'!$H$7:$K$7,0))*AK$9*(1+$F60)^(AK$3), 0),0)</f>
        <v>131768.38454913904</v>
      </c>
      <c r="AL60" s="490">
        <f>IFERROR(IF(AL$6&lt;=$E$9,INDEX('Capital Costs'!$H$15:$K$55,MATCH('Capital Cost Escalation'!$E60,'Capital Costs'!$B$15:$B$55,0),MATCH('Capital Cost Escalation'!$C60,'Capital Costs'!$H$7:$K$7,0))*AL$9*(1+$F60)^(AL$3), 0),0)</f>
        <v>93235.695409695763</v>
      </c>
      <c r="AM60" s="490">
        <f>IFERROR(IF(AM$6&lt;=$E$9,INDEX('Capital Costs'!$H$15:$K$55,MATCH('Capital Cost Escalation'!$E60,'Capital Costs'!$B$15:$B$55,0),MATCH('Capital Cost Escalation'!$C60,'Capital Costs'!$H$7:$K$7,0))*AM$9*(1+$F60)^(AM$3), 0),0)</f>
        <v>0</v>
      </c>
      <c r="AN60" s="490">
        <f>IFERROR(IF(AN$6&lt;=$E$9,INDEX('Capital Costs'!$H$15:$K$55,MATCH('Capital Cost Escalation'!$E60,'Capital Costs'!$B$15:$B$55,0),MATCH('Capital Cost Escalation'!$C60,'Capital Costs'!$H$7:$K$7,0))*AN$9*(1+$F60)^(AN$3), 0),0)</f>
        <v>0</v>
      </c>
      <c r="AO60" s="490">
        <f>IFERROR(IF(AO$6&lt;=$E$9,INDEX('Capital Costs'!$H$15:$K$55,MATCH('Capital Cost Escalation'!$E60,'Capital Costs'!$B$15:$B$55,0),MATCH('Capital Cost Escalation'!$C60,'Capital Costs'!$H$7:$K$7,0))*AO$9*(1+$F60)^(AO$3), 0),0)</f>
        <v>0</v>
      </c>
      <c r="AP60" s="490">
        <f>IFERROR(IF(AP$6&lt;=$E$9,INDEX('Capital Costs'!$H$15:$K$55,MATCH('Capital Cost Escalation'!$E60,'Capital Costs'!$B$15:$B$55,0),MATCH('Capital Cost Escalation'!$C60,'Capital Costs'!$H$7:$K$7,0))*AP$9*(1+$F60)^(AP$3), 0),0)</f>
        <v>0</v>
      </c>
      <c r="AQ60" s="490">
        <f>IFERROR(IF(AQ$6&lt;=$E$9,INDEX('Capital Costs'!$H$15:$K$55,MATCH('Capital Cost Escalation'!$E60,'Capital Costs'!$B$15:$B$55,0),MATCH('Capital Cost Escalation'!$C60,'Capital Costs'!$H$7:$K$7,0))*AQ$9*(1+$F60)^(AQ$3), 0),0)</f>
        <v>0</v>
      </c>
      <c r="AR60" s="490">
        <f>IFERROR(IF(AR$6&lt;=$E$9,INDEX('Capital Costs'!$H$15:$K$55,MATCH('Capital Cost Escalation'!$E60,'Capital Costs'!$B$15:$B$55,0),MATCH('Capital Cost Escalation'!$C60,'Capital Costs'!$H$7:$K$7,0))*AR$9*(1+$F60)^(AR$3), 0),0)</f>
        <v>0</v>
      </c>
      <c r="AS60" s="490">
        <f>IFERROR(IF(AS$6&lt;=$E$9,INDEX('Capital Costs'!$H$15:$K$55,MATCH('Capital Cost Escalation'!$E60,'Capital Costs'!$B$15:$B$55,0),MATCH('Capital Cost Escalation'!$C60,'Capital Costs'!$H$7:$K$7,0))*AS$9*(1+$F60)^(AS$3), 0),0)</f>
        <v>0</v>
      </c>
      <c r="AT60" s="490">
        <f>IFERROR(IF(AT$6&lt;=$E$9,INDEX('Capital Costs'!$H$15:$K$55,MATCH('Capital Cost Escalation'!$E60,'Capital Costs'!$B$15:$B$55,0),MATCH('Capital Cost Escalation'!$C60,'Capital Costs'!$H$7:$K$7,0))*AT$9*(1+$F60)^(AT$3), 0),0)</f>
        <v>0</v>
      </c>
      <c r="AV60" s="827">
        <f t="shared" si="8"/>
        <v>75461047.590504602</v>
      </c>
      <c r="AW60" s="828">
        <f>INDEX('Capital Costs'!$H$15:$K$55,MATCH('Capital Cost Escalation'!$E60,'Capital Costs'!$B$15:$B$55,0),MATCH('Capital Cost Escalation'!$C60,'Capital Costs'!$H$7:$K$7,0))</f>
        <v>67310200</v>
      </c>
    </row>
    <row r="61" spans="1:49">
      <c r="A61" s="487" t="str">
        <f t="shared" si="4"/>
        <v>__</v>
      </c>
      <c r="F61" s="1168"/>
      <c r="G61" s="490"/>
      <c r="H61" s="490"/>
      <c r="I61" s="490"/>
      <c r="J61" s="490"/>
      <c r="K61" s="490"/>
      <c r="L61" s="490"/>
      <c r="M61" s="490"/>
      <c r="N61" s="490"/>
      <c r="O61" s="490"/>
      <c r="P61" s="490"/>
      <c r="Q61" s="490"/>
      <c r="R61" s="490"/>
      <c r="S61" s="490"/>
      <c r="T61" s="490"/>
      <c r="U61" s="490"/>
      <c r="V61" s="490"/>
      <c r="W61" s="490"/>
      <c r="X61" s="490"/>
      <c r="Y61" s="490"/>
      <c r="Z61" s="490"/>
      <c r="AA61" s="490"/>
      <c r="AB61" s="490"/>
      <c r="AC61" s="490"/>
      <c r="AD61" s="490"/>
      <c r="AE61" s="490"/>
      <c r="AF61" s="490"/>
      <c r="AG61" s="490"/>
      <c r="AH61" s="490"/>
      <c r="AI61" s="490"/>
      <c r="AJ61" s="490"/>
      <c r="AK61" s="490"/>
      <c r="AL61" s="490"/>
      <c r="AM61" s="490"/>
      <c r="AN61" s="490"/>
      <c r="AO61" s="490"/>
      <c r="AP61" s="490"/>
      <c r="AQ61" s="490"/>
      <c r="AR61" s="490"/>
      <c r="AS61" s="490"/>
      <c r="AT61" s="490"/>
      <c r="AV61" s="99"/>
      <c r="AW61" s="828"/>
    </row>
    <row r="62" spans="1:49">
      <c r="A62" s="487" t="str">
        <f t="shared" si="4"/>
        <v>CC_SWMAAC_Gas Turbines</v>
      </c>
      <c r="B62" s="478" t="s">
        <v>77</v>
      </c>
      <c r="C62" s="488" t="s">
        <v>121</v>
      </c>
      <c r="E62" s="442" t="s">
        <v>129</v>
      </c>
      <c r="F62" s="1325">
        <f>INDEX('Capital Costs_Nominal$'!$F:$F,MATCH('Capital Cost Escalation'!$E62,'Capital Costs_Nominal$'!$C:$C,0),1)</f>
        <v>2.3944839450136257E-3</v>
      </c>
      <c r="G62" s="490">
        <f>IFERROR(IF(G$6&lt;=$E$9,INDEX('Capital Costs'!$H$15:$K$55,MATCH('Capital Cost Escalation'!$E62,'Capital Costs'!$B$15:$B$55,0),MATCH('Capital Cost Escalation'!$C62,'Capital Costs'!$H$7:$K$7,0))*G$9*(1+$F62)^(G$3), 0),0)</f>
        <v>14844.690555846651</v>
      </c>
      <c r="H62" s="490">
        <f>IFERROR(IF(H$6&lt;=$E$9,INDEX('Capital Costs'!$H$15:$K$55,MATCH('Capital Cost Escalation'!$E62,'Capital Costs'!$B$15:$B$55,0),MATCH('Capital Cost Escalation'!$C62,'Capital Costs'!$H$7:$K$7,0))*H$9*(1+$F62)^(H$3), 0),0)</f>
        <v>74401.179645256605</v>
      </c>
      <c r="I62" s="490">
        <f>IFERROR(IF(I$6&lt;=$E$9,INDEX('Capital Costs'!$H$15:$K$55,MATCH('Capital Cost Escalation'!$E62,'Capital Costs'!$B$15:$B$55,0),MATCH('Capital Cost Escalation'!$C62,'Capital Costs'!$H$7:$K$7,0))*I$9*(1+$F62)^(I$3), 0),0)</f>
        <v>74579.332075407234</v>
      </c>
      <c r="J62" s="490">
        <f>IFERROR(IF(J$6&lt;=$E$9,INDEX('Capital Costs'!$H$15:$K$55,MATCH('Capital Cost Escalation'!$E62,'Capital Costs'!$B$15:$B$55,0),MATCH('Capital Cost Escalation'!$C62,'Capital Costs'!$H$7:$K$7,0))*J$9*(1+$F62)^(J$3), 0),0)</f>
        <v>2526817.3947977778</v>
      </c>
      <c r="K62" s="490">
        <f>IFERROR(IF(K$6&lt;=$E$9,INDEX('Capital Costs'!$H$15:$K$55,MATCH('Capital Cost Escalation'!$E62,'Capital Costs'!$B$15:$B$55,0),MATCH('Capital Cost Escalation'!$C62,'Capital Costs'!$H$7:$K$7,0))*K$9*(1+$F62)^(K$3), 0),0)</f>
        <v>2472918.2843163572</v>
      </c>
      <c r="L62" s="490">
        <f>IFERROR(IF(L$6&lt;=$E$9,INDEX('Capital Costs'!$H$15:$K$55,MATCH('Capital Cost Escalation'!$E62,'Capital Costs'!$B$15:$B$55,0),MATCH('Capital Cost Escalation'!$C62,'Capital Costs'!$H$7:$K$7,0))*L$9*(1+$F62)^(L$3), 0),0)</f>
        <v>360558.49417388847</v>
      </c>
      <c r="M62" s="490">
        <f>IFERROR(IF(M$6&lt;=$E$9,INDEX('Capital Costs'!$H$15:$K$55,MATCH('Capital Cost Escalation'!$E62,'Capital Costs'!$B$15:$B$55,0),MATCH('Capital Cost Escalation'!$C62,'Capital Costs'!$H$7:$K$7,0))*M$9*(1+$F62)^(M$3), 0),0)</f>
        <v>542132.76854913926</v>
      </c>
      <c r="N62" s="490">
        <f>IFERROR(IF(N$6&lt;=$E$9,INDEX('Capital Costs'!$H$15:$K$55,MATCH('Capital Cost Escalation'!$E62,'Capital Costs'!$B$15:$B$55,0),MATCH('Capital Cost Escalation'!$C62,'Capital Costs'!$H$7:$K$7,0))*N$9*(1+$F62)^(N$3), 0),0)</f>
        <v>2188818.8897257475</v>
      </c>
      <c r="O62" s="490">
        <f>IFERROR(IF(O$6&lt;=$E$9,INDEX('Capital Costs'!$H$15:$K$55,MATCH('Capital Cost Escalation'!$E62,'Capital Costs'!$B$15:$B$55,0),MATCH('Capital Cost Escalation'!$C62,'Capital Costs'!$H$7:$K$7,0))*O$9*(1+$F62)^(O$3), 0),0)</f>
        <v>2315111.5665972969</v>
      </c>
      <c r="P62" s="490">
        <f>IFERROR(IF(P$6&lt;=$E$9,INDEX('Capital Costs'!$H$15:$K$55,MATCH('Capital Cost Escalation'!$E62,'Capital Costs'!$B$15:$B$55,0),MATCH('Capital Cost Escalation'!$C62,'Capital Costs'!$H$7:$K$7,0))*P$9*(1+$F62)^(P$3), 0),0)</f>
        <v>1941463.0601406991</v>
      </c>
      <c r="Q62" s="490">
        <f>IFERROR(IF(Q$6&lt;=$E$9,INDEX('Capital Costs'!$H$15:$K$55,MATCH('Capital Cost Escalation'!$E62,'Capital Costs'!$B$15:$B$55,0),MATCH('Capital Cost Escalation'!$C62,'Capital Costs'!$H$7:$K$7,0))*Q$9*(1+$F62)^(Q$3), 0),0)</f>
        <v>2067743.8536597958</v>
      </c>
      <c r="R62" s="490">
        <f>IFERROR(IF(R$6&lt;=$E$9,INDEX('Capital Costs'!$H$15:$K$55,MATCH('Capital Cost Escalation'!$E62,'Capital Costs'!$B$15:$B$55,0),MATCH('Capital Cost Escalation'!$C62,'Capital Costs'!$H$7:$K$7,0))*R$9*(1+$F62)^(R$3), 0),0)</f>
        <v>2194618.2703621252</v>
      </c>
      <c r="S62" s="490">
        <f>IFERROR(IF(S$6&lt;=$E$9,INDEX('Capital Costs'!$H$15:$K$55,MATCH('Capital Cost Escalation'!$E62,'Capital Costs'!$B$15:$B$55,0),MATCH('Capital Cost Escalation'!$C62,'Capital Costs'!$H$7:$K$7,0))*S$9*(1+$F62)^(S$3), 0),0)</f>
        <v>4201146.8288776642</v>
      </c>
      <c r="T62" s="490">
        <f>IFERROR(IF(T$6&lt;=$E$9,INDEX('Capital Costs'!$H$15:$K$55,MATCH('Capital Cost Escalation'!$E62,'Capital Costs'!$B$15:$B$55,0),MATCH('Capital Cost Escalation'!$C62,'Capital Costs'!$H$7:$K$7,0))*T$9*(1+$F62)^(T$3), 0),0)</f>
        <v>5956942.8818960451</v>
      </c>
      <c r="U62" s="490">
        <f>IFERROR(IF(U$6&lt;=$E$9,INDEX('Capital Costs'!$H$15:$K$55,MATCH('Capital Cost Escalation'!$E62,'Capital Costs'!$B$15:$B$55,0),MATCH('Capital Cost Escalation'!$C62,'Capital Costs'!$H$7:$K$7,0))*U$9*(1+$F62)^(U$3), 0),0)</f>
        <v>6508461.7862698147</v>
      </c>
      <c r="V62" s="490">
        <f>IFERROR(IF(V$6&lt;=$E$9,INDEX('Capital Costs'!$H$15:$K$55,MATCH('Capital Cost Escalation'!$E62,'Capital Costs'!$B$15:$B$55,0),MATCH('Capital Cost Escalation'!$C62,'Capital Costs'!$H$7:$K$7,0))*V$9*(1+$F62)^(V$3), 0),0)</f>
        <v>7447260.2775129862</v>
      </c>
      <c r="W62" s="490">
        <f>IFERROR(IF(W$6&lt;=$E$9,INDEX('Capital Costs'!$H$15:$K$55,MATCH('Capital Cost Escalation'!$E62,'Capital Costs'!$B$15:$B$55,0),MATCH('Capital Cost Escalation'!$C62,'Capital Costs'!$H$7:$K$7,0))*W$9*(1+$F62)^(W$3), 0),0)</f>
        <v>8220856.1320029227</v>
      </c>
      <c r="X62" s="490">
        <f>IFERROR(IF(X$6&lt;=$E$9,INDEX('Capital Costs'!$H$15:$K$55,MATCH('Capital Cost Escalation'!$E62,'Capital Costs'!$B$15:$B$55,0),MATCH('Capital Cost Escalation'!$C62,'Capital Costs'!$H$7:$K$7,0))*X$9*(1+$F62)^(X$3), 0),0)</f>
        <v>9647462.4468588512</v>
      </c>
      <c r="Y62" s="490">
        <f>IFERROR(IF(Y$6&lt;=$E$9,INDEX('Capital Costs'!$H$15:$K$55,MATCH('Capital Cost Escalation'!$E62,'Capital Costs'!$B$15:$B$55,0),MATCH('Capital Cost Escalation'!$C62,'Capital Costs'!$H$7:$K$7,0))*Y$9*(1+$F62)^(Y$3), 0),0)</f>
        <v>9856535.508890247</v>
      </c>
      <c r="Z62" s="490">
        <f>IFERROR(IF(Z$6&lt;=$E$9,INDEX('Capital Costs'!$H$15:$K$55,MATCH('Capital Cost Escalation'!$E62,'Capital Costs'!$B$15:$B$55,0),MATCH('Capital Cost Escalation'!$C62,'Capital Costs'!$H$7:$K$7,0))*Z$9*(1+$F62)^(Z$3), 0),0)</f>
        <v>9662649.5363208801</v>
      </c>
      <c r="AA62" s="490">
        <f>IFERROR(IF(AA$6&lt;=$E$9,INDEX('Capital Costs'!$H$15:$K$55,MATCH('Capital Cost Escalation'!$E62,'Capital Costs'!$B$15:$B$55,0),MATCH('Capital Cost Escalation'!$C62,'Capital Costs'!$H$7:$K$7,0))*AA$9*(1+$F62)^(AA$3), 0),0)</f>
        <v>9966082.670612881</v>
      </c>
      <c r="AB62" s="490">
        <f>IFERROR(IF(AB$6&lt;=$E$9,INDEX('Capital Costs'!$H$15:$K$55,MATCH('Capital Cost Escalation'!$E62,'Capital Costs'!$B$15:$B$55,0),MATCH('Capital Cost Escalation'!$C62,'Capital Costs'!$H$7:$K$7,0))*AB$9*(1+$F62)^(AB$3), 0),0)</f>
        <v>9474839.689697409</v>
      </c>
      <c r="AC62" s="490">
        <f>IFERROR(IF(AC$6&lt;=$E$9,INDEX('Capital Costs'!$H$15:$K$55,MATCH('Capital Cost Escalation'!$E62,'Capital Costs'!$B$15:$B$55,0),MATCH('Capital Cost Escalation'!$C62,'Capital Costs'!$H$7:$K$7,0))*AC$9*(1+$F62)^(AC$3), 0),0)</f>
        <v>9732227.0504717156</v>
      </c>
      <c r="AD62" s="490">
        <f>IFERROR(IF(AD$6&lt;=$E$9,INDEX('Capital Costs'!$H$15:$K$55,MATCH('Capital Cost Escalation'!$E62,'Capital Costs'!$B$15:$B$55,0),MATCH('Capital Cost Escalation'!$C62,'Capital Costs'!$H$7:$K$7,0))*AD$9*(1+$F62)^(AD$3), 0),0)</f>
        <v>9739846.5789159779</v>
      </c>
      <c r="AE62" s="490">
        <f>IFERROR(IF(AE$6&lt;=$E$9,INDEX('Capital Costs'!$H$15:$K$55,MATCH('Capital Cost Escalation'!$E62,'Capital Costs'!$B$15:$B$55,0),MATCH('Capital Cost Escalation'!$C62,'Capital Costs'!$H$7:$K$7,0))*AE$9*(1+$F62)^(AE$3), 0),0)</f>
        <v>9228631.0801906027</v>
      </c>
      <c r="AF62" s="490">
        <f>IFERROR(IF(AF$6&lt;=$E$9,INDEX('Capital Costs'!$H$15:$K$55,MATCH('Capital Cost Escalation'!$E62,'Capital Costs'!$B$15:$B$55,0),MATCH('Capital Cost Escalation'!$C62,'Capital Costs'!$H$7:$K$7,0))*AF$9*(1+$F62)^(AF$3), 0),0)</f>
        <v>9108894.8857354671</v>
      </c>
      <c r="AG62" s="490">
        <f>IFERROR(IF(AG$6&lt;=$E$9,INDEX('Capital Costs'!$H$15:$K$55,MATCH('Capital Cost Escalation'!$E62,'Capital Costs'!$B$15:$B$55,0),MATCH('Capital Cost Escalation'!$C62,'Capital Costs'!$H$7:$K$7,0))*AG$9*(1+$F62)^(AG$3), 0),0)</f>
        <v>7787955.107664383</v>
      </c>
      <c r="AH62" s="490">
        <f>IFERROR(IF(AH$6&lt;=$E$9,INDEX('Capital Costs'!$H$15:$K$55,MATCH('Capital Cost Escalation'!$E62,'Capital Costs'!$B$15:$B$55,0),MATCH('Capital Cost Escalation'!$C62,'Capital Costs'!$H$7:$K$7,0))*AH$9*(1+$F62)^(AH$3), 0),0)</f>
        <v>6587316.3251760993</v>
      </c>
      <c r="AI62" s="490">
        <f>IFERROR(IF(AI$6&lt;=$E$9,INDEX('Capital Costs'!$H$15:$K$55,MATCH('Capital Cost Escalation'!$E62,'Capital Costs'!$B$15:$B$55,0),MATCH('Capital Cost Escalation'!$C62,'Capital Costs'!$H$7:$K$7,0))*AI$9*(1+$F62)^(AI$3), 0),0)</f>
        <v>3777729.1166083533</v>
      </c>
      <c r="AJ62" s="490">
        <f>IFERROR(IF(AJ$6&lt;=$E$9,INDEX('Capital Costs'!$H$15:$K$55,MATCH('Capital Cost Escalation'!$E62,'Capital Costs'!$B$15:$B$55,0),MATCH('Capital Cost Escalation'!$C62,'Capital Costs'!$H$7:$K$7,0))*AJ$9*(1+$F62)^(AJ$3), 0),0)</f>
        <v>1129668.1210554391</v>
      </c>
      <c r="AK62" s="490">
        <f>IFERROR(IF(AK$6&lt;=$E$9,INDEX('Capital Costs'!$H$15:$K$55,MATCH('Capital Cost Escalation'!$E62,'Capital Costs'!$B$15:$B$55,0),MATCH('Capital Cost Escalation'!$C62,'Capital Costs'!$H$7:$K$7,0))*AK$9*(1+$F62)^(AK$3), 0),0)</f>
        <v>271131.58570403536</v>
      </c>
      <c r="AL62" s="490">
        <f>IFERROR(IF(AL$6&lt;=$E$9,INDEX('Capital Costs'!$H$15:$K$55,MATCH('Capital Cost Escalation'!$E62,'Capital Costs'!$B$15:$B$55,0),MATCH('Capital Cost Escalation'!$C62,'Capital Costs'!$H$7:$K$7,0))*AL$9*(1+$F62)^(AL$3), 0),0)</f>
        <v>191845.27477622801</v>
      </c>
      <c r="AM62" s="490">
        <f>IFERROR(IF(AM$6&lt;=$E$9,INDEX('Capital Costs'!$H$15:$K$55,MATCH('Capital Cost Escalation'!$E62,'Capital Costs'!$B$15:$B$55,0),MATCH('Capital Cost Escalation'!$C62,'Capital Costs'!$H$7:$K$7,0))*AM$9*(1+$F62)^(AM$3), 0),0)</f>
        <v>0</v>
      </c>
      <c r="AN62" s="490">
        <f>IFERROR(IF(AN$6&lt;=$E$9,INDEX('Capital Costs'!$H$15:$K$55,MATCH('Capital Cost Escalation'!$E62,'Capital Costs'!$B$15:$B$55,0),MATCH('Capital Cost Escalation'!$C62,'Capital Costs'!$H$7:$K$7,0))*AN$9*(1+$F62)^(AN$3), 0),0)</f>
        <v>0</v>
      </c>
      <c r="AO62" s="490">
        <f>IFERROR(IF(AO$6&lt;=$E$9,INDEX('Capital Costs'!$H$15:$K$55,MATCH('Capital Cost Escalation'!$E62,'Capital Costs'!$B$15:$B$55,0),MATCH('Capital Cost Escalation'!$C62,'Capital Costs'!$H$7:$K$7,0))*AO$9*(1+$F62)^(AO$3), 0),0)</f>
        <v>0</v>
      </c>
      <c r="AP62" s="490">
        <f>IFERROR(IF(AP$6&lt;=$E$9,INDEX('Capital Costs'!$H$15:$K$55,MATCH('Capital Cost Escalation'!$E62,'Capital Costs'!$B$15:$B$55,0),MATCH('Capital Cost Escalation'!$C62,'Capital Costs'!$H$7:$K$7,0))*AP$9*(1+$F62)^(AP$3), 0),0)</f>
        <v>0</v>
      </c>
      <c r="AQ62" s="490">
        <f>IFERROR(IF(AQ$6&lt;=$E$9,INDEX('Capital Costs'!$H$15:$K$55,MATCH('Capital Cost Escalation'!$E62,'Capital Costs'!$B$15:$B$55,0),MATCH('Capital Cost Escalation'!$C62,'Capital Costs'!$H$7:$K$7,0))*AQ$9*(1+$F62)^(AQ$3), 0),0)</f>
        <v>0</v>
      </c>
      <c r="AR62" s="490">
        <f>IFERROR(IF(AR$6&lt;=$E$9,INDEX('Capital Costs'!$H$15:$K$55,MATCH('Capital Cost Escalation'!$E62,'Capital Costs'!$B$15:$B$55,0),MATCH('Capital Cost Escalation'!$C62,'Capital Costs'!$H$7:$K$7,0))*AR$9*(1+$F62)^(AR$3), 0),0)</f>
        <v>0</v>
      </c>
      <c r="AS62" s="490">
        <f>IFERROR(IF(AS$6&lt;=$E$9,INDEX('Capital Costs'!$H$15:$K$55,MATCH('Capital Cost Escalation'!$E62,'Capital Costs'!$B$15:$B$55,0),MATCH('Capital Cost Escalation'!$C62,'Capital Costs'!$H$7:$K$7,0))*AS$9*(1+$F62)^(AS$3), 0),0)</f>
        <v>0</v>
      </c>
      <c r="AT62" s="490">
        <f>IFERROR(IF(AT$6&lt;=$E$9,INDEX('Capital Costs'!$H$15:$K$55,MATCH('Capital Cost Escalation'!$E62,'Capital Costs'!$B$15:$B$55,0),MATCH('Capital Cost Escalation'!$C62,'Capital Costs'!$H$7:$K$7,0))*AT$9*(1+$F62)^(AT$3), 0),0)</f>
        <v>0</v>
      </c>
      <c r="AU62" s="491"/>
      <c r="AV62" s="827">
        <f t="shared" ref="AV62:AV69" si="9">SUM(G62:AT62)</f>
        <v>155271490.66983736</v>
      </c>
      <c r="AW62" s="828">
        <f>INDEX('Capital Costs'!$H$15:$K$55,MATCH('Capital Cost Escalation'!$E62,'Capital Costs'!$B$15:$B$55,0),MATCH('Capital Cost Escalation'!$C62,'Capital Costs'!$H$7:$K$7,0))</f>
        <v>138500000</v>
      </c>
    </row>
    <row r="63" spans="1:49">
      <c r="A63" s="487" t="str">
        <f t="shared" si="4"/>
        <v>CC_SWMAAC_HRSG / SCR</v>
      </c>
      <c r="B63" s="478" t="s">
        <v>77</v>
      </c>
      <c r="C63" s="488" t="s">
        <v>121</v>
      </c>
      <c r="E63" s="442" t="s">
        <v>130</v>
      </c>
      <c r="F63" s="1325">
        <f>INDEX('Capital Costs_Nominal$'!$F:$F,MATCH('Capital Cost Escalation'!$E63,'Capital Costs_Nominal$'!$C:$C,0),1)</f>
        <v>2.3944839450136257E-3</v>
      </c>
      <c r="G63" s="490">
        <f>IFERROR(IF(G$6&lt;=$E$9,INDEX('Capital Costs'!$H$15:$K$55,MATCH('Capital Cost Escalation'!$E63,'Capital Costs'!$B$15:$B$55,0),MATCH('Capital Cost Escalation'!$C63,'Capital Costs'!$H$7:$K$7,0))*G$9*(1+$F63)^(G$3), 0),0)</f>
        <v>7717.0954514148661</v>
      </c>
      <c r="H63" s="490">
        <f>IFERROR(IF(H$6&lt;=$E$9,INDEX('Capital Costs'!$H$15:$K$55,MATCH('Capital Cost Escalation'!$E63,'Capital Costs'!$B$15:$B$55,0),MATCH('Capital Cost Escalation'!$C63,'Capital Costs'!$H$7:$K$7,0))*H$9*(1+$F63)^(H$3), 0),0)</f>
        <v>38677.86956287708</v>
      </c>
      <c r="I63" s="490">
        <f>IFERROR(IF(I$6&lt;=$E$9,INDEX('Capital Costs'!$H$15:$K$55,MATCH('Capital Cost Escalation'!$E63,'Capital Costs'!$B$15:$B$55,0),MATCH('Capital Cost Escalation'!$C63,'Capital Costs'!$H$7:$K$7,0))*I$9*(1+$F63)^(I$3), 0),0)</f>
        <v>38770.483100572717</v>
      </c>
      <c r="J63" s="490">
        <f>IFERROR(IF(J$6&lt;=$E$9,INDEX('Capital Costs'!$H$15:$K$55,MATCH('Capital Cost Escalation'!$E63,'Capital Costs'!$B$15:$B$55,0),MATCH('Capital Cost Escalation'!$C63,'Capital Costs'!$H$7:$K$7,0))*J$9*(1+$F63)^(J$3), 0),0)</f>
        <v>1313580.1619165342</v>
      </c>
      <c r="K63" s="490">
        <f>IFERROR(IF(K$6&lt;=$E$9,INDEX('Capital Costs'!$H$15:$K$55,MATCH('Capital Cost Escalation'!$E63,'Capital Costs'!$B$15:$B$55,0),MATCH('Capital Cost Escalation'!$C63,'Capital Costs'!$H$7:$K$7,0))*K$9*(1+$F63)^(K$3), 0),0)</f>
        <v>1285560.4077312471</v>
      </c>
      <c r="L63" s="490">
        <f>IFERROR(IF(L$6&lt;=$E$9,INDEX('Capital Costs'!$H$15:$K$55,MATCH('Capital Cost Escalation'!$E63,'Capital Costs'!$B$15:$B$55,0),MATCH('Capital Cost Escalation'!$C63,'Capital Costs'!$H$7:$K$7,0))*L$9*(1+$F63)^(L$3), 0),0)</f>
        <v>187438.35076187705</v>
      </c>
      <c r="M63" s="490">
        <f>IFERROR(IF(M$6&lt;=$E$9,INDEX('Capital Costs'!$H$15:$K$55,MATCH('Capital Cost Escalation'!$E63,'Capital Costs'!$B$15:$B$55,0),MATCH('Capital Cost Escalation'!$C63,'Capital Costs'!$H$7:$K$7,0))*M$9*(1+$F63)^(M$3), 0),0)</f>
        <v>281830.75332518434</v>
      </c>
      <c r="N63" s="490">
        <f>IFERROR(IF(N$6&lt;=$E$9,INDEX('Capital Costs'!$H$15:$K$55,MATCH('Capital Cost Escalation'!$E63,'Capital Costs'!$B$15:$B$55,0),MATCH('Capital Cost Escalation'!$C63,'Capital Costs'!$H$7:$K$7,0))*N$9*(1+$F63)^(N$3), 0),0)</f>
        <v>1137869.7477274644</v>
      </c>
      <c r="O63" s="490">
        <f>IFERROR(IF(O$6&lt;=$E$9,INDEX('Capital Costs'!$H$15:$K$55,MATCH('Capital Cost Escalation'!$E63,'Capital Costs'!$B$15:$B$55,0),MATCH('Capital Cost Escalation'!$C63,'Capital Costs'!$H$7:$K$7,0))*O$9*(1+$F63)^(O$3), 0),0)</f>
        <v>1203523.7024910136</v>
      </c>
      <c r="P63" s="490">
        <f>IFERROR(IF(P$6&lt;=$E$9,INDEX('Capital Costs'!$H$15:$K$55,MATCH('Capital Cost Escalation'!$E63,'Capital Costs'!$B$15:$B$55,0),MATCH('Capital Cost Escalation'!$C63,'Capital Costs'!$H$7:$K$7,0))*P$9*(1+$F63)^(P$3), 0),0)</f>
        <v>1009280.4355966089</v>
      </c>
      <c r="Q63" s="490">
        <f>IFERROR(IF(Q$6&lt;=$E$9,INDEX('Capital Costs'!$H$15:$K$55,MATCH('Capital Cost Escalation'!$E63,'Capital Costs'!$B$15:$B$55,0),MATCH('Capital Cost Escalation'!$C63,'Capital Costs'!$H$7:$K$7,0))*Q$9*(1+$F63)^(Q$3), 0),0)</f>
        <v>1074928.2127328902</v>
      </c>
      <c r="R63" s="490">
        <f>IFERROR(IF(R$6&lt;=$E$9,INDEX('Capital Costs'!$H$15:$K$55,MATCH('Capital Cost Escalation'!$E63,'Capital Costs'!$B$15:$B$55,0),MATCH('Capital Cost Escalation'!$C63,'Capital Costs'!$H$7:$K$7,0))*R$9*(1+$F63)^(R$3), 0),0)</f>
        <v>1140884.5882026933</v>
      </c>
      <c r="S63" s="490">
        <f>IFERROR(IF(S$6&lt;=$E$9,INDEX('Capital Costs'!$H$15:$K$55,MATCH('Capital Cost Escalation'!$E63,'Capital Costs'!$B$15:$B$55,0),MATCH('Capital Cost Escalation'!$C63,'Capital Costs'!$H$7:$K$7,0))*S$9*(1+$F63)^(S$3), 0),0)</f>
        <v>2183989.6872143811</v>
      </c>
      <c r="T63" s="490">
        <f>IFERROR(IF(T$6&lt;=$E$9,INDEX('Capital Costs'!$H$15:$K$55,MATCH('Capital Cost Escalation'!$E63,'Capital Costs'!$B$15:$B$55,0),MATCH('Capital Cost Escalation'!$C63,'Capital Costs'!$H$7:$K$7,0))*T$9*(1+$F63)^(T$3), 0),0)</f>
        <v>3096750.0902275466</v>
      </c>
      <c r="U63" s="490">
        <f>IFERROR(IF(U$6&lt;=$E$9,INDEX('Capital Costs'!$H$15:$K$55,MATCH('Capital Cost Escalation'!$E63,'Capital Costs'!$B$15:$B$55,0),MATCH('Capital Cost Escalation'!$C63,'Capital Costs'!$H$7:$K$7,0))*U$9*(1+$F63)^(U$3), 0),0)</f>
        <v>3383460.2787828641</v>
      </c>
      <c r="V63" s="490">
        <f>IFERROR(IF(V$6&lt;=$E$9,INDEX('Capital Costs'!$H$15:$K$55,MATCH('Capital Cost Escalation'!$E63,'Capital Costs'!$B$15:$B$55,0),MATCH('Capital Cost Escalation'!$C63,'Capital Costs'!$H$7:$K$7,0))*V$9*(1+$F63)^(V$3), 0),0)</f>
        <v>3871499.9276601807</v>
      </c>
      <c r="W63" s="490">
        <f>IFERROR(IF(W$6&lt;=$E$9,INDEX('Capital Costs'!$H$15:$K$55,MATCH('Capital Cost Escalation'!$E63,'Capital Costs'!$B$15:$B$55,0),MATCH('Capital Cost Escalation'!$C63,'Capital Costs'!$H$7:$K$7,0))*W$9*(1+$F63)^(W$3), 0),0)</f>
        <v>4273658.0614022417</v>
      </c>
      <c r="X63" s="490">
        <f>IFERROR(IF(X$6&lt;=$E$9,INDEX('Capital Costs'!$H$15:$K$55,MATCH('Capital Cost Escalation'!$E63,'Capital Costs'!$B$15:$B$55,0),MATCH('Capital Cost Escalation'!$C63,'Capital Costs'!$H$7:$K$7,0))*X$9*(1+$F63)^(X$3), 0),0)</f>
        <v>5015287.3369952152</v>
      </c>
      <c r="Y63" s="490">
        <f>IFERROR(IF(Y$6&lt;=$E$9,INDEX('Capital Costs'!$H$15:$K$55,MATCH('Capital Cost Escalation'!$E63,'Capital Costs'!$B$15:$B$55,0),MATCH('Capital Cost Escalation'!$C63,'Capital Costs'!$H$7:$K$7,0))*Y$9*(1+$F63)^(Y$3), 0),0)</f>
        <v>5123975.1381956516</v>
      </c>
      <c r="Z63" s="490">
        <f>IFERROR(IF(Z$6&lt;=$E$9,INDEX('Capital Costs'!$H$15:$K$55,MATCH('Capital Cost Escalation'!$E63,'Capital Costs'!$B$15:$B$55,0),MATCH('Capital Cost Escalation'!$C63,'Capital Costs'!$H$7:$K$7,0))*Z$9*(1+$F63)^(Z$3), 0),0)</f>
        <v>5023182.4304339588</v>
      </c>
      <c r="AA63" s="490">
        <f>IFERROR(IF(AA$6&lt;=$E$9,INDEX('Capital Costs'!$H$15:$K$55,MATCH('Capital Cost Escalation'!$E63,'Capital Costs'!$B$15:$B$55,0),MATCH('Capital Cost Escalation'!$C63,'Capital Costs'!$H$7:$K$7,0))*AA$9*(1+$F63)^(AA$3), 0),0)</f>
        <v>5180923.8432066962</v>
      </c>
      <c r="AB63" s="490">
        <f>IFERROR(IF(AB$6&lt;=$E$9,INDEX('Capital Costs'!$H$15:$K$55,MATCH('Capital Cost Escalation'!$E63,'Capital Costs'!$B$15:$B$55,0),MATCH('Capital Cost Escalation'!$C63,'Capital Costs'!$H$7:$K$7,0))*AB$9*(1+$F63)^(AB$3), 0),0)</f>
        <v>4925548.4307452226</v>
      </c>
      <c r="AC63" s="490">
        <f>IFERROR(IF(AC$6&lt;=$E$9,INDEX('Capital Costs'!$H$15:$K$55,MATCH('Capital Cost Escalation'!$E63,'Capital Costs'!$B$15:$B$55,0),MATCH('Capital Cost Escalation'!$C63,'Capital Costs'!$H$7:$K$7,0))*AC$9*(1+$F63)^(AC$3), 0),0)</f>
        <v>5059352.6904979311</v>
      </c>
      <c r="AD63" s="490">
        <f>IFERROR(IF(AD$6&lt;=$E$9,INDEX('Capital Costs'!$H$15:$K$55,MATCH('Capital Cost Escalation'!$E63,'Capital Costs'!$B$15:$B$55,0),MATCH('Capital Cost Escalation'!$C63,'Capital Costs'!$H$7:$K$7,0))*AD$9*(1+$F63)^(AD$3), 0),0)</f>
        <v>5063313.7449960317</v>
      </c>
      <c r="AE63" s="490">
        <f>IFERROR(IF(AE$6&lt;=$E$9,INDEX('Capital Costs'!$H$15:$K$55,MATCH('Capital Cost Escalation'!$E63,'Capital Costs'!$B$15:$B$55,0),MATCH('Capital Cost Escalation'!$C63,'Capital Costs'!$H$7:$K$7,0))*AE$9*(1+$F63)^(AE$3), 0),0)</f>
        <v>4797555.507391504</v>
      </c>
      <c r="AF63" s="490">
        <f>IFERROR(IF(AF$6&lt;=$E$9,INDEX('Capital Costs'!$H$15:$K$55,MATCH('Capital Cost Escalation'!$E63,'Capital Costs'!$B$15:$B$55,0),MATCH('Capital Cost Escalation'!$C63,'Capital Costs'!$H$7:$K$7,0))*AF$9*(1+$F63)^(AF$3), 0),0)</f>
        <v>4735309.9767000265</v>
      </c>
      <c r="AG63" s="490">
        <f>IFERROR(IF(AG$6&lt;=$E$9,INDEX('Capital Costs'!$H$15:$K$55,MATCH('Capital Cost Escalation'!$E63,'Capital Costs'!$B$15:$B$55,0),MATCH('Capital Cost Escalation'!$C63,'Capital Costs'!$H$7:$K$7,0))*AG$9*(1+$F63)^(AG$3), 0),0)</f>
        <v>4048612.0415294985</v>
      </c>
      <c r="AH63" s="490">
        <f>IFERROR(IF(AH$6&lt;=$E$9,INDEX('Capital Costs'!$H$15:$K$55,MATCH('Capital Cost Escalation'!$E63,'Capital Costs'!$B$15:$B$55,0),MATCH('Capital Cost Escalation'!$C63,'Capital Costs'!$H$7:$K$7,0))*AH$9*(1+$F63)^(AH$3), 0),0)</f>
        <v>3424453.2520771059</v>
      </c>
      <c r="AI63" s="490">
        <f>IFERROR(IF(AI$6&lt;=$E$9,INDEX('Capital Costs'!$H$15:$K$55,MATCH('Capital Cost Escalation'!$E63,'Capital Costs'!$B$15:$B$55,0),MATCH('Capital Cost Escalation'!$C63,'Capital Costs'!$H$7:$K$7,0))*AI$9*(1+$F63)^(AI$3), 0),0)</f>
        <v>1963873.6201862921</v>
      </c>
      <c r="AJ63" s="490">
        <f>IFERROR(IF(AJ$6&lt;=$E$9,INDEX('Capital Costs'!$H$15:$K$55,MATCH('Capital Cost Escalation'!$E63,'Capital Costs'!$B$15:$B$55,0),MATCH('Capital Cost Escalation'!$C63,'Capital Costs'!$H$7:$K$7,0))*AJ$9*(1+$F63)^(AJ$3), 0),0)</f>
        <v>587264.29397827887</v>
      </c>
      <c r="AK63" s="490">
        <f>IFERROR(IF(AK$6&lt;=$E$9,INDEX('Capital Costs'!$H$15:$K$55,MATCH('Capital Cost Escalation'!$E63,'Capital Costs'!$B$15:$B$55,0),MATCH('Capital Cost Escalation'!$C63,'Capital Costs'!$H$7:$K$7,0))*AK$9*(1+$F63)^(AK$3), 0),0)</f>
        <v>140949.27199054544</v>
      </c>
      <c r="AL63" s="490">
        <f>IFERROR(IF(AL$6&lt;=$E$9,INDEX('Capital Costs'!$H$15:$K$55,MATCH('Capital Cost Escalation'!$E63,'Capital Costs'!$B$15:$B$55,0),MATCH('Capital Cost Escalation'!$C63,'Capital Costs'!$H$7:$K$7,0))*AL$9*(1+$F63)^(AL$3), 0),0)</f>
        <v>99731.83959486222</v>
      </c>
      <c r="AM63" s="490">
        <f>IFERROR(IF(AM$6&lt;=$E$9,INDEX('Capital Costs'!$H$15:$K$55,MATCH('Capital Cost Escalation'!$E63,'Capital Costs'!$B$15:$B$55,0),MATCH('Capital Cost Escalation'!$C63,'Capital Costs'!$H$7:$K$7,0))*AM$9*(1+$F63)^(AM$3), 0),0)</f>
        <v>0</v>
      </c>
      <c r="AN63" s="490">
        <f>IFERROR(IF(AN$6&lt;=$E$9,INDEX('Capital Costs'!$H$15:$K$55,MATCH('Capital Cost Escalation'!$E63,'Capital Costs'!$B$15:$B$55,0),MATCH('Capital Cost Escalation'!$C63,'Capital Costs'!$H$7:$K$7,0))*AN$9*(1+$F63)^(AN$3), 0),0)</f>
        <v>0</v>
      </c>
      <c r="AO63" s="490">
        <f>IFERROR(IF(AO$6&lt;=$E$9,INDEX('Capital Costs'!$H$15:$K$55,MATCH('Capital Cost Escalation'!$E63,'Capital Costs'!$B$15:$B$55,0),MATCH('Capital Cost Escalation'!$C63,'Capital Costs'!$H$7:$K$7,0))*AO$9*(1+$F63)^(AO$3), 0),0)</f>
        <v>0</v>
      </c>
      <c r="AP63" s="490">
        <f>IFERROR(IF(AP$6&lt;=$E$9,INDEX('Capital Costs'!$H$15:$K$55,MATCH('Capital Cost Escalation'!$E63,'Capital Costs'!$B$15:$B$55,0),MATCH('Capital Cost Escalation'!$C63,'Capital Costs'!$H$7:$K$7,0))*AP$9*(1+$F63)^(AP$3), 0),0)</f>
        <v>0</v>
      </c>
      <c r="AQ63" s="490">
        <f>IFERROR(IF(AQ$6&lt;=$E$9,INDEX('Capital Costs'!$H$15:$K$55,MATCH('Capital Cost Escalation'!$E63,'Capital Costs'!$B$15:$B$55,0),MATCH('Capital Cost Escalation'!$C63,'Capital Costs'!$H$7:$K$7,0))*AQ$9*(1+$F63)^(AQ$3), 0),0)</f>
        <v>0</v>
      </c>
      <c r="AR63" s="490">
        <f>IFERROR(IF(AR$6&lt;=$E$9,INDEX('Capital Costs'!$H$15:$K$55,MATCH('Capital Cost Escalation'!$E63,'Capital Costs'!$B$15:$B$55,0),MATCH('Capital Cost Escalation'!$C63,'Capital Costs'!$H$7:$K$7,0))*AR$9*(1+$F63)^(AR$3), 0),0)</f>
        <v>0</v>
      </c>
      <c r="AS63" s="490">
        <f>IFERROR(IF(AS$6&lt;=$E$9,INDEX('Capital Costs'!$H$15:$K$55,MATCH('Capital Cost Escalation'!$E63,'Capital Costs'!$B$15:$B$55,0),MATCH('Capital Cost Escalation'!$C63,'Capital Costs'!$H$7:$K$7,0))*AS$9*(1+$F63)^(AS$3), 0),0)</f>
        <v>0</v>
      </c>
      <c r="AT63" s="490">
        <f>IFERROR(IF(AT$6&lt;=$E$9,INDEX('Capital Costs'!$H$15:$K$55,MATCH('Capital Cost Escalation'!$E63,'Capital Costs'!$B$15:$B$55,0),MATCH('Capital Cost Escalation'!$C63,'Capital Costs'!$H$7:$K$7,0))*AT$9*(1+$F63)^(AT$3), 0),0)</f>
        <v>0</v>
      </c>
      <c r="AV63" s="827">
        <f t="shared" si="9"/>
        <v>80718753.272406399</v>
      </c>
      <c r="AW63" s="828">
        <f>INDEX('Capital Costs'!$H$15:$K$55,MATCH('Capital Cost Escalation'!$E63,'Capital Costs'!$B$15:$B$55,0),MATCH('Capital Cost Escalation'!$C63,'Capital Costs'!$H$7:$K$7,0))</f>
        <v>72000000</v>
      </c>
    </row>
    <row r="64" spans="1:49">
      <c r="A64" s="487" t="str">
        <f t="shared" si="4"/>
        <v>CC_SWMAAC_Condenser</v>
      </c>
      <c r="B64" s="478" t="s">
        <v>77</v>
      </c>
      <c r="C64" s="488" t="s">
        <v>121</v>
      </c>
      <c r="E64" s="442" t="s">
        <v>134</v>
      </c>
      <c r="F64" s="1325">
        <f>INDEX('Capital Costs_Nominal$'!$F:$F,MATCH('Capital Cost Escalation'!$E64,'Capital Costs_Nominal$'!$C:$C,0),1)</f>
        <v>2.3944839450136257E-3</v>
      </c>
      <c r="G64" s="490">
        <f>IFERROR(IF(G$6&lt;=$E$9,INDEX('Capital Costs'!$H$15:$K$55,MATCH('Capital Cost Escalation'!$E64,'Capital Costs'!$B$15:$B$55,0),MATCH('Capital Cost Escalation'!$C64,'Capital Costs'!$H$7:$K$7,0))*G$9*(1+$F64)^(G$3), 0),0)</f>
        <v>5895.0034698308</v>
      </c>
      <c r="H64" s="490">
        <f>IFERROR(IF(H$6&lt;=$E$9,INDEX('Capital Costs'!$H$15:$K$55,MATCH('Capital Cost Escalation'!$E64,'Capital Costs'!$B$15:$B$55,0),MATCH('Capital Cost Escalation'!$C64,'Capital Costs'!$H$7:$K$7,0))*H$9*(1+$F64)^(H$3), 0),0)</f>
        <v>29545.594804975546</v>
      </c>
      <c r="I64" s="490">
        <f>IFERROR(IF(I$6&lt;=$E$9,INDEX('Capital Costs'!$H$15:$K$55,MATCH('Capital Cost Escalation'!$E64,'Capital Costs'!$B$15:$B$55,0),MATCH('Capital Cost Escalation'!$C64,'Capital Costs'!$H$7:$K$7,0))*I$9*(1+$F64)^(I$3), 0),0)</f>
        <v>29616.341257381937</v>
      </c>
      <c r="J64" s="490">
        <f>IFERROR(IF(J$6&lt;=$E$9,INDEX('Capital Costs'!$H$15:$K$55,MATCH('Capital Cost Escalation'!$E64,'Capital Costs'!$B$15:$B$55,0),MATCH('Capital Cost Escalation'!$C64,'Capital Costs'!$H$7:$K$7,0))*J$9*(1+$F64)^(J$3), 0),0)</f>
        <v>1003429.2903529081</v>
      </c>
      <c r="K64" s="490">
        <f>IFERROR(IF(K$6&lt;=$E$9,INDEX('Capital Costs'!$H$15:$K$55,MATCH('Capital Cost Escalation'!$E64,'Capital Costs'!$B$15:$B$55,0),MATCH('Capital Cost Escalation'!$C64,'Capital Costs'!$H$7:$K$7,0))*K$9*(1+$F64)^(K$3), 0),0)</f>
        <v>982025.31146136939</v>
      </c>
      <c r="L64" s="490">
        <f>IFERROR(IF(L$6&lt;=$E$9,INDEX('Capital Costs'!$H$15:$K$55,MATCH('Capital Cost Escalation'!$E64,'Capital Costs'!$B$15:$B$55,0),MATCH('Capital Cost Escalation'!$C64,'Capital Costs'!$H$7:$K$7,0))*L$9*(1+$F64)^(L$3), 0),0)</f>
        <v>143182.0734986561</v>
      </c>
      <c r="M64" s="490">
        <f>IFERROR(IF(M$6&lt;=$E$9,INDEX('Capital Costs'!$H$15:$K$55,MATCH('Capital Cost Escalation'!$E64,'Capital Costs'!$B$15:$B$55,0),MATCH('Capital Cost Escalation'!$C64,'Capital Costs'!$H$7:$K$7,0))*M$9*(1+$F64)^(M$3), 0),0)</f>
        <v>215287.3810122936</v>
      </c>
      <c r="N64" s="490">
        <f>IFERROR(IF(N$6&lt;=$E$9,INDEX('Capital Costs'!$H$15:$K$55,MATCH('Capital Cost Escalation'!$E64,'Capital Costs'!$B$15:$B$55,0),MATCH('Capital Cost Escalation'!$C64,'Capital Costs'!$H$7:$K$7,0))*N$9*(1+$F64)^(N$3), 0),0)</f>
        <v>869206.05729181319</v>
      </c>
      <c r="O64" s="490">
        <f>IFERROR(IF(O$6&lt;=$E$9,INDEX('Capital Costs'!$H$15:$K$55,MATCH('Capital Cost Escalation'!$E64,'Capital Costs'!$B$15:$B$55,0),MATCH('Capital Cost Escalation'!$C64,'Capital Costs'!$H$7:$K$7,0))*O$9*(1+$F64)^(O$3), 0),0)</f>
        <v>919358.38384730218</v>
      </c>
      <c r="P64" s="490">
        <f>IFERROR(IF(P$6&lt;=$E$9,INDEX('Capital Costs'!$H$15:$K$55,MATCH('Capital Cost Escalation'!$E64,'Capital Costs'!$B$15:$B$55,0),MATCH('Capital Cost Escalation'!$C64,'Capital Costs'!$H$7:$K$7,0))*P$9*(1+$F64)^(P$3), 0),0)</f>
        <v>770978.11052518734</v>
      </c>
      <c r="Q64" s="490">
        <f>IFERROR(IF(Q$6&lt;=$E$9,INDEX('Capital Costs'!$H$15:$K$55,MATCH('Capital Cost Escalation'!$E64,'Capital Costs'!$B$15:$B$55,0),MATCH('Capital Cost Escalation'!$C64,'Capital Costs'!$H$7:$K$7,0))*Q$9*(1+$F64)^(Q$3), 0),0)</f>
        <v>821125.71805984655</v>
      </c>
      <c r="R64" s="490">
        <f>IFERROR(IF(R$6&lt;=$E$9,INDEX('Capital Costs'!$H$15:$K$55,MATCH('Capital Cost Escalation'!$E64,'Capital Costs'!$B$15:$B$55,0),MATCH('Capital Cost Escalation'!$C64,'Capital Costs'!$H$7:$K$7,0))*R$9*(1+$F64)^(R$3), 0),0)</f>
        <v>871509.0604326129</v>
      </c>
      <c r="S64" s="490">
        <f>IFERROR(IF(S$6&lt;=$E$9,INDEX('Capital Costs'!$H$15:$K$55,MATCH('Capital Cost Escalation'!$E64,'Capital Costs'!$B$15:$B$55,0),MATCH('Capital Cost Escalation'!$C64,'Capital Costs'!$H$7:$K$7,0))*S$9*(1+$F64)^(S$3), 0),0)</f>
        <v>1668325.4555109856</v>
      </c>
      <c r="T64" s="490">
        <f>IFERROR(IF(T$6&lt;=$E$9,INDEX('Capital Costs'!$H$15:$K$55,MATCH('Capital Cost Escalation'!$E64,'Capital Costs'!$B$15:$B$55,0),MATCH('Capital Cost Escalation'!$C64,'Capital Costs'!$H$7:$K$7,0))*T$9*(1+$F64)^(T$3), 0),0)</f>
        <v>2365572.9855904868</v>
      </c>
      <c r="U64" s="490">
        <f>IFERROR(IF(U$6&lt;=$E$9,INDEX('Capital Costs'!$H$15:$K$55,MATCH('Capital Cost Escalation'!$E64,'Capital Costs'!$B$15:$B$55,0),MATCH('Capital Cost Escalation'!$C64,'Capital Costs'!$H$7:$K$7,0))*U$9*(1+$F64)^(U$3), 0),0)</f>
        <v>2584587.7129591322</v>
      </c>
      <c r="V64" s="490">
        <f>IFERROR(IF(V$6&lt;=$E$9,INDEX('Capital Costs'!$H$15:$K$55,MATCH('Capital Cost Escalation'!$E64,'Capital Costs'!$B$15:$B$55,0),MATCH('Capital Cost Escalation'!$C64,'Capital Costs'!$H$7:$K$7,0))*V$9*(1+$F64)^(V$3), 0),0)</f>
        <v>2957395.778073749</v>
      </c>
      <c r="W64" s="490">
        <f>IFERROR(IF(W$6&lt;=$E$9,INDEX('Capital Costs'!$H$15:$K$55,MATCH('Capital Cost Escalation'!$E64,'Capital Costs'!$B$15:$B$55,0),MATCH('Capital Cost Escalation'!$C64,'Capital Costs'!$H$7:$K$7,0))*W$9*(1+$F64)^(W$3), 0),0)</f>
        <v>3264599.9080156009</v>
      </c>
      <c r="X64" s="490">
        <f>IFERROR(IF(X$6&lt;=$E$9,INDEX('Capital Costs'!$H$15:$K$55,MATCH('Capital Cost Escalation'!$E64,'Capital Costs'!$B$15:$B$55,0),MATCH('Capital Cost Escalation'!$C64,'Capital Costs'!$H$7:$K$7,0))*X$9*(1+$F64)^(X$3), 0),0)</f>
        <v>3831122.2713157898</v>
      </c>
      <c r="Y64" s="490">
        <f>IFERROR(IF(Y$6&lt;=$E$9,INDEX('Capital Costs'!$H$15:$K$55,MATCH('Capital Cost Escalation'!$E64,'Capital Costs'!$B$15:$B$55,0),MATCH('Capital Cost Escalation'!$C64,'Capital Costs'!$H$7:$K$7,0))*Y$9*(1+$F64)^(Y$3), 0),0)</f>
        <v>3914147.6750105675</v>
      </c>
      <c r="Z64" s="490">
        <f>IFERROR(IF(Z$6&lt;=$E$9,INDEX('Capital Costs'!$H$15:$K$55,MATCH('Capital Cost Escalation'!$E64,'Capital Costs'!$B$15:$B$55,0),MATCH('Capital Cost Escalation'!$C64,'Capital Costs'!$H$7:$K$7,0))*Z$9*(1+$F64)^(Z$3), 0),0)</f>
        <v>3837153.2454703855</v>
      </c>
      <c r="AA64" s="490">
        <f>IFERROR(IF(AA$6&lt;=$E$9,INDEX('Capital Costs'!$H$15:$K$55,MATCH('Capital Cost Escalation'!$E64,'Capital Costs'!$B$15:$B$55,0),MATCH('Capital Cost Escalation'!$C64,'Capital Costs'!$H$7:$K$7,0))*AA$9*(1+$F64)^(AA$3), 0),0)</f>
        <v>3957650.1580051151</v>
      </c>
      <c r="AB64" s="490">
        <f>IFERROR(IF(AB$6&lt;=$E$9,INDEX('Capital Costs'!$H$15:$K$55,MATCH('Capital Cost Escalation'!$E64,'Capital Costs'!$B$15:$B$55,0),MATCH('Capital Cost Escalation'!$C64,'Capital Costs'!$H$7:$K$7,0))*AB$9*(1+$F64)^(AB$3), 0),0)</f>
        <v>3762571.7179303789</v>
      </c>
      <c r="AC64" s="490">
        <f>IFERROR(IF(AC$6&lt;=$E$9,INDEX('Capital Costs'!$H$15:$K$55,MATCH('Capital Cost Escalation'!$E64,'Capital Costs'!$B$15:$B$55,0),MATCH('Capital Cost Escalation'!$C64,'Capital Costs'!$H$7:$K$7,0))*AC$9*(1+$F64)^(AC$3), 0),0)</f>
        <v>3864783.3052414753</v>
      </c>
      <c r="AD64" s="490">
        <f>IFERROR(IF(AD$6&lt;=$E$9,INDEX('Capital Costs'!$H$15:$K$55,MATCH('Capital Cost Escalation'!$E64,'Capital Costs'!$B$15:$B$55,0),MATCH('Capital Cost Escalation'!$C64,'Capital Costs'!$H$7:$K$7,0))*AD$9*(1+$F64)^(AD$3), 0),0)</f>
        <v>3867809.1107608578</v>
      </c>
      <c r="AE64" s="490">
        <f>IFERROR(IF(AE$6&lt;=$E$9,INDEX('Capital Costs'!$H$15:$K$55,MATCH('Capital Cost Escalation'!$E64,'Capital Costs'!$B$15:$B$55,0),MATCH('Capital Cost Escalation'!$C64,'Capital Costs'!$H$7:$K$7,0))*AE$9*(1+$F64)^(AE$3), 0),0)</f>
        <v>3664799.3459240659</v>
      </c>
      <c r="AF64" s="490">
        <f>IFERROR(IF(AF$6&lt;=$E$9,INDEX('Capital Costs'!$H$15:$K$55,MATCH('Capital Cost Escalation'!$E64,'Capital Costs'!$B$15:$B$55,0),MATCH('Capital Cost Escalation'!$C64,'Capital Costs'!$H$7:$K$7,0))*AF$9*(1+$F64)^(AF$3), 0),0)</f>
        <v>3617250.6766458531</v>
      </c>
      <c r="AG64" s="490">
        <f>IFERROR(IF(AG$6&lt;=$E$9,INDEX('Capital Costs'!$H$15:$K$55,MATCH('Capital Cost Escalation'!$E64,'Capital Costs'!$B$15:$B$55,0),MATCH('Capital Cost Escalation'!$C64,'Capital Costs'!$H$7:$K$7,0))*AG$9*(1+$F64)^(AG$3), 0),0)</f>
        <v>3092689.7539461451</v>
      </c>
      <c r="AH64" s="490">
        <f>IFERROR(IF(AH$6&lt;=$E$9,INDEX('Capital Costs'!$H$15:$K$55,MATCH('Capital Cost Escalation'!$E64,'Capital Costs'!$B$15:$B$55,0),MATCH('Capital Cost Escalation'!$C64,'Capital Costs'!$H$7:$K$7,0))*AH$9*(1+$F64)^(AH$3), 0),0)</f>
        <v>2615901.7897811225</v>
      </c>
      <c r="AI64" s="490">
        <f>IFERROR(IF(AI$6&lt;=$E$9,INDEX('Capital Costs'!$H$15:$K$55,MATCH('Capital Cost Escalation'!$E64,'Capital Costs'!$B$15:$B$55,0),MATCH('Capital Cost Escalation'!$C64,'Capital Costs'!$H$7:$K$7,0))*AI$9*(1+$F64)^(AI$3), 0),0)</f>
        <v>1500181.2376423066</v>
      </c>
      <c r="AJ64" s="490">
        <f>IFERROR(IF(AJ$6&lt;=$E$9,INDEX('Capital Costs'!$H$15:$K$55,MATCH('Capital Cost Escalation'!$E64,'Capital Costs'!$B$15:$B$55,0),MATCH('Capital Cost Escalation'!$C64,'Capital Costs'!$H$7:$K$7,0))*AJ$9*(1+$F64)^(AJ$3), 0),0)</f>
        <v>448604.66901118529</v>
      </c>
      <c r="AK64" s="490">
        <f>IFERROR(IF(AK$6&lt;=$E$9,INDEX('Capital Costs'!$H$15:$K$55,MATCH('Capital Cost Escalation'!$E64,'Capital Costs'!$B$15:$B$55,0),MATCH('Capital Cost Escalation'!$C64,'Capital Costs'!$H$7:$K$7,0))*AK$9*(1+$F64)^(AK$3), 0),0)</f>
        <v>107669.58277055553</v>
      </c>
      <c r="AL64" s="490">
        <f>IFERROR(IF(AL$6&lt;=$E$9,INDEX('Capital Costs'!$H$15:$K$55,MATCH('Capital Cost Escalation'!$E64,'Capital Costs'!$B$15:$B$55,0),MATCH('Capital Cost Escalation'!$C64,'Capital Costs'!$H$7:$K$7,0))*AL$9*(1+$F64)^(AL$3), 0),0)</f>
        <v>76184.044134964206</v>
      </c>
      <c r="AM64" s="490">
        <f>IFERROR(IF(AM$6&lt;=$E$9,INDEX('Capital Costs'!$H$15:$K$55,MATCH('Capital Cost Escalation'!$E64,'Capital Costs'!$B$15:$B$55,0),MATCH('Capital Cost Escalation'!$C64,'Capital Costs'!$H$7:$K$7,0))*AM$9*(1+$F64)^(AM$3), 0),0)</f>
        <v>0</v>
      </c>
      <c r="AN64" s="490">
        <f>IFERROR(IF(AN$6&lt;=$E$9,INDEX('Capital Costs'!$H$15:$K$55,MATCH('Capital Cost Escalation'!$E64,'Capital Costs'!$B$15:$B$55,0),MATCH('Capital Cost Escalation'!$C64,'Capital Costs'!$H$7:$K$7,0))*AN$9*(1+$F64)^(AN$3), 0),0)</f>
        <v>0</v>
      </c>
      <c r="AO64" s="490">
        <f>IFERROR(IF(AO$6&lt;=$E$9,INDEX('Capital Costs'!$H$15:$K$55,MATCH('Capital Cost Escalation'!$E64,'Capital Costs'!$B$15:$B$55,0),MATCH('Capital Cost Escalation'!$C64,'Capital Costs'!$H$7:$K$7,0))*AO$9*(1+$F64)^(AO$3), 0),0)</f>
        <v>0</v>
      </c>
      <c r="AP64" s="490">
        <f>IFERROR(IF(AP$6&lt;=$E$9,INDEX('Capital Costs'!$H$15:$K$55,MATCH('Capital Cost Escalation'!$E64,'Capital Costs'!$B$15:$B$55,0),MATCH('Capital Cost Escalation'!$C64,'Capital Costs'!$H$7:$K$7,0))*AP$9*(1+$F64)^(AP$3), 0),0)</f>
        <v>0</v>
      </c>
      <c r="AQ64" s="490">
        <f>IFERROR(IF(AQ$6&lt;=$E$9,INDEX('Capital Costs'!$H$15:$K$55,MATCH('Capital Cost Escalation'!$E64,'Capital Costs'!$B$15:$B$55,0),MATCH('Capital Cost Escalation'!$C64,'Capital Costs'!$H$7:$K$7,0))*AQ$9*(1+$F64)^(AQ$3), 0),0)</f>
        <v>0</v>
      </c>
      <c r="AR64" s="490">
        <f>IFERROR(IF(AR$6&lt;=$E$9,INDEX('Capital Costs'!$H$15:$K$55,MATCH('Capital Cost Escalation'!$E64,'Capital Costs'!$B$15:$B$55,0),MATCH('Capital Cost Escalation'!$C64,'Capital Costs'!$H$7:$K$7,0))*AR$9*(1+$F64)^(AR$3), 0),0)</f>
        <v>0</v>
      </c>
      <c r="AS64" s="490">
        <f>IFERROR(IF(AS$6&lt;=$E$9,INDEX('Capital Costs'!$H$15:$K$55,MATCH('Capital Cost Escalation'!$E64,'Capital Costs'!$B$15:$B$55,0),MATCH('Capital Cost Escalation'!$C64,'Capital Costs'!$H$7:$K$7,0))*AS$9*(1+$F64)^(AS$3), 0),0)</f>
        <v>0</v>
      </c>
      <c r="AT64" s="490">
        <f>IFERROR(IF(AT$6&lt;=$E$9,INDEX('Capital Costs'!$H$15:$K$55,MATCH('Capital Cost Escalation'!$E64,'Capital Costs'!$B$15:$B$55,0),MATCH('Capital Cost Escalation'!$C64,'Capital Costs'!$H$7:$K$7,0))*AT$9*(1+$F64)^(AT$3), 0),0)</f>
        <v>0</v>
      </c>
      <c r="AV64" s="827">
        <f t="shared" si="9"/>
        <v>61660158.749754898</v>
      </c>
      <c r="AW64" s="828">
        <f>INDEX('Capital Costs'!$H$15:$K$55,MATCH('Capital Cost Escalation'!$E64,'Capital Costs'!$B$15:$B$55,0),MATCH('Capital Cost Escalation'!$C64,'Capital Costs'!$H$7:$K$7,0))</f>
        <v>55000000</v>
      </c>
    </row>
    <row r="65" spans="1:49">
      <c r="A65" s="487" t="str">
        <f t="shared" si="4"/>
        <v>CC_SWMAAC_Steam Turbines</v>
      </c>
      <c r="B65" s="478" t="s">
        <v>77</v>
      </c>
      <c r="C65" s="488" t="s">
        <v>121</v>
      </c>
      <c r="E65" s="442" t="s">
        <v>135</v>
      </c>
      <c r="F65" s="1325">
        <f>INDEX('Capital Costs_Nominal$'!$F:$F,MATCH('Capital Cost Escalation'!$E65,'Capital Costs_Nominal$'!$C:$C,0),1)</f>
        <v>2.3944839450136257E-3</v>
      </c>
      <c r="G65" s="490">
        <f>IFERROR(IF(G$6&lt;=$E$9,INDEX('Capital Costs'!$H$15:$K$55,MATCH('Capital Cost Escalation'!$E65,'Capital Costs'!$B$15:$B$55,0),MATCH('Capital Cost Escalation'!$C65,'Capital Costs'!$H$7:$K$7,0))*G$9*(1+$F65)^(G$3), 0),0)</f>
        <v>8102.9502239856092</v>
      </c>
      <c r="H65" s="490">
        <f>IFERROR(IF(H$6&lt;=$E$9,INDEX('Capital Costs'!$H$15:$K$55,MATCH('Capital Cost Escalation'!$E65,'Capital Costs'!$B$15:$B$55,0),MATCH('Capital Cost Escalation'!$C65,'Capital Costs'!$H$7:$K$7,0))*H$9*(1+$F65)^(H$3), 0),0)</f>
        <v>40611.763041020931</v>
      </c>
      <c r="I65" s="490">
        <f>IFERROR(IF(I$6&lt;=$E$9,INDEX('Capital Costs'!$H$15:$K$55,MATCH('Capital Cost Escalation'!$E65,'Capital Costs'!$B$15:$B$55,0),MATCH('Capital Cost Escalation'!$C65,'Capital Costs'!$H$7:$K$7,0))*I$9*(1+$F65)^(I$3), 0),0)</f>
        <v>40709.007255601347</v>
      </c>
      <c r="J65" s="490">
        <f>IFERROR(IF(J$6&lt;=$E$9,INDEX('Capital Costs'!$H$15:$K$55,MATCH('Capital Cost Escalation'!$E65,'Capital Costs'!$B$15:$B$55,0),MATCH('Capital Cost Escalation'!$C65,'Capital Costs'!$H$7:$K$7,0))*J$9*(1+$F65)^(J$3), 0),0)</f>
        <v>1379259.1700123609</v>
      </c>
      <c r="K65" s="490">
        <f>IFERROR(IF(K$6&lt;=$E$9,INDEX('Capital Costs'!$H$15:$K$55,MATCH('Capital Cost Escalation'!$E65,'Capital Costs'!$B$15:$B$55,0),MATCH('Capital Cost Escalation'!$C65,'Capital Costs'!$H$7:$K$7,0))*K$9*(1+$F65)^(K$3), 0),0)</f>
        <v>1349838.4281178096</v>
      </c>
      <c r="L65" s="490">
        <f>IFERROR(IF(L$6&lt;=$E$9,INDEX('Capital Costs'!$H$15:$K$55,MATCH('Capital Cost Escalation'!$E65,'Capital Costs'!$B$15:$B$55,0),MATCH('Capital Cost Escalation'!$C65,'Capital Costs'!$H$7:$K$7,0))*L$9*(1+$F65)^(L$3), 0),0)</f>
        <v>196810.26829997089</v>
      </c>
      <c r="M65" s="490">
        <f>IFERROR(IF(M$6&lt;=$E$9,INDEX('Capital Costs'!$H$15:$K$55,MATCH('Capital Cost Escalation'!$E65,'Capital Costs'!$B$15:$B$55,0),MATCH('Capital Cost Escalation'!$C65,'Capital Costs'!$H$7:$K$7,0))*M$9*(1+$F65)^(M$3), 0),0)</f>
        <v>295922.29099144356</v>
      </c>
      <c r="N65" s="490">
        <f>IFERROR(IF(N$6&lt;=$E$9,INDEX('Capital Costs'!$H$15:$K$55,MATCH('Capital Cost Escalation'!$E65,'Capital Costs'!$B$15:$B$55,0),MATCH('Capital Cost Escalation'!$C65,'Capital Costs'!$H$7:$K$7,0))*N$9*(1+$F65)^(N$3), 0),0)</f>
        <v>1194763.2351138378</v>
      </c>
      <c r="O65" s="490">
        <f>IFERROR(IF(O$6&lt;=$E$9,INDEX('Capital Costs'!$H$15:$K$55,MATCH('Capital Cost Escalation'!$E65,'Capital Costs'!$B$15:$B$55,0),MATCH('Capital Cost Escalation'!$C65,'Capital Costs'!$H$7:$K$7,0))*O$9*(1+$F65)^(O$3), 0),0)</f>
        <v>1263699.8876155643</v>
      </c>
      <c r="P65" s="490">
        <f>IFERROR(IF(P$6&lt;=$E$9,INDEX('Capital Costs'!$H$15:$K$55,MATCH('Capital Cost Escalation'!$E65,'Capital Costs'!$B$15:$B$55,0),MATCH('Capital Cost Escalation'!$C65,'Capital Costs'!$H$7:$K$7,0))*P$9*(1+$F65)^(P$3), 0),0)</f>
        <v>1059744.4573764394</v>
      </c>
      <c r="Q65" s="490">
        <f>IFERROR(IF(Q$6&lt;=$E$9,INDEX('Capital Costs'!$H$15:$K$55,MATCH('Capital Cost Escalation'!$E65,'Capital Costs'!$B$15:$B$55,0),MATCH('Capital Cost Escalation'!$C65,'Capital Costs'!$H$7:$K$7,0))*Q$9*(1+$F65)^(Q$3), 0),0)</f>
        <v>1128674.6233695347</v>
      </c>
      <c r="R65" s="490">
        <f>IFERROR(IF(R$6&lt;=$E$9,INDEX('Capital Costs'!$H$15:$K$55,MATCH('Capital Cost Escalation'!$E65,'Capital Costs'!$B$15:$B$55,0),MATCH('Capital Cost Escalation'!$C65,'Capital Costs'!$H$7:$K$7,0))*R$9*(1+$F65)^(R$3), 0),0)</f>
        <v>1197928.817612828</v>
      </c>
      <c r="S65" s="490">
        <f>IFERROR(IF(S$6&lt;=$E$9,INDEX('Capital Costs'!$H$15:$K$55,MATCH('Capital Cost Escalation'!$E65,'Capital Costs'!$B$15:$B$55,0),MATCH('Capital Cost Escalation'!$C65,'Capital Costs'!$H$7:$K$7,0))*S$9*(1+$F65)^(S$3), 0),0)</f>
        <v>2293189.1715751002</v>
      </c>
      <c r="T65" s="490">
        <f>IFERROR(IF(T$6&lt;=$E$9,INDEX('Capital Costs'!$H$15:$K$55,MATCH('Capital Cost Escalation'!$E65,'Capital Costs'!$B$15:$B$55,0),MATCH('Capital Cost Escalation'!$C65,'Capital Costs'!$H$7:$K$7,0))*T$9*(1+$F65)^(T$3), 0),0)</f>
        <v>3251587.5947389239</v>
      </c>
      <c r="U65" s="490">
        <f>IFERROR(IF(U$6&lt;=$E$9,INDEX('Capital Costs'!$H$15:$K$55,MATCH('Capital Cost Escalation'!$E65,'Capital Costs'!$B$15:$B$55,0),MATCH('Capital Cost Escalation'!$C65,'Capital Costs'!$H$7:$K$7,0))*U$9*(1+$F65)^(U$3), 0),0)</f>
        <v>3552633.2927220073</v>
      </c>
      <c r="V65" s="490">
        <f>IFERROR(IF(V$6&lt;=$E$9,INDEX('Capital Costs'!$H$15:$K$55,MATCH('Capital Cost Escalation'!$E65,'Capital Costs'!$B$15:$B$55,0),MATCH('Capital Cost Escalation'!$C65,'Capital Costs'!$H$7:$K$7,0))*V$9*(1+$F65)^(V$3), 0),0)</f>
        <v>4065074.9240431897</v>
      </c>
      <c r="W65" s="490">
        <f>IFERROR(IF(W$6&lt;=$E$9,INDEX('Capital Costs'!$H$15:$K$55,MATCH('Capital Cost Escalation'!$E65,'Capital Costs'!$B$15:$B$55,0),MATCH('Capital Cost Escalation'!$C65,'Capital Costs'!$H$7:$K$7,0))*W$9*(1+$F65)^(W$3), 0),0)</f>
        <v>4487340.9644723535</v>
      </c>
      <c r="X65" s="490">
        <f>IFERROR(IF(X$6&lt;=$E$9,INDEX('Capital Costs'!$H$15:$K$55,MATCH('Capital Cost Escalation'!$E65,'Capital Costs'!$B$15:$B$55,0),MATCH('Capital Cost Escalation'!$C65,'Capital Costs'!$H$7:$K$7,0))*X$9*(1+$F65)^(X$3), 0),0)</f>
        <v>5266051.7038449766</v>
      </c>
      <c r="Y65" s="490">
        <f>IFERROR(IF(Y$6&lt;=$E$9,INDEX('Capital Costs'!$H$15:$K$55,MATCH('Capital Cost Escalation'!$E65,'Capital Costs'!$B$15:$B$55,0),MATCH('Capital Cost Escalation'!$C65,'Capital Costs'!$H$7:$K$7,0))*Y$9*(1+$F65)^(Y$3), 0),0)</f>
        <v>5380173.8951054346</v>
      </c>
      <c r="Z65" s="490">
        <f>IFERROR(IF(Z$6&lt;=$E$9,INDEX('Capital Costs'!$H$15:$K$55,MATCH('Capital Cost Escalation'!$E65,'Capital Costs'!$B$15:$B$55,0),MATCH('Capital Cost Escalation'!$C65,'Capital Costs'!$H$7:$K$7,0))*Z$9*(1+$F65)^(Z$3), 0),0)</f>
        <v>5274341.5519556571</v>
      </c>
      <c r="AA65" s="490">
        <f>IFERROR(IF(AA$6&lt;=$E$9,INDEX('Capital Costs'!$H$15:$K$55,MATCH('Capital Cost Escalation'!$E65,'Capital Costs'!$B$15:$B$55,0),MATCH('Capital Cost Escalation'!$C65,'Capital Costs'!$H$7:$K$7,0))*AA$9*(1+$F65)^(AA$3), 0),0)</f>
        <v>5439970.0353670307</v>
      </c>
      <c r="AB65" s="490">
        <f>IFERROR(IF(AB$6&lt;=$E$9,INDEX('Capital Costs'!$H$15:$K$55,MATCH('Capital Cost Escalation'!$E65,'Capital Costs'!$B$15:$B$55,0),MATCH('Capital Cost Escalation'!$C65,'Capital Costs'!$H$7:$K$7,0))*AB$9*(1+$F65)^(AB$3), 0),0)</f>
        <v>5171825.8522824841</v>
      </c>
      <c r="AC65" s="490">
        <f>IFERROR(IF(AC$6&lt;=$E$9,INDEX('Capital Costs'!$H$15:$K$55,MATCH('Capital Cost Escalation'!$E65,'Capital Costs'!$B$15:$B$55,0),MATCH('Capital Cost Escalation'!$C65,'Capital Costs'!$H$7:$K$7,0))*AC$9*(1+$F65)^(AC$3), 0),0)</f>
        <v>5312320.3250228278</v>
      </c>
      <c r="AD65" s="490">
        <f>IFERROR(IF(AD$6&lt;=$E$9,INDEX('Capital Costs'!$H$15:$K$55,MATCH('Capital Cost Escalation'!$E65,'Capital Costs'!$B$15:$B$55,0),MATCH('Capital Cost Escalation'!$C65,'Capital Costs'!$H$7:$K$7,0))*AD$9*(1+$F65)^(AD$3), 0),0)</f>
        <v>5316479.4322458338</v>
      </c>
      <c r="AE65" s="490">
        <f>IFERROR(IF(AE$6&lt;=$E$9,INDEX('Capital Costs'!$H$15:$K$55,MATCH('Capital Cost Escalation'!$E65,'Capital Costs'!$B$15:$B$55,0),MATCH('Capital Cost Escalation'!$C65,'Capital Costs'!$H$7:$K$7,0))*AE$9*(1+$F65)^(AE$3), 0),0)</f>
        <v>5037433.2827610793</v>
      </c>
      <c r="AF65" s="490">
        <f>IFERROR(IF(AF$6&lt;=$E$9,INDEX('Capital Costs'!$H$15:$K$55,MATCH('Capital Cost Escalation'!$E65,'Capital Costs'!$B$15:$B$55,0),MATCH('Capital Cost Escalation'!$C65,'Capital Costs'!$H$7:$K$7,0))*AF$9*(1+$F65)^(AF$3), 0),0)</f>
        <v>4972075.4755350268</v>
      </c>
      <c r="AG65" s="490">
        <f>IFERROR(IF(AG$6&lt;=$E$9,INDEX('Capital Costs'!$H$15:$K$55,MATCH('Capital Cost Escalation'!$E65,'Capital Costs'!$B$15:$B$55,0),MATCH('Capital Cost Escalation'!$C65,'Capital Costs'!$H$7:$K$7,0))*AG$9*(1+$F65)^(AG$3), 0),0)</f>
        <v>4251042.6436059736</v>
      </c>
      <c r="AH65" s="490">
        <f>IFERROR(IF(AH$6&lt;=$E$9,INDEX('Capital Costs'!$H$15:$K$55,MATCH('Capital Cost Escalation'!$E65,'Capital Costs'!$B$15:$B$55,0),MATCH('Capital Cost Escalation'!$C65,'Capital Costs'!$H$7:$K$7,0))*AH$9*(1+$F65)^(AH$3), 0),0)</f>
        <v>3595675.9146809611</v>
      </c>
      <c r="AI65" s="490">
        <f>IFERROR(IF(AI$6&lt;=$E$9,INDEX('Capital Costs'!$H$15:$K$55,MATCH('Capital Cost Escalation'!$E65,'Capital Costs'!$B$15:$B$55,0),MATCH('Capital Cost Escalation'!$C65,'Capital Costs'!$H$7:$K$7,0))*AI$9*(1+$F65)^(AI$3), 0),0)</f>
        <v>2062067.3011956066</v>
      </c>
      <c r="AJ65" s="490">
        <f>IFERROR(IF(AJ$6&lt;=$E$9,INDEX('Capital Costs'!$H$15:$K$55,MATCH('Capital Cost Escalation'!$E65,'Capital Costs'!$B$15:$B$55,0),MATCH('Capital Cost Escalation'!$C65,'Capital Costs'!$H$7:$K$7,0))*AJ$9*(1+$F65)^(AJ$3), 0),0)</f>
        <v>616627.50867719285</v>
      </c>
      <c r="AK65" s="490">
        <f>IFERROR(IF(AK$6&lt;=$E$9,INDEX('Capital Costs'!$H$15:$K$55,MATCH('Capital Cost Escalation'!$E65,'Capital Costs'!$B$15:$B$55,0),MATCH('Capital Cost Escalation'!$C65,'Capital Costs'!$H$7:$K$7,0))*AK$9*(1+$F65)^(AK$3), 0),0)</f>
        <v>147996.73559007273</v>
      </c>
      <c r="AL65" s="490">
        <f>IFERROR(IF(AL$6&lt;=$E$9,INDEX('Capital Costs'!$H$15:$K$55,MATCH('Capital Cost Escalation'!$E65,'Capital Costs'!$B$15:$B$55,0),MATCH('Capital Cost Escalation'!$C65,'Capital Costs'!$H$7:$K$7,0))*AL$9*(1+$F65)^(AL$3), 0),0)</f>
        <v>104718.43157460533</v>
      </c>
      <c r="AM65" s="490">
        <f>IFERROR(IF(AM$6&lt;=$E$9,INDEX('Capital Costs'!$H$15:$K$55,MATCH('Capital Cost Escalation'!$E65,'Capital Costs'!$B$15:$B$55,0),MATCH('Capital Cost Escalation'!$C65,'Capital Costs'!$H$7:$K$7,0))*AM$9*(1+$F65)^(AM$3), 0),0)</f>
        <v>0</v>
      </c>
      <c r="AN65" s="490">
        <f>IFERROR(IF(AN$6&lt;=$E$9,INDEX('Capital Costs'!$H$15:$K$55,MATCH('Capital Cost Escalation'!$E65,'Capital Costs'!$B$15:$B$55,0),MATCH('Capital Cost Escalation'!$C65,'Capital Costs'!$H$7:$K$7,0))*AN$9*(1+$F65)^(AN$3), 0),0)</f>
        <v>0</v>
      </c>
      <c r="AO65" s="490">
        <f>IFERROR(IF(AO$6&lt;=$E$9,INDEX('Capital Costs'!$H$15:$K$55,MATCH('Capital Cost Escalation'!$E65,'Capital Costs'!$B$15:$B$55,0),MATCH('Capital Cost Escalation'!$C65,'Capital Costs'!$H$7:$K$7,0))*AO$9*(1+$F65)^(AO$3), 0),0)</f>
        <v>0</v>
      </c>
      <c r="AP65" s="490">
        <f>IFERROR(IF(AP$6&lt;=$E$9,INDEX('Capital Costs'!$H$15:$K$55,MATCH('Capital Cost Escalation'!$E65,'Capital Costs'!$B$15:$B$55,0),MATCH('Capital Cost Escalation'!$C65,'Capital Costs'!$H$7:$K$7,0))*AP$9*(1+$F65)^(AP$3), 0),0)</f>
        <v>0</v>
      </c>
      <c r="AQ65" s="490">
        <f>IFERROR(IF(AQ$6&lt;=$E$9,INDEX('Capital Costs'!$H$15:$K$55,MATCH('Capital Cost Escalation'!$E65,'Capital Costs'!$B$15:$B$55,0),MATCH('Capital Cost Escalation'!$C65,'Capital Costs'!$H$7:$K$7,0))*AQ$9*(1+$F65)^(AQ$3), 0),0)</f>
        <v>0</v>
      </c>
      <c r="AR65" s="490">
        <f>IFERROR(IF(AR$6&lt;=$E$9,INDEX('Capital Costs'!$H$15:$K$55,MATCH('Capital Cost Escalation'!$E65,'Capital Costs'!$B$15:$B$55,0),MATCH('Capital Cost Escalation'!$C65,'Capital Costs'!$H$7:$K$7,0))*AR$9*(1+$F65)^(AR$3), 0),0)</f>
        <v>0</v>
      </c>
      <c r="AS65" s="490">
        <f>IFERROR(IF(AS$6&lt;=$E$9,INDEX('Capital Costs'!$H$15:$K$55,MATCH('Capital Cost Escalation'!$E65,'Capital Costs'!$B$15:$B$55,0),MATCH('Capital Cost Escalation'!$C65,'Capital Costs'!$H$7:$K$7,0))*AS$9*(1+$F65)^(AS$3), 0),0)</f>
        <v>0</v>
      </c>
      <c r="AT65" s="490">
        <f>IFERROR(IF(AT$6&lt;=$E$9,INDEX('Capital Costs'!$H$15:$K$55,MATCH('Capital Cost Escalation'!$E65,'Capital Costs'!$B$15:$B$55,0),MATCH('Capital Cost Escalation'!$C65,'Capital Costs'!$H$7:$K$7,0))*AT$9*(1+$F65)^(AT$3), 0),0)</f>
        <v>0</v>
      </c>
      <c r="AV65" s="827">
        <f>SUM(G65:AT65)</f>
        <v>84754690.936026722</v>
      </c>
      <c r="AW65" s="828">
        <f>INDEX('Capital Costs'!$H$15:$K$55,MATCH('Capital Cost Escalation'!$E65,'Capital Costs'!$B$15:$B$55,0),MATCH('Capital Cost Escalation'!$C65,'Capital Costs'!$H$7:$K$7,0))</f>
        <v>75600000</v>
      </c>
    </row>
    <row r="66" spans="1:49">
      <c r="A66" s="487" t="str">
        <f t="shared" si="4"/>
        <v>CC_SWMAAC_Other Equipment</v>
      </c>
      <c r="B66" s="478" t="s">
        <v>77</v>
      </c>
      <c r="C66" s="488" t="s">
        <v>121</v>
      </c>
      <c r="E66" s="442" t="s">
        <v>136</v>
      </c>
      <c r="F66" s="1325">
        <f>INDEX('Capital Costs_Nominal$'!$F:$F,MATCH('Capital Cost Escalation'!$E66,'Capital Costs_Nominal$'!$C:$C,0),1)</f>
        <v>2.3944839450136257E-3</v>
      </c>
      <c r="G66" s="490">
        <f>IFERROR(IF(G$6&lt;=$E$9,INDEX('Capital Costs'!$H$15:$K$55,MATCH('Capital Cost Escalation'!$E66,'Capital Costs'!$B$15:$B$55,0),MATCH('Capital Cost Escalation'!$C66,'Capital Costs'!$H$7:$K$7,0))*G$9*(1+$F66)^(G$3), 0),0)</f>
        <v>8254.5054041008952</v>
      </c>
      <c r="H66" s="490">
        <f>IFERROR(IF(H$6&lt;=$E$9,INDEX('Capital Costs'!$H$15:$K$55,MATCH('Capital Cost Escalation'!$E66,'Capital Costs'!$B$15:$B$55,0),MATCH('Capital Cost Escalation'!$C66,'Capital Costs'!$H$7:$K$7,0))*H$9*(1+$F66)^(H$3), 0),0)</f>
        <v>41371.35342382521</v>
      </c>
      <c r="I66" s="490">
        <f>IFERROR(IF(I$6&lt;=$E$9,INDEX('Capital Costs'!$H$15:$K$55,MATCH('Capital Cost Escalation'!$E66,'Capital Costs'!$B$15:$B$55,0),MATCH('Capital Cost Escalation'!$C66,'Capital Costs'!$H$7:$K$7,0))*I$9*(1+$F66)^(I$3), 0),0)</f>
        <v>41470.416465382041</v>
      </c>
      <c r="J66" s="490">
        <f>IFERROR(IF(J$6&lt;=$E$9,INDEX('Capital Costs'!$H$15:$K$55,MATCH('Capital Cost Escalation'!$E66,'Capital Costs'!$B$15:$B$55,0),MATCH('Capital Cost Escalation'!$C66,'Capital Costs'!$H$7:$K$7,0))*J$9*(1+$F66)^(J$3), 0),0)</f>
        <v>1405056.4248588884</v>
      </c>
      <c r="K66" s="490">
        <f>IFERROR(IF(K$6&lt;=$E$9,INDEX('Capital Costs'!$H$15:$K$55,MATCH('Capital Cost Escalation'!$E66,'Capital Costs'!$B$15:$B$55,0),MATCH('Capital Cost Escalation'!$C66,'Capital Costs'!$H$7:$K$7,0))*K$9*(1+$F66)^(K$3), 0),0)</f>
        <v>1375085.4061251981</v>
      </c>
      <c r="L66" s="490">
        <f>IFERROR(IF(L$6&lt;=$E$9,INDEX('Capital Costs'!$H$15:$K$55,MATCH('Capital Cost Escalation'!$E66,'Capital Costs'!$B$15:$B$55,0),MATCH('Capital Cost Escalation'!$C66,'Capital Costs'!$H$7:$K$7,0))*L$9*(1+$F66)^(L$3), 0),0)</f>
        <v>200491.34924409998</v>
      </c>
      <c r="M66" s="490">
        <f>IFERROR(IF(M$6&lt;=$E$9,INDEX('Capital Costs'!$H$15:$K$55,MATCH('Capital Cost Escalation'!$E66,'Capital Costs'!$B$15:$B$55,0),MATCH('Capital Cost Escalation'!$C66,'Capital Costs'!$H$7:$K$7,0))*M$9*(1+$F66)^(M$3), 0),0)</f>
        <v>301457.13384146866</v>
      </c>
      <c r="N66" s="490">
        <f>IFERROR(IF(N$6&lt;=$E$9,INDEX('Capital Costs'!$H$15:$K$55,MATCH('Capital Cost Escalation'!$E66,'Capital Costs'!$B$15:$B$55,0),MATCH('Capital Cost Escalation'!$C66,'Capital Costs'!$H$7:$K$7,0))*N$9*(1+$F66)^(N$3), 0),0)</f>
        <v>1217109.7326594854</v>
      </c>
      <c r="O66" s="490">
        <f>IFERROR(IF(O$6&lt;=$E$9,INDEX('Capital Costs'!$H$15:$K$55,MATCH('Capital Cost Escalation'!$E66,'Capital Costs'!$B$15:$B$55,0),MATCH('Capital Cost Escalation'!$C66,'Capital Costs'!$H$7:$K$7,0))*O$9*(1+$F66)^(O$3), 0),0)</f>
        <v>1287335.7558839296</v>
      </c>
      <c r="P66" s="490">
        <f>IFERROR(IF(P$6&lt;=$E$9,INDEX('Capital Costs'!$H$15:$K$55,MATCH('Capital Cost Escalation'!$E66,'Capital Costs'!$B$15:$B$55,0),MATCH('Capital Cost Escalation'!$C66,'Capital Costs'!$H$7:$K$7,0))*P$9*(1+$F66)^(P$3), 0),0)</f>
        <v>1079565.6037088507</v>
      </c>
      <c r="Q66" s="490">
        <f>IFERROR(IF(Q$6&lt;=$E$9,INDEX('Capital Costs'!$H$15:$K$55,MATCH('Capital Cost Escalation'!$E66,'Capital Costs'!$B$15:$B$55,0),MATCH('Capital Cost Escalation'!$C66,'Capital Costs'!$H$7:$K$7,0))*Q$9*(1+$F66)^(Q$3), 0),0)</f>
        <v>1149785.0191029278</v>
      </c>
      <c r="R66" s="490">
        <f>IFERROR(IF(R$6&lt;=$E$9,INDEX('Capital Costs'!$H$15:$K$55,MATCH('Capital Cost Escalation'!$E66,'Capital Costs'!$B$15:$B$55,0),MATCH('Capital Cost Escalation'!$C66,'Capital Costs'!$H$7:$K$7,0))*R$9*(1+$F66)^(R$3), 0),0)</f>
        <v>1220334.5232755863</v>
      </c>
      <c r="S66" s="490">
        <f>IFERROR(IF(S$6&lt;=$E$9,INDEX('Capital Costs'!$H$15:$K$55,MATCH('Capital Cost Escalation'!$E66,'Capital Costs'!$B$15:$B$55,0),MATCH('Capital Cost Escalation'!$C66,'Capital Costs'!$H$7:$K$7,0))*S$9*(1+$F66)^(S$3), 0),0)</f>
        <v>2336080.3023767825</v>
      </c>
      <c r="T66" s="490">
        <f>IFERROR(IF(T$6&lt;=$E$9,INDEX('Capital Costs'!$H$15:$K$55,MATCH('Capital Cost Escalation'!$E66,'Capital Costs'!$B$15:$B$55,0),MATCH('Capital Cost Escalation'!$C66,'Capital Costs'!$H$7:$K$7,0))*T$9*(1+$F66)^(T$3), 0),0)</f>
        <v>3312404.3256775592</v>
      </c>
      <c r="U66" s="490">
        <f>IFERROR(IF(U$6&lt;=$E$9,INDEX('Capital Costs'!$H$15:$K$55,MATCH('Capital Cost Escalation'!$E66,'Capital Costs'!$B$15:$B$55,0),MATCH('Capital Cost Escalation'!$C66,'Capital Costs'!$H$7:$K$7,0))*U$9*(1+$F66)^(U$3), 0),0)</f>
        <v>3619080.6931969929</v>
      </c>
      <c r="V66" s="490">
        <f>IFERROR(IF(V$6&lt;=$E$9,INDEX('Capital Costs'!$H$15:$K$55,MATCH('Capital Cost Escalation'!$E66,'Capital Costs'!$B$15:$B$55,0),MATCH('Capital Cost Escalation'!$C66,'Capital Costs'!$H$7:$K$7,0))*V$9*(1+$F66)^(V$3), 0),0)</f>
        <v>4141106.8809558493</v>
      </c>
      <c r="W66" s="490">
        <f>IFERROR(IF(W$6&lt;=$E$9,INDEX('Capital Costs'!$H$15:$K$55,MATCH('Capital Cost Escalation'!$E66,'Capital Costs'!$B$15:$B$55,0),MATCH('Capital Cost Escalation'!$C66,'Capital Costs'!$H$7:$K$7,0))*W$9*(1+$F66)^(W$3), 0),0)</f>
        <v>4571270.8602893362</v>
      </c>
      <c r="X66" s="490">
        <f>IFERROR(IF(X$6&lt;=$E$9,INDEX('Capital Costs'!$H$15:$K$55,MATCH('Capital Cost Escalation'!$E66,'Capital Costs'!$B$15:$B$55,0),MATCH('Capital Cost Escalation'!$C66,'Capital Costs'!$H$7:$K$7,0))*X$9*(1+$F66)^(X$3), 0),0)</f>
        <v>5364546.3746020775</v>
      </c>
      <c r="Y66" s="490">
        <f>IFERROR(IF(Y$6&lt;=$E$9,INDEX('Capital Costs'!$H$15:$K$55,MATCH('Capital Cost Escalation'!$E66,'Capital Costs'!$B$15:$B$55,0),MATCH('Capital Cost Escalation'!$C66,'Capital Costs'!$H$7:$K$7,0))*Y$9*(1+$F66)^(Y$3), 0),0)</f>
        <v>5480803.0735138878</v>
      </c>
      <c r="Z66" s="490">
        <f>IFERROR(IF(Z$6&lt;=$E$9,INDEX('Capital Costs'!$H$15:$K$55,MATCH('Capital Cost Escalation'!$E66,'Capital Costs'!$B$15:$B$55,0),MATCH('Capital Cost Escalation'!$C66,'Capital Costs'!$H$7:$K$7,0))*Z$9*(1+$F66)^(Z$3), 0),0)</f>
        <v>5372991.2735755686</v>
      </c>
      <c r="AA66" s="490">
        <f>IFERROR(IF(AA$6&lt;=$E$9,INDEX('Capital Costs'!$H$15:$K$55,MATCH('Capital Cost Escalation'!$E66,'Capital Costs'!$B$15:$B$55,0),MATCH('Capital Cost Escalation'!$C66,'Capital Costs'!$H$7:$K$7,0))*AA$9*(1+$F66)^(AA$3), 0),0)</f>
        <v>5541717.623065562</v>
      </c>
      <c r="AB66" s="490">
        <f>IFERROR(IF(AB$6&lt;=$E$9,INDEX('Capital Costs'!$H$15:$K$55,MATCH('Capital Cost Escalation'!$E66,'Capital Costs'!$B$15:$B$55,0),MATCH('Capital Cost Escalation'!$C66,'Capital Costs'!$H$7:$K$7,0))*AB$9*(1+$F66)^(AB$3), 0),0)</f>
        <v>5268558.1506307311</v>
      </c>
      <c r="AC66" s="490">
        <f>IFERROR(IF(AC$6&lt;=$E$9,INDEX('Capital Costs'!$H$15:$K$55,MATCH('Capital Cost Escalation'!$E66,'Capital Costs'!$B$15:$B$55,0),MATCH('Capital Cost Escalation'!$C66,'Capital Costs'!$H$7:$K$7,0))*AC$9*(1+$F66)^(AC$3), 0),0)</f>
        <v>5411680.3903612178</v>
      </c>
      <c r="AD66" s="490">
        <f>IFERROR(IF(AD$6&lt;=$E$9,INDEX('Capital Costs'!$H$15:$K$55,MATCH('Capital Cost Escalation'!$E66,'Capital Costs'!$B$15:$B$55,0),MATCH('Capital Cost Escalation'!$C66,'Capital Costs'!$H$7:$K$7,0))*AD$9*(1+$F66)^(AD$3), 0),0)</f>
        <v>5415917.2882933952</v>
      </c>
      <c r="AE66" s="490">
        <f>IFERROR(IF(AE$6&lt;=$E$9,INDEX('Capital Costs'!$H$15:$K$55,MATCH('Capital Cost Escalation'!$E66,'Capital Costs'!$B$15:$B$55,0),MATCH('Capital Cost Escalation'!$C66,'Capital Costs'!$H$7:$K$7,0))*AE$9*(1+$F66)^(AE$3), 0),0)</f>
        <v>5131651.9423090182</v>
      </c>
      <c r="AF66" s="490">
        <f>IFERROR(IF(AF$6&lt;=$E$9,INDEX('Capital Costs'!$H$15:$K$55,MATCH('Capital Cost Escalation'!$E66,'Capital Costs'!$B$15:$B$55,0),MATCH('Capital Cost Escalation'!$C66,'Capital Costs'!$H$7:$K$7,0))*AF$9*(1+$F66)^(AF$3), 0),0)</f>
        <v>5065071.7020218857</v>
      </c>
      <c r="AG66" s="490">
        <f>IFERROR(IF(AG$6&lt;=$E$9,INDEX('Capital Costs'!$H$15:$K$55,MATCH('Capital Cost Escalation'!$E66,'Capital Costs'!$B$15:$B$55,0),MATCH('Capital Cost Escalation'!$C66,'Capital Costs'!$H$7:$K$7,0))*AG$9*(1+$F66)^(AG$3), 0),0)</f>
        <v>4330552.8856437895</v>
      </c>
      <c r="AH66" s="490">
        <f>IFERROR(IF(AH$6&lt;=$E$9,INDEX('Capital Costs'!$H$15:$K$55,MATCH('Capital Cost Escalation'!$E66,'Capital Costs'!$B$15:$B$55,0),MATCH('Capital Cost Escalation'!$C66,'Capital Costs'!$H$7:$K$7,0))*AH$9*(1+$F66)^(AH$3), 0),0)</f>
        <v>3662928.3716036975</v>
      </c>
      <c r="AI66" s="490">
        <f>IFERROR(IF(AI$6&lt;=$E$9,INDEX('Capital Costs'!$H$15:$K$55,MATCH('Capital Cost Escalation'!$E66,'Capital Costs'!$B$15:$B$55,0),MATCH('Capital Cost Escalation'!$C66,'Capital Costs'!$H$7:$K$7,0))*AI$9*(1+$F66)^(AI$3), 0),0)</f>
        <v>2100635.5970142656</v>
      </c>
      <c r="AJ66" s="490">
        <f>IFERROR(IF(AJ$6&lt;=$E$9,INDEX('Capital Costs'!$H$15:$K$55,MATCH('Capital Cost Escalation'!$E66,'Capital Costs'!$B$15:$B$55,0),MATCH('Capital Cost Escalation'!$C66,'Capital Costs'!$H$7:$K$7,0))*AJ$9*(1+$F66)^(AJ$3), 0),0)</f>
        <v>628160.72689504398</v>
      </c>
      <c r="AK66" s="490">
        <f>IFERROR(IF(AK$6&lt;=$E$9,INDEX('Capital Costs'!$H$15:$K$55,MATCH('Capital Cost Escalation'!$E66,'Capital Costs'!$B$15:$B$55,0),MATCH('Capital Cost Escalation'!$C66,'Capital Costs'!$H$7:$K$7,0))*AK$9*(1+$F66)^(AK$3), 0),0)</f>
        <v>150764.82268166481</v>
      </c>
      <c r="AL66" s="490">
        <f>IFERROR(IF(AL$6&lt;=$E$9,INDEX('Capital Costs'!$H$15:$K$55,MATCH('Capital Cost Escalation'!$E66,'Capital Costs'!$B$15:$B$55,0),MATCH('Capital Cost Escalation'!$C66,'Capital Costs'!$H$7:$K$7,0))*AL$9*(1+$F66)^(AL$3), 0),0)</f>
        <v>106677.05409109332</v>
      </c>
      <c r="AM66" s="490">
        <f>IFERROR(IF(AM$6&lt;=$E$9,INDEX('Capital Costs'!$H$15:$K$55,MATCH('Capital Cost Escalation'!$E66,'Capital Costs'!$B$15:$B$55,0),MATCH('Capital Cost Escalation'!$C66,'Capital Costs'!$H$7:$K$7,0))*AM$9*(1+$F66)^(AM$3), 0),0)</f>
        <v>0</v>
      </c>
      <c r="AN66" s="490">
        <f>IFERROR(IF(AN$6&lt;=$E$9,INDEX('Capital Costs'!$H$15:$K$55,MATCH('Capital Cost Escalation'!$E66,'Capital Costs'!$B$15:$B$55,0),MATCH('Capital Cost Escalation'!$C66,'Capital Costs'!$H$7:$K$7,0))*AN$9*(1+$F66)^(AN$3), 0),0)</f>
        <v>0</v>
      </c>
      <c r="AO66" s="490">
        <f>IFERROR(IF(AO$6&lt;=$E$9,INDEX('Capital Costs'!$H$15:$K$55,MATCH('Capital Cost Escalation'!$E66,'Capital Costs'!$B$15:$B$55,0),MATCH('Capital Cost Escalation'!$C66,'Capital Costs'!$H$7:$K$7,0))*AO$9*(1+$F66)^(AO$3), 0),0)</f>
        <v>0</v>
      </c>
      <c r="AP66" s="490">
        <f>IFERROR(IF(AP$6&lt;=$E$9,INDEX('Capital Costs'!$H$15:$K$55,MATCH('Capital Cost Escalation'!$E66,'Capital Costs'!$B$15:$B$55,0),MATCH('Capital Cost Escalation'!$C66,'Capital Costs'!$H$7:$K$7,0))*AP$9*(1+$F66)^(AP$3), 0),0)</f>
        <v>0</v>
      </c>
      <c r="AQ66" s="490">
        <f>IFERROR(IF(AQ$6&lt;=$E$9,INDEX('Capital Costs'!$H$15:$K$55,MATCH('Capital Cost Escalation'!$E66,'Capital Costs'!$B$15:$B$55,0),MATCH('Capital Cost Escalation'!$C66,'Capital Costs'!$H$7:$K$7,0))*AQ$9*(1+$F66)^(AQ$3), 0),0)</f>
        <v>0</v>
      </c>
      <c r="AR66" s="490">
        <f>IFERROR(IF(AR$6&lt;=$E$9,INDEX('Capital Costs'!$H$15:$K$55,MATCH('Capital Cost Escalation'!$E66,'Capital Costs'!$B$15:$B$55,0),MATCH('Capital Cost Escalation'!$C66,'Capital Costs'!$H$7:$K$7,0))*AR$9*(1+$F66)^(AR$3), 0),0)</f>
        <v>0</v>
      </c>
      <c r="AS66" s="490">
        <f>IFERROR(IF(AS$6&lt;=$E$9,INDEX('Capital Costs'!$H$15:$K$55,MATCH('Capital Cost Escalation'!$E66,'Capital Costs'!$B$15:$B$55,0),MATCH('Capital Cost Escalation'!$C66,'Capital Costs'!$H$7:$K$7,0))*AS$9*(1+$F66)^(AS$3), 0),0)</f>
        <v>0</v>
      </c>
      <c r="AT66" s="490">
        <f>IFERROR(IF(AT$6&lt;=$E$9,INDEX('Capital Costs'!$H$15:$K$55,MATCH('Capital Cost Escalation'!$E66,'Capital Costs'!$B$15:$B$55,0),MATCH('Capital Cost Escalation'!$C66,'Capital Costs'!$H$7:$K$7,0))*AT$9*(1+$F66)^(AT$3), 0),0)</f>
        <v>0</v>
      </c>
      <c r="AV66" s="827">
        <f t="shared" si="9"/>
        <v>86339917.562793165</v>
      </c>
      <c r="AW66" s="828">
        <f>INDEX('Capital Costs'!$H$15:$K$55,MATCH('Capital Cost Escalation'!$E66,'Capital Costs'!$B$15:$B$55,0),MATCH('Capital Cost Escalation'!$C66,'Capital Costs'!$H$7:$K$7,0))</f>
        <v>77014000</v>
      </c>
    </row>
    <row r="67" spans="1:49">
      <c r="A67" s="487" t="str">
        <f t="shared" si="4"/>
        <v>CC_SWMAAC_Construction Labor</v>
      </c>
      <c r="B67" s="478" t="s">
        <v>77</v>
      </c>
      <c r="C67" s="488" t="s">
        <v>121</v>
      </c>
      <c r="E67" s="442" t="s">
        <v>138</v>
      </c>
      <c r="F67" s="1325">
        <f>INDEX('Capital Costs_Nominal$'!$F:$F,MATCH('Capital Cost Escalation'!$E67,'Capital Costs_Nominal$'!$C:$C,0),1)</f>
        <v>3.6840339826600399E-3</v>
      </c>
      <c r="G67" s="490">
        <f>IFERROR(IF(G$6&lt;=$E$9,INDEX('Capital Costs'!$H$15:$K$55,MATCH('Capital Cost Escalation'!$E67,'Capital Costs'!$B$15:$B$55,0),MATCH('Capital Cost Escalation'!$C67,'Capital Costs'!$H$7:$K$7,0))*G$9*(1+$F67)^(G$3), 0),0)</f>
        <v>26433.606386163108</v>
      </c>
      <c r="H67" s="490">
        <f>IFERROR(IF(H$6&lt;=$E$9,INDEX('Capital Costs'!$H$15:$K$55,MATCH('Capital Cost Escalation'!$E67,'Capital Costs'!$B$15:$B$55,0),MATCH('Capital Cost Escalation'!$C67,'Capital Costs'!$H$7:$K$7,0))*H$9*(1+$F67)^(H$3), 0),0)</f>
        <v>132654.94345187</v>
      </c>
      <c r="I67" s="490">
        <f>IFERROR(IF(I$6&lt;=$E$9,INDEX('Capital Costs'!$H$15:$K$55,MATCH('Capital Cost Escalation'!$E67,'Capital Costs'!$B$15:$B$55,0),MATCH('Capital Cost Escalation'!$C67,'Capital Costs'!$H$7:$K$7,0))*I$9*(1+$F67)^(I$3), 0),0)</f>
        <v>133143.64877151456</v>
      </c>
      <c r="J67" s="490">
        <f>IFERROR(IF(J$6&lt;=$E$9,INDEX('Capital Costs'!$H$15:$K$55,MATCH('Capital Cost Escalation'!$E67,'Capital Costs'!$B$15:$B$55,0),MATCH('Capital Cost Escalation'!$C67,'Capital Costs'!$H$7:$K$7,0))*J$9*(1+$F67)^(J$3), 0),0)</f>
        <v>4516834.422037947</v>
      </c>
      <c r="K67" s="490">
        <f>IFERROR(IF(K$6&lt;=$E$9,INDEX('Capital Costs'!$H$15:$K$55,MATCH('Capital Cost Escalation'!$E67,'Capital Costs'!$B$15:$B$55,0),MATCH('Capital Cost Escalation'!$C67,'Capital Costs'!$H$7:$K$7,0))*K$9*(1+$F67)^(K$3), 0),0)</f>
        <v>4426173.4197311196</v>
      </c>
      <c r="L67" s="490">
        <f>IFERROR(IF(L$6&lt;=$E$9,INDEX('Capital Costs'!$H$15:$K$55,MATCH('Capital Cost Escalation'!$E67,'Capital Costs'!$B$15:$B$55,0),MATCH('Capital Cost Escalation'!$C67,'Capital Costs'!$H$7:$K$7,0))*L$9*(1+$F67)^(L$3), 0),0)</f>
        <v>646178.84989418986</v>
      </c>
      <c r="M67" s="490">
        <f>IFERROR(IF(M$6&lt;=$E$9,INDEX('Capital Costs'!$H$15:$K$55,MATCH('Capital Cost Escalation'!$E67,'Capital Costs'!$B$15:$B$55,0),MATCH('Capital Cost Escalation'!$C67,'Capital Costs'!$H$7:$K$7,0))*M$9*(1+$F67)^(M$3), 0),0)</f>
        <v>972839.09210411471</v>
      </c>
      <c r="N67" s="490">
        <f>IFERROR(IF(N$6&lt;=$E$9,INDEX('Capital Costs'!$H$15:$K$55,MATCH('Capital Cost Escalation'!$E67,'Capital Costs'!$B$15:$B$55,0),MATCH('Capital Cost Escalation'!$C67,'Capital Costs'!$H$7:$K$7,0))*N$9*(1+$F67)^(N$3), 0),0)</f>
        <v>3932815.120415763</v>
      </c>
      <c r="O67" s="490">
        <f>IFERROR(IF(O$6&lt;=$E$9,INDEX('Capital Costs'!$H$15:$K$55,MATCH('Capital Cost Escalation'!$E67,'Capital Costs'!$B$15:$B$55,0),MATCH('Capital Cost Escalation'!$C67,'Capital Costs'!$H$7:$K$7,0))*O$9*(1+$F67)^(O$3), 0),0)</f>
        <v>4165086.0205512745</v>
      </c>
      <c r="P67" s="490">
        <f>IFERROR(IF(P$6&lt;=$E$9,INDEX('Capital Costs'!$H$15:$K$55,MATCH('Capital Cost Escalation'!$E67,'Capital Costs'!$B$15:$B$55,0),MATCH('Capital Cost Escalation'!$C67,'Capital Costs'!$H$7:$K$7,0))*P$9*(1+$F67)^(P$3), 0),0)</f>
        <v>3497353.4862152692</v>
      </c>
      <c r="Q67" s="490">
        <f>IFERROR(IF(Q$6&lt;=$E$9,INDEX('Capital Costs'!$H$15:$K$55,MATCH('Capital Cost Escalation'!$E67,'Capital Costs'!$B$15:$B$55,0),MATCH('Capital Cost Escalation'!$C67,'Capital Costs'!$H$7:$K$7,0))*Q$9*(1+$F67)^(Q$3), 0),0)</f>
        <v>3729627.7212646022</v>
      </c>
      <c r="R67" s="490">
        <f>IFERROR(IF(R$6&lt;=$E$9,INDEX('Capital Costs'!$H$15:$K$55,MATCH('Capital Cost Escalation'!$E67,'Capital Costs'!$B$15:$B$55,0),MATCH('Capital Cost Escalation'!$C67,'Capital Costs'!$H$7:$K$7,0))*R$9*(1+$F67)^(R$3), 0),0)</f>
        <v>3963565.9022107879</v>
      </c>
      <c r="S67" s="490">
        <f>IFERROR(IF(S$6&lt;=$E$9,INDEX('Capital Costs'!$H$15:$K$55,MATCH('Capital Cost Escalation'!$E67,'Capital Costs'!$B$15:$B$55,0),MATCH('Capital Cost Escalation'!$C67,'Capital Costs'!$H$7:$K$7,0))*S$9*(1+$F67)^(S$3), 0),0)</f>
        <v>7597195.4775273427</v>
      </c>
      <c r="T67" s="490">
        <f>IFERROR(IF(T$6&lt;=$E$9,INDEX('Capital Costs'!$H$15:$K$55,MATCH('Capital Cost Escalation'!$E67,'Capital Costs'!$B$15:$B$55,0),MATCH('Capital Cost Escalation'!$C67,'Capital Costs'!$H$7:$K$7,0))*T$9*(1+$F67)^(T$3), 0),0)</f>
        <v>10786169.089794738</v>
      </c>
      <c r="U67" s="490">
        <f>IFERROR(IF(U$6&lt;=$E$9,INDEX('Capital Costs'!$H$15:$K$55,MATCH('Capital Cost Escalation'!$E67,'Capital Costs'!$B$15:$B$55,0),MATCH('Capital Cost Escalation'!$C67,'Capital Costs'!$H$7:$K$7,0))*U$9*(1+$F67)^(U$3), 0),0)</f>
        <v>11799958.915640218</v>
      </c>
      <c r="V67" s="490">
        <f>IFERROR(IF(V$6&lt;=$E$9,INDEX('Capital Costs'!$H$15:$K$55,MATCH('Capital Cost Escalation'!$E67,'Capital Costs'!$B$15:$B$55,0),MATCH('Capital Cost Escalation'!$C67,'Capital Costs'!$H$7:$K$7,0))*V$9*(1+$F67)^(V$3), 0),0)</f>
        <v>13519387.492441608</v>
      </c>
      <c r="W67" s="490">
        <f>IFERROR(IF(W$6&lt;=$E$9,INDEX('Capital Costs'!$H$15:$K$55,MATCH('Capital Cost Escalation'!$E67,'Capital Costs'!$B$15:$B$55,0),MATCH('Capital Cost Escalation'!$C67,'Capital Costs'!$H$7:$K$7,0))*W$9*(1+$F67)^(W$3), 0),0)</f>
        <v>14942934.027029088</v>
      </c>
      <c r="X67" s="490">
        <f>IFERROR(IF(X$6&lt;=$E$9,INDEX('Capital Costs'!$H$15:$K$55,MATCH('Capital Cost Escalation'!$E67,'Capital Costs'!$B$15:$B$55,0),MATCH('Capital Cost Escalation'!$C67,'Capital Costs'!$H$7:$K$7,0))*X$9*(1+$F67)^(X$3), 0),0)</f>
        <v>17558615.770285245</v>
      </c>
      <c r="Y67" s="490">
        <f>IFERROR(IF(Y$6&lt;=$E$9,INDEX('Capital Costs'!$H$15:$K$55,MATCH('Capital Cost Escalation'!$E67,'Capital Costs'!$B$15:$B$55,0),MATCH('Capital Cost Escalation'!$C67,'Capital Costs'!$H$7:$K$7,0))*Y$9*(1+$F67)^(Y$3), 0),0)</f>
        <v>17962211.96723051</v>
      </c>
      <c r="Z67" s="490">
        <f>IFERROR(IF(Z$6&lt;=$E$9,INDEX('Capital Costs'!$H$15:$K$55,MATCH('Capital Cost Escalation'!$E67,'Capital Costs'!$B$15:$B$55,0),MATCH('Capital Cost Escalation'!$C67,'Capital Costs'!$H$7:$K$7,0))*Z$9*(1+$F67)^(Z$3), 0),0)</f>
        <v>17631534.116315078</v>
      </c>
      <c r="AA67" s="490">
        <f>IFERROR(IF(AA$6&lt;=$E$9,INDEX('Capital Costs'!$H$15:$K$55,MATCH('Capital Cost Escalation'!$E67,'Capital Costs'!$B$15:$B$55,0),MATCH('Capital Cost Escalation'!$C67,'Capital Costs'!$H$7:$K$7,0))*AA$9*(1+$F67)^(AA$3), 0),0)</f>
        <v>18208606.34049236</v>
      </c>
      <c r="AB67" s="490">
        <f>IFERROR(IF(AB$6&lt;=$E$9,INDEX('Capital Costs'!$H$15:$K$55,MATCH('Capital Cost Escalation'!$E67,'Capital Costs'!$B$15:$B$55,0),MATCH('Capital Cost Escalation'!$C67,'Capital Costs'!$H$7:$K$7,0))*AB$9*(1+$F67)^(AB$3), 0),0)</f>
        <v>17333347.330112126</v>
      </c>
      <c r="AC67" s="490">
        <f>IFERROR(IF(AC$6&lt;=$E$9,INDEX('Capital Costs'!$H$15:$K$55,MATCH('Capital Cost Escalation'!$E67,'Capital Costs'!$B$15:$B$55,0),MATCH('Capital Cost Escalation'!$C67,'Capital Costs'!$H$7:$K$7,0))*AC$9*(1+$F67)^(AC$3), 0),0)</f>
        <v>17827118.401616666</v>
      </c>
      <c r="AD67" s="490">
        <f>IFERROR(IF(AD$6&lt;=$E$9,INDEX('Capital Costs'!$H$15:$K$55,MATCH('Capital Cost Escalation'!$E67,'Capital Costs'!$B$15:$B$55,0),MATCH('Capital Cost Escalation'!$C67,'Capital Costs'!$H$7:$K$7,0))*AD$9*(1+$F67)^(AD$3), 0),0)</f>
        <v>17864027.561602436</v>
      </c>
      <c r="AE67" s="490">
        <f>IFERROR(IF(AE$6&lt;=$E$9,INDEX('Capital Costs'!$H$15:$K$55,MATCH('Capital Cost Escalation'!$E67,'Capital Costs'!$B$15:$B$55,0),MATCH('Capital Cost Escalation'!$C67,'Capital Costs'!$H$7:$K$7,0))*AE$9*(1+$F67)^(AE$3), 0),0)</f>
        <v>16948173.329345006</v>
      </c>
      <c r="AF67" s="490">
        <f>IFERROR(IF(AF$6&lt;=$E$9,INDEX('Capital Costs'!$H$15:$K$55,MATCH('Capital Cost Escalation'!$E67,'Capital Costs'!$B$15:$B$55,0),MATCH('Capital Cost Escalation'!$C67,'Capital Costs'!$H$7:$K$7,0))*AF$9*(1+$F67)^(AF$3), 0),0)</f>
        <v>16749800.926801097</v>
      </c>
      <c r="AG67" s="490">
        <f>IFERROR(IF(AG$6&lt;=$E$9,INDEX('Capital Costs'!$H$15:$K$55,MATCH('Capital Cost Escalation'!$E67,'Capital Costs'!$B$15:$B$55,0),MATCH('Capital Cost Escalation'!$C67,'Capital Costs'!$H$7:$K$7,0))*AG$9*(1+$F67)^(AG$3), 0),0)</f>
        <v>14339227.209292011</v>
      </c>
      <c r="AH67" s="490">
        <f>IFERROR(IF(AH$6&lt;=$E$9,INDEX('Capital Costs'!$H$15:$K$55,MATCH('Capital Cost Escalation'!$E67,'Capital Costs'!$B$15:$B$55,0),MATCH('Capital Cost Escalation'!$C67,'Capital Costs'!$H$7:$K$7,0))*AH$9*(1+$F67)^(AH$3), 0),0)</f>
        <v>12144207.339554375</v>
      </c>
      <c r="AI67" s="490">
        <f>IFERROR(IF(AI$6&lt;=$E$9,INDEX('Capital Costs'!$H$15:$K$55,MATCH('Capital Cost Escalation'!$E67,'Capital Costs'!$B$15:$B$55,0),MATCH('Capital Cost Escalation'!$C67,'Capital Costs'!$H$7:$K$7,0))*AI$9*(1+$F67)^(AI$3), 0),0)</f>
        <v>6973484.1078759888</v>
      </c>
      <c r="AJ67" s="490">
        <f>IFERROR(IF(AJ$6&lt;=$E$9,INDEX('Capital Costs'!$H$15:$K$55,MATCH('Capital Cost Escalation'!$E67,'Capital Costs'!$B$15:$B$55,0),MATCH('Capital Cost Escalation'!$C67,'Capital Costs'!$H$7:$K$7,0))*AJ$9*(1+$F67)^(AJ$3), 0),0)</f>
        <v>2087989.0793352649</v>
      </c>
      <c r="AK67" s="490">
        <f>IFERROR(IF(AK$6&lt;=$E$9,INDEX('Capital Costs'!$H$15:$K$55,MATCH('Capital Cost Escalation'!$E67,'Capital Costs'!$B$15:$B$55,0),MATCH('Capital Cost Escalation'!$C67,'Capital Costs'!$H$7:$K$7,0))*AK$9*(1+$F67)^(AK$3), 0),0)</f>
        <v>501782.84697186353</v>
      </c>
      <c r="AL67" s="490">
        <f>IFERROR(IF(AL$6&lt;=$E$9,INDEX('Capital Costs'!$H$15:$K$55,MATCH('Capital Cost Escalation'!$E67,'Capital Costs'!$B$15:$B$55,0),MATCH('Capital Cost Escalation'!$C67,'Capital Costs'!$H$7:$K$7,0))*AL$9*(1+$F67)^(AL$3), 0),0)</f>
        <v>355504.54025789903</v>
      </c>
      <c r="AM67" s="490">
        <f>IFERROR(IF(AM$6&lt;=$E$9,INDEX('Capital Costs'!$H$15:$K$55,MATCH('Capital Cost Escalation'!$E67,'Capital Costs'!$B$15:$B$55,0),MATCH('Capital Cost Escalation'!$C67,'Capital Costs'!$H$7:$K$7,0))*AM$9*(1+$F67)^(AM$3), 0),0)</f>
        <v>0</v>
      </c>
      <c r="AN67" s="490">
        <f>IFERROR(IF(AN$6&lt;=$E$9,INDEX('Capital Costs'!$H$15:$K$55,MATCH('Capital Cost Escalation'!$E67,'Capital Costs'!$B$15:$B$55,0),MATCH('Capital Cost Escalation'!$C67,'Capital Costs'!$H$7:$K$7,0))*AN$9*(1+$F67)^(AN$3), 0),0)</f>
        <v>0</v>
      </c>
      <c r="AO67" s="490">
        <f>IFERROR(IF(AO$6&lt;=$E$9,INDEX('Capital Costs'!$H$15:$K$55,MATCH('Capital Cost Escalation'!$E67,'Capital Costs'!$B$15:$B$55,0),MATCH('Capital Cost Escalation'!$C67,'Capital Costs'!$H$7:$K$7,0))*AO$9*(1+$F67)^(AO$3), 0),0)</f>
        <v>0</v>
      </c>
      <c r="AP67" s="490">
        <f>IFERROR(IF(AP$6&lt;=$E$9,INDEX('Capital Costs'!$H$15:$K$55,MATCH('Capital Cost Escalation'!$E67,'Capital Costs'!$B$15:$B$55,0),MATCH('Capital Cost Escalation'!$C67,'Capital Costs'!$H$7:$K$7,0))*AP$9*(1+$F67)^(AP$3), 0),0)</f>
        <v>0</v>
      </c>
      <c r="AQ67" s="490">
        <f>IFERROR(IF(AQ$6&lt;=$E$9,INDEX('Capital Costs'!$H$15:$K$55,MATCH('Capital Cost Escalation'!$E67,'Capital Costs'!$B$15:$B$55,0),MATCH('Capital Cost Escalation'!$C67,'Capital Costs'!$H$7:$K$7,0))*AQ$9*(1+$F67)^(AQ$3), 0),0)</f>
        <v>0</v>
      </c>
      <c r="AR67" s="490">
        <f>IFERROR(IF(AR$6&lt;=$E$9,INDEX('Capital Costs'!$H$15:$K$55,MATCH('Capital Cost Escalation'!$E67,'Capital Costs'!$B$15:$B$55,0),MATCH('Capital Cost Escalation'!$C67,'Capital Costs'!$H$7:$K$7,0))*AR$9*(1+$F67)^(AR$3), 0),0)</f>
        <v>0</v>
      </c>
      <c r="AS67" s="490">
        <f>IFERROR(IF(AS$6&lt;=$E$9,INDEX('Capital Costs'!$H$15:$K$55,MATCH('Capital Cost Escalation'!$E67,'Capital Costs'!$B$15:$B$55,0),MATCH('Capital Cost Escalation'!$C67,'Capital Costs'!$H$7:$K$7,0))*AS$9*(1+$F67)^(AS$3), 0),0)</f>
        <v>0</v>
      </c>
      <c r="AT67" s="490">
        <f>IFERROR(IF(AT$6&lt;=$E$9,INDEX('Capital Costs'!$H$15:$K$55,MATCH('Capital Cost Escalation'!$E67,'Capital Costs'!$B$15:$B$55,0),MATCH('Capital Cost Escalation'!$C67,'Capital Costs'!$H$7:$K$7,0))*AT$9*(1+$F67)^(AT$3), 0),0)</f>
        <v>0</v>
      </c>
      <c r="AV67" s="827">
        <f t="shared" si="9"/>
        <v>283273982.10255557</v>
      </c>
      <c r="AW67" s="828">
        <f>INDEX('Capital Costs'!$H$15:$K$55,MATCH('Capital Cost Escalation'!$E67,'Capital Costs'!$B$15:$B$55,0),MATCH('Capital Cost Escalation'!$C67,'Capital Costs'!$H$7:$K$7,0))</f>
        <v>237598100</v>
      </c>
    </row>
    <row r="68" spans="1:49">
      <c r="A68" s="487" t="str">
        <f t="shared" si="4"/>
        <v xml:space="preserve">CC_SWMAAC_Other Labor </v>
      </c>
      <c r="B68" s="478" t="s">
        <v>77</v>
      </c>
      <c r="C68" s="488" t="s">
        <v>121</v>
      </c>
      <c r="E68" s="442" t="s">
        <v>139</v>
      </c>
      <c r="F68" s="1325">
        <f>INDEX('Capital Costs_Nominal$'!$F:$F,MATCH('Capital Cost Escalation'!$E68,'Capital Costs_Nominal$'!$C:$C,0),1)</f>
        <v>3.6840339826600399E-3</v>
      </c>
      <c r="G68" s="490">
        <f>IFERROR(IF(G$6&lt;=$E$9,INDEX('Capital Costs'!$H$15:$K$55,MATCH('Capital Cost Escalation'!$E68,'Capital Costs'!$B$15:$B$55,0),MATCH('Capital Cost Escalation'!$C68,'Capital Costs'!$H$7:$K$7,0))*G$9*(1+$F68)^(G$3), 0),0)</f>
        <v>6435.0993289389489</v>
      </c>
      <c r="H68" s="490">
        <f>IFERROR(IF(H$6&lt;=$E$9,INDEX('Capital Costs'!$H$15:$K$55,MATCH('Capital Cost Escalation'!$E68,'Capital Costs'!$B$15:$B$55,0),MATCH('Capital Cost Escalation'!$C68,'Capital Costs'!$H$7:$K$7,0))*H$9*(1+$F68)^(H$3), 0),0)</f>
        <v>32294.032267742772</v>
      </c>
      <c r="I68" s="490">
        <f>IFERROR(IF(I$6&lt;=$E$9,INDEX('Capital Costs'!$H$15:$K$55,MATCH('Capital Cost Escalation'!$E68,'Capital Costs'!$B$15:$B$55,0),MATCH('Capital Cost Escalation'!$C68,'Capital Costs'!$H$7:$K$7,0))*I$9*(1+$F68)^(I$3), 0),0)</f>
        <v>32413.004580054261</v>
      </c>
      <c r="J68" s="490">
        <f>IFERROR(IF(J$6&lt;=$E$9,INDEX('Capital Costs'!$H$15:$K$55,MATCH('Capital Cost Escalation'!$E68,'Capital Costs'!$B$15:$B$55,0),MATCH('Capital Cost Escalation'!$C68,'Capital Costs'!$H$7:$K$7,0))*J$9*(1+$F68)^(J$3), 0),0)</f>
        <v>1099595.6334357662</v>
      </c>
      <c r="K68" s="490">
        <f>IFERROR(IF(K$6&lt;=$E$9,INDEX('Capital Costs'!$H$15:$K$55,MATCH('Capital Cost Escalation'!$E68,'Capital Costs'!$B$15:$B$55,0),MATCH('Capital Cost Escalation'!$C68,'Capital Costs'!$H$7:$K$7,0))*K$9*(1+$F68)^(K$3), 0),0)</f>
        <v>1077524.7685457228</v>
      </c>
      <c r="L68" s="490">
        <f>IFERROR(IF(L$6&lt;=$E$9,INDEX('Capital Costs'!$H$15:$K$55,MATCH('Capital Cost Escalation'!$E68,'Capital Costs'!$B$15:$B$55,0),MATCH('Capital Cost Escalation'!$C68,'Capital Costs'!$H$7:$K$7,0))*L$9*(1+$F68)^(L$3), 0),0)</f>
        <v>157308.2772960295</v>
      </c>
      <c r="M68" s="490">
        <f>IFERROR(IF(M$6&lt;=$E$9,INDEX('Capital Costs'!$H$15:$K$55,MATCH('Capital Cost Escalation'!$E68,'Capital Costs'!$B$15:$B$55,0),MATCH('Capital Cost Escalation'!$C68,'Capital Costs'!$H$7:$K$7,0))*M$9*(1+$F68)^(M$3), 0),0)</f>
        <v>236831.70950301274</v>
      </c>
      <c r="N68" s="490">
        <f>IFERROR(IF(N$6&lt;=$E$9,INDEX('Capital Costs'!$H$15:$K$55,MATCH('Capital Cost Escalation'!$E68,'Capital Costs'!$B$15:$B$55,0),MATCH('Capital Cost Escalation'!$C68,'Capital Costs'!$H$7:$K$7,0))*N$9*(1+$F68)^(N$3), 0),0)</f>
        <v>957419.7168751118</v>
      </c>
      <c r="O68" s="490">
        <f>IFERROR(IF(O$6&lt;=$E$9,INDEX('Capital Costs'!$H$15:$K$55,MATCH('Capital Cost Escalation'!$E68,'Capital Costs'!$B$15:$B$55,0),MATCH('Capital Cost Escalation'!$C68,'Capital Costs'!$H$7:$K$7,0))*O$9*(1+$F68)^(O$3), 0),0)</f>
        <v>1013964.6427455553</v>
      </c>
      <c r="P68" s="490">
        <f>IFERROR(IF(P$6&lt;=$E$9,INDEX('Capital Costs'!$H$15:$K$55,MATCH('Capital Cost Escalation'!$E68,'Capital Costs'!$B$15:$B$55,0),MATCH('Capital Cost Escalation'!$C68,'Capital Costs'!$H$7:$K$7,0))*P$9*(1+$F68)^(P$3), 0),0)</f>
        <v>851409.25318412203</v>
      </c>
      <c r="Q68" s="490">
        <f>IFERROR(IF(Q$6&lt;=$E$9,INDEX('Capital Costs'!$H$15:$K$55,MATCH('Capital Cost Escalation'!$E68,'Capital Costs'!$B$15:$B$55,0),MATCH('Capital Cost Escalation'!$C68,'Capital Costs'!$H$7:$K$7,0))*Q$9*(1+$F68)^(Q$3), 0),0)</f>
        <v>907954.99091887893</v>
      </c>
      <c r="R68" s="490">
        <f>IFERROR(IF(R$6&lt;=$E$9,INDEX('Capital Costs'!$H$15:$K$55,MATCH('Capital Cost Escalation'!$E68,'Capital Costs'!$B$15:$B$55,0),MATCH('Capital Cost Escalation'!$C68,'Capital Costs'!$H$7:$K$7,0))*R$9*(1+$F68)^(R$3), 0),0)</f>
        <v>964905.80607545236</v>
      </c>
      <c r="S68" s="490">
        <f>IFERROR(IF(S$6&lt;=$E$9,INDEX('Capital Costs'!$H$15:$K$55,MATCH('Capital Cost Escalation'!$E68,'Capital Costs'!$B$15:$B$55,0),MATCH('Capital Cost Escalation'!$C68,'Capital Costs'!$H$7:$K$7,0))*S$9*(1+$F68)^(S$3), 0),0)</f>
        <v>1849490.6372232819</v>
      </c>
      <c r="T68" s="490">
        <f>IFERROR(IF(T$6&lt;=$E$9,INDEX('Capital Costs'!$H$15:$K$55,MATCH('Capital Cost Escalation'!$E68,'Capital Costs'!$B$15:$B$55,0),MATCH('Capital Cost Escalation'!$C68,'Capital Costs'!$H$7:$K$7,0))*T$9*(1+$F68)^(T$3), 0),0)</f>
        <v>2625826.7017206331</v>
      </c>
      <c r="U68" s="490">
        <f>IFERROR(IF(U$6&lt;=$E$9,INDEX('Capital Costs'!$H$15:$K$55,MATCH('Capital Cost Escalation'!$E68,'Capital Costs'!$B$15:$B$55,0),MATCH('Capital Cost Escalation'!$C68,'Capital Costs'!$H$7:$K$7,0))*U$9*(1+$F68)^(U$3), 0),0)</f>
        <v>2872627.6161580351</v>
      </c>
      <c r="V68" s="490">
        <f>IFERROR(IF(V$6&lt;=$E$9,INDEX('Capital Costs'!$H$15:$K$55,MATCH('Capital Cost Escalation'!$E68,'Capital Costs'!$B$15:$B$55,0),MATCH('Capital Cost Escalation'!$C68,'Capital Costs'!$H$7:$K$7,0))*V$9*(1+$F68)^(V$3), 0),0)</f>
        <v>3291211.95607334</v>
      </c>
      <c r="W68" s="490">
        <f>IFERROR(IF(W$6&lt;=$E$9,INDEX('Capital Costs'!$H$15:$K$55,MATCH('Capital Cost Escalation'!$E68,'Capital Costs'!$B$15:$B$55,0),MATCH('Capital Cost Escalation'!$C68,'Capital Costs'!$H$7:$K$7,0))*W$9*(1+$F68)^(W$3), 0),0)</f>
        <v>3637765.6277748477</v>
      </c>
      <c r="X68" s="490">
        <f>IFERROR(IF(X$6&lt;=$E$9,INDEX('Capital Costs'!$H$15:$K$55,MATCH('Capital Cost Escalation'!$E68,'Capital Costs'!$B$15:$B$55,0),MATCH('Capital Cost Escalation'!$C68,'Capital Costs'!$H$7:$K$7,0))*X$9*(1+$F68)^(X$3), 0),0)</f>
        <v>4274537.3033777839</v>
      </c>
      <c r="Y68" s="490">
        <f>IFERROR(IF(Y$6&lt;=$E$9,INDEX('Capital Costs'!$H$15:$K$55,MATCH('Capital Cost Escalation'!$E68,'Capital Costs'!$B$15:$B$55,0),MATCH('Capital Cost Escalation'!$C68,'Capital Costs'!$H$7:$K$7,0))*Y$9*(1+$F68)^(Y$3), 0),0)</f>
        <v>4372790.3218340287</v>
      </c>
      <c r="Z68" s="490">
        <f>IFERROR(IF(Z$6&lt;=$E$9,INDEX('Capital Costs'!$H$15:$K$55,MATCH('Capital Cost Escalation'!$E68,'Capital Costs'!$B$15:$B$55,0),MATCH('Capital Cost Escalation'!$C68,'Capital Costs'!$H$7:$K$7,0))*Z$9*(1+$F68)^(Z$3), 0),0)</f>
        <v>4292288.8274320103</v>
      </c>
      <c r="AA68" s="490">
        <f>IFERROR(IF(AA$6&lt;=$E$9,INDEX('Capital Costs'!$H$15:$K$55,MATCH('Capital Cost Escalation'!$E68,'Capital Costs'!$B$15:$B$55,0),MATCH('Capital Cost Escalation'!$C68,'Capital Costs'!$H$7:$K$7,0))*AA$9*(1+$F68)^(AA$3), 0),0)</f>
        <v>4432773.52060261</v>
      </c>
      <c r="AB68" s="490">
        <f>IFERROR(IF(AB$6&lt;=$E$9,INDEX('Capital Costs'!$H$15:$K$55,MATCH('Capital Cost Escalation'!$E68,'Capital Costs'!$B$15:$B$55,0),MATCH('Capital Cost Escalation'!$C68,'Capital Costs'!$H$7:$K$7,0))*AB$9*(1+$F68)^(AB$3), 0),0)</f>
        <v>4219697.0834315578</v>
      </c>
      <c r="AC68" s="490">
        <f>IFERROR(IF(AC$6&lt;=$E$9,INDEX('Capital Costs'!$H$15:$K$55,MATCH('Capital Cost Escalation'!$E68,'Capital Costs'!$B$15:$B$55,0),MATCH('Capital Cost Escalation'!$C68,'Capital Costs'!$H$7:$K$7,0))*AC$9*(1+$F68)^(AC$3), 0),0)</f>
        <v>4339902.621959649</v>
      </c>
      <c r="AD68" s="490">
        <f>IFERROR(IF(AD$6&lt;=$E$9,INDEX('Capital Costs'!$H$15:$K$55,MATCH('Capital Cost Escalation'!$E68,'Capital Costs'!$B$15:$B$55,0),MATCH('Capital Cost Escalation'!$C68,'Capital Costs'!$H$7:$K$7,0))*AD$9*(1+$F68)^(AD$3), 0),0)</f>
        <v>4348887.9305545622</v>
      </c>
      <c r="AE68" s="490">
        <f>IFERROR(IF(AE$6&lt;=$E$9,INDEX('Capital Costs'!$H$15:$K$55,MATCH('Capital Cost Escalation'!$E68,'Capital Costs'!$B$15:$B$55,0),MATCH('Capital Cost Escalation'!$C68,'Capital Costs'!$H$7:$K$7,0))*AE$9*(1+$F68)^(AE$3), 0),0)</f>
        <v>4125928.8356317161</v>
      </c>
      <c r="AF68" s="490">
        <f>IFERROR(IF(AF$6&lt;=$E$9,INDEX('Capital Costs'!$H$15:$K$55,MATCH('Capital Cost Escalation'!$E68,'Capital Costs'!$B$15:$B$55,0),MATCH('Capital Cost Escalation'!$C68,'Capital Costs'!$H$7:$K$7,0))*AF$9*(1+$F68)^(AF$3), 0),0)</f>
        <v>4077636.2910639588</v>
      </c>
      <c r="AG68" s="490">
        <f>IFERROR(IF(AG$6&lt;=$E$9,INDEX('Capital Costs'!$H$15:$K$55,MATCH('Capital Cost Escalation'!$E68,'Capital Costs'!$B$15:$B$55,0),MATCH('Capital Cost Escalation'!$C68,'Capital Costs'!$H$7:$K$7,0))*AG$9*(1+$F68)^(AG$3), 0),0)</f>
        <v>3490796.906180759</v>
      </c>
      <c r="AH68" s="490">
        <f>IFERROR(IF(AH$6&lt;=$E$9,INDEX('Capital Costs'!$H$15:$K$55,MATCH('Capital Cost Escalation'!$E68,'Capital Costs'!$B$15:$B$55,0),MATCH('Capital Cost Escalation'!$C68,'Capital Costs'!$H$7:$K$7,0))*AH$9*(1+$F68)^(AH$3), 0),0)</f>
        <v>2956432.7833136558</v>
      </c>
      <c r="AI68" s="490">
        <f>IFERROR(IF(AI$6&lt;=$E$9,INDEX('Capital Costs'!$H$15:$K$55,MATCH('Capital Cost Escalation'!$E68,'Capital Costs'!$B$15:$B$55,0),MATCH('Capital Cost Escalation'!$C68,'Capital Costs'!$H$7:$K$7,0))*AI$9*(1+$F68)^(AI$3), 0),0)</f>
        <v>1697651.9301751209</v>
      </c>
      <c r="AJ68" s="490">
        <f>IFERROR(IF(AJ$6&lt;=$E$9,INDEX('Capital Costs'!$H$15:$K$55,MATCH('Capital Cost Escalation'!$E68,'Capital Costs'!$B$15:$B$55,0),MATCH('Capital Cost Escalation'!$C68,'Capital Costs'!$H$7:$K$7,0))*AJ$9*(1+$F68)^(AJ$3), 0),0)</f>
        <v>508308.13347873796</v>
      </c>
      <c r="AK68" s="490">
        <f>IFERROR(IF(AK$6&lt;=$E$9,INDEX('Capital Costs'!$H$15:$K$55,MATCH('Capital Cost Escalation'!$E68,'Capital Costs'!$B$15:$B$55,0),MATCH('Capital Cost Escalation'!$C68,'Capital Costs'!$H$7:$K$7,0))*AK$9*(1+$F68)^(AK$3), 0),0)</f>
        <v>122155.95612076501</v>
      </c>
      <c r="AL68" s="490">
        <f>IFERROR(IF(AL$6&lt;=$E$9,INDEX('Capital Costs'!$H$15:$K$55,MATCH('Capital Cost Escalation'!$E68,'Capital Costs'!$B$15:$B$55,0),MATCH('Capital Cost Escalation'!$C68,'Capital Costs'!$H$7:$K$7,0))*AL$9*(1+$F68)^(AL$3), 0),0)</f>
        <v>86545.399633622263</v>
      </c>
      <c r="AM68" s="490">
        <f>IFERROR(IF(AM$6&lt;=$E$9,INDEX('Capital Costs'!$H$15:$K$55,MATCH('Capital Cost Escalation'!$E68,'Capital Costs'!$B$15:$B$55,0),MATCH('Capital Cost Escalation'!$C68,'Capital Costs'!$H$7:$K$7,0))*AM$9*(1+$F68)^(AM$3), 0),0)</f>
        <v>0</v>
      </c>
      <c r="AN68" s="490">
        <f>IFERROR(IF(AN$6&lt;=$E$9,INDEX('Capital Costs'!$H$15:$K$55,MATCH('Capital Cost Escalation'!$E68,'Capital Costs'!$B$15:$B$55,0),MATCH('Capital Cost Escalation'!$C68,'Capital Costs'!$H$7:$K$7,0))*AN$9*(1+$F68)^(AN$3), 0),0)</f>
        <v>0</v>
      </c>
      <c r="AO68" s="490">
        <f>IFERROR(IF(AO$6&lt;=$E$9,INDEX('Capital Costs'!$H$15:$K$55,MATCH('Capital Cost Escalation'!$E68,'Capital Costs'!$B$15:$B$55,0),MATCH('Capital Cost Escalation'!$C68,'Capital Costs'!$H$7:$K$7,0))*AO$9*(1+$F68)^(AO$3), 0),0)</f>
        <v>0</v>
      </c>
      <c r="AP68" s="490">
        <f>IFERROR(IF(AP$6&lt;=$E$9,INDEX('Capital Costs'!$H$15:$K$55,MATCH('Capital Cost Escalation'!$E68,'Capital Costs'!$B$15:$B$55,0),MATCH('Capital Cost Escalation'!$C68,'Capital Costs'!$H$7:$K$7,0))*AP$9*(1+$F68)^(AP$3), 0),0)</f>
        <v>0</v>
      </c>
      <c r="AQ68" s="490">
        <f>IFERROR(IF(AQ$6&lt;=$E$9,INDEX('Capital Costs'!$H$15:$K$55,MATCH('Capital Cost Escalation'!$E68,'Capital Costs'!$B$15:$B$55,0),MATCH('Capital Cost Escalation'!$C68,'Capital Costs'!$H$7:$K$7,0))*AQ$9*(1+$F68)^(AQ$3), 0),0)</f>
        <v>0</v>
      </c>
      <c r="AR68" s="490">
        <f>IFERROR(IF(AR$6&lt;=$E$9,INDEX('Capital Costs'!$H$15:$K$55,MATCH('Capital Cost Escalation'!$E68,'Capital Costs'!$B$15:$B$55,0),MATCH('Capital Cost Escalation'!$C68,'Capital Costs'!$H$7:$K$7,0))*AR$9*(1+$F68)^(AR$3), 0),0)</f>
        <v>0</v>
      </c>
      <c r="AS68" s="490">
        <f>IFERROR(IF(AS$6&lt;=$E$9,INDEX('Capital Costs'!$H$15:$K$55,MATCH('Capital Cost Escalation'!$E68,'Capital Costs'!$B$15:$B$55,0),MATCH('Capital Cost Escalation'!$C68,'Capital Costs'!$H$7:$K$7,0))*AS$9*(1+$F68)^(AS$3), 0),0)</f>
        <v>0</v>
      </c>
      <c r="AT68" s="490">
        <f>IFERROR(IF(AT$6&lt;=$E$9,INDEX('Capital Costs'!$H$15:$K$55,MATCH('Capital Cost Escalation'!$E68,'Capital Costs'!$B$15:$B$55,0),MATCH('Capital Cost Escalation'!$C68,'Capital Costs'!$H$7:$K$7,0))*AT$9*(1+$F68)^(AT$3), 0),0)</f>
        <v>0</v>
      </c>
      <c r="AV68" s="827">
        <f t="shared" si="9"/>
        <v>68961313.318497032</v>
      </c>
      <c r="AW68" s="828">
        <f>INDEX('Capital Costs'!$H$15:$K$55,MATCH('Capital Cost Escalation'!$E68,'Capital Costs'!$B$15:$B$55,0),MATCH('Capital Cost Escalation'!$C68,'Capital Costs'!$H$7:$K$7,0))</f>
        <v>57841800</v>
      </c>
    </row>
    <row r="69" spans="1:49">
      <c r="A69" s="487" t="str">
        <f t="shared" si="4"/>
        <v>CC_SWMAAC_Materials</v>
      </c>
      <c r="B69" s="478" t="s">
        <v>77</v>
      </c>
      <c r="C69" s="488" t="s">
        <v>121</v>
      </c>
      <c r="E69" s="442" t="s">
        <v>140</v>
      </c>
      <c r="F69" s="1325">
        <f>INDEX('Capital Costs_Nominal$'!$F:$F,MATCH('Capital Cost Escalation'!$E69,'Capital Costs_Nominal$'!$C:$C,0),1)</f>
        <v>2.3944839450136257E-3</v>
      </c>
      <c r="G69" s="490">
        <f>IFERROR(IF(G$6&lt;=$E$9,INDEX('Capital Costs'!$H$15:$K$55,MATCH('Capital Cost Escalation'!$E69,'Capital Costs'!$B$15:$B$55,0),MATCH('Capital Cost Escalation'!$C69,'Capital Costs'!$H$7:$K$7,0))*G$9*(1+$F69)^(G$3), 0),0)</f>
        <v>7214.4338646364577</v>
      </c>
      <c r="H69" s="490">
        <f>IFERROR(IF(H$6&lt;=$E$9,INDEX('Capital Costs'!$H$15:$K$55,MATCH('Capital Cost Escalation'!$E69,'Capital Costs'!$B$15:$B$55,0),MATCH('Capital Cost Escalation'!$C69,'Capital Costs'!$H$7:$K$7,0))*H$9*(1+$F69)^(H$3), 0),0)</f>
        <v>36158.543553488453</v>
      </c>
      <c r="I69" s="490">
        <f>IFERROR(IF(I$6&lt;=$E$9,INDEX('Capital Costs'!$H$15:$K$55,MATCH('Capital Cost Escalation'!$E69,'Capital Costs'!$B$15:$B$55,0),MATCH('Capital Cost Escalation'!$C69,'Capital Costs'!$H$7:$K$7,0))*I$9*(1+$F69)^(I$3), 0),0)</f>
        <v>36245.124605502351</v>
      </c>
      <c r="J69" s="490">
        <f>IFERROR(IF(J$6&lt;=$E$9,INDEX('Capital Costs'!$H$15:$K$55,MATCH('Capital Cost Escalation'!$E69,'Capital Costs'!$B$15:$B$55,0),MATCH('Capital Cost Escalation'!$C69,'Capital Costs'!$H$7:$K$7,0))*J$9*(1+$F69)^(J$3), 0),0)</f>
        <v>1228018.6585365876</v>
      </c>
      <c r="K69" s="490">
        <f>IFERROR(IF(K$6&lt;=$E$9,INDEX('Capital Costs'!$H$15:$K$55,MATCH('Capital Cost Escalation'!$E69,'Capital Costs'!$B$15:$B$55,0),MATCH('Capital Cost Escalation'!$C69,'Capital Costs'!$H$7:$K$7,0))*K$9*(1+$F69)^(K$3), 0),0)</f>
        <v>1201824.0021732193</v>
      </c>
      <c r="L69" s="490">
        <f>IFERROR(IF(L$6&lt;=$E$9,INDEX('Capital Costs'!$H$15:$K$55,MATCH('Capital Cost Escalation'!$E69,'Capital Costs'!$B$15:$B$55,0),MATCH('Capital Cost Escalation'!$C69,'Capital Costs'!$H$7:$K$7,0))*L$9*(1+$F69)^(L$3), 0),0)</f>
        <v>175229.34552016802</v>
      </c>
      <c r="M69" s="490">
        <f>IFERROR(IF(M$6&lt;=$E$9,INDEX('Capital Costs'!$H$15:$K$55,MATCH('Capital Cost Escalation'!$E69,'Capital Costs'!$B$15:$B$55,0),MATCH('Capital Cost Escalation'!$C69,'Capital Costs'!$H$7:$K$7,0))*M$9*(1+$F69)^(M$3), 0),0)</f>
        <v>263473.39406206697</v>
      </c>
      <c r="N69" s="490">
        <f>IFERROR(IF(N$6&lt;=$E$9,INDEX('Capital Costs'!$H$15:$K$55,MATCH('Capital Cost Escalation'!$E69,'Capital Costs'!$B$15:$B$55,0),MATCH('Capital Cost Escalation'!$C69,'Capital Costs'!$H$7:$K$7,0))*N$9*(1+$F69)^(N$3), 0),0)</f>
        <v>1063753.3374095163</v>
      </c>
      <c r="O69" s="490">
        <f>IFERROR(IF(O$6&lt;=$E$9,INDEX('Capital Costs'!$H$15:$K$55,MATCH('Capital Cost Escalation'!$E69,'Capital Costs'!$B$15:$B$55,0),MATCH('Capital Cost Escalation'!$C69,'Capital Costs'!$H$7:$K$7,0))*O$9*(1+$F69)^(O$3), 0),0)</f>
        <v>1125130.8488807031</v>
      </c>
      <c r="P69" s="490">
        <f>IFERROR(IF(P$6&lt;=$E$9,INDEX('Capital Costs'!$H$15:$K$55,MATCH('Capital Cost Escalation'!$E69,'Capital Costs'!$B$15:$B$55,0),MATCH('Capital Cost Escalation'!$C69,'Capital Costs'!$H$7:$K$7,0))*P$9*(1+$F69)^(P$3), 0),0)</f>
        <v>943539.83300131757</v>
      </c>
      <c r="Q69" s="490">
        <f>IFERROR(IF(Q$6&lt;=$E$9,INDEX('Capital Costs'!$H$15:$K$55,MATCH('Capital Cost Escalation'!$E69,'Capital Costs'!$B$15:$B$55,0),MATCH('Capital Cost Escalation'!$C69,'Capital Costs'!$H$7:$K$7,0))*Q$9*(1+$F69)^(Q$3), 0),0)</f>
        <v>1004911.5692318525</v>
      </c>
      <c r="R69" s="490">
        <f>IFERROR(IF(R$6&lt;=$E$9,INDEX('Capital Costs'!$H$15:$K$55,MATCH('Capital Cost Escalation'!$E69,'Capital Costs'!$B$15:$B$55,0),MATCH('Capital Cost Escalation'!$C69,'Capital Costs'!$H$7:$K$7,0))*R$9*(1+$F69)^(R$3), 0),0)</f>
        <v>1066571.8029005683</v>
      </c>
      <c r="S69" s="490">
        <f>IFERROR(IF(S$6&lt;=$E$9,INDEX('Capital Costs'!$H$15:$K$55,MATCH('Capital Cost Escalation'!$E69,'Capital Costs'!$B$15:$B$55,0),MATCH('Capital Cost Escalation'!$C69,'Capital Costs'!$H$7:$K$7,0))*S$9*(1+$F69)^(S$3), 0),0)</f>
        <v>2041733.0922824645</v>
      </c>
      <c r="T69" s="490">
        <f>IFERROR(IF(T$6&lt;=$E$9,INDEX('Capital Costs'!$H$15:$K$55,MATCH('Capital Cost Escalation'!$E69,'Capital Costs'!$B$15:$B$55,0),MATCH('Capital Cost Escalation'!$C69,'Capital Costs'!$H$7:$K$7,0))*T$9*(1+$F69)^(T$3), 0),0)</f>
        <v>2895039.8322671419</v>
      </c>
      <c r="U69" s="490">
        <f>IFERROR(IF(U$6&lt;=$E$9,INDEX('Capital Costs'!$H$15:$K$55,MATCH('Capital Cost Escalation'!$E69,'Capital Costs'!$B$15:$B$55,0),MATCH('Capital Cost Escalation'!$C69,'Capital Costs'!$H$7:$K$7,0))*U$9*(1+$F69)^(U$3), 0),0)</f>
        <v>3163074.8341240324</v>
      </c>
      <c r="V69" s="490">
        <f>IFERROR(IF(V$6&lt;=$E$9,INDEX('Capital Costs'!$H$15:$K$55,MATCH('Capital Cost Escalation'!$E69,'Capital Costs'!$B$15:$B$55,0),MATCH('Capital Cost Escalation'!$C69,'Capital Costs'!$H$7:$K$7,0))*V$9*(1+$F69)^(V$3), 0),0)</f>
        <v>3619325.478205448</v>
      </c>
      <c r="W69" s="490">
        <f>IFERROR(IF(W$6&lt;=$E$9,INDEX('Capital Costs'!$H$15:$K$55,MATCH('Capital Cost Escalation'!$E69,'Capital Costs'!$B$15:$B$55,0),MATCH('Capital Cost Escalation'!$C69,'Capital Costs'!$H$7:$K$7,0))*W$9*(1+$F69)^(W$3), 0),0)</f>
        <v>3995288.5950638494</v>
      </c>
      <c r="X69" s="490">
        <f>IFERROR(IF(X$6&lt;=$E$9,INDEX('Capital Costs'!$H$15:$K$55,MATCH('Capital Cost Escalation'!$E69,'Capital Costs'!$B$15:$B$55,0),MATCH('Capital Cost Escalation'!$C69,'Capital Costs'!$H$7:$K$7,0))*X$9*(1+$F69)^(X$3), 0),0)</f>
        <v>4688611.0237585474</v>
      </c>
      <c r="Y69" s="490">
        <f>IFERROR(IF(Y$6&lt;=$E$9,INDEX('Capital Costs'!$H$15:$K$55,MATCH('Capital Cost Escalation'!$E69,'Capital Costs'!$B$15:$B$55,0),MATCH('Capital Cost Escalation'!$C69,'Capital Costs'!$H$7:$K$7,0))*Y$9*(1+$F69)^(Y$3), 0),0)</f>
        <v>4790219.3242635699</v>
      </c>
      <c r="Z69" s="490">
        <f>IFERROR(IF(Z$6&lt;=$E$9,INDEX('Capital Costs'!$H$15:$K$55,MATCH('Capital Cost Escalation'!$E69,'Capital Costs'!$B$15:$B$55,0),MATCH('Capital Cost Escalation'!$C69,'Capital Costs'!$H$7:$K$7,0))*Z$9*(1+$F69)^(Z$3), 0),0)</f>
        <v>4695991.8615138317</v>
      </c>
      <c r="AA69" s="490">
        <f>IFERROR(IF(AA$6&lt;=$E$9,INDEX('Capital Costs'!$H$15:$K$55,MATCH('Capital Cost Escalation'!$E69,'Capital Costs'!$B$15:$B$55,0),MATCH('Capital Cost Escalation'!$C69,'Capital Costs'!$H$7:$K$7,0))*AA$9*(1+$F69)^(AA$3), 0),0)</f>
        <v>4843458.6120973798</v>
      </c>
      <c r="AB69" s="490">
        <f>IFERROR(IF(AB$6&lt;=$E$9,INDEX('Capital Costs'!$H$15:$K$55,MATCH('Capital Cost Escalation'!$E69,'Capital Costs'!$B$15:$B$55,0),MATCH('Capital Cost Escalation'!$C69,'Capital Costs'!$H$7:$K$7,0))*AB$9*(1+$F69)^(AB$3), 0),0)</f>
        <v>4604717.3608770436</v>
      </c>
      <c r="AC69" s="490">
        <f>IFERROR(IF(AC$6&lt;=$E$9,INDEX('Capital Costs'!$H$15:$K$55,MATCH('Capital Cost Escalation'!$E69,'Capital Costs'!$B$15:$B$55,0),MATCH('Capital Cost Escalation'!$C69,'Capital Costs'!$H$7:$K$7,0))*AC$9*(1+$F69)^(AC$3), 0),0)</f>
        <v>4729806.1314993594</v>
      </c>
      <c r="AD69" s="490">
        <f>IFERROR(IF(AD$6&lt;=$E$9,INDEX('Capital Costs'!$H$15:$K$55,MATCH('Capital Cost Escalation'!$E69,'Capital Costs'!$B$15:$B$55,0),MATCH('Capital Cost Escalation'!$C69,'Capital Costs'!$H$7:$K$7,0))*AD$9*(1+$F69)^(AD$3), 0),0)</f>
        <v>4733509.1783115547</v>
      </c>
      <c r="AE69" s="490">
        <f>IFERROR(IF(AE$6&lt;=$E$9,INDEX('Capital Costs'!$H$15:$K$55,MATCH('Capital Cost Escalation'!$E69,'Capital Costs'!$B$15:$B$55,0),MATCH('Capital Cost Escalation'!$C69,'Capital Costs'!$H$7:$K$7,0))*AE$9*(1+$F69)^(AE$3), 0),0)</f>
        <v>4485061.3988003284</v>
      </c>
      <c r="AF69" s="490">
        <f>IFERROR(IF(AF$6&lt;=$E$9,INDEX('Capital Costs'!$H$15:$K$55,MATCH('Capital Cost Escalation'!$E69,'Capital Costs'!$B$15:$B$55,0),MATCH('Capital Cost Escalation'!$C69,'Capital Costs'!$H$7:$K$7,0))*AF$9*(1+$F69)^(AF$3), 0),0)</f>
        <v>4426870.2999121398</v>
      </c>
      <c r="AG69" s="490">
        <f>IFERROR(IF(AG$6&lt;=$E$9,INDEX('Capital Costs'!$H$15:$K$55,MATCH('Capital Cost Escalation'!$E69,'Capital Costs'!$B$15:$B$55,0),MATCH('Capital Cost Escalation'!$C69,'Capital Costs'!$H$7:$K$7,0))*AG$9*(1+$F69)^(AG$3), 0),0)</f>
        <v>3784901.1977466512</v>
      </c>
      <c r="AH69" s="490">
        <f>IFERROR(IF(AH$6&lt;=$E$9,INDEX('Capital Costs'!$H$15:$K$55,MATCH('Capital Cost Escalation'!$E69,'Capital Costs'!$B$15:$B$55,0),MATCH('Capital Cost Escalation'!$C69,'Capital Costs'!$H$7:$K$7,0))*AH$9*(1+$F69)^(AH$3), 0),0)</f>
        <v>3201397.6845550057</v>
      </c>
      <c r="AI69" s="490">
        <f>IFERROR(IF(AI$6&lt;=$E$9,INDEX('Capital Costs'!$H$15:$K$55,MATCH('Capital Cost Escalation'!$E69,'Capital Costs'!$B$15:$B$55,0),MATCH('Capital Cost Escalation'!$C69,'Capital Costs'!$H$7:$K$7,0))*AI$9*(1+$F69)^(AI$3), 0),0)</f>
        <v>1835954.5298536576</v>
      </c>
      <c r="AJ69" s="490">
        <f>IFERROR(IF(AJ$6&lt;=$E$9,INDEX('Capital Costs'!$H$15:$K$55,MATCH('Capital Cost Escalation'!$E69,'Capital Costs'!$B$15:$B$55,0),MATCH('Capital Cost Escalation'!$C69,'Capital Costs'!$H$7:$K$7,0))*AJ$9*(1+$F69)^(AJ$3), 0),0)</f>
        <v>549012.18167412153</v>
      </c>
      <c r="AK69" s="490">
        <f>IFERROR(IF(AK$6&lt;=$E$9,INDEX('Capital Costs'!$H$15:$K$55,MATCH('Capital Cost Escalation'!$E69,'Capital Costs'!$B$15:$B$55,0),MATCH('Capital Cost Escalation'!$C69,'Capital Costs'!$H$7:$K$7,0))*AK$9*(1+$F69)^(AK$3), 0),0)</f>
        <v>131768.38454913904</v>
      </c>
      <c r="AL69" s="490">
        <f>IFERROR(IF(AL$6&lt;=$E$9,INDEX('Capital Costs'!$H$15:$K$55,MATCH('Capital Cost Escalation'!$E69,'Capital Costs'!$B$15:$B$55,0),MATCH('Capital Cost Escalation'!$C69,'Capital Costs'!$H$7:$K$7,0))*AL$9*(1+$F69)^(AL$3), 0),0)</f>
        <v>93235.695409695763</v>
      </c>
      <c r="AM69" s="490">
        <f>IFERROR(IF(AM$6&lt;=$E$9,INDEX('Capital Costs'!$H$15:$K$55,MATCH('Capital Cost Escalation'!$E69,'Capital Costs'!$B$15:$B$55,0),MATCH('Capital Cost Escalation'!$C69,'Capital Costs'!$H$7:$K$7,0))*AM$9*(1+$F69)^(AM$3), 0),0)</f>
        <v>0</v>
      </c>
      <c r="AN69" s="490">
        <f>IFERROR(IF(AN$6&lt;=$E$9,INDEX('Capital Costs'!$H$15:$K$55,MATCH('Capital Cost Escalation'!$E69,'Capital Costs'!$B$15:$B$55,0),MATCH('Capital Cost Escalation'!$C69,'Capital Costs'!$H$7:$K$7,0))*AN$9*(1+$F69)^(AN$3), 0),0)</f>
        <v>0</v>
      </c>
      <c r="AO69" s="490">
        <f>IFERROR(IF(AO$6&lt;=$E$9,INDEX('Capital Costs'!$H$15:$K$55,MATCH('Capital Cost Escalation'!$E69,'Capital Costs'!$B$15:$B$55,0),MATCH('Capital Cost Escalation'!$C69,'Capital Costs'!$H$7:$K$7,0))*AO$9*(1+$F69)^(AO$3), 0),0)</f>
        <v>0</v>
      </c>
      <c r="AP69" s="490">
        <f>IFERROR(IF(AP$6&lt;=$E$9,INDEX('Capital Costs'!$H$15:$K$55,MATCH('Capital Cost Escalation'!$E69,'Capital Costs'!$B$15:$B$55,0),MATCH('Capital Cost Escalation'!$C69,'Capital Costs'!$H$7:$K$7,0))*AP$9*(1+$F69)^(AP$3), 0),0)</f>
        <v>0</v>
      </c>
      <c r="AQ69" s="490">
        <f>IFERROR(IF(AQ$6&lt;=$E$9,INDEX('Capital Costs'!$H$15:$K$55,MATCH('Capital Cost Escalation'!$E69,'Capital Costs'!$B$15:$B$55,0),MATCH('Capital Cost Escalation'!$C69,'Capital Costs'!$H$7:$K$7,0))*AQ$9*(1+$F69)^(AQ$3), 0),0)</f>
        <v>0</v>
      </c>
      <c r="AR69" s="490">
        <f>IFERROR(IF(AR$6&lt;=$E$9,INDEX('Capital Costs'!$H$15:$K$55,MATCH('Capital Cost Escalation'!$E69,'Capital Costs'!$B$15:$B$55,0),MATCH('Capital Cost Escalation'!$C69,'Capital Costs'!$H$7:$K$7,0))*AR$9*(1+$F69)^(AR$3), 0),0)</f>
        <v>0</v>
      </c>
      <c r="AS69" s="490">
        <f>IFERROR(IF(AS$6&lt;=$E$9,INDEX('Capital Costs'!$H$15:$K$55,MATCH('Capital Cost Escalation'!$E69,'Capital Costs'!$B$15:$B$55,0),MATCH('Capital Cost Escalation'!$C69,'Capital Costs'!$H$7:$K$7,0))*AS$9*(1+$F69)^(AS$3), 0),0)</f>
        <v>0</v>
      </c>
      <c r="AT69" s="490">
        <f>IFERROR(IF(AT$6&lt;=$E$9,INDEX('Capital Costs'!$H$15:$K$55,MATCH('Capital Cost Escalation'!$E69,'Capital Costs'!$B$15:$B$55,0),MATCH('Capital Cost Escalation'!$C69,'Capital Costs'!$H$7:$K$7,0))*AT$9*(1+$F69)^(AT$3), 0),0)</f>
        <v>0</v>
      </c>
      <c r="AV69" s="827">
        <f t="shared" si="9"/>
        <v>75461047.590504602</v>
      </c>
      <c r="AW69" s="828">
        <f>INDEX('Capital Costs'!$H$15:$K$55,MATCH('Capital Cost Escalation'!$E69,'Capital Costs'!$B$15:$B$55,0),MATCH('Capital Cost Escalation'!$C69,'Capital Costs'!$H$7:$K$7,0))</f>
        <v>67310200</v>
      </c>
    </row>
    <row r="70" spans="1:49">
      <c r="A70" s="487" t="str">
        <f t="shared" si="4"/>
        <v>__</v>
      </c>
      <c r="F70" s="1168"/>
      <c r="G70" s="490"/>
      <c r="H70" s="490"/>
      <c r="I70" s="490"/>
      <c r="J70" s="490"/>
      <c r="K70" s="490"/>
      <c r="L70" s="490"/>
      <c r="M70" s="490"/>
      <c r="N70" s="490"/>
      <c r="O70" s="490"/>
      <c r="P70" s="490"/>
      <c r="Q70" s="490"/>
      <c r="R70" s="490"/>
      <c r="S70" s="490"/>
      <c r="T70" s="490"/>
      <c r="U70" s="490"/>
      <c r="V70" s="490"/>
      <c r="W70" s="490"/>
      <c r="X70" s="490"/>
      <c r="Y70" s="490"/>
      <c r="Z70" s="490"/>
      <c r="AA70" s="490"/>
      <c r="AB70" s="490"/>
      <c r="AC70" s="490"/>
      <c r="AD70" s="490"/>
      <c r="AE70" s="490"/>
      <c r="AF70" s="490"/>
      <c r="AG70" s="490"/>
      <c r="AH70" s="490"/>
      <c r="AI70" s="490"/>
      <c r="AJ70" s="490"/>
      <c r="AK70" s="490"/>
      <c r="AL70" s="490"/>
      <c r="AM70" s="490"/>
      <c r="AN70" s="490"/>
      <c r="AO70" s="490"/>
      <c r="AP70" s="490"/>
      <c r="AQ70" s="490"/>
      <c r="AR70" s="490"/>
      <c r="AS70" s="490"/>
      <c r="AT70" s="490"/>
      <c r="AV70" s="99"/>
      <c r="AW70" s="828"/>
    </row>
    <row r="71" spans="1:49">
      <c r="A71" s="487" t="str">
        <f t="shared" ref="A71:A87" si="10">B71&amp;"_"&amp;C71&amp;"_"&amp;E71</f>
        <v>CC_Rest of RTO_Gas Turbines</v>
      </c>
      <c r="B71" s="478" t="s">
        <v>77</v>
      </c>
      <c r="C71" s="488" t="s">
        <v>111</v>
      </c>
      <c r="E71" s="442" t="s">
        <v>129</v>
      </c>
      <c r="F71" s="1325">
        <f>INDEX('Capital Costs_Nominal$'!$F:$F,MATCH('Capital Cost Escalation'!$E71,'Capital Costs_Nominal$'!$C:$C,0),1)</f>
        <v>2.3944839450136257E-3</v>
      </c>
      <c r="G71" s="490">
        <f>IFERROR(IF(G$6&lt;=$E$9,INDEX('Capital Costs'!$H$15:$K$55,MATCH('Capital Cost Escalation'!$E71,'Capital Costs'!$B$15:$B$55,0),MATCH('Capital Cost Escalation'!$C71,'Capital Costs'!$H$7:$K$7,0))*G$9*(1+$F71)^(G$3), 0),0)</f>
        <v>14844.690555846651</v>
      </c>
      <c r="H71" s="490">
        <f>IFERROR(IF(H$6&lt;=$E$9,INDEX('Capital Costs'!$H$15:$K$55,MATCH('Capital Cost Escalation'!$E71,'Capital Costs'!$B$15:$B$55,0),MATCH('Capital Cost Escalation'!$C71,'Capital Costs'!$H$7:$K$7,0))*H$9*(1+$F71)^(H$3), 0),0)</f>
        <v>74401.179645256605</v>
      </c>
      <c r="I71" s="490">
        <f>IFERROR(IF(I$6&lt;=$E$9,INDEX('Capital Costs'!$H$15:$K$55,MATCH('Capital Cost Escalation'!$E71,'Capital Costs'!$B$15:$B$55,0),MATCH('Capital Cost Escalation'!$C71,'Capital Costs'!$H$7:$K$7,0))*I$9*(1+$F71)^(I$3), 0),0)</f>
        <v>74579.332075407234</v>
      </c>
      <c r="J71" s="490">
        <f>IFERROR(IF(J$6&lt;=$E$9,INDEX('Capital Costs'!$H$15:$K$55,MATCH('Capital Cost Escalation'!$E71,'Capital Costs'!$B$15:$B$55,0),MATCH('Capital Cost Escalation'!$C71,'Capital Costs'!$H$7:$K$7,0))*J$9*(1+$F71)^(J$3), 0),0)</f>
        <v>2526817.3947977778</v>
      </c>
      <c r="K71" s="490">
        <f>IFERROR(IF(K$6&lt;=$E$9,INDEX('Capital Costs'!$H$15:$K$55,MATCH('Capital Cost Escalation'!$E71,'Capital Costs'!$B$15:$B$55,0),MATCH('Capital Cost Escalation'!$C71,'Capital Costs'!$H$7:$K$7,0))*K$9*(1+$F71)^(K$3), 0),0)</f>
        <v>2472918.2843163572</v>
      </c>
      <c r="L71" s="490">
        <f>IFERROR(IF(L$6&lt;=$E$9,INDEX('Capital Costs'!$H$15:$K$55,MATCH('Capital Cost Escalation'!$E71,'Capital Costs'!$B$15:$B$55,0),MATCH('Capital Cost Escalation'!$C71,'Capital Costs'!$H$7:$K$7,0))*L$9*(1+$F71)^(L$3), 0),0)</f>
        <v>360558.49417388847</v>
      </c>
      <c r="M71" s="490">
        <f>IFERROR(IF(M$6&lt;=$E$9,INDEX('Capital Costs'!$H$15:$K$55,MATCH('Capital Cost Escalation'!$E71,'Capital Costs'!$B$15:$B$55,0),MATCH('Capital Cost Escalation'!$C71,'Capital Costs'!$H$7:$K$7,0))*M$9*(1+$F71)^(M$3), 0),0)</f>
        <v>542132.76854913926</v>
      </c>
      <c r="N71" s="490">
        <f>IFERROR(IF(N$6&lt;=$E$9,INDEX('Capital Costs'!$H$15:$K$55,MATCH('Capital Cost Escalation'!$E71,'Capital Costs'!$B$15:$B$55,0),MATCH('Capital Cost Escalation'!$C71,'Capital Costs'!$H$7:$K$7,0))*N$9*(1+$F71)^(N$3), 0),0)</f>
        <v>2188818.8897257475</v>
      </c>
      <c r="O71" s="490">
        <f>IFERROR(IF(O$6&lt;=$E$9,INDEX('Capital Costs'!$H$15:$K$55,MATCH('Capital Cost Escalation'!$E71,'Capital Costs'!$B$15:$B$55,0),MATCH('Capital Cost Escalation'!$C71,'Capital Costs'!$H$7:$K$7,0))*O$9*(1+$F71)^(O$3), 0),0)</f>
        <v>2315111.5665972969</v>
      </c>
      <c r="P71" s="490">
        <f>IFERROR(IF(P$6&lt;=$E$9,INDEX('Capital Costs'!$H$15:$K$55,MATCH('Capital Cost Escalation'!$E71,'Capital Costs'!$B$15:$B$55,0),MATCH('Capital Cost Escalation'!$C71,'Capital Costs'!$H$7:$K$7,0))*P$9*(1+$F71)^(P$3), 0),0)</f>
        <v>1941463.0601406991</v>
      </c>
      <c r="Q71" s="490">
        <f>IFERROR(IF(Q$6&lt;=$E$9,INDEX('Capital Costs'!$H$15:$K$55,MATCH('Capital Cost Escalation'!$E71,'Capital Costs'!$B$15:$B$55,0),MATCH('Capital Cost Escalation'!$C71,'Capital Costs'!$H$7:$K$7,0))*Q$9*(1+$F71)^(Q$3), 0),0)</f>
        <v>2067743.8536597958</v>
      </c>
      <c r="R71" s="490">
        <f>IFERROR(IF(R$6&lt;=$E$9,INDEX('Capital Costs'!$H$15:$K$55,MATCH('Capital Cost Escalation'!$E71,'Capital Costs'!$B$15:$B$55,0),MATCH('Capital Cost Escalation'!$C71,'Capital Costs'!$H$7:$K$7,0))*R$9*(1+$F71)^(R$3), 0),0)</f>
        <v>2194618.2703621252</v>
      </c>
      <c r="S71" s="490">
        <f>IFERROR(IF(S$6&lt;=$E$9,INDEX('Capital Costs'!$H$15:$K$55,MATCH('Capital Cost Escalation'!$E71,'Capital Costs'!$B$15:$B$55,0),MATCH('Capital Cost Escalation'!$C71,'Capital Costs'!$H$7:$K$7,0))*S$9*(1+$F71)^(S$3), 0),0)</f>
        <v>4201146.8288776642</v>
      </c>
      <c r="T71" s="490">
        <f>IFERROR(IF(T$6&lt;=$E$9,INDEX('Capital Costs'!$H$15:$K$55,MATCH('Capital Cost Escalation'!$E71,'Capital Costs'!$B$15:$B$55,0),MATCH('Capital Cost Escalation'!$C71,'Capital Costs'!$H$7:$K$7,0))*T$9*(1+$F71)^(T$3), 0),0)</f>
        <v>5956942.8818960451</v>
      </c>
      <c r="U71" s="490">
        <f>IFERROR(IF(U$6&lt;=$E$9,INDEX('Capital Costs'!$H$15:$K$55,MATCH('Capital Cost Escalation'!$E71,'Capital Costs'!$B$15:$B$55,0),MATCH('Capital Cost Escalation'!$C71,'Capital Costs'!$H$7:$K$7,0))*U$9*(1+$F71)^(U$3), 0),0)</f>
        <v>6508461.7862698147</v>
      </c>
      <c r="V71" s="490">
        <f>IFERROR(IF(V$6&lt;=$E$9,INDEX('Capital Costs'!$H$15:$K$55,MATCH('Capital Cost Escalation'!$E71,'Capital Costs'!$B$15:$B$55,0),MATCH('Capital Cost Escalation'!$C71,'Capital Costs'!$H$7:$K$7,0))*V$9*(1+$F71)^(V$3), 0),0)</f>
        <v>7447260.2775129862</v>
      </c>
      <c r="W71" s="490">
        <f>IFERROR(IF(W$6&lt;=$E$9,INDEX('Capital Costs'!$H$15:$K$55,MATCH('Capital Cost Escalation'!$E71,'Capital Costs'!$B$15:$B$55,0),MATCH('Capital Cost Escalation'!$C71,'Capital Costs'!$H$7:$K$7,0))*W$9*(1+$F71)^(W$3), 0),0)</f>
        <v>8220856.1320029227</v>
      </c>
      <c r="X71" s="490">
        <f>IFERROR(IF(X$6&lt;=$E$9,INDEX('Capital Costs'!$H$15:$K$55,MATCH('Capital Cost Escalation'!$E71,'Capital Costs'!$B$15:$B$55,0),MATCH('Capital Cost Escalation'!$C71,'Capital Costs'!$H$7:$K$7,0))*X$9*(1+$F71)^(X$3), 0),0)</f>
        <v>9647462.4468588512</v>
      </c>
      <c r="Y71" s="490">
        <f>IFERROR(IF(Y$6&lt;=$E$9,INDEX('Capital Costs'!$H$15:$K$55,MATCH('Capital Cost Escalation'!$E71,'Capital Costs'!$B$15:$B$55,0),MATCH('Capital Cost Escalation'!$C71,'Capital Costs'!$H$7:$K$7,0))*Y$9*(1+$F71)^(Y$3), 0),0)</f>
        <v>9856535.508890247</v>
      </c>
      <c r="Z71" s="490">
        <f>IFERROR(IF(Z$6&lt;=$E$9,INDEX('Capital Costs'!$H$15:$K$55,MATCH('Capital Cost Escalation'!$E71,'Capital Costs'!$B$15:$B$55,0),MATCH('Capital Cost Escalation'!$C71,'Capital Costs'!$H$7:$K$7,0))*Z$9*(1+$F71)^(Z$3), 0),0)</f>
        <v>9662649.5363208801</v>
      </c>
      <c r="AA71" s="490">
        <f>IFERROR(IF(AA$6&lt;=$E$9,INDEX('Capital Costs'!$H$15:$K$55,MATCH('Capital Cost Escalation'!$E71,'Capital Costs'!$B$15:$B$55,0),MATCH('Capital Cost Escalation'!$C71,'Capital Costs'!$H$7:$K$7,0))*AA$9*(1+$F71)^(AA$3), 0),0)</f>
        <v>9966082.670612881</v>
      </c>
      <c r="AB71" s="490">
        <f>IFERROR(IF(AB$6&lt;=$E$9,INDEX('Capital Costs'!$H$15:$K$55,MATCH('Capital Cost Escalation'!$E71,'Capital Costs'!$B$15:$B$55,0),MATCH('Capital Cost Escalation'!$C71,'Capital Costs'!$H$7:$K$7,0))*AB$9*(1+$F71)^(AB$3), 0),0)</f>
        <v>9474839.689697409</v>
      </c>
      <c r="AC71" s="490">
        <f>IFERROR(IF(AC$6&lt;=$E$9,INDEX('Capital Costs'!$H$15:$K$55,MATCH('Capital Cost Escalation'!$E71,'Capital Costs'!$B$15:$B$55,0),MATCH('Capital Cost Escalation'!$C71,'Capital Costs'!$H$7:$K$7,0))*AC$9*(1+$F71)^(AC$3), 0),0)</f>
        <v>9732227.0504717156</v>
      </c>
      <c r="AD71" s="490">
        <f>IFERROR(IF(AD$6&lt;=$E$9,INDEX('Capital Costs'!$H$15:$K$55,MATCH('Capital Cost Escalation'!$E71,'Capital Costs'!$B$15:$B$55,0),MATCH('Capital Cost Escalation'!$C71,'Capital Costs'!$H$7:$K$7,0))*AD$9*(1+$F71)^(AD$3), 0),0)</f>
        <v>9739846.5789159779</v>
      </c>
      <c r="AE71" s="490">
        <f>IFERROR(IF(AE$6&lt;=$E$9,INDEX('Capital Costs'!$H$15:$K$55,MATCH('Capital Cost Escalation'!$E71,'Capital Costs'!$B$15:$B$55,0),MATCH('Capital Cost Escalation'!$C71,'Capital Costs'!$H$7:$K$7,0))*AE$9*(1+$F71)^(AE$3), 0),0)</f>
        <v>9228631.0801906027</v>
      </c>
      <c r="AF71" s="490">
        <f>IFERROR(IF(AF$6&lt;=$E$9,INDEX('Capital Costs'!$H$15:$K$55,MATCH('Capital Cost Escalation'!$E71,'Capital Costs'!$B$15:$B$55,0),MATCH('Capital Cost Escalation'!$C71,'Capital Costs'!$H$7:$K$7,0))*AF$9*(1+$F71)^(AF$3), 0),0)</f>
        <v>9108894.8857354671</v>
      </c>
      <c r="AG71" s="490">
        <f>IFERROR(IF(AG$6&lt;=$E$9,INDEX('Capital Costs'!$H$15:$K$55,MATCH('Capital Cost Escalation'!$E71,'Capital Costs'!$B$15:$B$55,0),MATCH('Capital Cost Escalation'!$C71,'Capital Costs'!$H$7:$K$7,0))*AG$9*(1+$F71)^(AG$3), 0),0)</f>
        <v>7787955.107664383</v>
      </c>
      <c r="AH71" s="490">
        <f>IFERROR(IF(AH$6&lt;=$E$9,INDEX('Capital Costs'!$H$15:$K$55,MATCH('Capital Cost Escalation'!$E71,'Capital Costs'!$B$15:$B$55,0),MATCH('Capital Cost Escalation'!$C71,'Capital Costs'!$H$7:$K$7,0))*AH$9*(1+$F71)^(AH$3), 0),0)</f>
        <v>6587316.3251760993</v>
      </c>
      <c r="AI71" s="490">
        <f>IFERROR(IF(AI$6&lt;=$E$9,INDEX('Capital Costs'!$H$15:$K$55,MATCH('Capital Cost Escalation'!$E71,'Capital Costs'!$B$15:$B$55,0),MATCH('Capital Cost Escalation'!$C71,'Capital Costs'!$H$7:$K$7,0))*AI$9*(1+$F71)^(AI$3), 0),0)</f>
        <v>3777729.1166083533</v>
      </c>
      <c r="AJ71" s="490">
        <f>IFERROR(IF(AJ$6&lt;=$E$9,INDEX('Capital Costs'!$H$15:$K$55,MATCH('Capital Cost Escalation'!$E71,'Capital Costs'!$B$15:$B$55,0),MATCH('Capital Cost Escalation'!$C71,'Capital Costs'!$H$7:$K$7,0))*AJ$9*(1+$F71)^(AJ$3), 0),0)</f>
        <v>1129668.1210554391</v>
      </c>
      <c r="AK71" s="490">
        <f>IFERROR(IF(AK$6&lt;=$E$9,INDEX('Capital Costs'!$H$15:$K$55,MATCH('Capital Cost Escalation'!$E71,'Capital Costs'!$B$15:$B$55,0),MATCH('Capital Cost Escalation'!$C71,'Capital Costs'!$H$7:$K$7,0))*AK$9*(1+$F71)^(AK$3), 0),0)</f>
        <v>271131.58570403536</v>
      </c>
      <c r="AL71" s="490">
        <f>IFERROR(IF(AL$6&lt;=$E$9,INDEX('Capital Costs'!$H$15:$K$55,MATCH('Capital Cost Escalation'!$E71,'Capital Costs'!$B$15:$B$55,0),MATCH('Capital Cost Escalation'!$C71,'Capital Costs'!$H$7:$K$7,0))*AL$9*(1+$F71)^(AL$3), 0),0)</f>
        <v>191845.27477622801</v>
      </c>
      <c r="AM71" s="490">
        <f>IFERROR(IF(AM$6&lt;=$E$9,INDEX('Capital Costs'!$H$15:$K$55,MATCH('Capital Cost Escalation'!$E71,'Capital Costs'!$B$15:$B$55,0),MATCH('Capital Cost Escalation'!$C71,'Capital Costs'!$H$7:$K$7,0))*AM$9*(1+$F71)^(AM$3), 0),0)</f>
        <v>0</v>
      </c>
      <c r="AN71" s="490">
        <f>IFERROR(IF(AN$6&lt;=$E$9,INDEX('Capital Costs'!$H$15:$K$55,MATCH('Capital Cost Escalation'!$E71,'Capital Costs'!$B$15:$B$55,0),MATCH('Capital Cost Escalation'!$C71,'Capital Costs'!$H$7:$K$7,0))*AN$9*(1+$F71)^(AN$3), 0),0)</f>
        <v>0</v>
      </c>
      <c r="AO71" s="490">
        <f>IFERROR(IF(AO$6&lt;=$E$9,INDEX('Capital Costs'!$H$15:$K$55,MATCH('Capital Cost Escalation'!$E71,'Capital Costs'!$B$15:$B$55,0),MATCH('Capital Cost Escalation'!$C71,'Capital Costs'!$H$7:$K$7,0))*AO$9*(1+$F71)^(AO$3), 0),0)</f>
        <v>0</v>
      </c>
      <c r="AP71" s="490">
        <f>IFERROR(IF(AP$6&lt;=$E$9,INDEX('Capital Costs'!$H$15:$K$55,MATCH('Capital Cost Escalation'!$E71,'Capital Costs'!$B$15:$B$55,0),MATCH('Capital Cost Escalation'!$C71,'Capital Costs'!$H$7:$K$7,0))*AP$9*(1+$F71)^(AP$3), 0),0)</f>
        <v>0</v>
      </c>
      <c r="AQ71" s="490">
        <f>IFERROR(IF(AQ$6&lt;=$E$9,INDEX('Capital Costs'!$H$15:$K$55,MATCH('Capital Cost Escalation'!$E71,'Capital Costs'!$B$15:$B$55,0),MATCH('Capital Cost Escalation'!$C71,'Capital Costs'!$H$7:$K$7,0))*AQ$9*(1+$F71)^(AQ$3), 0),0)</f>
        <v>0</v>
      </c>
      <c r="AR71" s="490">
        <f>IFERROR(IF(AR$6&lt;=$E$9,INDEX('Capital Costs'!$H$15:$K$55,MATCH('Capital Cost Escalation'!$E71,'Capital Costs'!$B$15:$B$55,0),MATCH('Capital Cost Escalation'!$C71,'Capital Costs'!$H$7:$K$7,0))*AR$9*(1+$F71)^(AR$3), 0),0)</f>
        <v>0</v>
      </c>
      <c r="AS71" s="490">
        <f>IFERROR(IF(AS$6&lt;=$E$9,INDEX('Capital Costs'!$H$15:$K$55,MATCH('Capital Cost Escalation'!$E71,'Capital Costs'!$B$15:$B$55,0),MATCH('Capital Cost Escalation'!$C71,'Capital Costs'!$H$7:$K$7,0))*AS$9*(1+$F71)^(AS$3), 0),0)</f>
        <v>0</v>
      </c>
      <c r="AT71" s="490">
        <f>IFERROR(IF(AT$6&lt;=$E$9,INDEX('Capital Costs'!$H$15:$K$55,MATCH('Capital Cost Escalation'!$E71,'Capital Costs'!$B$15:$B$55,0),MATCH('Capital Cost Escalation'!$C71,'Capital Costs'!$H$7:$K$7,0))*AT$9*(1+$F71)^(AT$3), 0),0)</f>
        <v>0</v>
      </c>
      <c r="AU71" s="491"/>
      <c r="AV71" s="827">
        <f t="shared" ref="AV71:AV76" si="11">SUM(G71:AT71)</f>
        <v>155271490.66983736</v>
      </c>
      <c r="AW71" s="828">
        <f>INDEX('Capital Costs'!$H$15:$K$55,MATCH('Capital Cost Escalation'!$E71,'Capital Costs'!$B$15:$B$55,0),MATCH('Capital Cost Escalation'!$C71,'Capital Costs'!$H$7:$K$7,0))</f>
        <v>138500000</v>
      </c>
    </row>
    <row r="72" spans="1:49">
      <c r="A72" s="487" t="str">
        <f t="shared" si="10"/>
        <v>CC_Rest of RTO_HRSG / SCR</v>
      </c>
      <c r="B72" s="478" t="s">
        <v>77</v>
      </c>
      <c r="C72" s="488" t="s">
        <v>111</v>
      </c>
      <c r="E72" s="442" t="s">
        <v>130</v>
      </c>
      <c r="F72" s="1325">
        <f>INDEX('Capital Costs_Nominal$'!$F:$F,MATCH('Capital Cost Escalation'!$E72,'Capital Costs_Nominal$'!$C:$C,0),1)</f>
        <v>2.3944839450136257E-3</v>
      </c>
      <c r="G72" s="490">
        <f>IFERROR(IF(G$6&lt;=$E$9,INDEX('Capital Costs'!$H$15:$K$55,MATCH('Capital Cost Escalation'!$E72,'Capital Costs'!$B$15:$B$55,0),MATCH('Capital Cost Escalation'!$C72,'Capital Costs'!$H$7:$K$7,0))*G$9*(1+$F72)^(G$3), 0),0)</f>
        <v>7717.0954514148661</v>
      </c>
      <c r="H72" s="490">
        <f>IFERROR(IF(H$6&lt;=$E$9,INDEX('Capital Costs'!$H$15:$K$55,MATCH('Capital Cost Escalation'!$E72,'Capital Costs'!$B$15:$B$55,0),MATCH('Capital Cost Escalation'!$C72,'Capital Costs'!$H$7:$K$7,0))*H$9*(1+$F72)^(H$3), 0),0)</f>
        <v>38677.86956287708</v>
      </c>
      <c r="I72" s="490">
        <f>IFERROR(IF(I$6&lt;=$E$9,INDEX('Capital Costs'!$H$15:$K$55,MATCH('Capital Cost Escalation'!$E72,'Capital Costs'!$B$15:$B$55,0),MATCH('Capital Cost Escalation'!$C72,'Capital Costs'!$H$7:$K$7,0))*I$9*(1+$F72)^(I$3), 0),0)</f>
        <v>38770.483100572717</v>
      </c>
      <c r="J72" s="490">
        <f>IFERROR(IF(J$6&lt;=$E$9,INDEX('Capital Costs'!$H$15:$K$55,MATCH('Capital Cost Escalation'!$E72,'Capital Costs'!$B$15:$B$55,0),MATCH('Capital Cost Escalation'!$C72,'Capital Costs'!$H$7:$K$7,0))*J$9*(1+$F72)^(J$3), 0),0)</f>
        <v>1313580.1619165342</v>
      </c>
      <c r="K72" s="490">
        <f>IFERROR(IF(K$6&lt;=$E$9,INDEX('Capital Costs'!$H$15:$K$55,MATCH('Capital Cost Escalation'!$E72,'Capital Costs'!$B$15:$B$55,0),MATCH('Capital Cost Escalation'!$C72,'Capital Costs'!$H$7:$K$7,0))*K$9*(1+$F72)^(K$3), 0),0)</f>
        <v>1285560.4077312471</v>
      </c>
      <c r="L72" s="490">
        <f>IFERROR(IF(L$6&lt;=$E$9,INDEX('Capital Costs'!$H$15:$K$55,MATCH('Capital Cost Escalation'!$E72,'Capital Costs'!$B$15:$B$55,0),MATCH('Capital Cost Escalation'!$C72,'Capital Costs'!$H$7:$K$7,0))*L$9*(1+$F72)^(L$3), 0),0)</f>
        <v>187438.35076187705</v>
      </c>
      <c r="M72" s="490">
        <f>IFERROR(IF(M$6&lt;=$E$9,INDEX('Capital Costs'!$H$15:$K$55,MATCH('Capital Cost Escalation'!$E72,'Capital Costs'!$B$15:$B$55,0),MATCH('Capital Cost Escalation'!$C72,'Capital Costs'!$H$7:$K$7,0))*M$9*(1+$F72)^(M$3), 0),0)</f>
        <v>281830.75332518434</v>
      </c>
      <c r="N72" s="490">
        <f>IFERROR(IF(N$6&lt;=$E$9,INDEX('Capital Costs'!$H$15:$K$55,MATCH('Capital Cost Escalation'!$E72,'Capital Costs'!$B$15:$B$55,0),MATCH('Capital Cost Escalation'!$C72,'Capital Costs'!$H$7:$K$7,0))*N$9*(1+$F72)^(N$3), 0),0)</f>
        <v>1137869.7477274644</v>
      </c>
      <c r="O72" s="490">
        <f>IFERROR(IF(O$6&lt;=$E$9,INDEX('Capital Costs'!$H$15:$K$55,MATCH('Capital Cost Escalation'!$E72,'Capital Costs'!$B$15:$B$55,0),MATCH('Capital Cost Escalation'!$C72,'Capital Costs'!$H$7:$K$7,0))*O$9*(1+$F72)^(O$3), 0),0)</f>
        <v>1203523.7024910136</v>
      </c>
      <c r="P72" s="490">
        <f>IFERROR(IF(P$6&lt;=$E$9,INDEX('Capital Costs'!$H$15:$K$55,MATCH('Capital Cost Escalation'!$E72,'Capital Costs'!$B$15:$B$55,0),MATCH('Capital Cost Escalation'!$C72,'Capital Costs'!$H$7:$K$7,0))*P$9*(1+$F72)^(P$3), 0),0)</f>
        <v>1009280.4355966089</v>
      </c>
      <c r="Q72" s="490">
        <f>IFERROR(IF(Q$6&lt;=$E$9,INDEX('Capital Costs'!$H$15:$K$55,MATCH('Capital Cost Escalation'!$E72,'Capital Costs'!$B$15:$B$55,0),MATCH('Capital Cost Escalation'!$C72,'Capital Costs'!$H$7:$K$7,0))*Q$9*(1+$F72)^(Q$3), 0),0)</f>
        <v>1074928.2127328902</v>
      </c>
      <c r="R72" s="490">
        <f>IFERROR(IF(R$6&lt;=$E$9,INDEX('Capital Costs'!$H$15:$K$55,MATCH('Capital Cost Escalation'!$E72,'Capital Costs'!$B$15:$B$55,0),MATCH('Capital Cost Escalation'!$C72,'Capital Costs'!$H$7:$K$7,0))*R$9*(1+$F72)^(R$3), 0),0)</f>
        <v>1140884.5882026933</v>
      </c>
      <c r="S72" s="490">
        <f>IFERROR(IF(S$6&lt;=$E$9,INDEX('Capital Costs'!$H$15:$K$55,MATCH('Capital Cost Escalation'!$E72,'Capital Costs'!$B$15:$B$55,0),MATCH('Capital Cost Escalation'!$C72,'Capital Costs'!$H$7:$K$7,0))*S$9*(1+$F72)^(S$3), 0),0)</f>
        <v>2183989.6872143811</v>
      </c>
      <c r="T72" s="490">
        <f>IFERROR(IF(T$6&lt;=$E$9,INDEX('Capital Costs'!$H$15:$K$55,MATCH('Capital Cost Escalation'!$E72,'Capital Costs'!$B$15:$B$55,0),MATCH('Capital Cost Escalation'!$C72,'Capital Costs'!$H$7:$K$7,0))*T$9*(1+$F72)^(T$3), 0),0)</f>
        <v>3096750.0902275466</v>
      </c>
      <c r="U72" s="490">
        <f>IFERROR(IF(U$6&lt;=$E$9,INDEX('Capital Costs'!$H$15:$K$55,MATCH('Capital Cost Escalation'!$E72,'Capital Costs'!$B$15:$B$55,0),MATCH('Capital Cost Escalation'!$C72,'Capital Costs'!$H$7:$K$7,0))*U$9*(1+$F72)^(U$3), 0),0)</f>
        <v>3383460.2787828641</v>
      </c>
      <c r="V72" s="490">
        <f>IFERROR(IF(V$6&lt;=$E$9,INDEX('Capital Costs'!$H$15:$K$55,MATCH('Capital Cost Escalation'!$E72,'Capital Costs'!$B$15:$B$55,0),MATCH('Capital Cost Escalation'!$C72,'Capital Costs'!$H$7:$K$7,0))*V$9*(1+$F72)^(V$3), 0),0)</f>
        <v>3871499.9276601807</v>
      </c>
      <c r="W72" s="490">
        <f>IFERROR(IF(W$6&lt;=$E$9,INDEX('Capital Costs'!$H$15:$K$55,MATCH('Capital Cost Escalation'!$E72,'Capital Costs'!$B$15:$B$55,0),MATCH('Capital Cost Escalation'!$C72,'Capital Costs'!$H$7:$K$7,0))*W$9*(1+$F72)^(W$3), 0),0)</f>
        <v>4273658.0614022417</v>
      </c>
      <c r="X72" s="490">
        <f>IFERROR(IF(X$6&lt;=$E$9,INDEX('Capital Costs'!$H$15:$K$55,MATCH('Capital Cost Escalation'!$E72,'Capital Costs'!$B$15:$B$55,0),MATCH('Capital Cost Escalation'!$C72,'Capital Costs'!$H$7:$K$7,0))*X$9*(1+$F72)^(X$3), 0),0)</f>
        <v>5015287.3369952152</v>
      </c>
      <c r="Y72" s="490">
        <f>IFERROR(IF(Y$6&lt;=$E$9,INDEX('Capital Costs'!$H$15:$K$55,MATCH('Capital Cost Escalation'!$E72,'Capital Costs'!$B$15:$B$55,0),MATCH('Capital Cost Escalation'!$C72,'Capital Costs'!$H$7:$K$7,0))*Y$9*(1+$F72)^(Y$3), 0),0)</f>
        <v>5123975.1381956516</v>
      </c>
      <c r="Z72" s="490">
        <f>IFERROR(IF(Z$6&lt;=$E$9,INDEX('Capital Costs'!$H$15:$K$55,MATCH('Capital Cost Escalation'!$E72,'Capital Costs'!$B$15:$B$55,0),MATCH('Capital Cost Escalation'!$C72,'Capital Costs'!$H$7:$K$7,0))*Z$9*(1+$F72)^(Z$3), 0),0)</f>
        <v>5023182.4304339588</v>
      </c>
      <c r="AA72" s="490">
        <f>IFERROR(IF(AA$6&lt;=$E$9,INDEX('Capital Costs'!$H$15:$K$55,MATCH('Capital Cost Escalation'!$E72,'Capital Costs'!$B$15:$B$55,0),MATCH('Capital Cost Escalation'!$C72,'Capital Costs'!$H$7:$K$7,0))*AA$9*(1+$F72)^(AA$3), 0),0)</f>
        <v>5180923.8432066962</v>
      </c>
      <c r="AB72" s="490">
        <f>IFERROR(IF(AB$6&lt;=$E$9,INDEX('Capital Costs'!$H$15:$K$55,MATCH('Capital Cost Escalation'!$E72,'Capital Costs'!$B$15:$B$55,0),MATCH('Capital Cost Escalation'!$C72,'Capital Costs'!$H$7:$K$7,0))*AB$9*(1+$F72)^(AB$3), 0),0)</f>
        <v>4925548.4307452226</v>
      </c>
      <c r="AC72" s="490">
        <f>IFERROR(IF(AC$6&lt;=$E$9,INDEX('Capital Costs'!$H$15:$K$55,MATCH('Capital Cost Escalation'!$E72,'Capital Costs'!$B$15:$B$55,0),MATCH('Capital Cost Escalation'!$C72,'Capital Costs'!$H$7:$K$7,0))*AC$9*(1+$F72)^(AC$3), 0),0)</f>
        <v>5059352.6904979311</v>
      </c>
      <c r="AD72" s="490">
        <f>IFERROR(IF(AD$6&lt;=$E$9,INDEX('Capital Costs'!$H$15:$K$55,MATCH('Capital Cost Escalation'!$E72,'Capital Costs'!$B$15:$B$55,0),MATCH('Capital Cost Escalation'!$C72,'Capital Costs'!$H$7:$K$7,0))*AD$9*(1+$F72)^(AD$3), 0),0)</f>
        <v>5063313.7449960317</v>
      </c>
      <c r="AE72" s="490">
        <f>IFERROR(IF(AE$6&lt;=$E$9,INDEX('Capital Costs'!$H$15:$K$55,MATCH('Capital Cost Escalation'!$E72,'Capital Costs'!$B$15:$B$55,0),MATCH('Capital Cost Escalation'!$C72,'Capital Costs'!$H$7:$K$7,0))*AE$9*(1+$F72)^(AE$3), 0),0)</f>
        <v>4797555.507391504</v>
      </c>
      <c r="AF72" s="490">
        <f>IFERROR(IF(AF$6&lt;=$E$9,INDEX('Capital Costs'!$H$15:$K$55,MATCH('Capital Cost Escalation'!$E72,'Capital Costs'!$B$15:$B$55,0),MATCH('Capital Cost Escalation'!$C72,'Capital Costs'!$H$7:$K$7,0))*AF$9*(1+$F72)^(AF$3), 0),0)</f>
        <v>4735309.9767000265</v>
      </c>
      <c r="AG72" s="490">
        <f>IFERROR(IF(AG$6&lt;=$E$9,INDEX('Capital Costs'!$H$15:$K$55,MATCH('Capital Cost Escalation'!$E72,'Capital Costs'!$B$15:$B$55,0),MATCH('Capital Cost Escalation'!$C72,'Capital Costs'!$H$7:$K$7,0))*AG$9*(1+$F72)^(AG$3), 0),0)</f>
        <v>4048612.0415294985</v>
      </c>
      <c r="AH72" s="490">
        <f>IFERROR(IF(AH$6&lt;=$E$9,INDEX('Capital Costs'!$H$15:$K$55,MATCH('Capital Cost Escalation'!$E72,'Capital Costs'!$B$15:$B$55,0),MATCH('Capital Cost Escalation'!$C72,'Capital Costs'!$H$7:$K$7,0))*AH$9*(1+$F72)^(AH$3), 0),0)</f>
        <v>3424453.2520771059</v>
      </c>
      <c r="AI72" s="490">
        <f>IFERROR(IF(AI$6&lt;=$E$9,INDEX('Capital Costs'!$H$15:$K$55,MATCH('Capital Cost Escalation'!$E72,'Capital Costs'!$B$15:$B$55,0),MATCH('Capital Cost Escalation'!$C72,'Capital Costs'!$H$7:$K$7,0))*AI$9*(1+$F72)^(AI$3), 0),0)</f>
        <v>1963873.6201862921</v>
      </c>
      <c r="AJ72" s="490">
        <f>IFERROR(IF(AJ$6&lt;=$E$9,INDEX('Capital Costs'!$H$15:$K$55,MATCH('Capital Cost Escalation'!$E72,'Capital Costs'!$B$15:$B$55,0),MATCH('Capital Cost Escalation'!$C72,'Capital Costs'!$H$7:$K$7,0))*AJ$9*(1+$F72)^(AJ$3), 0),0)</f>
        <v>587264.29397827887</v>
      </c>
      <c r="AK72" s="490">
        <f>IFERROR(IF(AK$6&lt;=$E$9,INDEX('Capital Costs'!$H$15:$K$55,MATCH('Capital Cost Escalation'!$E72,'Capital Costs'!$B$15:$B$55,0),MATCH('Capital Cost Escalation'!$C72,'Capital Costs'!$H$7:$K$7,0))*AK$9*(1+$F72)^(AK$3), 0),0)</f>
        <v>140949.27199054544</v>
      </c>
      <c r="AL72" s="490">
        <f>IFERROR(IF(AL$6&lt;=$E$9,INDEX('Capital Costs'!$H$15:$K$55,MATCH('Capital Cost Escalation'!$E72,'Capital Costs'!$B$15:$B$55,0),MATCH('Capital Cost Escalation'!$C72,'Capital Costs'!$H$7:$K$7,0))*AL$9*(1+$F72)^(AL$3), 0),0)</f>
        <v>99731.83959486222</v>
      </c>
      <c r="AM72" s="490">
        <f>IFERROR(IF(AM$6&lt;=$E$9,INDEX('Capital Costs'!$H$15:$K$55,MATCH('Capital Cost Escalation'!$E72,'Capital Costs'!$B$15:$B$55,0),MATCH('Capital Cost Escalation'!$C72,'Capital Costs'!$H$7:$K$7,0))*AM$9*(1+$F72)^(AM$3), 0),0)</f>
        <v>0</v>
      </c>
      <c r="AN72" s="490">
        <f>IFERROR(IF(AN$6&lt;=$E$9,INDEX('Capital Costs'!$H$15:$K$55,MATCH('Capital Cost Escalation'!$E72,'Capital Costs'!$B$15:$B$55,0),MATCH('Capital Cost Escalation'!$C72,'Capital Costs'!$H$7:$K$7,0))*AN$9*(1+$F72)^(AN$3), 0),0)</f>
        <v>0</v>
      </c>
      <c r="AO72" s="490">
        <f>IFERROR(IF(AO$6&lt;=$E$9,INDEX('Capital Costs'!$H$15:$K$55,MATCH('Capital Cost Escalation'!$E72,'Capital Costs'!$B$15:$B$55,0),MATCH('Capital Cost Escalation'!$C72,'Capital Costs'!$H$7:$K$7,0))*AO$9*(1+$F72)^(AO$3), 0),0)</f>
        <v>0</v>
      </c>
      <c r="AP72" s="490">
        <f>IFERROR(IF(AP$6&lt;=$E$9,INDEX('Capital Costs'!$H$15:$K$55,MATCH('Capital Cost Escalation'!$E72,'Capital Costs'!$B$15:$B$55,0),MATCH('Capital Cost Escalation'!$C72,'Capital Costs'!$H$7:$K$7,0))*AP$9*(1+$F72)^(AP$3), 0),0)</f>
        <v>0</v>
      </c>
      <c r="AQ72" s="490">
        <f>IFERROR(IF(AQ$6&lt;=$E$9,INDEX('Capital Costs'!$H$15:$K$55,MATCH('Capital Cost Escalation'!$E72,'Capital Costs'!$B$15:$B$55,0),MATCH('Capital Cost Escalation'!$C72,'Capital Costs'!$H$7:$K$7,0))*AQ$9*(1+$F72)^(AQ$3), 0),0)</f>
        <v>0</v>
      </c>
      <c r="AR72" s="490">
        <f>IFERROR(IF(AR$6&lt;=$E$9,INDEX('Capital Costs'!$H$15:$K$55,MATCH('Capital Cost Escalation'!$E72,'Capital Costs'!$B$15:$B$55,0),MATCH('Capital Cost Escalation'!$C72,'Capital Costs'!$H$7:$K$7,0))*AR$9*(1+$F72)^(AR$3), 0),0)</f>
        <v>0</v>
      </c>
      <c r="AS72" s="490">
        <f>IFERROR(IF(AS$6&lt;=$E$9,INDEX('Capital Costs'!$H$15:$K$55,MATCH('Capital Cost Escalation'!$E72,'Capital Costs'!$B$15:$B$55,0),MATCH('Capital Cost Escalation'!$C72,'Capital Costs'!$H$7:$K$7,0))*AS$9*(1+$F72)^(AS$3), 0),0)</f>
        <v>0</v>
      </c>
      <c r="AT72" s="490">
        <f>IFERROR(IF(AT$6&lt;=$E$9,INDEX('Capital Costs'!$H$15:$K$55,MATCH('Capital Cost Escalation'!$E72,'Capital Costs'!$B$15:$B$55,0),MATCH('Capital Cost Escalation'!$C72,'Capital Costs'!$H$7:$K$7,0))*AT$9*(1+$F72)^(AT$3), 0),0)</f>
        <v>0</v>
      </c>
      <c r="AV72" s="827">
        <f t="shared" si="11"/>
        <v>80718753.272406399</v>
      </c>
      <c r="AW72" s="828">
        <f>INDEX('Capital Costs'!$H$15:$K$55,MATCH('Capital Cost Escalation'!$E72,'Capital Costs'!$B$15:$B$55,0),MATCH('Capital Cost Escalation'!$C72,'Capital Costs'!$H$7:$K$7,0))</f>
        <v>72000000</v>
      </c>
    </row>
    <row r="73" spans="1:49">
      <c r="A73" s="487" t="str">
        <f t="shared" si="10"/>
        <v>CC_Rest of RTO_Condenser</v>
      </c>
      <c r="B73" s="478" t="s">
        <v>77</v>
      </c>
      <c r="C73" s="488" t="s">
        <v>111</v>
      </c>
      <c r="E73" s="442" t="s">
        <v>134</v>
      </c>
      <c r="F73" s="1325">
        <f>INDEX('Capital Costs_Nominal$'!$F:$F,MATCH('Capital Cost Escalation'!$E73,'Capital Costs_Nominal$'!$C:$C,0),1)</f>
        <v>2.3944839450136257E-3</v>
      </c>
      <c r="G73" s="490">
        <f>IFERROR(IF(G$6&lt;=$E$9,INDEX('Capital Costs'!$H$15:$K$55,MATCH('Capital Cost Escalation'!$E73,'Capital Costs'!$B$15:$B$55,0),MATCH('Capital Cost Escalation'!$C73,'Capital Costs'!$H$7:$K$7,0))*G$9*(1+$F73)^(G$3), 0),0)</f>
        <v>5895.0034698308</v>
      </c>
      <c r="H73" s="490">
        <f>IFERROR(IF(H$6&lt;=$E$9,INDEX('Capital Costs'!$H$15:$K$55,MATCH('Capital Cost Escalation'!$E73,'Capital Costs'!$B$15:$B$55,0),MATCH('Capital Cost Escalation'!$C73,'Capital Costs'!$H$7:$K$7,0))*H$9*(1+$F73)^(H$3), 0),0)</f>
        <v>29545.594804975546</v>
      </c>
      <c r="I73" s="490">
        <f>IFERROR(IF(I$6&lt;=$E$9,INDEX('Capital Costs'!$H$15:$K$55,MATCH('Capital Cost Escalation'!$E73,'Capital Costs'!$B$15:$B$55,0),MATCH('Capital Cost Escalation'!$C73,'Capital Costs'!$H$7:$K$7,0))*I$9*(1+$F73)^(I$3), 0),0)</f>
        <v>29616.341257381937</v>
      </c>
      <c r="J73" s="490">
        <f>IFERROR(IF(J$6&lt;=$E$9,INDEX('Capital Costs'!$H$15:$K$55,MATCH('Capital Cost Escalation'!$E73,'Capital Costs'!$B$15:$B$55,0),MATCH('Capital Cost Escalation'!$C73,'Capital Costs'!$H$7:$K$7,0))*J$9*(1+$F73)^(J$3), 0),0)</f>
        <v>1003429.2903529081</v>
      </c>
      <c r="K73" s="490">
        <f>IFERROR(IF(K$6&lt;=$E$9,INDEX('Capital Costs'!$H$15:$K$55,MATCH('Capital Cost Escalation'!$E73,'Capital Costs'!$B$15:$B$55,0),MATCH('Capital Cost Escalation'!$C73,'Capital Costs'!$H$7:$K$7,0))*K$9*(1+$F73)^(K$3), 0),0)</f>
        <v>982025.31146136939</v>
      </c>
      <c r="L73" s="490">
        <f>IFERROR(IF(L$6&lt;=$E$9,INDEX('Capital Costs'!$H$15:$K$55,MATCH('Capital Cost Escalation'!$E73,'Capital Costs'!$B$15:$B$55,0),MATCH('Capital Cost Escalation'!$C73,'Capital Costs'!$H$7:$K$7,0))*L$9*(1+$F73)^(L$3), 0),0)</f>
        <v>143182.0734986561</v>
      </c>
      <c r="M73" s="490">
        <f>IFERROR(IF(M$6&lt;=$E$9,INDEX('Capital Costs'!$H$15:$K$55,MATCH('Capital Cost Escalation'!$E73,'Capital Costs'!$B$15:$B$55,0),MATCH('Capital Cost Escalation'!$C73,'Capital Costs'!$H$7:$K$7,0))*M$9*(1+$F73)^(M$3), 0),0)</f>
        <v>215287.3810122936</v>
      </c>
      <c r="N73" s="490">
        <f>IFERROR(IF(N$6&lt;=$E$9,INDEX('Capital Costs'!$H$15:$K$55,MATCH('Capital Cost Escalation'!$E73,'Capital Costs'!$B$15:$B$55,0),MATCH('Capital Cost Escalation'!$C73,'Capital Costs'!$H$7:$K$7,0))*N$9*(1+$F73)^(N$3), 0),0)</f>
        <v>869206.05729181319</v>
      </c>
      <c r="O73" s="490">
        <f>IFERROR(IF(O$6&lt;=$E$9,INDEX('Capital Costs'!$H$15:$K$55,MATCH('Capital Cost Escalation'!$E73,'Capital Costs'!$B$15:$B$55,0),MATCH('Capital Cost Escalation'!$C73,'Capital Costs'!$H$7:$K$7,0))*O$9*(1+$F73)^(O$3), 0),0)</f>
        <v>919358.38384730218</v>
      </c>
      <c r="P73" s="490">
        <f>IFERROR(IF(P$6&lt;=$E$9,INDEX('Capital Costs'!$H$15:$K$55,MATCH('Capital Cost Escalation'!$E73,'Capital Costs'!$B$15:$B$55,0),MATCH('Capital Cost Escalation'!$C73,'Capital Costs'!$H$7:$K$7,0))*P$9*(1+$F73)^(P$3), 0),0)</f>
        <v>770978.11052518734</v>
      </c>
      <c r="Q73" s="490">
        <f>IFERROR(IF(Q$6&lt;=$E$9,INDEX('Capital Costs'!$H$15:$K$55,MATCH('Capital Cost Escalation'!$E73,'Capital Costs'!$B$15:$B$55,0),MATCH('Capital Cost Escalation'!$C73,'Capital Costs'!$H$7:$K$7,0))*Q$9*(1+$F73)^(Q$3), 0),0)</f>
        <v>821125.71805984655</v>
      </c>
      <c r="R73" s="490">
        <f>IFERROR(IF(R$6&lt;=$E$9,INDEX('Capital Costs'!$H$15:$K$55,MATCH('Capital Cost Escalation'!$E73,'Capital Costs'!$B$15:$B$55,0),MATCH('Capital Cost Escalation'!$C73,'Capital Costs'!$H$7:$K$7,0))*R$9*(1+$F73)^(R$3), 0),0)</f>
        <v>871509.0604326129</v>
      </c>
      <c r="S73" s="490">
        <f>IFERROR(IF(S$6&lt;=$E$9,INDEX('Capital Costs'!$H$15:$K$55,MATCH('Capital Cost Escalation'!$E73,'Capital Costs'!$B$15:$B$55,0),MATCH('Capital Cost Escalation'!$C73,'Capital Costs'!$H$7:$K$7,0))*S$9*(1+$F73)^(S$3), 0),0)</f>
        <v>1668325.4555109856</v>
      </c>
      <c r="T73" s="490">
        <f>IFERROR(IF(T$6&lt;=$E$9,INDEX('Capital Costs'!$H$15:$K$55,MATCH('Capital Cost Escalation'!$E73,'Capital Costs'!$B$15:$B$55,0),MATCH('Capital Cost Escalation'!$C73,'Capital Costs'!$H$7:$K$7,0))*T$9*(1+$F73)^(T$3), 0),0)</f>
        <v>2365572.9855904868</v>
      </c>
      <c r="U73" s="490">
        <f>IFERROR(IF(U$6&lt;=$E$9,INDEX('Capital Costs'!$H$15:$K$55,MATCH('Capital Cost Escalation'!$E73,'Capital Costs'!$B$15:$B$55,0),MATCH('Capital Cost Escalation'!$C73,'Capital Costs'!$H$7:$K$7,0))*U$9*(1+$F73)^(U$3), 0),0)</f>
        <v>2584587.7129591322</v>
      </c>
      <c r="V73" s="490">
        <f>IFERROR(IF(V$6&lt;=$E$9,INDEX('Capital Costs'!$H$15:$K$55,MATCH('Capital Cost Escalation'!$E73,'Capital Costs'!$B$15:$B$55,0),MATCH('Capital Cost Escalation'!$C73,'Capital Costs'!$H$7:$K$7,0))*V$9*(1+$F73)^(V$3), 0),0)</f>
        <v>2957395.778073749</v>
      </c>
      <c r="W73" s="490">
        <f>IFERROR(IF(W$6&lt;=$E$9,INDEX('Capital Costs'!$H$15:$K$55,MATCH('Capital Cost Escalation'!$E73,'Capital Costs'!$B$15:$B$55,0),MATCH('Capital Cost Escalation'!$C73,'Capital Costs'!$H$7:$K$7,0))*W$9*(1+$F73)^(W$3), 0),0)</f>
        <v>3264599.9080156009</v>
      </c>
      <c r="X73" s="490">
        <f>IFERROR(IF(X$6&lt;=$E$9,INDEX('Capital Costs'!$H$15:$K$55,MATCH('Capital Cost Escalation'!$E73,'Capital Costs'!$B$15:$B$55,0),MATCH('Capital Cost Escalation'!$C73,'Capital Costs'!$H$7:$K$7,0))*X$9*(1+$F73)^(X$3), 0),0)</f>
        <v>3831122.2713157898</v>
      </c>
      <c r="Y73" s="490">
        <f>IFERROR(IF(Y$6&lt;=$E$9,INDEX('Capital Costs'!$H$15:$K$55,MATCH('Capital Cost Escalation'!$E73,'Capital Costs'!$B$15:$B$55,0),MATCH('Capital Cost Escalation'!$C73,'Capital Costs'!$H$7:$K$7,0))*Y$9*(1+$F73)^(Y$3), 0),0)</f>
        <v>3914147.6750105675</v>
      </c>
      <c r="Z73" s="490">
        <f>IFERROR(IF(Z$6&lt;=$E$9,INDEX('Capital Costs'!$H$15:$K$55,MATCH('Capital Cost Escalation'!$E73,'Capital Costs'!$B$15:$B$55,0),MATCH('Capital Cost Escalation'!$C73,'Capital Costs'!$H$7:$K$7,0))*Z$9*(1+$F73)^(Z$3), 0),0)</f>
        <v>3837153.2454703855</v>
      </c>
      <c r="AA73" s="490">
        <f>IFERROR(IF(AA$6&lt;=$E$9,INDEX('Capital Costs'!$H$15:$K$55,MATCH('Capital Cost Escalation'!$E73,'Capital Costs'!$B$15:$B$55,0),MATCH('Capital Cost Escalation'!$C73,'Capital Costs'!$H$7:$K$7,0))*AA$9*(1+$F73)^(AA$3), 0),0)</f>
        <v>3957650.1580051151</v>
      </c>
      <c r="AB73" s="490">
        <f>IFERROR(IF(AB$6&lt;=$E$9,INDEX('Capital Costs'!$H$15:$K$55,MATCH('Capital Cost Escalation'!$E73,'Capital Costs'!$B$15:$B$55,0),MATCH('Capital Cost Escalation'!$C73,'Capital Costs'!$H$7:$K$7,0))*AB$9*(1+$F73)^(AB$3), 0),0)</f>
        <v>3762571.7179303789</v>
      </c>
      <c r="AC73" s="490">
        <f>IFERROR(IF(AC$6&lt;=$E$9,INDEX('Capital Costs'!$H$15:$K$55,MATCH('Capital Cost Escalation'!$E73,'Capital Costs'!$B$15:$B$55,0),MATCH('Capital Cost Escalation'!$C73,'Capital Costs'!$H$7:$K$7,0))*AC$9*(1+$F73)^(AC$3), 0),0)</f>
        <v>3864783.3052414753</v>
      </c>
      <c r="AD73" s="490">
        <f>IFERROR(IF(AD$6&lt;=$E$9,INDEX('Capital Costs'!$H$15:$K$55,MATCH('Capital Cost Escalation'!$E73,'Capital Costs'!$B$15:$B$55,0),MATCH('Capital Cost Escalation'!$C73,'Capital Costs'!$H$7:$K$7,0))*AD$9*(1+$F73)^(AD$3), 0),0)</f>
        <v>3867809.1107608578</v>
      </c>
      <c r="AE73" s="490">
        <f>IFERROR(IF(AE$6&lt;=$E$9,INDEX('Capital Costs'!$H$15:$K$55,MATCH('Capital Cost Escalation'!$E73,'Capital Costs'!$B$15:$B$55,0),MATCH('Capital Cost Escalation'!$C73,'Capital Costs'!$H$7:$K$7,0))*AE$9*(1+$F73)^(AE$3), 0),0)</f>
        <v>3664799.3459240659</v>
      </c>
      <c r="AF73" s="490">
        <f>IFERROR(IF(AF$6&lt;=$E$9,INDEX('Capital Costs'!$H$15:$K$55,MATCH('Capital Cost Escalation'!$E73,'Capital Costs'!$B$15:$B$55,0),MATCH('Capital Cost Escalation'!$C73,'Capital Costs'!$H$7:$K$7,0))*AF$9*(1+$F73)^(AF$3), 0),0)</f>
        <v>3617250.6766458531</v>
      </c>
      <c r="AG73" s="490">
        <f>IFERROR(IF(AG$6&lt;=$E$9,INDEX('Capital Costs'!$H$15:$K$55,MATCH('Capital Cost Escalation'!$E73,'Capital Costs'!$B$15:$B$55,0),MATCH('Capital Cost Escalation'!$C73,'Capital Costs'!$H$7:$K$7,0))*AG$9*(1+$F73)^(AG$3), 0),0)</f>
        <v>3092689.7539461451</v>
      </c>
      <c r="AH73" s="490">
        <f>IFERROR(IF(AH$6&lt;=$E$9,INDEX('Capital Costs'!$H$15:$K$55,MATCH('Capital Cost Escalation'!$E73,'Capital Costs'!$B$15:$B$55,0),MATCH('Capital Cost Escalation'!$C73,'Capital Costs'!$H$7:$K$7,0))*AH$9*(1+$F73)^(AH$3), 0),0)</f>
        <v>2615901.7897811225</v>
      </c>
      <c r="AI73" s="490">
        <f>IFERROR(IF(AI$6&lt;=$E$9,INDEX('Capital Costs'!$H$15:$K$55,MATCH('Capital Cost Escalation'!$E73,'Capital Costs'!$B$15:$B$55,0),MATCH('Capital Cost Escalation'!$C73,'Capital Costs'!$H$7:$K$7,0))*AI$9*(1+$F73)^(AI$3), 0),0)</f>
        <v>1500181.2376423066</v>
      </c>
      <c r="AJ73" s="490">
        <f>IFERROR(IF(AJ$6&lt;=$E$9,INDEX('Capital Costs'!$H$15:$K$55,MATCH('Capital Cost Escalation'!$E73,'Capital Costs'!$B$15:$B$55,0),MATCH('Capital Cost Escalation'!$C73,'Capital Costs'!$H$7:$K$7,0))*AJ$9*(1+$F73)^(AJ$3), 0),0)</f>
        <v>448604.66901118529</v>
      </c>
      <c r="AK73" s="490">
        <f>IFERROR(IF(AK$6&lt;=$E$9,INDEX('Capital Costs'!$H$15:$K$55,MATCH('Capital Cost Escalation'!$E73,'Capital Costs'!$B$15:$B$55,0),MATCH('Capital Cost Escalation'!$C73,'Capital Costs'!$H$7:$K$7,0))*AK$9*(1+$F73)^(AK$3), 0),0)</f>
        <v>107669.58277055553</v>
      </c>
      <c r="AL73" s="490">
        <f>IFERROR(IF(AL$6&lt;=$E$9,INDEX('Capital Costs'!$H$15:$K$55,MATCH('Capital Cost Escalation'!$E73,'Capital Costs'!$B$15:$B$55,0),MATCH('Capital Cost Escalation'!$C73,'Capital Costs'!$H$7:$K$7,0))*AL$9*(1+$F73)^(AL$3), 0),0)</f>
        <v>76184.044134964206</v>
      </c>
      <c r="AM73" s="490">
        <f>IFERROR(IF(AM$6&lt;=$E$9,INDEX('Capital Costs'!$H$15:$K$55,MATCH('Capital Cost Escalation'!$E73,'Capital Costs'!$B$15:$B$55,0),MATCH('Capital Cost Escalation'!$C73,'Capital Costs'!$H$7:$K$7,0))*AM$9*(1+$F73)^(AM$3), 0),0)</f>
        <v>0</v>
      </c>
      <c r="AN73" s="490">
        <f>IFERROR(IF(AN$6&lt;=$E$9,INDEX('Capital Costs'!$H$15:$K$55,MATCH('Capital Cost Escalation'!$E73,'Capital Costs'!$B$15:$B$55,0),MATCH('Capital Cost Escalation'!$C73,'Capital Costs'!$H$7:$K$7,0))*AN$9*(1+$F73)^(AN$3), 0),0)</f>
        <v>0</v>
      </c>
      <c r="AO73" s="490">
        <f>IFERROR(IF(AO$6&lt;=$E$9,INDEX('Capital Costs'!$H$15:$K$55,MATCH('Capital Cost Escalation'!$E73,'Capital Costs'!$B$15:$B$55,0),MATCH('Capital Cost Escalation'!$C73,'Capital Costs'!$H$7:$K$7,0))*AO$9*(1+$F73)^(AO$3), 0),0)</f>
        <v>0</v>
      </c>
      <c r="AP73" s="490">
        <f>IFERROR(IF(AP$6&lt;=$E$9,INDEX('Capital Costs'!$H$15:$K$55,MATCH('Capital Cost Escalation'!$E73,'Capital Costs'!$B$15:$B$55,0),MATCH('Capital Cost Escalation'!$C73,'Capital Costs'!$H$7:$K$7,0))*AP$9*(1+$F73)^(AP$3), 0),0)</f>
        <v>0</v>
      </c>
      <c r="AQ73" s="490">
        <f>IFERROR(IF(AQ$6&lt;=$E$9,INDEX('Capital Costs'!$H$15:$K$55,MATCH('Capital Cost Escalation'!$E73,'Capital Costs'!$B$15:$B$55,0),MATCH('Capital Cost Escalation'!$C73,'Capital Costs'!$H$7:$K$7,0))*AQ$9*(1+$F73)^(AQ$3), 0),0)</f>
        <v>0</v>
      </c>
      <c r="AR73" s="490">
        <f>IFERROR(IF(AR$6&lt;=$E$9,INDEX('Capital Costs'!$H$15:$K$55,MATCH('Capital Cost Escalation'!$E73,'Capital Costs'!$B$15:$B$55,0),MATCH('Capital Cost Escalation'!$C73,'Capital Costs'!$H$7:$K$7,0))*AR$9*(1+$F73)^(AR$3), 0),0)</f>
        <v>0</v>
      </c>
      <c r="AS73" s="490">
        <f>IFERROR(IF(AS$6&lt;=$E$9,INDEX('Capital Costs'!$H$15:$K$55,MATCH('Capital Cost Escalation'!$E73,'Capital Costs'!$B$15:$B$55,0),MATCH('Capital Cost Escalation'!$C73,'Capital Costs'!$H$7:$K$7,0))*AS$9*(1+$F73)^(AS$3), 0),0)</f>
        <v>0</v>
      </c>
      <c r="AT73" s="490">
        <f>IFERROR(IF(AT$6&lt;=$E$9,INDEX('Capital Costs'!$H$15:$K$55,MATCH('Capital Cost Escalation'!$E73,'Capital Costs'!$B$15:$B$55,0),MATCH('Capital Cost Escalation'!$C73,'Capital Costs'!$H$7:$K$7,0))*AT$9*(1+$F73)^(AT$3), 0),0)</f>
        <v>0</v>
      </c>
      <c r="AV73" s="827">
        <f t="shared" si="11"/>
        <v>61660158.749754898</v>
      </c>
      <c r="AW73" s="828">
        <f>INDEX('Capital Costs'!$H$15:$K$55,MATCH('Capital Cost Escalation'!$E73,'Capital Costs'!$B$15:$B$55,0),MATCH('Capital Cost Escalation'!$C73,'Capital Costs'!$H$7:$K$7,0))</f>
        <v>55000000</v>
      </c>
    </row>
    <row r="74" spans="1:49">
      <c r="A74" s="487" t="str">
        <f t="shared" si="10"/>
        <v>CC_Rest of RTO_Steam Turbines</v>
      </c>
      <c r="B74" s="478" t="s">
        <v>77</v>
      </c>
      <c r="C74" s="488" t="s">
        <v>111</v>
      </c>
      <c r="E74" s="442" t="s">
        <v>135</v>
      </c>
      <c r="F74" s="1325">
        <f>INDEX('Capital Costs_Nominal$'!$F:$F,MATCH('Capital Cost Escalation'!$E74,'Capital Costs_Nominal$'!$C:$C,0),1)</f>
        <v>2.3944839450136257E-3</v>
      </c>
      <c r="G74" s="490">
        <f>IFERROR(IF(G$6&lt;=$E$9,INDEX('Capital Costs'!$H$15:$K$55,MATCH('Capital Cost Escalation'!$E74,'Capital Costs'!$B$15:$B$55,0),MATCH('Capital Cost Escalation'!$C74,'Capital Costs'!$H$7:$K$7,0))*G$9*(1+$F74)^(G$3), 0),0)</f>
        <v>8102.9502239856092</v>
      </c>
      <c r="H74" s="490">
        <f>IFERROR(IF(H$6&lt;=$E$9,INDEX('Capital Costs'!$H$15:$K$55,MATCH('Capital Cost Escalation'!$E74,'Capital Costs'!$B$15:$B$55,0),MATCH('Capital Cost Escalation'!$C74,'Capital Costs'!$H$7:$K$7,0))*H$9*(1+$F74)^(H$3), 0),0)</f>
        <v>40611.763041020931</v>
      </c>
      <c r="I74" s="490">
        <f>IFERROR(IF(I$6&lt;=$E$9,INDEX('Capital Costs'!$H$15:$K$55,MATCH('Capital Cost Escalation'!$E74,'Capital Costs'!$B$15:$B$55,0),MATCH('Capital Cost Escalation'!$C74,'Capital Costs'!$H$7:$K$7,0))*I$9*(1+$F74)^(I$3), 0),0)</f>
        <v>40709.007255601347</v>
      </c>
      <c r="J74" s="490">
        <f>IFERROR(IF(J$6&lt;=$E$9,INDEX('Capital Costs'!$H$15:$K$55,MATCH('Capital Cost Escalation'!$E74,'Capital Costs'!$B$15:$B$55,0),MATCH('Capital Cost Escalation'!$C74,'Capital Costs'!$H$7:$K$7,0))*J$9*(1+$F74)^(J$3), 0),0)</f>
        <v>1379259.1700123609</v>
      </c>
      <c r="K74" s="490">
        <f>IFERROR(IF(K$6&lt;=$E$9,INDEX('Capital Costs'!$H$15:$K$55,MATCH('Capital Cost Escalation'!$E74,'Capital Costs'!$B$15:$B$55,0),MATCH('Capital Cost Escalation'!$C74,'Capital Costs'!$H$7:$K$7,0))*K$9*(1+$F74)^(K$3), 0),0)</f>
        <v>1349838.4281178096</v>
      </c>
      <c r="L74" s="490">
        <f>IFERROR(IF(L$6&lt;=$E$9,INDEX('Capital Costs'!$H$15:$K$55,MATCH('Capital Cost Escalation'!$E74,'Capital Costs'!$B$15:$B$55,0),MATCH('Capital Cost Escalation'!$C74,'Capital Costs'!$H$7:$K$7,0))*L$9*(1+$F74)^(L$3), 0),0)</f>
        <v>196810.26829997089</v>
      </c>
      <c r="M74" s="490">
        <f>IFERROR(IF(M$6&lt;=$E$9,INDEX('Capital Costs'!$H$15:$K$55,MATCH('Capital Cost Escalation'!$E74,'Capital Costs'!$B$15:$B$55,0),MATCH('Capital Cost Escalation'!$C74,'Capital Costs'!$H$7:$K$7,0))*M$9*(1+$F74)^(M$3), 0),0)</f>
        <v>295922.29099144356</v>
      </c>
      <c r="N74" s="490">
        <f>IFERROR(IF(N$6&lt;=$E$9,INDEX('Capital Costs'!$H$15:$K$55,MATCH('Capital Cost Escalation'!$E74,'Capital Costs'!$B$15:$B$55,0),MATCH('Capital Cost Escalation'!$C74,'Capital Costs'!$H$7:$K$7,0))*N$9*(1+$F74)^(N$3), 0),0)</f>
        <v>1194763.2351138378</v>
      </c>
      <c r="O74" s="490">
        <f>IFERROR(IF(O$6&lt;=$E$9,INDEX('Capital Costs'!$H$15:$K$55,MATCH('Capital Cost Escalation'!$E74,'Capital Costs'!$B$15:$B$55,0),MATCH('Capital Cost Escalation'!$C74,'Capital Costs'!$H$7:$K$7,0))*O$9*(1+$F74)^(O$3), 0),0)</f>
        <v>1263699.8876155643</v>
      </c>
      <c r="P74" s="490">
        <f>IFERROR(IF(P$6&lt;=$E$9,INDEX('Capital Costs'!$H$15:$K$55,MATCH('Capital Cost Escalation'!$E74,'Capital Costs'!$B$15:$B$55,0),MATCH('Capital Cost Escalation'!$C74,'Capital Costs'!$H$7:$K$7,0))*P$9*(1+$F74)^(P$3), 0),0)</f>
        <v>1059744.4573764394</v>
      </c>
      <c r="Q74" s="490">
        <f>IFERROR(IF(Q$6&lt;=$E$9,INDEX('Capital Costs'!$H$15:$K$55,MATCH('Capital Cost Escalation'!$E74,'Capital Costs'!$B$15:$B$55,0),MATCH('Capital Cost Escalation'!$C74,'Capital Costs'!$H$7:$K$7,0))*Q$9*(1+$F74)^(Q$3), 0),0)</f>
        <v>1128674.6233695347</v>
      </c>
      <c r="R74" s="490">
        <f>IFERROR(IF(R$6&lt;=$E$9,INDEX('Capital Costs'!$H$15:$K$55,MATCH('Capital Cost Escalation'!$E74,'Capital Costs'!$B$15:$B$55,0),MATCH('Capital Cost Escalation'!$C74,'Capital Costs'!$H$7:$K$7,0))*R$9*(1+$F74)^(R$3), 0),0)</f>
        <v>1197928.817612828</v>
      </c>
      <c r="S74" s="490">
        <f>IFERROR(IF(S$6&lt;=$E$9,INDEX('Capital Costs'!$H$15:$K$55,MATCH('Capital Cost Escalation'!$E74,'Capital Costs'!$B$15:$B$55,0),MATCH('Capital Cost Escalation'!$C74,'Capital Costs'!$H$7:$K$7,0))*S$9*(1+$F74)^(S$3), 0),0)</f>
        <v>2293189.1715751002</v>
      </c>
      <c r="T74" s="490">
        <f>IFERROR(IF(T$6&lt;=$E$9,INDEX('Capital Costs'!$H$15:$K$55,MATCH('Capital Cost Escalation'!$E74,'Capital Costs'!$B$15:$B$55,0),MATCH('Capital Cost Escalation'!$C74,'Capital Costs'!$H$7:$K$7,0))*T$9*(1+$F74)^(T$3), 0),0)</f>
        <v>3251587.5947389239</v>
      </c>
      <c r="U74" s="490">
        <f>IFERROR(IF(U$6&lt;=$E$9,INDEX('Capital Costs'!$H$15:$K$55,MATCH('Capital Cost Escalation'!$E74,'Capital Costs'!$B$15:$B$55,0),MATCH('Capital Cost Escalation'!$C74,'Capital Costs'!$H$7:$K$7,0))*U$9*(1+$F74)^(U$3), 0),0)</f>
        <v>3552633.2927220073</v>
      </c>
      <c r="V74" s="490">
        <f>IFERROR(IF(V$6&lt;=$E$9,INDEX('Capital Costs'!$H$15:$K$55,MATCH('Capital Cost Escalation'!$E74,'Capital Costs'!$B$15:$B$55,0),MATCH('Capital Cost Escalation'!$C74,'Capital Costs'!$H$7:$K$7,0))*V$9*(1+$F74)^(V$3), 0),0)</f>
        <v>4065074.9240431897</v>
      </c>
      <c r="W74" s="490">
        <f>IFERROR(IF(W$6&lt;=$E$9,INDEX('Capital Costs'!$H$15:$K$55,MATCH('Capital Cost Escalation'!$E74,'Capital Costs'!$B$15:$B$55,0),MATCH('Capital Cost Escalation'!$C74,'Capital Costs'!$H$7:$K$7,0))*W$9*(1+$F74)^(W$3), 0),0)</f>
        <v>4487340.9644723535</v>
      </c>
      <c r="X74" s="490">
        <f>IFERROR(IF(X$6&lt;=$E$9,INDEX('Capital Costs'!$H$15:$K$55,MATCH('Capital Cost Escalation'!$E74,'Capital Costs'!$B$15:$B$55,0),MATCH('Capital Cost Escalation'!$C74,'Capital Costs'!$H$7:$K$7,0))*X$9*(1+$F74)^(X$3), 0),0)</f>
        <v>5266051.7038449766</v>
      </c>
      <c r="Y74" s="490">
        <f>IFERROR(IF(Y$6&lt;=$E$9,INDEX('Capital Costs'!$H$15:$K$55,MATCH('Capital Cost Escalation'!$E74,'Capital Costs'!$B$15:$B$55,0),MATCH('Capital Cost Escalation'!$C74,'Capital Costs'!$H$7:$K$7,0))*Y$9*(1+$F74)^(Y$3), 0),0)</f>
        <v>5380173.8951054346</v>
      </c>
      <c r="Z74" s="490">
        <f>IFERROR(IF(Z$6&lt;=$E$9,INDEX('Capital Costs'!$H$15:$K$55,MATCH('Capital Cost Escalation'!$E74,'Capital Costs'!$B$15:$B$55,0),MATCH('Capital Cost Escalation'!$C74,'Capital Costs'!$H$7:$K$7,0))*Z$9*(1+$F74)^(Z$3), 0),0)</f>
        <v>5274341.5519556571</v>
      </c>
      <c r="AA74" s="490">
        <f>IFERROR(IF(AA$6&lt;=$E$9,INDEX('Capital Costs'!$H$15:$K$55,MATCH('Capital Cost Escalation'!$E74,'Capital Costs'!$B$15:$B$55,0),MATCH('Capital Cost Escalation'!$C74,'Capital Costs'!$H$7:$K$7,0))*AA$9*(1+$F74)^(AA$3), 0),0)</f>
        <v>5439970.0353670307</v>
      </c>
      <c r="AB74" s="490">
        <f>IFERROR(IF(AB$6&lt;=$E$9,INDEX('Capital Costs'!$H$15:$K$55,MATCH('Capital Cost Escalation'!$E74,'Capital Costs'!$B$15:$B$55,0),MATCH('Capital Cost Escalation'!$C74,'Capital Costs'!$H$7:$K$7,0))*AB$9*(1+$F74)^(AB$3), 0),0)</f>
        <v>5171825.8522824841</v>
      </c>
      <c r="AC74" s="490">
        <f>IFERROR(IF(AC$6&lt;=$E$9,INDEX('Capital Costs'!$H$15:$K$55,MATCH('Capital Cost Escalation'!$E74,'Capital Costs'!$B$15:$B$55,0),MATCH('Capital Cost Escalation'!$C74,'Capital Costs'!$H$7:$K$7,0))*AC$9*(1+$F74)^(AC$3), 0),0)</f>
        <v>5312320.3250228278</v>
      </c>
      <c r="AD74" s="490">
        <f>IFERROR(IF(AD$6&lt;=$E$9,INDEX('Capital Costs'!$H$15:$K$55,MATCH('Capital Cost Escalation'!$E74,'Capital Costs'!$B$15:$B$55,0),MATCH('Capital Cost Escalation'!$C74,'Capital Costs'!$H$7:$K$7,0))*AD$9*(1+$F74)^(AD$3), 0),0)</f>
        <v>5316479.4322458338</v>
      </c>
      <c r="AE74" s="490">
        <f>IFERROR(IF(AE$6&lt;=$E$9,INDEX('Capital Costs'!$H$15:$K$55,MATCH('Capital Cost Escalation'!$E74,'Capital Costs'!$B$15:$B$55,0),MATCH('Capital Cost Escalation'!$C74,'Capital Costs'!$H$7:$K$7,0))*AE$9*(1+$F74)^(AE$3), 0),0)</f>
        <v>5037433.2827610793</v>
      </c>
      <c r="AF74" s="490">
        <f>IFERROR(IF(AF$6&lt;=$E$9,INDEX('Capital Costs'!$H$15:$K$55,MATCH('Capital Cost Escalation'!$E74,'Capital Costs'!$B$15:$B$55,0),MATCH('Capital Cost Escalation'!$C74,'Capital Costs'!$H$7:$K$7,0))*AF$9*(1+$F74)^(AF$3), 0),0)</f>
        <v>4972075.4755350268</v>
      </c>
      <c r="AG74" s="490">
        <f>IFERROR(IF(AG$6&lt;=$E$9,INDEX('Capital Costs'!$H$15:$K$55,MATCH('Capital Cost Escalation'!$E74,'Capital Costs'!$B$15:$B$55,0),MATCH('Capital Cost Escalation'!$C74,'Capital Costs'!$H$7:$K$7,0))*AG$9*(1+$F74)^(AG$3), 0),0)</f>
        <v>4251042.6436059736</v>
      </c>
      <c r="AH74" s="490">
        <f>IFERROR(IF(AH$6&lt;=$E$9,INDEX('Capital Costs'!$H$15:$K$55,MATCH('Capital Cost Escalation'!$E74,'Capital Costs'!$B$15:$B$55,0),MATCH('Capital Cost Escalation'!$C74,'Capital Costs'!$H$7:$K$7,0))*AH$9*(1+$F74)^(AH$3), 0),0)</f>
        <v>3595675.9146809611</v>
      </c>
      <c r="AI74" s="490">
        <f>IFERROR(IF(AI$6&lt;=$E$9,INDEX('Capital Costs'!$H$15:$K$55,MATCH('Capital Cost Escalation'!$E74,'Capital Costs'!$B$15:$B$55,0),MATCH('Capital Cost Escalation'!$C74,'Capital Costs'!$H$7:$K$7,0))*AI$9*(1+$F74)^(AI$3), 0),0)</f>
        <v>2062067.3011956066</v>
      </c>
      <c r="AJ74" s="490">
        <f>IFERROR(IF(AJ$6&lt;=$E$9,INDEX('Capital Costs'!$H$15:$K$55,MATCH('Capital Cost Escalation'!$E74,'Capital Costs'!$B$15:$B$55,0),MATCH('Capital Cost Escalation'!$C74,'Capital Costs'!$H$7:$K$7,0))*AJ$9*(1+$F74)^(AJ$3), 0),0)</f>
        <v>616627.50867719285</v>
      </c>
      <c r="AK74" s="490">
        <f>IFERROR(IF(AK$6&lt;=$E$9,INDEX('Capital Costs'!$H$15:$K$55,MATCH('Capital Cost Escalation'!$E74,'Capital Costs'!$B$15:$B$55,0),MATCH('Capital Cost Escalation'!$C74,'Capital Costs'!$H$7:$K$7,0))*AK$9*(1+$F74)^(AK$3), 0),0)</f>
        <v>147996.73559007273</v>
      </c>
      <c r="AL74" s="490">
        <f>IFERROR(IF(AL$6&lt;=$E$9,INDEX('Capital Costs'!$H$15:$K$55,MATCH('Capital Cost Escalation'!$E74,'Capital Costs'!$B$15:$B$55,0),MATCH('Capital Cost Escalation'!$C74,'Capital Costs'!$H$7:$K$7,0))*AL$9*(1+$F74)^(AL$3), 0),0)</f>
        <v>104718.43157460533</v>
      </c>
      <c r="AM74" s="490">
        <f>IFERROR(IF(AM$6&lt;=$E$9,INDEX('Capital Costs'!$H$15:$K$55,MATCH('Capital Cost Escalation'!$E74,'Capital Costs'!$B$15:$B$55,0),MATCH('Capital Cost Escalation'!$C74,'Capital Costs'!$H$7:$K$7,0))*AM$9*(1+$F74)^(AM$3), 0),0)</f>
        <v>0</v>
      </c>
      <c r="AN74" s="490">
        <f>IFERROR(IF(AN$6&lt;=$E$9,INDEX('Capital Costs'!$H$15:$K$55,MATCH('Capital Cost Escalation'!$E74,'Capital Costs'!$B$15:$B$55,0),MATCH('Capital Cost Escalation'!$C74,'Capital Costs'!$H$7:$K$7,0))*AN$9*(1+$F74)^(AN$3), 0),0)</f>
        <v>0</v>
      </c>
      <c r="AO74" s="490">
        <f>IFERROR(IF(AO$6&lt;=$E$9,INDEX('Capital Costs'!$H$15:$K$55,MATCH('Capital Cost Escalation'!$E74,'Capital Costs'!$B$15:$B$55,0),MATCH('Capital Cost Escalation'!$C74,'Capital Costs'!$H$7:$K$7,0))*AO$9*(1+$F74)^(AO$3), 0),0)</f>
        <v>0</v>
      </c>
      <c r="AP74" s="490">
        <f>IFERROR(IF(AP$6&lt;=$E$9,INDEX('Capital Costs'!$H$15:$K$55,MATCH('Capital Cost Escalation'!$E74,'Capital Costs'!$B$15:$B$55,0),MATCH('Capital Cost Escalation'!$C74,'Capital Costs'!$H$7:$K$7,0))*AP$9*(1+$F74)^(AP$3), 0),0)</f>
        <v>0</v>
      </c>
      <c r="AQ74" s="490">
        <f>IFERROR(IF(AQ$6&lt;=$E$9,INDEX('Capital Costs'!$H$15:$K$55,MATCH('Capital Cost Escalation'!$E74,'Capital Costs'!$B$15:$B$55,0),MATCH('Capital Cost Escalation'!$C74,'Capital Costs'!$H$7:$K$7,0))*AQ$9*(1+$F74)^(AQ$3), 0),0)</f>
        <v>0</v>
      </c>
      <c r="AR74" s="490">
        <f>IFERROR(IF(AR$6&lt;=$E$9,INDEX('Capital Costs'!$H$15:$K$55,MATCH('Capital Cost Escalation'!$E74,'Capital Costs'!$B$15:$B$55,0),MATCH('Capital Cost Escalation'!$C74,'Capital Costs'!$H$7:$K$7,0))*AR$9*(1+$F74)^(AR$3), 0),0)</f>
        <v>0</v>
      </c>
      <c r="AS74" s="490">
        <f>IFERROR(IF(AS$6&lt;=$E$9,INDEX('Capital Costs'!$H$15:$K$55,MATCH('Capital Cost Escalation'!$E74,'Capital Costs'!$B$15:$B$55,0),MATCH('Capital Cost Escalation'!$C74,'Capital Costs'!$H$7:$K$7,0))*AS$9*(1+$F74)^(AS$3), 0),0)</f>
        <v>0</v>
      </c>
      <c r="AT74" s="490">
        <f>IFERROR(IF(AT$6&lt;=$E$9,INDEX('Capital Costs'!$H$15:$K$55,MATCH('Capital Cost Escalation'!$E74,'Capital Costs'!$B$15:$B$55,0),MATCH('Capital Cost Escalation'!$C74,'Capital Costs'!$H$7:$K$7,0))*AT$9*(1+$F74)^(AT$3), 0),0)</f>
        <v>0</v>
      </c>
      <c r="AV74" s="827">
        <f t="shared" si="11"/>
        <v>84754690.936026722</v>
      </c>
      <c r="AW74" s="828">
        <f>INDEX('Capital Costs'!$H$15:$K$55,MATCH('Capital Cost Escalation'!$E74,'Capital Costs'!$B$15:$B$55,0),MATCH('Capital Cost Escalation'!$C74,'Capital Costs'!$H$7:$K$7,0))</f>
        <v>75600000</v>
      </c>
    </row>
    <row r="75" spans="1:49">
      <c r="A75" s="487" t="str">
        <f t="shared" si="10"/>
        <v>CC_Rest of RTO_Other Equipment</v>
      </c>
      <c r="B75" s="478" t="s">
        <v>77</v>
      </c>
      <c r="C75" s="488" t="s">
        <v>111</v>
      </c>
      <c r="E75" s="442" t="s">
        <v>136</v>
      </c>
      <c r="F75" s="1325">
        <f>INDEX('Capital Costs_Nominal$'!$F:$F,MATCH('Capital Cost Escalation'!$E75,'Capital Costs_Nominal$'!$C:$C,0),1)</f>
        <v>2.3944839450136257E-3</v>
      </c>
      <c r="G75" s="490">
        <f>IFERROR(IF(G$6&lt;=$E$9,INDEX('Capital Costs'!$H$15:$K$55,MATCH('Capital Cost Escalation'!$E75,'Capital Costs'!$B$15:$B$55,0),MATCH('Capital Cost Escalation'!$C75,'Capital Costs'!$H$7:$K$7,0))*G$9*(1+$F75)^(G$3), 0),0)</f>
        <v>8254.5054041008952</v>
      </c>
      <c r="H75" s="490">
        <f>IFERROR(IF(H$6&lt;=$E$9,INDEX('Capital Costs'!$H$15:$K$55,MATCH('Capital Cost Escalation'!$E75,'Capital Costs'!$B$15:$B$55,0),MATCH('Capital Cost Escalation'!$C75,'Capital Costs'!$H$7:$K$7,0))*H$9*(1+$F75)^(H$3), 0),0)</f>
        <v>41371.35342382521</v>
      </c>
      <c r="I75" s="490">
        <f>IFERROR(IF(I$6&lt;=$E$9,INDEX('Capital Costs'!$H$15:$K$55,MATCH('Capital Cost Escalation'!$E75,'Capital Costs'!$B$15:$B$55,0),MATCH('Capital Cost Escalation'!$C75,'Capital Costs'!$H$7:$K$7,0))*I$9*(1+$F75)^(I$3), 0),0)</f>
        <v>41470.416465382041</v>
      </c>
      <c r="J75" s="490">
        <f>IFERROR(IF(J$6&lt;=$E$9,INDEX('Capital Costs'!$H$15:$K$55,MATCH('Capital Cost Escalation'!$E75,'Capital Costs'!$B$15:$B$55,0),MATCH('Capital Cost Escalation'!$C75,'Capital Costs'!$H$7:$K$7,0))*J$9*(1+$F75)^(J$3), 0),0)</f>
        <v>1405056.4248588884</v>
      </c>
      <c r="K75" s="490">
        <f>IFERROR(IF(K$6&lt;=$E$9,INDEX('Capital Costs'!$H$15:$K$55,MATCH('Capital Cost Escalation'!$E75,'Capital Costs'!$B$15:$B$55,0),MATCH('Capital Cost Escalation'!$C75,'Capital Costs'!$H$7:$K$7,0))*K$9*(1+$F75)^(K$3), 0),0)</f>
        <v>1375085.4061251981</v>
      </c>
      <c r="L75" s="490">
        <f>IFERROR(IF(L$6&lt;=$E$9,INDEX('Capital Costs'!$H$15:$K$55,MATCH('Capital Cost Escalation'!$E75,'Capital Costs'!$B$15:$B$55,0),MATCH('Capital Cost Escalation'!$C75,'Capital Costs'!$H$7:$K$7,0))*L$9*(1+$F75)^(L$3), 0),0)</f>
        <v>200491.34924409998</v>
      </c>
      <c r="M75" s="490">
        <f>IFERROR(IF(M$6&lt;=$E$9,INDEX('Capital Costs'!$H$15:$K$55,MATCH('Capital Cost Escalation'!$E75,'Capital Costs'!$B$15:$B$55,0),MATCH('Capital Cost Escalation'!$C75,'Capital Costs'!$H$7:$K$7,0))*M$9*(1+$F75)^(M$3), 0),0)</f>
        <v>301457.13384146866</v>
      </c>
      <c r="N75" s="490">
        <f>IFERROR(IF(N$6&lt;=$E$9,INDEX('Capital Costs'!$H$15:$K$55,MATCH('Capital Cost Escalation'!$E75,'Capital Costs'!$B$15:$B$55,0),MATCH('Capital Cost Escalation'!$C75,'Capital Costs'!$H$7:$K$7,0))*N$9*(1+$F75)^(N$3), 0),0)</f>
        <v>1217109.7326594854</v>
      </c>
      <c r="O75" s="490">
        <f>IFERROR(IF(O$6&lt;=$E$9,INDEX('Capital Costs'!$H$15:$K$55,MATCH('Capital Cost Escalation'!$E75,'Capital Costs'!$B$15:$B$55,0),MATCH('Capital Cost Escalation'!$C75,'Capital Costs'!$H$7:$K$7,0))*O$9*(1+$F75)^(O$3), 0),0)</f>
        <v>1287335.7558839296</v>
      </c>
      <c r="P75" s="490">
        <f>IFERROR(IF(P$6&lt;=$E$9,INDEX('Capital Costs'!$H$15:$K$55,MATCH('Capital Cost Escalation'!$E75,'Capital Costs'!$B$15:$B$55,0),MATCH('Capital Cost Escalation'!$C75,'Capital Costs'!$H$7:$K$7,0))*P$9*(1+$F75)^(P$3), 0),0)</f>
        <v>1079565.6037088507</v>
      </c>
      <c r="Q75" s="490">
        <f>IFERROR(IF(Q$6&lt;=$E$9,INDEX('Capital Costs'!$H$15:$K$55,MATCH('Capital Cost Escalation'!$E75,'Capital Costs'!$B$15:$B$55,0),MATCH('Capital Cost Escalation'!$C75,'Capital Costs'!$H$7:$K$7,0))*Q$9*(1+$F75)^(Q$3), 0),0)</f>
        <v>1149785.0191029278</v>
      </c>
      <c r="R75" s="490">
        <f>IFERROR(IF(R$6&lt;=$E$9,INDEX('Capital Costs'!$H$15:$K$55,MATCH('Capital Cost Escalation'!$E75,'Capital Costs'!$B$15:$B$55,0),MATCH('Capital Cost Escalation'!$C75,'Capital Costs'!$H$7:$K$7,0))*R$9*(1+$F75)^(R$3), 0),0)</f>
        <v>1220334.5232755863</v>
      </c>
      <c r="S75" s="490">
        <f>IFERROR(IF(S$6&lt;=$E$9,INDEX('Capital Costs'!$H$15:$K$55,MATCH('Capital Cost Escalation'!$E75,'Capital Costs'!$B$15:$B$55,0),MATCH('Capital Cost Escalation'!$C75,'Capital Costs'!$H$7:$K$7,0))*S$9*(1+$F75)^(S$3), 0),0)</f>
        <v>2336080.3023767825</v>
      </c>
      <c r="T75" s="490">
        <f>IFERROR(IF(T$6&lt;=$E$9,INDEX('Capital Costs'!$H$15:$K$55,MATCH('Capital Cost Escalation'!$E75,'Capital Costs'!$B$15:$B$55,0),MATCH('Capital Cost Escalation'!$C75,'Capital Costs'!$H$7:$K$7,0))*T$9*(1+$F75)^(T$3), 0),0)</f>
        <v>3312404.3256775592</v>
      </c>
      <c r="U75" s="490">
        <f>IFERROR(IF(U$6&lt;=$E$9,INDEX('Capital Costs'!$H$15:$K$55,MATCH('Capital Cost Escalation'!$E75,'Capital Costs'!$B$15:$B$55,0),MATCH('Capital Cost Escalation'!$C75,'Capital Costs'!$H$7:$K$7,0))*U$9*(1+$F75)^(U$3), 0),0)</f>
        <v>3619080.6931969929</v>
      </c>
      <c r="V75" s="490">
        <f>IFERROR(IF(V$6&lt;=$E$9,INDEX('Capital Costs'!$H$15:$K$55,MATCH('Capital Cost Escalation'!$E75,'Capital Costs'!$B$15:$B$55,0),MATCH('Capital Cost Escalation'!$C75,'Capital Costs'!$H$7:$K$7,0))*V$9*(1+$F75)^(V$3), 0),0)</f>
        <v>4141106.8809558493</v>
      </c>
      <c r="W75" s="490">
        <f>IFERROR(IF(W$6&lt;=$E$9,INDEX('Capital Costs'!$H$15:$K$55,MATCH('Capital Cost Escalation'!$E75,'Capital Costs'!$B$15:$B$55,0),MATCH('Capital Cost Escalation'!$C75,'Capital Costs'!$H$7:$K$7,0))*W$9*(1+$F75)^(W$3), 0),0)</f>
        <v>4571270.8602893362</v>
      </c>
      <c r="X75" s="490">
        <f>IFERROR(IF(X$6&lt;=$E$9,INDEX('Capital Costs'!$H$15:$K$55,MATCH('Capital Cost Escalation'!$E75,'Capital Costs'!$B$15:$B$55,0),MATCH('Capital Cost Escalation'!$C75,'Capital Costs'!$H$7:$K$7,0))*X$9*(1+$F75)^(X$3), 0),0)</f>
        <v>5364546.3746020775</v>
      </c>
      <c r="Y75" s="490">
        <f>IFERROR(IF(Y$6&lt;=$E$9,INDEX('Capital Costs'!$H$15:$K$55,MATCH('Capital Cost Escalation'!$E75,'Capital Costs'!$B$15:$B$55,0),MATCH('Capital Cost Escalation'!$C75,'Capital Costs'!$H$7:$K$7,0))*Y$9*(1+$F75)^(Y$3), 0),0)</f>
        <v>5480803.0735138878</v>
      </c>
      <c r="Z75" s="490">
        <f>IFERROR(IF(Z$6&lt;=$E$9,INDEX('Capital Costs'!$H$15:$K$55,MATCH('Capital Cost Escalation'!$E75,'Capital Costs'!$B$15:$B$55,0),MATCH('Capital Cost Escalation'!$C75,'Capital Costs'!$H$7:$K$7,0))*Z$9*(1+$F75)^(Z$3), 0),0)</f>
        <v>5372991.2735755686</v>
      </c>
      <c r="AA75" s="490">
        <f>IFERROR(IF(AA$6&lt;=$E$9,INDEX('Capital Costs'!$H$15:$K$55,MATCH('Capital Cost Escalation'!$E75,'Capital Costs'!$B$15:$B$55,0),MATCH('Capital Cost Escalation'!$C75,'Capital Costs'!$H$7:$K$7,0))*AA$9*(1+$F75)^(AA$3), 0),0)</f>
        <v>5541717.623065562</v>
      </c>
      <c r="AB75" s="490">
        <f>IFERROR(IF(AB$6&lt;=$E$9,INDEX('Capital Costs'!$H$15:$K$55,MATCH('Capital Cost Escalation'!$E75,'Capital Costs'!$B$15:$B$55,0),MATCH('Capital Cost Escalation'!$C75,'Capital Costs'!$H$7:$K$7,0))*AB$9*(1+$F75)^(AB$3), 0),0)</f>
        <v>5268558.1506307311</v>
      </c>
      <c r="AC75" s="490">
        <f>IFERROR(IF(AC$6&lt;=$E$9,INDEX('Capital Costs'!$H$15:$K$55,MATCH('Capital Cost Escalation'!$E75,'Capital Costs'!$B$15:$B$55,0),MATCH('Capital Cost Escalation'!$C75,'Capital Costs'!$H$7:$K$7,0))*AC$9*(1+$F75)^(AC$3), 0),0)</f>
        <v>5411680.3903612178</v>
      </c>
      <c r="AD75" s="490">
        <f>IFERROR(IF(AD$6&lt;=$E$9,INDEX('Capital Costs'!$H$15:$K$55,MATCH('Capital Cost Escalation'!$E75,'Capital Costs'!$B$15:$B$55,0),MATCH('Capital Cost Escalation'!$C75,'Capital Costs'!$H$7:$K$7,0))*AD$9*(1+$F75)^(AD$3), 0),0)</f>
        <v>5415917.2882933952</v>
      </c>
      <c r="AE75" s="490">
        <f>IFERROR(IF(AE$6&lt;=$E$9,INDEX('Capital Costs'!$H$15:$K$55,MATCH('Capital Cost Escalation'!$E75,'Capital Costs'!$B$15:$B$55,0),MATCH('Capital Cost Escalation'!$C75,'Capital Costs'!$H$7:$K$7,0))*AE$9*(1+$F75)^(AE$3), 0),0)</f>
        <v>5131651.9423090182</v>
      </c>
      <c r="AF75" s="490">
        <f>IFERROR(IF(AF$6&lt;=$E$9,INDEX('Capital Costs'!$H$15:$K$55,MATCH('Capital Cost Escalation'!$E75,'Capital Costs'!$B$15:$B$55,0),MATCH('Capital Cost Escalation'!$C75,'Capital Costs'!$H$7:$K$7,0))*AF$9*(1+$F75)^(AF$3), 0),0)</f>
        <v>5065071.7020218857</v>
      </c>
      <c r="AG75" s="490">
        <f>IFERROR(IF(AG$6&lt;=$E$9,INDEX('Capital Costs'!$H$15:$K$55,MATCH('Capital Cost Escalation'!$E75,'Capital Costs'!$B$15:$B$55,0),MATCH('Capital Cost Escalation'!$C75,'Capital Costs'!$H$7:$K$7,0))*AG$9*(1+$F75)^(AG$3), 0),0)</f>
        <v>4330552.8856437895</v>
      </c>
      <c r="AH75" s="490">
        <f>IFERROR(IF(AH$6&lt;=$E$9,INDEX('Capital Costs'!$H$15:$K$55,MATCH('Capital Cost Escalation'!$E75,'Capital Costs'!$B$15:$B$55,0),MATCH('Capital Cost Escalation'!$C75,'Capital Costs'!$H$7:$K$7,0))*AH$9*(1+$F75)^(AH$3), 0),0)</f>
        <v>3662928.3716036975</v>
      </c>
      <c r="AI75" s="490">
        <f>IFERROR(IF(AI$6&lt;=$E$9,INDEX('Capital Costs'!$H$15:$K$55,MATCH('Capital Cost Escalation'!$E75,'Capital Costs'!$B$15:$B$55,0),MATCH('Capital Cost Escalation'!$C75,'Capital Costs'!$H$7:$K$7,0))*AI$9*(1+$F75)^(AI$3), 0),0)</f>
        <v>2100635.5970142656</v>
      </c>
      <c r="AJ75" s="490">
        <f>IFERROR(IF(AJ$6&lt;=$E$9,INDEX('Capital Costs'!$H$15:$K$55,MATCH('Capital Cost Escalation'!$E75,'Capital Costs'!$B$15:$B$55,0),MATCH('Capital Cost Escalation'!$C75,'Capital Costs'!$H$7:$K$7,0))*AJ$9*(1+$F75)^(AJ$3), 0),0)</f>
        <v>628160.72689504398</v>
      </c>
      <c r="AK75" s="490">
        <f>IFERROR(IF(AK$6&lt;=$E$9,INDEX('Capital Costs'!$H$15:$K$55,MATCH('Capital Cost Escalation'!$E75,'Capital Costs'!$B$15:$B$55,0),MATCH('Capital Cost Escalation'!$C75,'Capital Costs'!$H$7:$K$7,0))*AK$9*(1+$F75)^(AK$3), 0),0)</f>
        <v>150764.82268166481</v>
      </c>
      <c r="AL75" s="490">
        <f>IFERROR(IF(AL$6&lt;=$E$9,INDEX('Capital Costs'!$H$15:$K$55,MATCH('Capital Cost Escalation'!$E75,'Capital Costs'!$B$15:$B$55,0),MATCH('Capital Cost Escalation'!$C75,'Capital Costs'!$H$7:$K$7,0))*AL$9*(1+$F75)^(AL$3), 0),0)</f>
        <v>106677.05409109332</v>
      </c>
      <c r="AM75" s="490">
        <f>IFERROR(IF(AM$6&lt;=$E$9,INDEX('Capital Costs'!$H$15:$K$55,MATCH('Capital Cost Escalation'!$E75,'Capital Costs'!$B$15:$B$55,0),MATCH('Capital Cost Escalation'!$C75,'Capital Costs'!$H$7:$K$7,0))*AM$9*(1+$F75)^(AM$3), 0),0)</f>
        <v>0</v>
      </c>
      <c r="AN75" s="490">
        <f>IFERROR(IF(AN$6&lt;=$E$9,INDEX('Capital Costs'!$H$15:$K$55,MATCH('Capital Cost Escalation'!$E75,'Capital Costs'!$B$15:$B$55,0),MATCH('Capital Cost Escalation'!$C75,'Capital Costs'!$H$7:$K$7,0))*AN$9*(1+$F75)^(AN$3), 0),0)</f>
        <v>0</v>
      </c>
      <c r="AO75" s="490">
        <f>IFERROR(IF(AO$6&lt;=$E$9,INDEX('Capital Costs'!$H$15:$K$55,MATCH('Capital Cost Escalation'!$E75,'Capital Costs'!$B$15:$B$55,0),MATCH('Capital Cost Escalation'!$C75,'Capital Costs'!$H$7:$K$7,0))*AO$9*(1+$F75)^(AO$3), 0),0)</f>
        <v>0</v>
      </c>
      <c r="AP75" s="490">
        <f>IFERROR(IF(AP$6&lt;=$E$9,INDEX('Capital Costs'!$H$15:$K$55,MATCH('Capital Cost Escalation'!$E75,'Capital Costs'!$B$15:$B$55,0),MATCH('Capital Cost Escalation'!$C75,'Capital Costs'!$H$7:$K$7,0))*AP$9*(1+$F75)^(AP$3), 0),0)</f>
        <v>0</v>
      </c>
      <c r="AQ75" s="490">
        <f>IFERROR(IF(AQ$6&lt;=$E$9,INDEX('Capital Costs'!$H$15:$K$55,MATCH('Capital Cost Escalation'!$E75,'Capital Costs'!$B$15:$B$55,0),MATCH('Capital Cost Escalation'!$C75,'Capital Costs'!$H$7:$K$7,0))*AQ$9*(1+$F75)^(AQ$3), 0),0)</f>
        <v>0</v>
      </c>
      <c r="AR75" s="490">
        <f>IFERROR(IF(AR$6&lt;=$E$9,INDEX('Capital Costs'!$H$15:$K$55,MATCH('Capital Cost Escalation'!$E75,'Capital Costs'!$B$15:$B$55,0),MATCH('Capital Cost Escalation'!$C75,'Capital Costs'!$H$7:$K$7,0))*AR$9*(1+$F75)^(AR$3), 0),0)</f>
        <v>0</v>
      </c>
      <c r="AS75" s="490">
        <f>IFERROR(IF(AS$6&lt;=$E$9,INDEX('Capital Costs'!$H$15:$K$55,MATCH('Capital Cost Escalation'!$E75,'Capital Costs'!$B$15:$B$55,0),MATCH('Capital Cost Escalation'!$C75,'Capital Costs'!$H$7:$K$7,0))*AS$9*(1+$F75)^(AS$3), 0),0)</f>
        <v>0</v>
      </c>
      <c r="AT75" s="490">
        <f>IFERROR(IF(AT$6&lt;=$E$9,INDEX('Capital Costs'!$H$15:$K$55,MATCH('Capital Cost Escalation'!$E75,'Capital Costs'!$B$15:$B$55,0),MATCH('Capital Cost Escalation'!$C75,'Capital Costs'!$H$7:$K$7,0))*AT$9*(1+$F75)^(AT$3), 0),0)</f>
        <v>0</v>
      </c>
      <c r="AV75" s="827">
        <f t="shared" si="11"/>
        <v>86339917.562793165</v>
      </c>
      <c r="AW75" s="828">
        <f>INDEX('Capital Costs'!$H$15:$K$55,MATCH('Capital Cost Escalation'!$E75,'Capital Costs'!$B$15:$B$55,0),MATCH('Capital Cost Escalation'!$C75,'Capital Costs'!$H$7:$K$7,0))</f>
        <v>77014000</v>
      </c>
    </row>
    <row r="76" spans="1:49">
      <c r="A76" s="487" t="str">
        <f t="shared" si="10"/>
        <v>CC_Rest of RTO_Construction Labor</v>
      </c>
      <c r="B76" s="478" t="s">
        <v>77</v>
      </c>
      <c r="C76" s="488" t="s">
        <v>111</v>
      </c>
      <c r="E76" s="442" t="s">
        <v>138</v>
      </c>
      <c r="F76" s="1325">
        <f>INDEX('Capital Costs_Nominal$'!$F:$F,MATCH('Capital Cost Escalation'!$E76,'Capital Costs_Nominal$'!$C:$C,0),1)</f>
        <v>3.6840339826600399E-3</v>
      </c>
      <c r="G76" s="490">
        <f>IFERROR(IF(G$6&lt;=$E$9,INDEX('Capital Costs'!$H$15:$K$55,MATCH('Capital Cost Escalation'!$E76,'Capital Costs'!$B$15:$B$55,0),MATCH('Capital Cost Escalation'!$C76,'Capital Costs'!$H$7:$K$7,0))*G$9*(1+$F76)^(G$3), 0),0)</f>
        <v>27720.385944516645</v>
      </c>
      <c r="H76" s="490">
        <f>IFERROR(IF(H$6&lt;=$E$9,INDEX('Capital Costs'!$H$15:$K$55,MATCH('Capital Cost Escalation'!$E76,'Capital Costs'!$B$15:$B$55,0),MATCH('Capital Cost Escalation'!$C76,'Capital Costs'!$H$7:$K$7,0))*H$9*(1+$F76)^(H$3), 0),0)</f>
        <v>139112.54394174353</v>
      </c>
      <c r="I76" s="490">
        <f>IFERROR(IF(I$6&lt;=$E$9,INDEX('Capital Costs'!$H$15:$K$55,MATCH('Capital Cost Escalation'!$E76,'Capital Costs'!$B$15:$B$55,0),MATCH('Capital Cost Escalation'!$C76,'Capital Costs'!$H$7:$K$7,0))*I$9*(1+$F76)^(I$3), 0),0)</f>
        <v>139625.03928103921</v>
      </c>
      <c r="J76" s="490">
        <f>IFERROR(IF(J$6&lt;=$E$9,INDEX('Capital Costs'!$H$15:$K$55,MATCH('Capital Cost Escalation'!$E76,'Capital Costs'!$B$15:$B$55,0),MATCH('Capital Cost Escalation'!$C76,'Capital Costs'!$H$7:$K$7,0))*J$9*(1+$F76)^(J$3), 0),0)</f>
        <v>4736712.4862656295</v>
      </c>
      <c r="K76" s="490">
        <f>IFERROR(IF(K$6&lt;=$E$9,INDEX('Capital Costs'!$H$15:$K$55,MATCH('Capital Cost Escalation'!$E76,'Capital Costs'!$B$15:$B$55,0),MATCH('Capital Cost Escalation'!$C76,'Capital Costs'!$H$7:$K$7,0))*K$9*(1+$F76)^(K$3), 0),0)</f>
        <v>4641638.1351783145</v>
      </c>
      <c r="L76" s="490">
        <f>IFERROR(IF(L$6&lt;=$E$9,INDEX('Capital Costs'!$H$15:$K$55,MATCH('Capital Cost Escalation'!$E76,'Capital Costs'!$B$15:$B$55,0),MATCH('Capital Cost Escalation'!$C76,'Capital Costs'!$H$7:$K$7,0))*L$9*(1+$F76)^(L$3), 0),0)</f>
        <v>677634.63095323951</v>
      </c>
      <c r="M76" s="490">
        <f>IFERROR(IF(M$6&lt;=$E$9,INDEX('Capital Costs'!$H$15:$K$55,MATCH('Capital Cost Escalation'!$E76,'Capital Costs'!$B$15:$B$55,0),MATCH('Capital Cost Escalation'!$C76,'Capital Costs'!$H$7:$K$7,0))*M$9*(1+$F76)^(M$3), 0),0)</f>
        <v>1020196.5899422481</v>
      </c>
      <c r="N76" s="490">
        <f>IFERROR(IF(N$6&lt;=$E$9,INDEX('Capital Costs'!$H$15:$K$55,MATCH('Capital Cost Escalation'!$E76,'Capital Costs'!$B$15:$B$55,0),MATCH('Capital Cost Escalation'!$C76,'Capital Costs'!$H$7:$K$7,0))*N$9*(1+$F76)^(N$3), 0),0)</f>
        <v>4124263.3106401493</v>
      </c>
      <c r="O76" s="490">
        <f>IFERROR(IF(O$6&lt;=$E$9,INDEX('Capital Costs'!$H$15:$K$55,MATCH('Capital Cost Escalation'!$E76,'Capital Costs'!$B$15:$B$55,0),MATCH('Capital Cost Escalation'!$C76,'Capital Costs'!$H$7:$K$7,0))*O$9*(1+$F76)^(O$3), 0),0)</f>
        <v>4367841.0843792269</v>
      </c>
      <c r="P76" s="490">
        <f>IFERROR(IF(P$6&lt;=$E$9,INDEX('Capital Costs'!$H$15:$K$55,MATCH('Capital Cost Escalation'!$E76,'Capital Costs'!$B$15:$B$55,0),MATCH('Capital Cost Escalation'!$C76,'Capital Costs'!$H$7:$K$7,0))*P$9*(1+$F76)^(P$3), 0),0)</f>
        <v>3667603.5424752436</v>
      </c>
      <c r="Q76" s="490">
        <f>IFERROR(IF(Q$6&lt;=$E$9,INDEX('Capital Costs'!$H$15:$K$55,MATCH('Capital Cost Escalation'!$E76,'Capital Costs'!$B$15:$B$55,0),MATCH('Capital Cost Escalation'!$C76,'Capital Costs'!$H$7:$K$7,0))*Q$9*(1+$F76)^(Q$3), 0),0)</f>
        <v>3911184.8134706877</v>
      </c>
      <c r="R76" s="490">
        <f>IFERROR(IF(R$6&lt;=$E$9,INDEX('Capital Costs'!$H$15:$K$55,MATCH('Capital Cost Escalation'!$E76,'Capital Costs'!$B$15:$B$55,0),MATCH('Capital Cost Escalation'!$C76,'Capital Costs'!$H$7:$K$7,0))*R$9*(1+$F76)^(R$3), 0),0)</f>
        <v>4156511.0307204453</v>
      </c>
      <c r="S76" s="490">
        <f>IFERROR(IF(S$6&lt;=$E$9,INDEX('Capital Costs'!$H$15:$K$55,MATCH('Capital Cost Escalation'!$E76,'Capital Costs'!$B$15:$B$55,0),MATCH('Capital Cost Escalation'!$C76,'Capital Costs'!$H$7:$K$7,0))*S$9*(1+$F76)^(S$3), 0),0)</f>
        <v>7967024.5390062723</v>
      </c>
      <c r="T76" s="490">
        <f>IFERROR(IF(T$6&lt;=$E$9,INDEX('Capital Costs'!$H$15:$K$55,MATCH('Capital Cost Escalation'!$E76,'Capital Costs'!$B$15:$B$55,0),MATCH('Capital Cost Escalation'!$C76,'Capital Costs'!$H$7:$K$7,0))*T$9*(1+$F76)^(T$3), 0),0)</f>
        <v>11311236.373272104</v>
      </c>
      <c r="U76" s="490">
        <f>IFERROR(IF(U$6&lt;=$E$9,INDEX('Capital Costs'!$H$15:$K$55,MATCH('Capital Cost Escalation'!$E76,'Capital Costs'!$B$15:$B$55,0),MATCH('Capital Cost Escalation'!$C76,'Capital Costs'!$H$7:$K$7,0))*U$9*(1+$F76)^(U$3), 0),0)</f>
        <v>12374377.165660225</v>
      </c>
      <c r="V76" s="490">
        <f>IFERROR(IF(V$6&lt;=$E$9,INDEX('Capital Costs'!$H$15:$K$55,MATCH('Capital Cost Escalation'!$E76,'Capital Costs'!$B$15:$B$55,0),MATCH('Capital Cost Escalation'!$C76,'Capital Costs'!$H$7:$K$7,0))*V$9*(1+$F76)^(V$3), 0),0)</f>
        <v>14177506.979150796</v>
      </c>
      <c r="W76" s="490">
        <f>IFERROR(IF(W$6&lt;=$E$9,INDEX('Capital Costs'!$H$15:$K$55,MATCH('Capital Cost Escalation'!$E76,'Capital Costs'!$B$15:$B$55,0),MATCH('Capital Cost Escalation'!$C76,'Capital Costs'!$H$7:$K$7,0))*W$9*(1+$F76)^(W$3), 0),0)</f>
        <v>15670351.306642955</v>
      </c>
      <c r="X76" s="490">
        <f>IFERROR(IF(X$6&lt;=$E$9,INDEX('Capital Costs'!$H$15:$K$55,MATCH('Capital Cost Escalation'!$E76,'Capital Costs'!$B$15:$B$55,0),MATCH('Capital Cost Escalation'!$C76,'Capital Costs'!$H$7:$K$7,0))*X$9*(1+$F76)^(X$3), 0),0)</f>
        <v>18413363.605904605</v>
      </c>
      <c r="Y76" s="490">
        <f>IFERROR(IF(Y$6&lt;=$E$9,INDEX('Capital Costs'!$H$15:$K$55,MATCH('Capital Cost Escalation'!$E76,'Capital Costs'!$B$15:$B$55,0),MATCH('Capital Cost Escalation'!$C76,'Capital Costs'!$H$7:$K$7,0))*Y$9*(1+$F76)^(Y$3), 0),0)</f>
        <v>18836606.737455446</v>
      </c>
      <c r="Z76" s="490">
        <f>IFERROR(IF(Z$6&lt;=$E$9,INDEX('Capital Costs'!$H$15:$K$55,MATCH('Capital Cost Escalation'!$E76,'Capital Costs'!$B$15:$B$55,0),MATCH('Capital Cost Escalation'!$C76,'Capital Costs'!$H$7:$K$7,0))*Z$9*(1+$F76)^(Z$3), 0),0)</f>
        <v>18489831.59384593</v>
      </c>
      <c r="AA76" s="490">
        <f>IFERROR(IF(AA$6&lt;=$E$9,INDEX('Capital Costs'!$H$15:$K$55,MATCH('Capital Cost Escalation'!$E76,'Capital Costs'!$B$15:$B$55,0),MATCH('Capital Cost Escalation'!$C76,'Capital Costs'!$H$7:$K$7,0))*AA$9*(1+$F76)^(AA$3), 0),0)</f>
        <v>19094995.510504253</v>
      </c>
      <c r="AB76" s="490">
        <f>IFERROR(IF(AB$6&lt;=$E$9,INDEX('Capital Costs'!$H$15:$K$55,MATCH('Capital Cost Escalation'!$E76,'Capital Costs'!$B$15:$B$55,0),MATCH('Capital Cost Escalation'!$C76,'Capital Costs'!$H$7:$K$7,0))*AB$9*(1+$F76)^(AB$3), 0),0)</f>
        <v>18177129.169653531</v>
      </c>
      <c r="AC76" s="490">
        <f>IFERROR(IF(AC$6&lt;=$E$9,INDEX('Capital Costs'!$H$15:$K$55,MATCH('Capital Cost Escalation'!$E76,'Capital Costs'!$B$15:$B$55,0),MATCH('Capital Cost Escalation'!$C76,'Capital Costs'!$H$7:$K$7,0))*AC$9*(1+$F76)^(AC$3), 0),0)</f>
        <v>18694936.859999869</v>
      </c>
      <c r="AD76" s="490">
        <f>IFERROR(IF(AD$6&lt;=$E$9,INDEX('Capital Costs'!$H$15:$K$55,MATCH('Capital Cost Escalation'!$E76,'Capital Costs'!$B$15:$B$55,0),MATCH('Capital Cost Escalation'!$C76,'Capital Costs'!$H$7:$K$7,0))*AD$9*(1+$F76)^(AD$3), 0),0)</f>
        <v>18733642.746164124</v>
      </c>
      <c r="AE76" s="490">
        <f>IFERROR(IF(AE$6&lt;=$E$9,INDEX('Capital Costs'!$H$15:$K$55,MATCH('Capital Cost Escalation'!$E76,'Capital Costs'!$B$15:$B$55,0),MATCH('Capital Cost Escalation'!$C76,'Capital Costs'!$H$7:$K$7,0))*AE$9*(1+$F76)^(AE$3), 0),0)</f>
        <v>17773205.020936269</v>
      </c>
      <c r="AF76" s="490">
        <f>IFERROR(IF(AF$6&lt;=$E$9,INDEX('Capital Costs'!$H$15:$K$55,MATCH('Capital Cost Escalation'!$E76,'Capital Costs'!$B$15:$B$55,0),MATCH('Capital Cost Escalation'!$C76,'Capital Costs'!$H$7:$K$7,0))*AF$9*(1+$F76)^(AF$3), 0),0)</f>
        <v>17565175.912878707</v>
      </c>
      <c r="AG76" s="490">
        <f>IFERROR(IF(AG$6&lt;=$E$9,INDEX('Capital Costs'!$H$15:$K$55,MATCH('Capital Cost Escalation'!$E76,'Capital Costs'!$B$15:$B$55,0),MATCH('Capital Cost Escalation'!$C76,'Capital Costs'!$H$7:$K$7,0))*AG$9*(1+$F76)^(AG$3), 0),0)</f>
        <v>15037256.232874744</v>
      </c>
      <c r="AH76" s="490">
        <f>IFERROR(IF(AH$6&lt;=$E$9,INDEX('Capital Costs'!$H$15:$K$55,MATCH('Capital Cost Escalation'!$E76,'Capital Costs'!$B$15:$B$55,0),MATCH('Capital Cost Escalation'!$C76,'Capital Costs'!$H$7:$K$7,0))*AH$9*(1+$F76)^(AH$3), 0),0)</f>
        <v>12735383.493449351</v>
      </c>
      <c r="AI76" s="490">
        <f>IFERROR(IF(AI$6&lt;=$E$9,INDEX('Capital Costs'!$H$15:$K$55,MATCH('Capital Cost Escalation'!$E76,'Capital Costs'!$B$15:$B$55,0),MATCH('Capital Cost Escalation'!$C76,'Capital Costs'!$H$7:$K$7,0))*AI$9*(1+$F76)^(AI$3), 0),0)</f>
        <v>7312951.0980939893</v>
      </c>
      <c r="AJ76" s="490">
        <f>IFERROR(IF(AJ$6&lt;=$E$9,INDEX('Capital Costs'!$H$15:$K$55,MATCH('Capital Cost Escalation'!$E76,'Capital Costs'!$B$15:$B$55,0),MATCH('Capital Cost Escalation'!$C76,'Capital Costs'!$H$7:$K$7,0))*AJ$9*(1+$F76)^(AJ$3), 0),0)</f>
        <v>2189631.7241603183</v>
      </c>
      <c r="AK76" s="490">
        <f>IFERROR(IF(AK$6&lt;=$E$9,INDEX('Capital Costs'!$H$15:$K$55,MATCH('Capital Cost Escalation'!$E76,'Capital Costs'!$B$15:$B$55,0),MATCH('Capital Cost Escalation'!$C76,'Capital Costs'!$H$7:$K$7,0))*AK$9*(1+$F76)^(AK$3), 0),0)</f>
        <v>526209.4764972931</v>
      </c>
      <c r="AL76" s="490">
        <f>IFERROR(IF(AL$6&lt;=$E$9,INDEX('Capital Costs'!$H$15:$K$55,MATCH('Capital Cost Escalation'!$E76,'Capital Costs'!$B$15:$B$55,0),MATCH('Capital Cost Escalation'!$C76,'Capital Costs'!$H$7:$K$7,0))*AL$9*(1+$F76)^(AL$3), 0),0)</f>
        <v>372810.3882993224</v>
      </c>
      <c r="AM76" s="490">
        <f>IFERROR(IF(AM$6&lt;=$E$9,INDEX('Capital Costs'!$H$15:$K$55,MATCH('Capital Cost Escalation'!$E76,'Capital Costs'!$B$15:$B$55,0),MATCH('Capital Cost Escalation'!$C76,'Capital Costs'!$H$7:$K$7,0))*AM$9*(1+$F76)^(AM$3), 0),0)</f>
        <v>0</v>
      </c>
      <c r="AN76" s="490">
        <f>IFERROR(IF(AN$6&lt;=$E$9,INDEX('Capital Costs'!$H$15:$K$55,MATCH('Capital Cost Escalation'!$E76,'Capital Costs'!$B$15:$B$55,0),MATCH('Capital Cost Escalation'!$C76,'Capital Costs'!$H$7:$K$7,0))*AN$9*(1+$F76)^(AN$3), 0),0)</f>
        <v>0</v>
      </c>
      <c r="AO76" s="490">
        <f>IFERROR(IF(AO$6&lt;=$E$9,INDEX('Capital Costs'!$H$15:$K$55,MATCH('Capital Cost Escalation'!$E76,'Capital Costs'!$B$15:$B$55,0),MATCH('Capital Cost Escalation'!$C76,'Capital Costs'!$H$7:$K$7,0))*AO$9*(1+$F76)^(AO$3), 0),0)</f>
        <v>0</v>
      </c>
      <c r="AP76" s="490">
        <f>IFERROR(IF(AP$6&lt;=$E$9,INDEX('Capital Costs'!$H$15:$K$55,MATCH('Capital Cost Escalation'!$E76,'Capital Costs'!$B$15:$B$55,0),MATCH('Capital Cost Escalation'!$C76,'Capital Costs'!$H$7:$K$7,0))*AP$9*(1+$F76)^(AP$3), 0),0)</f>
        <v>0</v>
      </c>
      <c r="AQ76" s="490">
        <f>IFERROR(IF(AQ$6&lt;=$E$9,INDEX('Capital Costs'!$H$15:$K$55,MATCH('Capital Cost Escalation'!$E76,'Capital Costs'!$B$15:$B$55,0),MATCH('Capital Cost Escalation'!$C76,'Capital Costs'!$H$7:$K$7,0))*AQ$9*(1+$F76)^(AQ$3), 0),0)</f>
        <v>0</v>
      </c>
      <c r="AR76" s="490">
        <f>IFERROR(IF(AR$6&lt;=$E$9,INDEX('Capital Costs'!$H$15:$K$55,MATCH('Capital Cost Escalation'!$E76,'Capital Costs'!$B$15:$B$55,0),MATCH('Capital Cost Escalation'!$C76,'Capital Costs'!$H$7:$K$7,0))*AR$9*(1+$F76)^(AR$3), 0),0)</f>
        <v>0</v>
      </c>
      <c r="AS76" s="490">
        <f>IFERROR(IF(AS$6&lt;=$E$9,INDEX('Capital Costs'!$H$15:$K$55,MATCH('Capital Cost Escalation'!$E76,'Capital Costs'!$B$15:$B$55,0),MATCH('Capital Cost Escalation'!$C76,'Capital Costs'!$H$7:$K$7,0))*AS$9*(1+$F76)^(AS$3), 0),0)</f>
        <v>0</v>
      </c>
      <c r="AT76" s="490">
        <f>IFERROR(IF(AT$6&lt;=$E$9,INDEX('Capital Costs'!$H$15:$K$55,MATCH('Capital Cost Escalation'!$E76,'Capital Costs'!$B$15:$B$55,0),MATCH('Capital Cost Escalation'!$C76,'Capital Costs'!$H$7:$K$7,0))*AT$9*(1+$F76)^(AT$3), 0),0)</f>
        <v>0</v>
      </c>
      <c r="AV76" s="827">
        <f t="shared" si="11"/>
        <v>297063669.52764261</v>
      </c>
      <c r="AW76" s="828">
        <f>INDEX('Capital Costs'!$H$15:$K$55,MATCH('Capital Cost Escalation'!$E76,'Capital Costs'!$B$15:$B$55,0),MATCH('Capital Cost Escalation'!$C76,'Capital Costs'!$H$7:$K$7,0))</f>
        <v>249164300</v>
      </c>
    </row>
    <row r="77" spans="1:49">
      <c r="A77" s="487" t="str">
        <f t="shared" si="10"/>
        <v xml:space="preserve">CC_Rest of RTO_Other Labor </v>
      </c>
      <c r="B77" s="478" t="s">
        <v>77</v>
      </c>
      <c r="C77" s="488" t="s">
        <v>111</v>
      </c>
      <c r="E77" s="442" t="s">
        <v>139</v>
      </c>
      <c r="F77" s="1325">
        <f>INDEX('Capital Costs_Nominal$'!$F:$F,MATCH('Capital Cost Escalation'!$E77,'Capital Costs_Nominal$'!$C:$C,0),1)</f>
        <v>3.6840339826600399E-3</v>
      </c>
      <c r="G77" s="490">
        <f>IFERROR(IF(G$6&lt;=$E$9,INDEX('Capital Costs'!$H$15:$K$55,MATCH('Capital Cost Escalation'!$E77,'Capital Costs'!$B$15:$B$55,0),MATCH('Capital Cost Escalation'!$C77,'Capital Costs'!$H$7:$K$7,0))*G$9*(1+$F77)^(G$3), 0),0)</f>
        <v>6538.0421386209991</v>
      </c>
      <c r="H77" s="490">
        <f>IFERROR(IF(H$6&lt;=$E$9,INDEX('Capital Costs'!$H$15:$K$55,MATCH('Capital Cost Escalation'!$E77,'Capital Costs'!$B$15:$B$55,0),MATCH('Capital Cost Escalation'!$C77,'Capital Costs'!$H$7:$K$7,0))*H$9*(1+$F77)^(H$3), 0),0)</f>
        <v>32810.642540198714</v>
      </c>
      <c r="I77" s="490">
        <f>IFERROR(IF(I$6&lt;=$E$9,INDEX('Capital Costs'!$H$15:$K$55,MATCH('Capital Cost Escalation'!$E77,'Capital Costs'!$B$15:$B$55,0),MATCH('Capital Cost Escalation'!$C77,'Capital Costs'!$H$7:$K$7,0))*I$9*(1+$F77)^(I$3), 0),0)</f>
        <v>32931.518062309726</v>
      </c>
      <c r="J77" s="490">
        <f>IFERROR(IF(J$6&lt;=$E$9,INDEX('Capital Costs'!$H$15:$K$55,MATCH('Capital Cost Escalation'!$E77,'Capital Costs'!$B$15:$B$55,0),MATCH('Capital Cost Escalation'!$C77,'Capital Costs'!$H$7:$K$7,0))*J$9*(1+$F77)^(J$3), 0),0)</f>
        <v>1117185.9546155722</v>
      </c>
      <c r="K77" s="490">
        <f>IFERROR(IF(K$6&lt;=$E$9,INDEX('Capital Costs'!$H$15:$K$55,MATCH('Capital Cost Escalation'!$E77,'Capital Costs'!$B$15:$B$55,0),MATCH('Capital Cost Escalation'!$C77,'Capital Costs'!$H$7:$K$7,0))*K$9*(1+$F77)^(K$3), 0),0)</f>
        <v>1094762.0202967981</v>
      </c>
      <c r="L77" s="490">
        <f>IFERROR(IF(L$6&lt;=$E$9,INDEX('Capital Costs'!$H$15:$K$55,MATCH('Capital Cost Escalation'!$E77,'Capital Costs'!$B$15:$B$55,0),MATCH('Capital Cost Escalation'!$C77,'Capital Costs'!$H$7:$K$7,0))*L$9*(1+$F77)^(L$3), 0),0)</f>
        <v>159824.75065927228</v>
      </c>
      <c r="M77" s="490">
        <f>IFERROR(IF(M$6&lt;=$E$9,INDEX('Capital Costs'!$H$15:$K$55,MATCH('Capital Cost Escalation'!$E77,'Capital Costs'!$B$15:$B$55,0),MATCH('Capital Cost Escalation'!$C77,'Capital Costs'!$H$7:$K$7,0))*M$9*(1+$F77)^(M$3), 0),0)</f>
        <v>240620.32570795692</v>
      </c>
      <c r="N77" s="490">
        <f>IFERROR(IF(N$6&lt;=$E$9,INDEX('Capital Costs'!$H$15:$K$55,MATCH('Capital Cost Escalation'!$E77,'Capital Costs'!$B$15:$B$55,0),MATCH('Capital Cost Escalation'!$C77,'Capital Costs'!$H$7:$K$7,0))*N$9*(1+$F77)^(N$3), 0),0)</f>
        <v>972735.63830260094</v>
      </c>
      <c r="O77" s="490">
        <f>IFERROR(IF(O$6&lt;=$E$9,INDEX('Capital Costs'!$H$15:$K$55,MATCH('Capital Cost Escalation'!$E77,'Capital Costs'!$B$15:$B$55,0),MATCH('Capital Cost Escalation'!$C77,'Capital Costs'!$H$7:$K$7,0))*O$9*(1+$F77)^(O$3), 0),0)</f>
        <v>1030185.1179716456</v>
      </c>
      <c r="P77" s="490">
        <f>IFERROR(IF(P$6&lt;=$E$9,INDEX('Capital Costs'!$H$15:$K$55,MATCH('Capital Cost Escalation'!$E77,'Capital Costs'!$B$15:$B$55,0),MATCH('Capital Cost Escalation'!$C77,'Capital Costs'!$H$7:$K$7,0))*P$9*(1+$F77)^(P$3), 0),0)</f>
        <v>865029.31656339567</v>
      </c>
      <c r="Q77" s="490">
        <f>IFERROR(IF(Q$6&lt;=$E$9,INDEX('Capital Costs'!$H$15:$K$55,MATCH('Capital Cost Escalation'!$E77,'Capital Costs'!$B$15:$B$55,0),MATCH('Capital Cost Escalation'!$C77,'Capital Costs'!$H$7:$K$7,0))*Q$9*(1+$F77)^(Q$3), 0),0)</f>
        <v>922479.62108421326</v>
      </c>
      <c r="R77" s="490">
        <f>IFERROR(IF(R$6&lt;=$E$9,INDEX('Capital Costs'!$H$15:$K$55,MATCH('Capital Cost Escalation'!$E77,'Capital Costs'!$B$15:$B$55,0),MATCH('Capital Cost Escalation'!$C77,'Capital Costs'!$H$7:$K$7,0))*R$9*(1+$F77)^(R$3), 0),0)</f>
        <v>980341.48308345734</v>
      </c>
      <c r="S77" s="490">
        <f>IFERROR(IF(S$6&lt;=$E$9,INDEX('Capital Costs'!$H$15:$K$55,MATCH('Capital Cost Escalation'!$E77,'Capital Costs'!$B$15:$B$55,0),MATCH('Capital Cost Escalation'!$C77,'Capital Costs'!$H$7:$K$7,0))*S$9*(1+$F77)^(S$3), 0),0)</f>
        <v>1879077.0900415329</v>
      </c>
      <c r="T77" s="490">
        <f>IFERROR(IF(T$6&lt;=$E$9,INDEX('Capital Costs'!$H$15:$K$55,MATCH('Capital Cost Escalation'!$E77,'Capital Costs'!$B$15:$B$55,0),MATCH('Capital Cost Escalation'!$C77,'Capital Costs'!$H$7:$K$7,0))*T$9*(1+$F77)^(T$3), 0),0)</f>
        <v>2667832.2659856132</v>
      </c>
      <c r="U77" s="490">
        <f>IFERROR(IF(U$6&lt;=$E$9,INDEX('Capital Costs'!$H$15:$K$55,MATCH('Capital Cost Escalation'!$E77,'Capital Costs'!$B$15:$B$55,0),MATCH('Capital Cost Escalation'!$C77,'Capital Costs'!$H$7:$K$7,0))*U$9*(1+$F77)^(U$3), 0),0)</f>
        <v>2918581.2748137312</v>
      </c>
      <c r="V77" s="490">
        <f>IFERROR(IF(V$6&lt;=$E$9,INDEX('Capital Costs'!$H$15:$K$55,MATCH('Capital Cost Escalation'!$E77,'Capital Costs'!$B$15:$B$55,0),MATCH('Capital Cost Escalation'!$C77,'Capital Costs'!$H$7:$K$7,0))*V$9*(1+$F77)^(V$3), 0),0)</f>
        <v>3343861.7426110115</v>
      </c>
      <c r="W77" s="490">
        <f>IFERROR(IF(W$6&lt;=$E$9,INDEX('Capital Costs'!$H$15:$K$55,MATCH('Capital Cost Escalation'!$E77,'Capital Costs'!$B$15:$B$55,0),MATCH('Capital Cost Escalation'!$C77,'Capital Costs'!$H$7:$K$7,0))*W$9*(1+$F77)^(W$3), 0),0)</f>
        <v>3695959.2617105148</v>
      </c>
      <c r="X77" s="490">
        <f>IFERROR(IF(X$6&lt;=$E$9,INDEX('Capital Costs'!$H$15:$K$55,MATCH('Capital Cost Escalation'!$E77,'Capital Costs'!$B$15:$B$55,0),MATCH('Capital Cost Escalation'!$C77,'Capital Costs'!$H$7:$K$7,0))*X$9*(1+$F77)^(X$3), 0),0)</f>
        <v>4342917.4258292885</v>
      </c>
      <c r="Y77" s="490">
        <f>IFERROR(IF(Y$6&lt;=$E$9,INDEX('Capital Costs'!$H$15:$K$55,MATCH('Capital Cost Escalation'!$E77,'Capital Costs'!$B$15:$B$55,0),MATCH('Capital Cost Escalation'!$C77,'Capital Costs'!$H$7:$K$7,0))*Y$9*(1+$F77)^(Y$3), 0),0)</f>
        <v>4442742.2058485821</v>
      </c>
      <c r="Z77" s="490">
        <f>IFERROR(IF(Z$6&lt;=$E$9,INDEX('Capital Costs'!$H$15:$K$55,MATCH('Capital Cost Escalation'!$E77,'Capital Costs'!$B$15:$B$55,0),MATCH('Capital Cost Escalation'!$C77,'Capital Costs'!$H$7:$K$7,0))*Z$9*(1+$F77)^(Z$3), 0),0)</f>
        <v>4360952.9224640252</v>
      </c>
      <c r="AA77" s="490">
        <f>IFERROR(IF(AA$6&lt;=$E$9,INDEX('Capital Costs'!$H$15:$K$55,MATCH('Capital Cost Escalation'!$E77,'Capital Costs'!$B$15:$B$55,0),MATCH('Capital Cost Escalation'!$C77,'Capital Costs'!$H$7:$K$7,0))*AA$9*(1+$F77)^(AA$3), 0),0)</f>
        <v>4503684.9607482068</v>
      </c>
      <c r="AB77" s="490">
        <f>IFERROR(IF(AB$6&lt;=$E$9,INDEX('Capital Costs'!$H$15:$K$55,MATCH('Capital Cost Escalation'!$E77,'Capital Costs'!$B$15:$B$55,0),MATCH('Capital Cost Escalation'!$C77,'Capital Costs'!$H$7:$K$7,0))*AB$9*(1+$F77)^(AB$3), 0),0)</f>
        <v>4287199.9224043973</v>
      </c>
      <c r="AC77" s="490">
        <f>IFERROR(IF(AC$6&lt;=$E$9,INDEX('Capital Costs'!$H$15:$K$55,MATCH('Capital Cost Escalation'!$E77,'Capital Costs'!$B$15:$B$55,0),MATCH('Capital Cost Escalation'!$C77,'Capital Costs'!$H$7:$K$7,0))*AC$9*(1+$F77)^(AC$3), 0),0)</f>
        <v>4409328.3987525441</v>
      </c>
      <c r="AD77" s="490">
        <f>IFERROR(IF(AD$6&lt;=$E$9,INDEX('Capital Costs'!$H$15:$K$55,MATCH('Capital Cost Escalation'!$E77,'Capital Costs'!$B$15:$B$55,0),MATCH('Capital Cost Escalation'!$C77,'Capital Costs'!$H$7:$K$7,0))*AD$9*(1+$F77)^(AD$3), 0),0)</f>
        <v>4418457.4460631069</v>
      </c>
      <c r="AE77" s="490">
        <f>IFERROR(IF(AE$6&lt;=$E$9,INDEX('Capital Costs'!$H$15:$K$55,MATCH('Capital Cost Escalation'!$E77,'Capital Costs'!$B$15:$B$55,0),MATCH('Capital Cost Escalation'!$C77,'Capital Costs'!$H$7:$K$7,0))*AE$9*(1+$F77)^(AE$3), 0),0)</f>
        <v>4191931.6562840817</v>
      </c>
      <c r="AF77" s="490">
        <f>IFERROR(IF(AF$6&lt;=$E$9,INDEX('Capital Costs'!$H$15:$K$55,MATCH('Capital Cost Escalation'!$E77,'Capital Costs'!$B$15:$B$55,0),MATCH('Capital Cost Escalation'!$C77,'Capital Costs'!$H$7:$K$7,0))*AF$9*(1+$F77)^(AF$3), 0),0)</f>
        <v>4142866.5719356034</v>
      </c>
      <c r="AG77" s="490">
        <f>IFERROR(IF(AG$6&lt;=$E$9,INDEX('Capital Costs'!$H$15:$K$55,MATCH('Capital Cost Escalation'!$E77,'Capital Costs'!$B$15:$B$55,0),MATCH('Capital Cost Escalation'!$C77,'Capital Costs'!$H$7:$K$7,0))*AG$9*(1+$F77)^(AG$3), 0),0)</f>
        <v>3546639.4694704395</v>
      </c>
      <c r="AH77" s="490">
        <f>IFERROR(IF(AH$6&lt;=$E$9,INDEX('Capital Costs'!$H$15:$K$55,MATCH('Capital Cost Escalation'!$E77,'Capital Costs'!$B$15:$B$55,0),MATCH('Capital Cost Escalation'!$C77,'Capital Costs'!$H$7:$K$7,0))*AH$9*(1+$F77)^(AH$3), 0),0)</f>
        <v>3003727.0800748235</v>
      </c>
      <c r="AI77" s="490">
        <f>IFERROR(IF(AI$6&lt;=$E$9,INDEX('Capital Costs'!$H$15:$K$55,MATCH('Capital Cost Escalation'!$E77,'Capital Costs'!$B$15:$B$55,0),MATCH('Capital Cost Escalation'!$C77,'Capital Costs'!$H$7:$K$7,0))*AI$9*(1+$F77)^(AI$3), 0),0)</f>
        <v>1724809.4067922221</v>
      </c>
      <c r="AJ77" s="490">
        <f>IFERROR(IF(AJ$6&lt;=$E$9,INDEX('Capital Costs'!$H$15:$K$55,MATCH('Capital Cost Escalation'!$E77,'Capital Costs'!$B$15:$B$55,0),MATCH('Capital Cost Escalation'!$C77,'Capital Costs'!$H$7:$K$7,0))*AJ$9*(1+$F77)^(AJ$3), 0),0)</f>
        <v>516439.58021635463</v>
      </c>
      <c r="AK77" s="490">
        <f>IFERROR(IF(AK$6&lt;=$E$9,INDEX('Capital Costs'!$H$15:$K$55,MATCH('Capital Cost Escalation'!$E77,'Capital Costs'!$B$15:$B$55,0),MATCH('Capital Cost Escalation'!$C77,'Capital Costs'!$H$7:$K$7,0))*AK$9*(1+$F77)^(AK$3), 0),0)</f>
        <v>124110.0949303896</v>
      </c>
      <c r="AL77" s="490">
        <f>IFERROR(IF(AL$6&lt;=$E$9,INDEX('Capital Costs'!$H$15:$K$55,MATCH('Capital Cost Escalation'!$E77,'Capital Costs'!$B$15:$B$55,0),MATCH('Capital Cost Escalation'!$C77,'Capital Costs'!$H$7:$K$7,0))*AL$9*(1+$F77)^(AL$3), 0),0)</f>
        <v>87929.873461908908</v>
      </c>
      <c r="AM77" s="490">
        <f>IFERROR(IF(AM$6&lt;=$E$9,INDEX('Capital Costs'!$H$15:$K$55,MATCH('Capital Cost Escalation'!$E77,'Capital Costs'!$B$15:$B$55,0),MATCH('Capital Cost Escalation'!$C77,'Capital Costs'!$H$7:$K$7,0))*AM$9*(1+$F77)^(AM$3), 0),0)</f>
        <v>0</v>
      </c>
      <c r="AN77" s="490">
        <f>IFERROR(IF(AN$6&lt;=$E$9,INDEX('Capital Costs'!$H$15:$K$55,MATCH('Capital Cost Escalation'!$E77,'Capital Costs'!$B$15:$B$55,0),MATCH('Capital Cost Escalation'!$C77,'Capital Costs'!$H$7:$K$7,0))*AN$9*(1+$F77)^(AN$3), 0),0)</f>
        <v>0</v>
      </c>
      <c r="AO77" s="490">
        <f>IFERROR(IF(AO$6&lt;=$E$9,INDEX('Capital Costs'!$H$15:$K$55,MATCH('Capital Cost Escalation'!$E77,'Capital Costs'!$B$15:$B$55,0),MATCH('Capital Cost Escalation'!$C77,'Capital Costs'!$H$7:$K$7,0))*AO$9*(1+$F77)^(AO$3), 0),0)</f>
        <v>0</v>
      </c>
      <c r="AP77" s="490">
        <f>IFERROR(IF(AP$6&lt;=$E$9,INDEX('Capital Costs'!$H$15:$K$55,MATCH('Capital Cost Escalation'!$E77,'Capital Costs'!$B$15:$B$55,0),MATCH('Capital Cost Escalation'!$C77,'Capital Costs'!$H$7:$K$7,0))*AP$9*(1+$F77)^(AP$3), 0),0)</f>
        <v>0</v>
      </c>
      <c r="AQ77" s="490">
        <f>IFERROR(IF(AQ$6&lt;=$E$9,INDEX('Capital Costs'!$H$15:$K$55,MATCH('Capital Cost Escalation'!$E77,'Capital Costs'!$B$15:$B$55,0),MATCH('Capital Cost Escalation'!$C77,'Capital Costs'!$H$7:$K$7,0))*AQ$9*(1+$F77)^(AQ$3), 0),0)</f>
        <v>0</v>
      </c>
      <c r="AR77" s="490">
        <f>IFERROR(IF(AR$6&lt;=$E$9,INDEX('Capital Costs'!$H$15:$K$55,MATCH('Capital Cost Escalation'!$E77,'Capital Costs'!$B$15:$B$55,0),MATCH('Capital Cost Escalation'!$C77,'Capital Costs'!$H$7:$K$7,0))*AR$9*(1+$F77)^(AR$3), 0),0)</f>
        <v>0</v>
      </c>
      <c r="AS77" s="490">
        <f>IFERROR(IF(AS$6&lt;=$E$9,INDEX('Capital Costs'!$H$15:$K$55,MATCH('Capital Cost Escalation'!$E77,'Capital Costs'!$B$15:$B$55,0),MATCH('Capital Cost Escalation'!$C77,'Capital Costs'!$H$7:$K$7,0))*AS$9*(1+$F77)^(AS$3), 0),0)</f>
        <v>0</v>
      </c>
      <c r="AT77" s="490">
        <f>IFERROR(IF(AT$6&lt;=$E$9,INDEX('Capital Costs'!$H$15:$K$55,MATCH('Capital Cost Escalation'!$E77,'Capital Costs'!$B$15:$B$55,0),MATCH('Capital Cost Escalation'!$C77,'Capital Costs'!$H$7:$K$7,0))*AT$9*(1+$F77)^(AT$3), 0),0)</f>
        <v>0</v>
      </c>
      <c r="AV77" s="827">
        <f>SUM(G77:AT77)</f>
        <v>70064493.081464395</v>
      </c>
      <c r="AW77" s="828">
        <f>INDEX('Capital Costs'!$H$15:$K$55,MATCH('Capital Cost Escalation'!$E77,'Capital Costs'!$B$15:$B$55,0),MATCH('Capital Cost Escalation'!$C77,'Capital Costs'!$H$7:$K$7,0))</f>
        <v>58767100</v>
      </c>
    </row>
    <row r="78" spans="1:49">
      <c r="A78" s="487" t="str">
        <f t="shared" si="10"/>
        <v>CC_Rest of RTO_Materials</v>
      </c>
      <c r="B78" s="478" t="s">
        <v>77</v>
      </c>
      <c r="C78" s="488" t="s">
        <v>111</v>
      </c>
      <c r="E78" s="442" t="s">
        <v>140</v>
      </c>
      <c r="F78" s="1325">
        <f>INDEX('Capital Costs_Nominal$'!$F:$F,MATCH('Capital Cost Escalation'!$E78,'Capital Costs_Nominal$'!$C:$C,0),1)</f>
        <v>2.3944839450136257E-3</v>
      </c>
      <c r="G78" s="490">
        <f>IFERROR(IF(G$6&lt;=$E$9,INDEX('Capital Costs'!$H$15:$K$55,MATCH('Capital Cost Escalation'!$E78,'Capital Costs'!$B$15:$B$55,0),MATCH('Capital Cost Escalation'!$C78,'Capital Costs'!$H$7:$K$7,0))*G$9*(1+$F78)^(G$3), 0),0)</f>
        <v>7214.4338646364577</v>
      </c>
      <c r="H78" s="490">
        <f>IFERROR(IF(H$6&lt;=$E$9,INDEX('Capital Costs'!$H$15:$K$55,MATCH('Capital Cost Escalation'!$E78,'Capital Costs'!$B$15:$B$55,0),MATCH('Capital Cost Escalation'!$C78,'Capital Costs'!$H$7:$K$7,0))*H$9*(1+$F78)^(H$3), 0),0)</f>
        <v>36158.543553488453</v>
      </c>
      <c r="I78" s="490">
        <f>IFERROR(IF(I$6&lt;=$E$9,INDEX('Capital Costs'!$H$15:$K$55,MATCH('Capital Cost Escalation'!$E78,'Capital Costs'!$B$15:$B$55,0),MATCH('Capital Cost Escalation'!$C78,'Capital Costs'!$H$7:$K$7,0))*I$9*(1+$F78)^(I$3), 0),0)</f>
        <v>36245.124605502351</v>
      </c>
      <c r="J78" s="490">
        <f>IFERROR(IF(J$6&lt;=$E$9,INDEX('Capital Costs'!$H$15:$K$55,MATCH('Capital Cost Escalation'!$E78,'Capital Costs'!$B$15:$B$55,0),MATCH('Capital Cost Escalation'!$C78,'Capital Costs'!$H$7:$K$7,0))*J$9*(1+$F78)^(J$3), 0),0)</f>
        <v>1228018.6585365876</v>
      </c>
      <c r="K78" s="490">
        <f>IFERROR(IF(K$6&lt;=$E$9,INDEX('Capital Costs'!$H$15:$K$55,MATCH('Capital Cost Escalation'!$E78,'Capital Costs'!$B$15:$B$55,0),MATCH('Capital Cost Escalation'!$C78,'Capital Costs'!$H$7:$K$7,0))*K$9*(1+$F78)^(K$3), 0),0)</f>
        <v>1201824.0021732193</v>
      </c>
      <c r="L78" s="490">
        <f>IFERROR(IF(L$6&lt;=$E$9,INDEX('Capital Costs'!$H$15:$K$55,MATCH('Capital Cost Escalation'!$E78,'Capital Costs'!$B$15:$B$55,0),MATCH('Capital Cost Escalation'!$C78,'Capital Costs'!$H$7:$K$7,0))*L$9*(1+$F78)^(L$3), 0),0)</f>
        <v>175229.34552016802</v>
      </c>
      <c r="M78" s="490">
        <f>IFERROR(IF(M$6&lt;=$E$9,INDEX('Capital Costs'!$H$15:$K$55,MATCH('Capital Cost Escalation'!$E78,'Capital Costs'!$B$15:$B$55,0),MATCH('Capital Cost Escalation'!$C78,'Capital Costs'!$H$7:$K$7,0))*M$9*(1+$F78)^(M$3), 0),0)</f>
        <v>263473.39406206697</v>
      </c>
      <c r="N78" s="490">
        <f>IFERROR(IF(N$6&lt;=$E$9,INDEX('Capital Costs'!$H$15:$K$55,MATCH('Capital Cost Escalation'!$E78,'Capital Costs'!$B$15:$B$55,0),MATCH('Capital Cost Escalation'!$C78,'Capital Costs'!$H$7:$K$7,0))*N$9*(1+$F78)^(N$3), 0),0)</f>
        <v>1063753.3374095163</v>
      </c>
      <c r="O78" s="490">
        <f>IFERROR(IF(O$6&lt;=$E$9,INDEX('Capital Costs'!$H$15:$K$55,MATCH('Capital Cost Escalation'!$E78,'Capital Costs'!$B$15:$B$55,0),MATCH('Capital Cost Escalation'!$C78,'Capital Costs'!$H$7:$K$7,0))*O$9*(1+$F78)^(O$3), 0),0)</f>
        <v>1125130.8488807031</v>
      </c>
      <c r="P78" s="490">
        <f>IFERROR(IF(P$6&lt;=$E$9,INDEX('Capital Costs'!$H$15:$K$55,MATCH('Capital Cost Escalation'!$E78,'Capital Costs'!$B$15:$B$55,0),MATCH('Capital Cost Escalation'!$C78,'Capital Costs'!$H$7:$K$7,0))*P$9*(1+$F78)^(P$3), 0),0)</f>
        <v>943539.83300131757</v>
      </c>
      <c r="Q78" s="490">
        <f>IFERROR(IF(Q$6&lt;=$E$9,INDEX('Capital Costs'!$H$15:$K$55,MATCH('Capital Cost Escalation'!$E78,'Capital Costs'!$B$15:$B$55,0),MATCH('Capital Cost Escalation'!$C78,'Capital Costs'!$H$7:$K$7,0))*Q$9*(1+$F78)^(Q$3), 0),0)</f>
        <v>1004911.5692318525</v>
      </c>
      <c r="R78" s="490">
        <f>IFERROR(IF(R$6&lt;=$E$9,INDEX('Capital Costs'!$H$15:$K$55,MATCH('Capital Cost Escalation'!$E78,'Capital Costs'!$B$15:$B$55,0),MATCH('Capital Cost Escalation'!$C78,'Capital Costs'!$H$7:$K$7,0))*R$9*(1+$F78)^(R$3), 0),0)</f>
        <v>1066571.8029005683</v>
      </c>
      <c r="S78" s="490">
        <f>IFERROR(IF(S$6&lt;=$E$9,INDEX('Capital Costs'!$H$15:$K$55,MATCH('Capital Cost Escalation'!$E78,'Capital Costs'!$B$15:$B$55,0),MATCH('Capital Cost Escalation'!$C78,'Capital Costs'!$H$7:$K$7,0))*S$9*(1+$F78)^(S$3), 0),0)</f>
        <v>2041733.0922824645</v>
      </c>
      <c r="T78" s="490">
        <f>IFERROR(IF(T$6&lt;=$E$9,INDEX('Capital Costs'!$H$15:$K$55,MATCH('Capital Cost Escalation'!$E78,'Capital Costs'!$B$15:$B$55,0),MATCH('Capital Cost Escalation'!$C78,'Capital Costs'!$H$7:$K$7,0))*T$9*(1+$F78)^(T$3), 0),0)</f>
        <v>2895039.8322671419</v>
      </c>
      <c r="U78" s="490">
        <f>IFERROR(IF(U$6&lt;=$E$9,INDEX('Capital Costs'!$H$15:$K$55,MATCH('Capital Cost Escalation'!$E78,'Capital Costs'!$B$15:$B$55,0),MATCH('Capital Cost Escalation'!$C78,'Capital Costs'!$H$7:$K$7,0))*U$9*(1+$F78)^(U$3), 0),0)</f>
        <v>3163074.8341240324</v>
      </c>
      <c r="V78" s="490">
        <f>IFERROR(IF(V$6&lt;=$E$9,INDEX('Capital Costs'!$H$15:$K$55,MATCH('Capital Cost Escalation'!$E78,'Capital Costs'!$B$15:$B$55,0),MATCH('Capital Cost Escalation'!$C78,'Capital Costs'!$H$7:$K$7,0))*V$9*(1+$F78)^(V$3), 0),0)</f>
        <v>3619325.478205448</v>
      </c>
      <c r="W78" s="490">
        <f>IFERROR(IF(W$6&lt;=$E$9,INDEX('Capital Costs'!$H$15:$K$55,MATCH('Capital Cost Escalation'!$E78,'Capital Costs'!$B$15:$B$55,0),MATCH('Capital Cost Escalation'!$C78,'Capital Costs'!$H$7:$K$7,0))*W$9*(1+$F78)^(W$3), 0),0)</f>
        <v>3995288.5950638494</v>
      </c>
      <c r="X78" s="490">
        <f>IFERROR(IF(X$6&lt;=$E$9,INDEX('Capital Costs'!$H$15:$K$55,MATCH('Capital Cost Escalation'!$E78,'Capital Costs'!$B$15:$B$55,0),MATCH('Capital Cost Escalation'!$C78,'Capital Costs'!$H$7:$K$7,0))*X$9*(1+$F78)^(X$3), 0),0)</f>
        <v>4688611.0237585474</v>
      </c>
      <c r="Y78" s="490">
        <f>IFERROR(IF(Y$6&lt;=$E$9,INDEX('Capital Costs'!$H$15:$K$55,MATCH('Capital Cost Escalation'!$E78,'Capital Costs'!$B$15:$B$55,0),MATCH('Capital Cost Escalation'!$C78,'Capital Costs'!$H$7:$K$7,0))*Y$9*(1+$F78)^(Y$3), 0),0)</f>
        <v>4790219.3242635699</v>
      </c>
      <c r="Z78" s="490">
        <f>IFERROR(IF(Z$6&lt;=$E$9,INDEX('Capital Costs'!$H$15:$K$55,MATCH('Capital Cost Escalation'!$E78,'Capital Costs'!$B$15:$B$55,0),MATCH('Capital Cost Escalation'!$C78,'Capital Costs'!$H$7:$K$7,0))*Z$9*(1+$F78)^(Z$3), 0),0)</f>
        <v>4695991.8615138317</v>
      </c>
      <c r="AA78" s="490">
        <f>IFERROR(IF(AA$6&lt;=$E$9,INDEX('Capital Costs'!$H$15:$K$55,MATCH('Capital Cost Escalation'!$E78,'Capital Costs'!$B$15:$B$55,0),MATCH('Capital Cost Escalation'!$C78,'Capital Costs'!$H$7:$K$7,0))*AA$9*(1+$F78)^(AA$3), 0),0)</f>
        <v>4843458.6120973798</v>
      </c>
      <c r="AB78" s="490">
        <f>IFERROR(IF(AB$6&lt;=$E$9,INDEX('Capital Costs'!$H$15:$K$55,MATCH('Capital Cost Escalation'!$E78,'Capital Costs'!$B$15:$B$55,0),MATCH('Capital Cost Escalation'!$C78,'Capital Costs'!$H$7:$K$7,0))*AB$9*(1+$F78)^(AB$3), 0),0)</f>
        <v>4604717.3608770436</v>
      </c>
      <c r="AC78" s="490">
        <f>IFERROR(IF(AC$6&lt;=$E$9,INDEX('Capital Costs'!$H$15:$K$55,MATCH('Capital Cost Escalation'!$E78,'Capital Costs'!$B$15:$B$55,0),MATCH('Capital Cost Escalation'!$C78,'Capital Costs'!$H$7:$K$7,0))*AC$9*(1+$F78)^(AC$3), 0),0)</f>
        <v>4729806.1314993594</v>
      </c>
      <c r="AD78" s="490">
        <f>IFERROR(IF(AD$6&lt;=$E$9,INDEX('Capital Costs'!$H$15:$K$55,MATCH('Capital Cost Escalation'!$E78,'Capital Costs'!$B$15:$B$55,0),MATCH('Capital Cost Escalation'!$C78,'Capital Costs'!$H$7:$K$7,0))*AD$9*(1+$F78)^(AD$3), 0),0)</f>
        <v>4733509.1783115547</v>
      </c>
      <c r="AE78" s="490">
        <f>IFERROR(IF(AE$6&lt;=$E$9,INDEX('Capital Costs'!$H$15:$K$55,MATCH('Capital Cost Escalation'!$E78,'Capital Costs'!$B$15:$B$55,0),MATCH('Capital Cost Escalation'!$C78,'Capital Costs'!$H$7:$K$7,0))*AE$9*(1+$F78)^(AE$3), 0),0)</f>
        <v>4485061.3988003284</v>
      </c>
      <c r="AF78" s="490">
        <f>IFERROR(IF(AF$6&lt;=$E$9,INDEX('Capital Costs'!$H$15:$K$55,MATCH('Capital Cost Escalation'!$E78,'Capital Costs'!$B$15:$B$55,0),MATCH('Capital Cost Escalation'!$C78,'Capital Costs'!$H$7:$K$7,0))*AF$9*(1+$F78)^(AF$3), 0),0)</f>
        <v>4426870.2999121398</v>
      </c>
      <c r="AG78" s="490">
        <f>IFERROR(IF(AG$6&lt;=$E$9,INDEX('Capital Costs'!$H$15:$K$55,MATCH('Capital Cost Escalation'!$E78,'Capital Costs'!$B$15:$B$55,0),MATCH('Capital Cost Escalation'!$C78,'Capital Costs'!$H$7:$K$7,0))*AG$9*(1+$F78)^(AG$3), 0),0)</f>
        <v>3784901.1977466512</v>
      </c>
      <c r="AH78" s="490">
        <f>IFERROR(IF(AH$6&lt;=$E$9,INDEX('Capital Costs'!$H$15:$K$55,MATCH('Capital Cost Escalation'!$E78,'Capital Costs'!$B$15:$B$55,0),MATCH('Capital Cost Escalation'!$C78,'Capital Costs'!$H$7:$K$7,0))*AH$9*(1+$F78)^(AH$3), 0),0)</f>
        <v>3201397.6845550057</v>
      </c>
      <c r="AI78" s="490">
        <f>IFERROR(IF(AI$6&lt;=$E$9,INDEX('Capital Costs'!$H$15:$K$55,MATCH('Capital Cost Escalation'!$E78,'Capital Costs'!$B$15:$B$55,0),MATCH('Capital Cost Escalation'!$C78,'Capital Costs'!$H$7:$K$7,0))*AI$9*(1+$F78)^(AI$3), 0),0)</f>
        <v>1835954.5298536576</v>
      </c>
      <c r="AJ78" s="490">
        <f>IFERROR(IF(AJ$6&lt;=$E$9,INDEX('Capital Costs'!$H$15:$K$55,MATCH('Capital Cost Escalation'!$E78,'Capital Costs'!$B$15:$B$55,0),MATCH('Capital Cost Escalation'!$C78,'Capital Costs'!$H$7:$K$7,0))*AJ$9*(1+$F78)^(AJ$3), 0),0)</f>
        <v>549012.18167412153</v>
      </c>
      <c r="AK78" s="490">
        <f>IFERROR(IF(AK$6&lt;=$E$9,INDEX('Capital Costs'!$H$15:$K$55,MATCH('Capital Cost Escalation'!$E78,'Capital Costs'!$B$15:$B$55,0),MATCH('Capital Cost Escalation'!$C78,'Capital Costs'!$H$7:$K$7,0))*AK$9*(1+$F78)^(AK$3), 0),0)</f>
        <v>131768.38454913904</v>
      </c>
      <c r="AL78" s="490">
        <f>IFERROR(IF(AL$6&lt;=$E$9,INDEX('Capital Costs'!$H$15:$K$55,MATCH('Capital Cost Escalation'!$E78,'Capital Costs'!$B$15:$B$55,0),MATCH('Capital Cost Escalation'!$C78,'Capital Costs'!$H$7:$K$7,0))*AL$9*(1+$F78)^(AL$3), 0),0)</f>
        <v>93235.695409695763</v>
      </c>
      <c r="AM78" s="490">
        <f>IFERROR(IF(AM$6&lt;=$E$9,INDEX('Capital Costs'!$H$15:$K$55,MATCH('Capital Cost Escalation'!$E78,'Capital Costs'!$B$15:$B$55,0),MATCH('Capital Cost Escalation'!$C78,'Capital Costs'!$H$7:$K$7,0))*AM$9*(1+$F78)^(AM$3), 0),0)</f>
        <v>0</v>
      </c>
      <c r="AN78" s="490">
        <f>IFERROR(IF(AN$6&lt;=$E$9,INDEX('Capital Costs'!$H$15:$K$55,MATCH('Capital Cost Escalation'!$E78,'Capital Costs'!$B$15:$B$55,0),MATCH('Capital Cost Escalation'!$C78,'Capital Costs'!$H$7:$K$7,0))*AN$9*(1+$F78)^(AN$3), 0),0)</f>
        <v>0</v>
      </c>
      <c r="AO78" s="490">
        <f>IFERROR(IF(AO$6&lt;=$E$9,INDEX('Capital Costs'!$H$15:$K$55,MATCH('Capital Cost Escalation'!$E78,'Capital Costs'!$B$15:$B$55,0),MATCH('Capital Cost Escalation'!$C78,'Capital Costs'!$H$7:$K$7,0))*AO$9*(1+$F78)^(AO$3), 0),0)</f>
        <v>0</v>
      </c>
      <c r="AP78" s="490">
        <f>IFERROR(IF(AP$6&lt;=$E$9,INDEX('Capital Costs'!$H$15:$K$55,MATCH('Capital Cost Escalation'!$E78,'Capital Costs'!$B$15:$B$55,0),MATCH('Capital Cost Escalation'!$C78,'Capital Costs'!$H$7:$K$7,0))*AP$9*(1+$F78)^(AP$3), 0),0)</f>
        <v>0</v>
      </c>
      <c r="AQ78" s="490">
        <f>IFERROR(IF(AQ$6&lt;=$E$9,INDEX('Capital Costs'!$H$15:$K$55,MATCH('Capital Cost Escalation'!$E78,'Capital Costs'!$B$15:$B$55,0),MATCH('Capital Cost Escalation'!$C78,'Capital Costs'!$H$7:$K$7,0))*AQ$9*(1+$F78)^(AQ$3), 0),0)</f>
        <v>0</v>
      </c>
      <c r="AR78" s="490">
        <f>IFERROR(IF(AR$6&lt;=$E$9,INDEX('Capital Costs'!$H$15:$K$55,MATCH('Capital Cost Escalation'!$E78,'Capital Costs'!$B$15:$B$55,0),MATCH('Capital Cost Escalation'!$C78,'Capital Costs'!$H$7:$K$7,0))*AR$9*(1+$F78)^(AR$3), 0),0)</f>
        <v>0</v>
      </c>
      <c r="AS78" s="490">
        <f>IFERROR(IF(AS$6&lt;=$E$9,INDEX('Capital Costs'!$H$15:$K$55,MATCH('Capital Cost Escalation'!$E78,'Capital Costs'!$B$15:$B$55,0),MATCH('Capital Cost Escalation'!$C78,'Capital Costs'!$H$7:$K$7,0))*AS$9*(1+$F78)^(AS$3), 0),0)</f>
        <v>0</v>
      </c>
      <c r="AT78" s="490">
        <f>IFERROR(IF(AT$6&lt;=$E$9,INDEX('Capital Costs'!$H$15:$K$55,MATCH('Capital Cost Escalation'!$E78,'Capital Costs'!$B$15:$B$55,0),MATCH('Capital Cost Escalation'!$C78,'Capital Costs'!$H$7:$K$7,0))*AT$9*(1+$F78)^(AT$3), 0),0)</f>
        <v>0</v>
      </c>
      <c r="AV78" s="827">
        <f>SUM(G78:AT78)</f>
        <v>75461047.590504602</v>
      </c>
      <c r="AW78" s="828">
        <f>INDEX('Capital Costs'!$H$15:$K$55,MATCH('Capital Cost Escalation'!$E78,'Capital Costs'!$B$15:$B$55,0),MATCH('Capital Cost Escalation'!$C78,'Capital Costs'!$H$7:$K$7,0))</f>
        <v>67310200</v>
      </c>
    </row>
    <row r="79" spans="1:49">
      <c r="A79" s="487" t="str">
        <f t="shared" si="10"/>
        <v>__</v>
      </c>
      <c r="F79" s="1168"/>
      <c r="G79" s="490"/>
      <c r="H79" s="490"/>
      <c r="I79" s="490"/>
      <c r="J79" s="490"/>
      <c r="K79" s="490"/>
      <c r="L79" s="490"/>
      <c r="M79" s="490"/>
      <c r="N79" s="490"/>
      <c r="O79" s="490"/>
      <c r="P79" s="490"/>
      <c r="Q79" s="490"/>
      <c r="R79" s="490"/>
      <c r="S79" s="490"/>
      <c r="T79" s="490"/>
      <c r="U79" s="490"/>
      <c r="V79" s="490"/>
      <c r="W79" s="490"/>
      <c r="X79" s="490"/>
      <c r="Y79" s="490"/>
      <c r="Z79" s="490"/>
      <c r="AA79" s="490"/>
      <c r="AB79" s="490"/>
      <c r="AC79" s="490"/>
      <c r="AD79" s="490"/>
      <c r="AE79" s="490"/>
      <c r="AF79" s="490"/>
      <c r="AG79" s="490"/>
      <c r="AH79" s="490"/>
      <c r="AI79" s="490"/>
      <c r="AJ79" s="490"/>
      <c r="AK79" s="490"/>
      <c r="AL79" s="490"/>
      <c r="AM79" s="490"/>
      <c r="AN79" s="490"/>
      <c r="AO79" s="490"/>
      <c r="AP79" s="490"/>
      <c r="AQ79" s="490"/>
      <c r="AR79" s="490"/>
      <c r="AS79" s="490"/>
      <c r="AT79" s="490"/>
      <c r="AV79" s="99"/>
      <c r="AW79" s="828"/>
    </row>
    <row r="80" spans="1:49">
      <c r="A80" s="487" t="str">
        <f t="shared" si="10"/>
        <v>CC_WMAAC_Gas Turbines</v>
      </c>
      <c r="B80" s="478" t="s">
        <v>77</v>
      </c>
      <c r="C80" s="488" t="s">
        <v>122</v>
      </c>
      <c r="E80" s="442" t="s">
        <v>129</v>
      </c>
      <c r="F80" s="1325">
        <f>INDEX('Capital Costs_Nominal$'!$F:$F,MATCH('Capital Cost Escalation'!$E80,'Capital Costs_Nominal$'!$C:$C,0),1)</f>
        <v>2.3944839450136257E-3</v>
      </c>
      <c r="G80" s="490">
        <f>IFERROR(IF(G$6&lt;=$E$9,INDEX('Capital Costs'!$H$15:$K$55,MATCH('Capital Cost Escalation'!$E80,'Capital Costs'!$B$15:$B$55,0),MATCH('Capital Cost Escalation'!$C80,'Capital Costs'!$H$7:$K$7,0))*G$9*(1+$F80)^(G$3), 0),0)</f>
        <v>14844.690555846651</v>
      </c>
      <c r="H80" s="490">
        <f>IFERROR(IF(H$6&lt;=$E$9,INDEX('Capital Costs'!$H$15:$K$55,MATCH('Capital Cost Escalation'!$E80,'Capital Costs'!$B$15:$B$55,0),MATCH('Capital Cost Escalation'!$C80,'Capital Costs'!$H$7:$K$7,0))*H$9*(1+$F80)^(H$3), 0),0)</f>
        <v>74401.179645256605</v>
      </c>
      <c r="I80" s="490">
        <f>IFERROR(IF(I$6&lt;=$E$9,INDEX('Capital Costs'!$H$15:$K$55,MATCH('Capital Cost Escalation'!$E80,'Capital Costs'!$B$15:$B$55,0),MATCH('Capital Cost Escalation'!$C80,'Capital Costs'!$H$7:$K$7,0))*I$9*(1+$F80)^(I$3), 0),0)</f>
        <v>74579.332075407234</v>
      </c>
      <c r="J80" s="490">
        <f>IFERROR(IF(J$6&lt;=$E$9,INDEX('Capital Costs'!$H$15:$K$55,MATCH('Capital Cost Escalation'!$E80,'Capital Costs'!$B$15:$B$55,0),MATCH('Capital Cost Escalation'!$C80,'Capital Costs'!$H$7:$K$7,0))*J$9*(1+$F80)^(J$3), 0),0)</f>
        <v>2526817.3947977778</v>
      </c>
      <c r="K80" s="490">
        <f>IFERROR(IF(K$6&lt;=$E$9,INDEX('Capital Costs'!$H$15:$K$55,MATCH('Capital Cost Escalation'!$E80,'Capital Costs'!$B$15:$B$55,0),MATCH('Capital Cost Escalation'!$C80,'Capital Costs'!$H$7:$K$7,0))*K$9*(1+$F80)^(K$3), 0),0)</f>
        <v>2472918.2843163572</v>
      </c>
      <c r="L80" s="490">
        <f>IFERROR(IF(L$6&lt;=$E$9,INDEX('Capital Costs'!$H$15:$K$55,MATCH('Capital Cost Escalation'!$E80,'Capital Costs'!$B$15:$B$55,0),MATCH('Capital Cost Escalation'!$C80,'Capital Costs'!$H$7:$K$7,0))*L$9*(1+$F80)^(L$3), 0),0)</f>
        <v>360558.49417388847</v>
      </c>
      <c r="M80" s="490">
        <f>IFERROR(IF(M$6&lt;=$E$9,INDEX('Capital Costs'!$H$15:$K$55,MATCH('Capital Cost Escalation'!$E80,'Capital Costs'!$B$15:$B$55,0),MATCH('Capital Cost Escalation'!$C80,'Capital Costs'!$H$7:$K$7,0))*M$9*(1+$F80)^(M$3), 0),0)</f>
        <v>542132.76854913926</v>
      </c>
      <c r="N80" s="490">
        <f>IFERROR(IF(N$6&lt;=$E$9,INDEX('Capital Costs'!$H$15:$K$55,MATCH('Capital Cost Escalation'!$E80,'Capital Costs'!$B$15:$B$55,0),MATCH('Capital Cost Escalation'!$C80,'Capital Costs'!$H$7:$K$7,0))*N$9*(1+$F80)^(N$3), 0),0)</f>
        <v>2188818.8897257475</v>
      </c>
      <c r="O80" s="490">
        <f>IFERROR(IF(O$6&lt;=$E$9,INDEX('Capital Costs'!$H$15:$K$55,MATCH('Capital Cost Escalation'!$E80,'Capital Costs'!$B$15:$B$55,0),MATCH('Capital Cost Escalation'!$C80,'Capital Costs'!$H$7:$K$7,0))*O$9*(1+$F80)^(O$3), 0),0)</f>
        <v>2315111.5665972969</v>
      </c>
      <c r="P80" s="490">
        <f>IFERROR(IF(P$6&lt;=$E$9,INDEX('Capital Costs'!$H$15:$K$55,MATCH('Capital Cost Escalation'!$E80,'Capital Costs'!$B$15:$B$55,0),MATCH('Capital Cost Escalation'!$C80,'Capital Costs'!$H$7:$K$7,0))*P$9*(1+$F80)^(P$3), 0),0)</f>
        <v>1941463.0601406991</v>
      </c>
      <c r="Q80" s="490">
        <f>IFERROR(IF(Q$6&lt;=$E$9,INDEX('Capital Costs'!$H$15:$K$55,MATCH('Capital Cost Escalation'!$E80,'Capital Costs'!$B$15:$B$55,0),MATCH('Capital Cost Escalation'!$C80,'Capital Costs'!$H$7:$K$7,0))*Q$9*(1+$F80)^(Q$3), 0),0)</f>
        <v>2067743.8536597958</v>
      </c>
      <c r="R80" s="490">
        <f>IFERROR(IF(R$6&lt;=$E$9,INDEX('Capital Costs'!$H$15:$K$55,MATCH('Capital Cost Escalation'!$E80,'Capital Costs'!$B$15:$B$55,0),MATCH('Capital Cost Escalation'!$C80,'Capital Costs'!$H$7:$K$7,0))*R$9*(1+$F80)^(R$3), 0),0)</f>
        <v>2194618.2703621252</v>
      </c>
      <c r="S80" s="490">
        <f>IFERROR(IF(S$6&lt;=$E$9,INDEX('Capital Costs'!$H$15:$K$55,MATCH('Capital Cost Escalation'!$E80,'Capital Costs'!$B$15:$B$55,0),MATCH('Capital Cost Escalation'!$C80,'Capital Costs'!$H$7:$K$7,0))*S$9*(1+$F80)^(S$3), 0),0)</f>
        <v>4201146.8288776642</v>
      </c>
      <c r="T80" s="490">
        <f>IFERROR(IF(T$6&lt;=$E$9,INDEX('Capital Costs'!$H$15:$K$55,MATCH('Capital Cost Escalation'!$E80,'Capital Costs'!$B$15:$B$55,0),MATCH('Capital Cost Escalation'!$C80,'Capital Costs'!$H$7:$K$7,0))*T$9*(1+$F80)^(T$3), 0),0)</f>
        <v>5956942.8818960451</v>
      </c>
      <c r="U80" s="490">
        <f>IFERROR(IF(U$6&lt;=$E$9,INDEX('Capital Costs'!$H$15:$K$55,MATCH('Capital Cost Escalation'!$E80,'Capital Costs'!$B$15:$B$55,0),MATCH('Capital Cost Escalation'!$C80,'Capital Costs'!$H$7:$K$7,0))*U$9*(1+$F80)^(U$3), 0),0)</f>
        <v>6508461.7862698147</v>
      </c>
      <c r="V80" s="490">
        <f>IFERROR(IF(V$6&lt;=$E$9,INDEX('Capital Costs'!$H$15:$K$55,MATCH('Capital Cost Escalation'!$E80,'Capital Costs'!$B$15:$B$55,0),MATCH('Capital Cost Escalation'!$C80,'Capital Costs'!$H$7:$K$7,0))*V$9*(1+$F80)^(V$3), 0),0)</f>
        <v>7447260.2775129862</v>
      </c>
      <c r="W80" s="490">
        <f>IFERROR(IF(W$6&lt;=$E$9,INDEX('Capital Costs'!$H$15:$K$55,MATCH('Capital Cost Escalation'!$E80,'Capital Costs'!$B$15:$B$55,0),MATCH('Capital Cost Escalation'!$C80,'Capital Costs'!$H$7:$K$7,0))*W$9*(1+$F80)^(W$3), 0),0)</f>
        <v>8220856.1320029227</v>
      </c>
      <c r="X80" s="490">
        <f>IFERROR(IF(X$6&lt;=$E$9,INDEX('Capital Costs'!$H$15:$K$55,MATCH('Capital Cost Escalation'!$E80,'Capital Costs'!$B$15:$B$55,0),MATCH('Capital Cost Escalation'!$C80,'Capital Costs'!$H$7:$K$7,0))*X$9*(1+$F80)^(X$3), 0),0)</f>
        <v>9647462.4468588512</v>
      </c>
      <c r="Y80" s="490">
        <f>IFERROR(IF(Y$6&lt;=$E$9,INDEX('Capital Costs'!$H$15:$K$55,MATCH('Capital Cost Escalation'!$E80,'Capital Costs'!$B$15:$B$55,0),MATCH('Capital Cost Escalation'!$C80,'Capital Costs'!$H$7:$K$7,0))*Y$9*(1+$F80)^(Y$3), 0),0)</f>
        <v>9856535.508890247</v>
      </c>
      <c r="Z80" s="490">
        <f>IFERROR(IF(Z$6&lt;=$E$9,INDEX('Capital Costs'!$H$15:$K$55,MATCH('Capital Cost Escalation'!$E80,'Capital Costs'!$B$15:$B$55,0),MATCH('Capital Cost Escalation'!$C80,'Capital Costs'!$H$7:$K$7,0))*Z$9*(1+$F80)^(Z$3), 0),0)</f>
        <v>9662649.5363208801</v>
      </c>
      <c r="AA80" s="490">
        <f>IFERROR(IF(AA$6&lt;=$E$9,INDEX('Capital Costs'!$H$15:$K$55,MATCH('Capital Cost Escalation'!$E80,'Capital Costs'!$B$15:$B$55,0),MATCH('Capital Cost Escalation'!$C80,'Capital Costs'!$H$7:$K$7,0))*AA$9*(1+$F80)^(AA$3), 0),0)</f>
        <v>9966082.670612881</v>
      </c>
      <c r="AB80" s="490">
        <f>IFERROR(IF(AB$6&lt;=$E$9,INDEX('Capital Costs'!$H$15:$K$55,MATCH('Capital Cost Escalation'!$E80,'Capital Costs'!$B$15:$B$55,0),MATCH('Capital Cost Escalation'!$C80,'Capital Costs'!$H$7:$K$7,0))*AB$9*(1+$F80)^(AB$3), 0),0)</f>
        <v>9474839.689697409</v>
      </c>
      <c r="AC80" s="490">
        <f>IFERROR(IF(AC$6&lt;=$E$9,INDEX('Capital Costs'!$H$15:$K$55,MATCH('Capital Cost Escalation'!$E80,'Capital Costs'!$B$15:$B$55,0),MATCH('Capital Cost Escalation'!$C80,'Capital Costs'!$H$7:$K$7,0))*AC$9*(1+$F80)^(AC$3), 0),0)</f>
        <v>9732227.0504717156</v>
      </c>
      <c r="AD80" s="490">
        <f>IFERROR(IF(AD$6&lt;=$E$9,INDEX('Capital Costs'!$H$15:$K$55,MATCH('Capital Cost Escalation'!$E80,'Capital Costs'!$B$15:$B$55,0),MATCH('Capital Cost Escalation'!$C80,'Capital Costs'!$H$7:$K$7,0))*AD$9*(1+$F80)^(AD$3), 0),0)</f>
        <v>9739846.5789159779</v>
      </c>
      <c r="AE80" s="490">
        <f>IFERROR(IF(AE$6&lt;=$E$9,INDEX('Capital Costs'!$H$15:$K$55,MATCH('Capital Cost Escalation'!$E80,'Capital Costs'!$B$15:$B$55,0),MATCH('Capital Cost Escalation'!$C80,'Capital Costs'!$H$7:$K$7,0))*AE$9*(1+$F80)^(AE$3), 0),0)</f>
        <v>9228631.0801906027</v>
      </c>
      <c r="AF80" s="490">
        <f>IFERROR(IF(AF$6&lt;=$E$9,INDEX('Capital Costs'!$H$15:$K$55,MATCH('Capital Cost Escalation'!$E80,'Capital Costs'!$B$15:$B$55,0),MATCH('Capital Cost Escalation'!$C80,'Capital Costs'!$H$7:$K$7,0))*AF$9*(1+$F80)^(AF$3), 0),0)</f>
        <v>9108894.8857354671</v>
      </c>
      <c r="AG80" s="490">
        <f>IFERROR(IF(AG$6&lt;=$E$9,INDEX('Capital Costs'!$H$15:$K$55,MATCH('Capital Cost Escalation'!$E80,'Capital Costs'!$B$15:$B$55,0),MATCH('Capital Cost Escalation'!$C80,'Capital Costs'!$H$7:$K$7,0))*AG$9*(1+$F80)^(AG$3), 0),0)</f>
        <v>7787955.107664383</v>
      </c>
      <c r="AH80" s="490">
        <f>IFERROR(IF(AH$6&lt;=$E$9,INDEX('Capital Costs'!$H$15:$K$55,MATCH('Capital Cost Escalation'!$E80,'Capital Costs'!$B$15:$B$55,0),MATCH('Capital Cost Escalation'!$C80,'Capital Costs'!$H$7:$K$7,0))*AH$9*(1+$F80)^(AH$3), 0),0)</f>
        <v>6587316.3251760993</v>
      </c>
      <c r="AI80" s="490">
        <f>IFERROR(IF(AI$6&lt;=$E$9,INDEX('Capital Costs'!$H$15:$K$55,MATCH('Capital Cost Escalation'!$E80,'Capital Costs'!$B$15:$B$55,0),MATCH('Capital Cost Escalation'!$C80,'Capital Costs'!$H$7:$K$7,0))*AI$9*(1+$F80)^(AI$3), 0),0)</f>
        <v>3777729.1166083533</v>
      </c>
      <c r="AJ80" s="490">
        <f>IFERROR(IF(AJ$6&lt;=$E$9,INDEX('Capital Costs'!$H$15:$K$55,MATCH('Capital Cost Escalation'!$E80,'Capital Costs'!$B$15:$B$55,0),MATCH('Capital Cost Escalation'!$C80,'Capital Costs'!$H$7:$K$7,0))*AJ$9*(1+$F80)^(AJ$3), 0),0)</f>
        <v>1129668.1210554391</v>
      </c>
      <c r="AK80" s="490">
        <f>IFERROR(IF(AK$6&lt;=$E$9,INDEX('Capital Costs'!$H$15:$K$55,MATCH('Capital Cost Escalation'!$E80,'Capital Costs'!$B$15:$B$55,0),MATCH('Capital Cost Escalation'!$C80,'Capital Costs'!$H$7:$K$7,0))*AK$9*(1+$F80)^(AK$3), 0),0)</f>
        <v>271131.58570403536</v>
      </c>
      <c r="AL80" s="490">
        <f>IFERROR(IF(AL$6&lt;=$E$9,INDEX('Capital Costs'!$H$15:$K$55,MATCH('Capital Cost Escalation'!$E80,'Capital Costs'!$B$15:$B$55,0),MATCH('Capital Cost Escalation'!$C80,'Capital Costs'!$H$7:$K$7,0))*AL$9*(1+$F80)^(AL$3), 0),0)</f>
        <v>191845.27477622801</v>
      </c>
      <c r="AM80" s="490">
        <f>IFERROR(IF(AM$6&lt;=$E$9,INDEX('Capital Costs'!$H$15:$K$55,MATCH('Capital Cost Escalation'!$E80,'Capital Costs'!$B$15:$B$55,0),MATCH('Capital Cost Escalation'!$C80,'Capital Costs'!$H$7:$K$7,0))*AM$9*(1+$F80)^(AM$3), 0),0)</f>
        <v>0</v>
      </c>
      <c r="AN80" s="490">
        <f>IFERROR(IF(AN$6&lt;=$E$9,INDEX('Capital Costs'!$H$15:$K$55,MATCH('Capital Cost Escalation'!$E80,'Capital Costs'!$B$15:$B$55,0),MATCH('Capital Cost Escalation'!$C80,'Capital Costs'!$H$7:$K$7,0))*AN$9*(1+$F80)^(AN$3), 0),0)</f>
        <v>0</v>
      </c>
      <c r="AO80" s="490">
        <f>IFERROR(IF(AO$6&lt;=$E$9,INDEX('Capital Costs'!$H$15:$K$55,MATCH('Capital Cost Escalation'!$E80,'Capital Costs'!$B$15:$B$55,0),MATCH('Capital Cost Escalation'!$C80,'Capital Costs'!$H$7:$K$7,0))*AO$9*(1+$F80)^(AO$3), 0),0)</f>
        <v>0</v>
      </c>
      <c r="AP80" s="490">
        <f>IFERROR(IF(AP$6&lt;=$E$9,INDEX('Capital Costs'!$H$15:$K$55,MATCH('Capital Cost Escalation'!$E80,'Capital Costs'!$B$15:$B$55,0),MATCH('Capital Cost Escalation'!$C80,'Capital Costs'!$H$7:$K$7,0))*AP$9*(1+$F80)^(AP$3), 0),0)</f>
        <v>0</v>
      </c>
      <c r="AQ80" s="490">
        <f>IFERROR(IF(AQ$6&lt;=$E$9,INDEX('Capital Costs'!$H$15:$K$55,MATCH('Capital Cost Escalation'!$E80,'Capital Costs'!$B$15:$B$55,0),MATCH('Capital Cost Escalation'!$C80,'Capital Costs'!$H$7:$K$7,0))*AQ$9*(1+$F80)^(AQ$3), 0),0)</f>
        <v>0</v>
      </c>
      <c r="AR80" s="490">
        <f>IFERROR(IF(AR$6&lt;=$E$9,INDEX('Capital Costs'!$H$15:$K$55,MATCH('Capital Cost Escalation'!$E80,'Capital Costs'!$B$15:$B$55,0),MATCH('Capital Cost Escalation'!$C80,'Capital Costs'!$H$7:$K$7,0))*AR$9*(1+$F80)^(AR$3), 0),0)</f>
        <v>0</v>
      </c>
      <c r="AS80" s="490">
        <f>IFERROR(IF(AS$6&lt;=$E$9,INDEX('Capital Costs'!$H$15:$K$55,MATCH('Capital Cost Escalation'!$E80,'Capital Costs'!$B$15:$B$55,0),MATCH('Capital Cost Escalation'!$C80,'Capital Costs'!$H$7:$K$7,0))*AS$9*(1+$F80)^(AS$3), 0),0)</f>
        <v>0</v>
      </c>
      <c r="AT80" s="490">
        <f>IFERROR(IF(AT$6&lt;=$E$9,INDEX('Capital Costs'!$H$15:$K$55,MATCH('Capital Cost Escalation'!$E80,'Capital Costs'!$B$15:$B$55,0),MATCH('Capital Cost Escalation'!$C80,'Capital Costs'!$H$7:$K$7,0))*AT$9*(1+$F80)^(AT$3), 0),0)</f>
        <v>0</v>
      </c>
      <c r="AU80" s="491"/>
      <c r="AV80" s="827">
        <f t="shared" ref="AV80:AV87" si="12">SUM(G80:AT80)</f>
        <v>155271490.66983736</v>
      </c>
      <c r="AW80" s="828">
        <f>INDEX('Capital Costs'!$H$15:$K$55,MATCH('Capital Cost Escalation'!$E80,'Capital Costs'!$B$15:$B$55,0),MATCH('Capital Cost Escalation'!$C80,'Capital Costs'!$H$7:$K$7,0))</f>
        <v>138500000</v>
      </c>
    </row>
    <row r="81" spans="1:49">
      <c r="A81" s="487" t="str">
        <f t="shared" si="10"/>
        <v>CC_WMAAC_HRSG / SCR</v>
      </c>
      <c r="B81" s="478" t="s">
        <v>77</v>
      </c>
      <c r="C81" s="488" t="s">
        <v>122</v>
      </c>
      <c r="E81" s="442" t="s">
        <v>130</v>
      </c>
      <c r="F81" s="1325">
        <f>INDEX('Capital Costs_Nominal$'!$F:$F,MATCH('Capital Cost Escalation'!$E81,'Capital Costs_Nominal$'!$C:$C,0),1)</f>
        <v>2.3944839450136257E-3</v>
      </c>
      <c r="G81" s="490">
        <f>IFERROR(IF(G$6&lt;=$E$9,INDEX('Capital Costs'!$H$15:$K$55,MATCH('Capital Cost Escalation'!$E81,'Capital Costs'!$B$15:$B$55,0),MATCH('Capital Cost Escalation'!$C81,'Capital Costs'!$H$7:$K$7,0))*G$9*(1+$F81)^(G$3), 0),0)</f>
        <v>7717.0954514148661</v>
      </c>
      <c r="H81" s="490">
        <f>IFERROR(IF(H$6&lt;=$E$9,INDEX('Capital Costs'!$H$15:$K$55,MATCH('Capital Cost Escalation'!$E81,'Capital Costs'!$B$15:$B$55,0),MATCH('Capital Cost Escalation'!$C81,'Capital Costs'!$H$7:$K$7,0))*H$9*(1+$F81)^(H$3), 0),0)</f>
        <v>38677.86956287708</v>
      </c>
      <c r="I81" s="490">
        <f>IFERROR(IF(I$6&lt;=$E$9,INDEX('Capital Costs'!$H$15:$K$55,MATCH('Capital Cost Escalation'!$E81,'Capital Costs'!$B$15:$B$55,0),MATCH('Capital Cost Escalation'!$C81,'Capital Costs'!$H$7:$K$7,0))*I$9*(1+$F81)^(I$3), 0),0)</f>
        <v>38770.483100572717</v>
      </c>
      <c r="J81" s="490">
        <f>IFERROR(IF(J$6&lt;=$E$9,INDEX('Capital Costs'!$H$15:$K$55,MATCH('Capital Cost Escalation'!$E81,'Capital Costs'!$B$15:$B$55,0),MATCH('Capital Cost Escalation'!$C81,'Capital Costs'!$H$7:$K$7,0))*J$9*(1+$F81)^(J$3), 0),0)</f>
        <v>1313580.1619165342</v>
      </c>
      <c r="K81" s="490">
        <f>IFERROR(IF(K$6&lt;=$E$9,INDEX('Capital Costs'!$H$15:$K$55,MATCH('Capital Cost Escalation'!$E81,'Capital Costs'!$B$15:$B$55,0),MATCH('Capital Cost Escalation'!$C81,'Capital Costs'!$H$7:$K$7,0))*K$9*(1+$F81)^(K$3), 0),0)</f>
        <v>1285560.4077312471</v>
      </c>
      <c r="L81" s="490">
        <f>IFERROR(IF(L$6&lt;=$E$9,INDEX('Capital Costs'!$H$15:$K$55,MATCH('Capital Cost Escalation'!$E81,'Capital Costs'!$B$15:$B$55,0),MATCH('Capital Cost Escalation'!$C81,'Capital Costs'!$H$7:$K$7,0))*L$9*(1+$F81)^(L$3), 0),0)</f>
        <v>187438.35076187705</v>
      </c>
      <c r="M81" s="490">
        <f>IFERROR(IF(M$6&lt;=$E$9,INDEX('Capital Costs'!$H$15:$K$55,MATCH('Capital Cost Escalation'!$E81,'Capital Costs'!$B$15:$B$55,0),MATCH('Capital Cost Escalation'!$C81,'Capital Costs'!$H$7:$K$7,0))*M$9*(1+$F81)^(M$3), 0),0)</f>
        <v>281830.75332518434</v>
      </c>
      <c r="N81" s="490">
        <f>IFERROR(IF(N$6&lt;=$E$9,INDEX('Capital Costs'!$H$15:$K$55,MATCH('Capital Cost Escalation'!$E81,'Capital Costs'!$B$15:$B$55,0),MATCH('Capital Cost Escalation'!$C81,'Capital Costs'!$H$7:$K$7,0))*N$9*(1+$F81)^(N$3), 0),0)</f>
        <v>1137869.7477274644</v>
      </c>
      <c r="O81" s="490">
        <f>IFERROR(IF(O$6&lt;=$E$9,INDEX('Capital Costs'!$H$15:$K$55,MATCH('Capital Cost Escalation'!$E81,'Capital Costs'!$B$15:$B$55,0),MATCH('Capital Cost Escalation'!$C81,'Capital Costs'!$H$7:$K$7,0))*O$9*(1+$F81)^(O$3), 0),0)</f>
        <v>1203523.7024910136</v>
      </c>
      <c r="P81" s="490">
        <f>IFERROR(IF(P$6&lt;=$E$9,INDEX('Capital Costs'!$H$15:$K$55,MATCH('Capital Cost Escalation'!$E81,'Capital Costs'!$B$15:$B$55,0),MATCH('Capital Cost Escalation'!$C81,'Capital Costs'!$H$7:$K$7,0))*P$9*(1+$F81)^(P$3), 0),0)</f>
        <v>1009280.4355966089</v>
      </c>
      <c r="Q81" s="490">
        <f>IFERROR(IF(Q$6&lt;=$E$9,INDEX('Capital Costs'!$H$15:$K$55,MATCH('Capital Cost Escalation'!$E81,'Capital Costs'!$B$15:$B$55,0),MATCH('Capital Cost Escalation'!$C81,'Capital Costs'!$H$7:$K$7,0))*Q$9*(1+$F81)^(Q$3), 0),0)</f>
        <v>1074928.2127328902</v>
      </c>
      <c r="R81" s="490">
        <f>IFERROR(IF(R$6&lt;=$E$9,INDEX('Capital Costs'!$H$15:$K$55,MATCH('Capital Cost Escalation'!$E81,'Capital Costs'!$B$15:$B$55,0),MATCH('Capital Cost Escalation'!$C81,'Capital Costs'!$H$7:$K$7,0))*R$9*(1+$F81)^(R$3), 0),0)</f>
        <v>1140884.5882026933</v>
      </c>
      <c r="S81" s="490">
        <f>IFERROR(IF(S$6&lt;=$E$9,INDEX('Capital Costs'!$H$15:$K$55,MATCH('Capital Cost Escalation'!$E81,'Capital Costs'!$B$15:$B$55,0),MATCH('Capital Cost Escalation'!$C81,'Capital Costs'!$H$7:$K$7,0))*S$9*(1+$F81)^(S$3), 0),0)</f>
        <v>2183989.6872143811</v>
      </c>
      <c r="T81" s="490">
        <f>IFERROR(IF(T$6&lt;=$E$9,INDEX('Capital Costs'!$H$15:$K$55,MATCH('Capital Cost Escalation'!$E81,'Capital Costs'!$B$15:$B$55,0),MATCH('Capital Cost Escalation'!$C81,'Capital Costs'!$H$7:$K$7,0))*T$9*(1+$F81)^(T$3), 0),0)</f>
        <v>3096750.0902275466</v>
      </c>
      <c r="U81" s="490">
        <f>IFERROR(IF(U$6&lt;=$E$9,INDEX('Capital Costs'!$H$15:$K$55,MATCH('Capital Cost Escalation'!$E81,'Capital Costs'!$B$15:$B$55,0),MATCH('Capital Cost Escalation'!$C81,'Capital Costs'!$H$7:$K$7,0))*U$9*(1+$F81)^(U$3), 0),0)</f>
        <v>3383460.2787828641</v>
      </c>
      <c r="V81" s="490">
        <f>IFERROR(IF(V$6&lt;=$E$9,INDEX('Capital Costs'!$H$15:$K$55,MATCH('Capital Cost Escalation'!$E81,'Capital Costs'!$B$15:$B$55,0),MATCH('Capital Cost Escalation'!$C81,'Capital Costs'!$H$7:$K$7,0))*V$9*(1+$F81)^(V$3), 0),0)</f>
        <v>3871499.9276601807</v>
      </c>
      <c r="W81" s="490">
        <f>IFERROR(IF(W$6&lt;=$E$9,INDEX('Capital Costs'!$H$15:$K$55,MATCH('Capital Cost Escalation'!$E81,'Capital Costs'!$B$15:$B$55,0),MATCH('Capital Cost Escalation'!$C81,'Capital Costs'!$H$7:$K$7,0))*W$9*(1+$F81)^(W$3), 0),0)</f>
        <v>4273658.0614022417</v>
      </c>
      <c r="X81" s="490">
        <f>IFERROR(IF(X$6&lt;=$E$9,INDEX('Capital Costs'!$H$15:$K$55,MATCH('Capital Cost Escalation'!$E81,'Capital Costs'!$B$15:$B$55,0),MATCH('Capital Cost Escalation'!$C81,'Capital Costs'!$H$7:$K$7,0))*X$9*(1+$F81)^(X$3), 0),0)</f>
        <v>5015287.3369952152</v>
      </c>
      <c r="Y81" s="490">
        <f>IFERROR(IF(Y$6&lt;=$E$9,INDEX('Capital Costs'!$H$15:$K$55,MATCH('Capital Cost Escalation'!$E81,'Capital Costs'!$B$15:$B$55,0),MATCH('Capital Cost Escalation'!$C81,'Capital Costs'!$H$7:$K$7,0))*Y$9*(1+$F81)^(Y$3), 0),0)</f>
        <v>5123975.1381956516</v>
      </c>
      <c r="Z81" s="490">
        <f>IFERROR(IF(Z$6&lt;=$E$9,INDEX('Capital Costs'!$H$15:$K$55,MATCH('Capital Cost Escalation'!$E81,'Capital Costs'!$B$15:$B$55,0),MATCH('Capital Cost Escalation'!$C81,'Capital Costs'!$H$7:$K$7,0))*Z$9*(1+$F81)^(Z$3), 0),0)</f>
        <v>5023182.4304339588</v>
      </c>
      <c r="AA81" s="490">
        <f>IFERROR(IF(AA$6&lt;=$E$9,INDEX('Capital Costs'!$H$15:$K$55,MATCH('Capital Cost Escalation'!$E81,'Capital Costs'!$B$15:$B$55,0),MATCH('Capital Cost Escalation'!$C81,'Capital Costs'!$H$7:$K$7,0))*AA$9*(1+$F81)^(AA$3), 0),0)</f>
        <v>5180923.8432066962</v>
      </c>
      <c r="AB81" s="490">
        <f>IFERROR(IF(AB$6&lt;=$E$9,INDEX('Capital Costs'!$H$15:$K$55,MATCH('Capital Cost Escalation'!$E81,'Capital Costs'!$B$15:$B$55,0),MATCH('Capital Cost Escalation'!$C81,'Capital Costs'!$H$7:$K$7,0))*AB$9*(1+$F81)^(AB$3), 0),0)</f>
        <v>4925548.4307452226</v>
      </c>
      <c r="AC81" s="490">
        <f>IFERROR(IF(AC$6&lt;=$E$9,INDEX('Capital Costs'!$H$15:$K$55,MATCH('Capital Cost Escalation'!$E81,'Capital Costs'!$B$15:$B$55,0),MATCH('Capital Cost Escalation'!$C81,'Capital Costs'!$H$7:$K$7,0))*AC$9*(1+$F81)^(AC$3), 0),0)</f>
        <v>5059352.6904979311</v>
      </c>
      <c r="AD81" s="490">
        <f>IFERROR(IF(AD$6&lt;=$E$9,INDEX('Capital Costs'!$H$15:$K$55,MATCH('Capital Cost Escalation'!$E81,'Capital Costs'!$B$15:$B$55,0),MATCH('Capital Cost Escalation'!$C81,'Capital Costs'!$H$7:$K$7,0))*AD$9*(1+$F81)^(AD$3), 0),0)</f>
        <v>5063313.7449960317</v>
      </c>
      <c r="AE81" s="490">
        <f>IFERROR(IF(AE$6&lt;=$E$9,INDEX('Capital Costs'!$H$15:$K$55,MATCH('Capital Cost Escalation'!$E81,'Capital Costs'!$B$15:$B$55,0),MATCH('Capital Cost Escalation'!$C81,'Capital Costs'!$H$7:$K$7,0))*AE$9*(1+$F81)^(AE$3), 0),0)</f>
        <v>4797555.507391504</v>
      </c>
      <c r="AF81" s="490">
        <f>IFERROR(IF(AF$6&lt;=$E$9,INDEX('Capital Costs'!$H$15:$K$55,MATCH('Capital Cost Escalation'!$E81,'Capital Costs'!$B$15:$B$55,0),MATCH('Capital Cost Escalation'!$C81,'Capital Costs'!$H$7:$K$7,0))*AF$9*(1+$F81)^(AF$3), 0),0)</f>
        <v>4735309.9767000265</v>
      </c>
      <c r="AG81" s="490">
        <f>IFERROR(IF(AG$6&lt;=$E$9,INDEX('Capital Costs'!$H$15:$K$55,MATCH('Capital Cost Escalation'!$E81,'Capital Costs'!$B$15:$B$55,0),MATCH('Capital Cost Escalation'!$C81,'Capital Costs'!$H$7:$K$7,0))*AG$9*(1+$F81)^(AG$3), 0),0)</f>
        <v>4048612.0415294985</v>
      </c>
      <c r="AH81" s="490">
        <f>IFERROR(IF(AH$6&lt;=$E$9,INDEX('Capital Costs'!$H$15:$K$55,MATCH('Capital Cost Escalation'!$E81,'Capital Costs'!$B$15:$B$55,0),MATCH('Capital Cost Escalation'!$C81,'Capital Costs'!$H$7:$K$7,0))*AH$9*(1+$F81)^(AH$3), 0),0)</f>
        <v>3424453.2520771059</v>
      </c>
      <c r="AI81" s="490">
        <f>IFERROR(IF(AI$6&lt;=$E$9,INDEX('Capital Costs'!$H$15:$K$55,MATCH('Capital Cost Escalation'!$E81,'Capital Costs'!$B$15:$B$55,0),MATCH('Capital Cost Escalation'!$C81,'Capital Costs'!$H$7:$K$7,0))*AI$9*(1+$F81)^(AI$3), 0),0)</f>
        <v>1963873.6201862921</v>
      </c>
      <c r="AJ81" s="490">
        <f>IFERROR(IF(AJ$6&lt;=$E$9,INDEX('Capital Costs'!$H$15:$K$55,MATCH('Capital Cost Escalation'!$E81,'Capital Costs'!$B$15:$B$55,0),MATCH('Capital Cost Escalation'!$C81,'Capital Costs'!$H$7:$K$7,0))*AJ$9*(1+$F81)^(AJ$3), 0),0)</f>
        <v>587264.29397827887</v>
      </c>
      <c r="AK81" s="490">
        <f>IFERROR(IF(AK$6&lt;=$E$9,INDEX('Capital Costs'!$H$15:$K$55,MATCH('Capital Cost Escalation'!$E81,'Capital Costs'!$B$15:$B$55,0),MATCH('Capital Cost Escalation'!$C81,'Capital Costs'!$H$7:$K$7,0))*AK$9*(1+$F81)^(AK$3), 0),0)</f>
        <v>140949.27199054544</v>
      </c>
      <c r="AL81" s="490">
        <f>IFERROR(IF(AL$6&lt;=$E$9,INDEX('Capital Costs'!$H$15:$K$55,MATCH('Capital Cost Escalation'!$E81,'Capital Costs'!$B$15:$B$55,0),MATCH('Capital Cost Escalation'!$C81,'Capital Costs'!$H$7:$K$7,0))*AL$9*(1+$F81)^(AL$3), 0),0)</f>
        <v>99731.83959486222</v>
      </c>
      <c r="AM81" s="490">
        <f>IFERROR(IF(AM$6&lt;=$E$9,INDEX('Capital Costs'!$H$15:$K$55,MATCH('Capital Cost Escalation'!$E81,'Capital Costs'!$B$15:$B$55,0),MATCH('Capital Cost Escalation'!$C81,'Capital Costs'!$H$7:$K$7,0))*AM$9*(1+$F81)^(AM$3), 0),0)</f>
        <v>0</v>
      </c>
      <c r="AN81" s="490">
        <f>IFERROR(IF(AN$6&lt;=$E$9,INDEX('Capital Costs'!$H$15:$K$55,MATCH('Capital Cost Escalation'!$E81,'Capital Costs'!$B$15:$B$55,0),MATCH('Capital Cost Escalation'!$C81,'Capital Costs'!$H$7:$K$7,0))*AN$9*(1+$F81)^(AN$3), 0),0)</f>
        <v>0</v>
      </c>
      <c r="AO81" s="490">
        <f>IFERROR(IF(AO$6&lt;=$E$9,INDEX('Capital Costs'!$H$15:$K$55,MATCH('Capital Cost Escalation'!$E81,'Capital Costs'!$B$15:$B$55,0),MATCH('Capital Cost Escalation'!$C81,'Capital Costs'!$H$7:$K$7,0))*AO$9*(1+$F81)^(AO$3), 0),0)</f>
        <v>0</v>
      </c>
      <c r="AP81" s="490">
        <f>IFERROR(IF(AP$6&lt;=$E$9,INDEX('Capital Costs'!$H$15:$K$55,MATCH('Capital Cost Escalation'!$E81,'Capital Costs'!$B$15:$B$55,0),MATCH('Capital Cost Escalation'!$C81,'Capital Costs'!$H$7:$K$7,0))*AP$9*(1+$F81)^(AP$3), 0),0)</f>
        <v>0</v>
      </c>
      <c r="AQ81" s="490">
        <f>IFERROR(IF(AQ$6&lt;=$E$9,INDEX('Capital Costs'!$H$15:$K$55,MATCH('Capital Cost Escalation'!$E81,'Capital Costs'!$B$15:$B$55,0),MATCH('Capital Cost Escalation'!$C81,'Capital Costs'!$H$7:$K$7,0))*AQ$9*(1+$F81)^(AQ$3), 0),0)</f>
        <v>0</v>
      </c>
      <c r="AR81" s="490">
        <f>IFERROR(IF(AR$6&lt;=$E$9,INDEX('Capital Costs'!$H$15:$K$55,MATCH('Capital Cost Escalation'!$E81,'Capital Costs'!$B$15:$B$55,0),MATCH('Capital Cost Escalation'!$C81,'Capital Costs'!$H$7:$K$7,0))*AR$9*(1+$F81)^(AR$3), 0),0)</f>
        <v>0</v>
      </c>
      <c r="AS81" s="490">
        <f>IFERROR(IF(AS$6&lt;=$E$9,INDEX('Capital Costs'!$H$15:$K$55,MATCH('Capital Cost Escalation'!$E81,'Capital Costs'!$B$15:$B$55,0),MATCH('Capital Cost Escalation'!$C81,'Capital Costs'!$H$7:$K$7,0))*AS$9*(1+$F81)^(AS$3), 0),0)</f>
        <v>0</v>
      </c>
      <c r="AT81" s="490">
        <f>IFERROR(IF(AT$6&lt;=$E$9,INDEX('Capital Costs'!$H$15:$K$55,MATCH('Capital Cost Escalation'!$E81,'Capital Costs'!$B$15:$B$55,0),MATCH('Capital Cost Escalation'!$C81,'Capital Costs'!$H$7:$K$7,0))*AT$9*(1+$F81)^(AT$3), 0),0)</f>
        <v>0</v>
      </c>
      <c r="AV81" s="827">
        <f t="shared" si="12"/>
        <v>80718753.272406399</v>
      </c>
      <c r="AW81" s="828">
        <f>INDEX('Capital Costs'!$H$15:$K$55,MATCH('Capital Cost Escalation'!$E81,'Capital Costs'!$B$15:$B$55,0),MATCH('Capital Cost Escalation'!$C81,'Capital Costs'!$H$7:$K$7,0))</f>
        <v>72000000</v>
      </c>
    </row>
    <row r="82" spans="1:49">
      <c r="A82" s="487" t="str">
        <f t="shared" si="10"/>
        <v>CC_WMAAC_Condenser</v>
      </c>
      <c r="B82" s="478" t="s">
        <v>77</v>
      </c>
      <c r="C82" s="488" t="s">
        <v>122</v>
      </c>
      <c r="E82" s="442" t="s">
        <v>134</v>
      </c>
      <c r="F82" s="1325">
        <f>INDEX('Capital Costs_Nominal$'!$F:$F,MATCH('Capital Cost Escalation'!$E82,'Capital Costs_Nominal$'!$C:$C,0),1)</f>
        <v>2.3944839450136257E-3</v>
      </c>
      <c r="G82" s="490">
        <f>IFERROR(IF(G$6&lt;=$E$9,INDEX('Capital Costs'!$H$15:$K$55,MATCH('Capital Cost Escalation'!$E82,'Capital Costs'!$B$15:$B$55,0),MATCH('Capital Cost Escalation'!$C82,'Capital Costs'!$H$7:$K$7,0))*G$9*(1+$F82)^(G$3), 0),0)</f>
        <v>5895.0034698308</v>
      </c>
      <c r="H82" s="490">
        <f>IFERROR(IF(H$6&lt;=$E$9,INDEX('Capital Costs'!$H$15:$K$55,MATCH('Capital Cost Escalation'!$E82,'Capital Costs'!$B$15:$B$55,0),MATCH('Capital Cost Escalation'!$C82,'Capital Costs'!$H$7:$K$7,0))*H$9*(1+$F82)^(H$3), 0),0)</f>
        <v>29545.594804975546</v>
      </c>
      <c r="I82" s="490">
        <f>IFERROR(IF(I$6&lt;=$E$9,INDEX('Capital Costs'!$H$15:$K$55,MATCH('Capital Cost Escalation'!$E82,'Capital Costs'!$B$15:$B$55,0),MATCH('Capital Cost Escalation'!$C82,'Capital Costs'!$H$7:$K$7,0))*I$9*(1+$F82)^(I$3), 0),0)</f>
        <v>29616.341257381937</v>
      </c>
      <c r="J82" s="490">
        <f>IFERROR(IF(J$6&lt;=$E$9,INDEX('Capital Costs'!$H$15:$K$55,MATCH('Capital Cost Escalation'!$E82,'Capital Costs'!$B$15:$B$55,0),MATCH('Capital Cost Escalation'!$C82,'Capital Costs'!$H$7:$K$7,0))*J$9*(1+$F82)^(J$3), 0),0)</f>
        <v>1003429.2903529081</v>
      </c>
      <c r="K82" s="490">
        <f>IFERROR(IF(K$6&lt;=$E$9,INDEX('Capital Costs'!$H$15:$K$55,MATCH('Capital Cost Escalation'!$E82,'Capital Costs'!$B$15:$B$55,0),MATCH('Capital Cost Escalation'!$C82,'Capital Costs'!$H$7:$K$7,0))*K$9*(1+$F82)^(K$3), 0),0)</f>
        <v>982025.31146136939</v>
      </c>
      <c r="L82" s="490">
        <f>IFERROR(IF(L$6&lt;=$E$9,INDEX('Capital Costs'!$H$15:$K$55,MATCH('Capital Cost Escalation'!$E82,'Capital Costs'!$B$15:$B$55,0),MATCH('Capital Cost Escalation'!$C82,'Capital Costs'!$H$7:$K$7,0))*L$9*(1+$F82)^(L$3), 0),0)</f>
        <v>143182.0734986561</v>
      </c>
      <c r="M82" s="490">
        <f>IFERROR(IF(M$6&lt;=$E$9,INDEX('Capital Costs'!$H$15:$K$55,MATCH('Capital Cost Escalation'!$E82,'Capital Costs'!$B$15:$B$55,0),MATCH('Capital Cost Escalation'!$C82,'Capital Costs'!$H$7:$K$7,0))*M$9*(1+$F82)^(M$3), 0),0)</f>
        <v>215287.3810122936</v>
      </c>
      <c r="N82" s="490">
        <f>IFERROR(IF(N$6&lt;=$E$9,INDEX('Capital Costs'!$H$15:$K$55,MATCH('Capital Cost Escalation'!$E82,'Capital Costs'!$B$15:$B$55,0),MATCH('Capital Cost Escalation'!$C82,'Capital Costs'!$H$7:$K$7,0))*N$9*(1+$F82)^(N$3), 0),0)</f>
        <v>869206.05729181319</v>
      </c>
      <c r="O82" s="490">
        <f>IFERROR(IF(O$6&lt;=$E$9,INDEX('Capital Costs'!$H$15:$K$55,MATCH('Capital Cost Escalation'!$E82,'Capital Costs'!$B$15:$B$55,0),MATCH('Capital Cost Escalation'!$C82,'Capital Costs'!$H$7:$K$7,0))*O$9*(1+$F82)^(O$3), 0),0)</f>
        <v>919358.38384730218</v>
      </c>
      <c r="P82" s="490">
        <f>IFERROR(IF(P$6&lt;=$E$9,INDEX('Capital Costs'!$H$15:$K$55,MATCH('Capital Cost Escalation'!$E82,'Capital Costs'!$B$15:$B$55,0),MATCH('Capital Cost Escalation'!$C82,'Capital Costs'!$H$7:$K$7,0))*P$9*(1+$F82)^(P$3), 0),0)</f>
        <v>770978.11052518734</v>
      </c>
      <c r="Q82" s="490">
        <f>IFERROR(IF(Q$6&lt;=$E$9,INDEX('Capital Costs'!$H$15:$K$55,MATCH('Capital Cost Escalation'!$E82,'Capital Costs'!$B$15:$B$55,0),MATCH('Capital Cost Escalation'!$C82,'Capital Costs'!$H$7:$K$7,0))*Q$9*(1+$F82)^(Q$3), 0),0)</f>
        <v>821125.71805984655</v>
      </c>
      <c r="R82" s="490">
        <f>IFERROR(IF(R$6&lt;=$E$9,INDEX('Capital Costs'!$H$15:$K$55,MATCH('Capital Cost Escalation'!$E82,'Capital Costs'!$B$15:$B$55,0),MATCH('Capital Cost Escalation'!$C82,'Capital Costs'!$H$7:$K$7,0))*R$9*(1+$F82)^(R$3), 0),0)</f>
        <v>871509.0604326129</v>
      </c>
      <c r="S82" s="490">
        <f>IFERROR(IF(S$6&lt;=$E$9,INDEX('Capital Costs'!$H$15:$K$55,MATCH('Capital Cost Escalation'!$E82,'Capital Costs'!$B$15:$B$55,0),MATCH('Capital Cost Escalation'!$C82,'Capital Costs'!$H$7:$K$7,0))*S$9*(1+$F82)^(S$3), 0),0)</f>
        <v>1668325.4555109856</v>
      </c>
      <c r="T82" s="490">
        <f>IFERROR(IF(T$6&lt;=$E$9,INDEX('Capital Costs'!$H$15:$K$55,MATCH('Capital Cost Escalation'!$E82,'Capital Costs'!$B$15:$B$55,0),MATCH('Capital Cost Escalation'!$C82,'Capital Costs'!$H$7:$K$7,0))*T$9*(1+$F82)^(T$3), 0),0)</f>
        <v>2365572.9855904868</v>
      </c>
      <c r="U82" s="490">
        <f>IFERROR(IF(U$6&lt;=$E$9,INDEX('Capital Costs'!$H$15:$K$55,MATCH('Capital Cost Escalation'!$E82,'Capital Costs'!$B$15:$B$55,0),MATCH('Capital Cost Escalation'!$C82,'Capital Costs'!$H$7:$K$7,0))*U$9*(1+$F82)^(U$3), 0),0)</f>
        <v>2584587.7129591322</v>
      </c>
      <c r="V82" s="490">
        <f>IFERROR(IF(V$6&lt;=$E$9,INDEX('Capital Costs'!$H$15:$K$55,MATCH('Capital Cost Escalation'!$E82,'Capital Costs'!$B$15:$B$55,0),MATCH('Capital Cost Escalation'!$C82,'Capital Costs'!$H$7:$K$7,0))*V$9*(1+$F82)^(V$3), 0),0)</f>
        <v>2957395.778073749</v>
      </c>
      <c r="W82" s="490">
        <f>IFERROR(IF(W$6&lt;=$E$9,INDEX('Capital Costs'!$H$15:$K$55,MATCH('Capital Cost Escalation'!$E82,'Capital Costs'!$B$15:$B$55,0),MATCH('Capital Cost Escalation'!$C82,'Capital Costs'!$H$7:$K$7,0))*W$9*(1+$F82)^(W$3), 0),0)</f>
        <v>3264599.9080156009</v>
      </c>
      <c r="X82" s="490">
        <f>IFERROR(IF(X$6&lt;=$E$9,INDEX('Capital Costs'!$H$15:$K$55,MATCH('Capital Cost Escalation'!$E82,'Capital Costs'!$B$15:$B$55,0),MATCH('Capital Cost Escalation'!$C82,'Capital Costs'!$H$7:$K$7,0))*X$9*(1+$F82)^(X$3), 0),0)</f>
        <v>3831122.2713157898</v>
      </c>
      <c r="Y82" s="490">
        <f>IFERROR(IF(Y$6&lt;=$E$9,INDEX('Capital Costs'!$H$15:$K$55,MATCH('Capital Cost Escalation'!$E82,'Capital Costs'!$B$15:$B$55,0),MATCH('Capital Cost Escalation'!$C82,'Capital Costs'!$H$7:$K$7,0))*Y$9*(1+$F82)^(Y$3), 0),0)</f>
        <v>3914147.6750105675</v>
      </c>
      <c r="Z82" s="490">
        <f>IFERROR(IF(Z$6&lt;=$E$9,INDEX('Capital Costs'!$H$15:$K$55,MATCH('Capital Cost Escalation'!$E82,'Capital Costs'!$B$15:$B$55,0),MATCH('Capital Cost Escalation'!$C82,'Capital Costs'!$H$7:$K$7,0))*Z$9*(1+$F82)^(Z$3), 0),0)</f>
        <v>3837153.2454703855</v>
      </c>
      <c r="AA82" s="490">
        <f>IFERROR(IF(AA$6&lt;=$E$9,INDEX('Capital Costs'!$H$15:$K$55,MATCH('Capital Cost Escalation'!$E82,'Capital Costs'!$B$15:$B$55,0),MATCH('Capital Cost Escalation'!$C82,'Capital Costs'!$H$7:$K$7,0))*AA$9*(1+$F82)^(AA$3), 0),0)</f>
        <v>3957650.1580051151</v>
      </c>
      <c r="AB82" s="490">
        <f>IFERROR(IF(AB$6&lt;=$E$9,INDEX('Capital Costs'!$H$15:$K$55,MATCH('Capital Cost Escalation'!$E82,'Capital Costs'!$B$15:$B$55,0),MATCH('Capital Cost Escalation'!$C82,'Capital Costs'!$H$7:$K$7,0))*AB$9*(1+$F82)^(AB$3), 0),0)</f>
        <v>3762571.7179303789</v>
      </c>
      <c r="AC82" s="490">
        <f>IFERROR(IF(AC$6&lt;=$E$9,INDEX('Capital Costs'!$H$15:$K$55,MATCH('Capital Cost Escalation'!$E82,'Capital Costs'!$B$15:$B$55,0),MATCH('Capital Cost Escalation'!$C82,'Capital Costs'!$H$7:$K$7,0))*AC$9*(1+$F82)^(AC$3), 0),0)</f>
        <v>3864783.3052414753</v>
      </c>
      <c r="AD82" s="490">
        <f>IFERROR(IF(AD$6&lt;=$E$9,INDEX('Capital Costs'!$H$15:$K$55,MATCH('Capital Cost Escalation'!$E82,'Capital Costs'!$B$15:$B$55,0),MATCH('Capital Cost Escalation'!$C82,'Capital Costs'!$H$7:$K$7,0))*AD$9*(1+$F82)^(AD$3), 0),0)</f>
        <v>3867809.1107608578</v>
      </c>
      <c r="AE82" s="490">
        <f>IFERROR(IF(AE$6&lt;=$E$9,INDEX('Capital Costs'!$H$15:$K$55,MATCH('Capital Cost Escalation'!$E82,'Capital Costs'!$B$15:$B$55,0),MATCH('Capital Cost Escalation'!$C82,'Capital Costs'!$H$7:$K$7,0))*AE$9*(1+$F82)^(AE$3), 0),0)</f>
        <v>3664799.3459240659</v>
      </c>
      <c r="AF82" s="490">
        <f>IFERROR(IF(AF$6&lt;=$E$9,INDEX('Capital Costs'!$H$15:$K$55,MATCH('Capital Cost Escalation'!$E82,'Capital Costs'!$B$15:$B$55,0),MATCH('Capital Cost Escalation'!$C82,'Capital Costs'!$H$7:$K$7,0))*AF$9*(1+$F82)^(AF$3), 0),0)</f>
        <v>3617250.6766458531</v>
      </c>
      <c r="AG82" s="490">
        <f>IFERROR(IF(AG$6&lt;=$E$9,INDEX('Capital Costs'!$H$15:$K$55,MATCH('Capital Cost Escalation'!$E82,'Capital Costs'!$B$15:$B$55,0),MATCH('Capital Cost Escalation'!$C82,'Capital Costs'!$H$7:$K$7,0))*AG$9*(1+$F82)^(AG$3), 0),0)</f>
        <v>3092689.7539461451</v>
      </c>
      <c r="AH82" s="490">
        <f>IFERROR(IF(AH$6&lt;=$E$9,INDEX('Capital Costs'!$H$15:$K$55,MATCH('Capital Cost Escalation'!$E82,'Capital Costs'!$B$15:$B$55,0),MATCH('Capital Cost Escalation'!$C82,'Capital Costs'!$H$7:$K$7,0))*AH$9*(1+$F82)^(AH$3), 0),0)</f>
        <v>2615901.7897811225</v>
      </c>
      <c r="AI82" s="490">
        <f>IFERROR(IF(AI$6&lt;=$E$9,INDEX('Capital Costs'!$H$15:$K$55,MATCH('Capital Cost Escalation'!$E82,'Capital Costs'!$B$15:$B$55,0),MATCH('Capital Cost Escalation'!$C82,'Capital Costs'!$H$7:$K$7,0))*AI$9*(1+$F82)^(AI$3), 0),0)</f>
        <v>1500181.2376423066</v>
      </c>
      <c r="AJ82" s="490">
        <f>IFERROR(IF(AJ$6&lt;=$E$9,INDEX('Capital Costs'!$H$15:$K$55,MATCH('Capital Cost Escalation'!$E82,'Capital Costs'!$B$15:$B$55,0),MATCH('Capital Cost Escalation'!$C82,'Capital Costs'!$H$7:$K$7,0))*AJ$9*(1+$F82)^(AJ$3), 0),0)</f>
        <v>448604.66901118529</v>
      </c>
      <c r="AK82" s="490">
        <f>IFERROR(IF(AK$6&lt;=$E$9,INDEX('Capital Costs'!$H$15:$K$55,MATCH('Capital Cost Escalation'!$E82,'Capital Costs'!$B$15:$B$55,0),MATCH('Capital Cost Escalation'!$C82,'Capital Costs'!$H$7:$K$7,0))*AK$9*(1+$F82)^(AK$3), 0),0)</f>
        <v>107669.58277055553</v>
      </c>
      <c r="AL82" s="490">
        <f>IFERROR(IF(AL$6&lt;=$E$9,INDEX('Capital Costs'!$H$15:$K$55,MATCH('Capital Cost Escalation'!$E82,'Capital Costs'!$B$15:$B$55,0),MATCH('Capital Cost Escalation'!$C82,'Capital Costs'!$H$7:$K$7,0))*AL$9*(1+$F82)^(AL$3), 0),0)</f>
        <v>76184.044134964206</v>
      </c>
      <c r="AM82" s="490">
        <f>IFERROR(IF(AM$6&lt;=$E$9,INDEX('Capital Costs'!$H$15:$K$55,MATCH('Capital Cost Escalation'!$E82,'Capital Costs'!$B$15:$B$55,0),MATCH('Capital Cost Escalation'!$C82,'Capital Costs'!$H$7:$K$7,0))*AM$9*(1+$F82)^(AM$3), 0),0)</f>
        <v>0</v>
      </c>
      <c r="AN82" s="490">
        <f>IFERROR(IF(AN$6&lt;=$E$9,INDEX('Capital Costs'!$H$15:$K$55,MATCH('Capital Cost Escalation'!$E82,'Capital Costs'!$B$15:$B$55,0),MATCH('Capital Cost Escalation'!$C82,'Capital Costs'!$H$7:$K$7,0))*AN$9*(1+$F82)^(AN$3), 0),0)</f>
        <v>0</v>
      </c>
      <c r="AO82" s="490">
        <f>IFERROR(IF(AO$6&lt;=$E$9,INDEX('Capital Costs'!$H$15:$K$55,MATCH('Capital Cost Escalation'!$E82,'Capital Costs'!$B$15:$B$55,0),MATCH('Capital Cost Escalation'!$C82,'Capital Costs'!$H$7:$K$7,0))*AO$9*(1+$F82)^(AO$3), 0),0)</f>
        <v>0</v>
      </c>
      <c r="AP82" s="490">
        <f>IFERROR(IF(AP$6&lt;=$E$9,INDEX('Capital Costs'!$H$15:$K$55,MATCH('Capital Cost Escalation'!$E82,'Capital Costs'!$B$15:$B$55,0),MATCH('Capital Cost Escalation'!$C82,'Capital Costs'!$H$7:$K$7,0))*AP$9*(1+$F82)^(AP$3), 0),0)</f>
        <v>0</v>
      </c>
      <c r="AQ82" s="490">
        <f>IFERROR(IF(AQ$6&lt;=$E$9,INDEX('Capital Costs'!$H$15:$K$55,MATCH('Capital Cost Escalation'!$E82,'Capital Costs'!$B$15:$B$55,0),MATCH('Capital Cost Escalation'!$C82,'Capital Costs'!$H$7:$K$7,0))*AQ$9*(1+$F82)^(AQ$3), 0),0)</f>
        <v>0</v>
      </c>
      <c r="AR82" s="490">
        <f>IFERROR(IF(AR$6&lt;=$E$9,INDEX('Capital Costs'!$H$15:$K$55,MATCH('Capital Cost Escalation'!$E82,'Capital Costs'!$B$15:$B$55,0),MATCH('Capital Cost Escalation'!$C82,'Capital Costs'!$H$7:$K$7,0))*AR$9*(1+$F82)^(AR$3), 0),0)</f>
        <v>0</v>
      </c>
      <c r="AS82" s="490">
        <f>IFERROR(IF(AS$6&lt;=$E$9,INDEX('Capital Costs'!$H$15:$K$55,MATCH('Capital Cost Escalation'!$E82,'Capital Costs'!$B$15:$B$55,0),MATCH('Capital Cost Escalation'!$C82,'Capital Costs'!$H$7:$K$7,0))*AS$9*(1+$F82)^(AS$3), 0),0)</f>
        <v>0</v>
      </c>
      <c r="AT82" s="490">
        <f>IFERROR(IF(AT$6&lt;=$E$9,INDEX('Capital Costs'!$H$15:$K$55,MATCH('Capital Cost Escalation'!$E82,'Capital Costs'!$B$15:$B$55,0),MATCH('Capital Cost Escalation'!$C82,'Capital Costs'!$H$7:$K$7,0))*AT$9*(1+$F82)^(AT$3), 0),0)</f>
        <v>0</v>
      </c>
      <c r="AV82" s="827">
        <f t="shared" si="12"/>
        <v>61660158.749754898</v>
      </c>
      <c r="AW82" s="828">
        <f>INDEX('Capital Costs'!$H$15:$K$55,MATCH('Capital Cost Escalation'!$E82,'Capital Costs'!$B$15:$B$55,0),MATCH('Capital Cost Escalation'!$C82,'Capital Costs'!$H$7:$K$7,0))</f>
        <v>55000000</v>
      </c>
    </row>
    <row r="83" spans="1:49">
      <c r="A83" s="487" t="str">
        <f t="shared" si="10"/>
        <v>CC_WMAAC_Steam Turbines</v>
      </c>
      <c r="B83" s="478" t="s">
        <v>77</v>
      </c>
      <c r="C83" s="488" t="s">
        <v>122</v>
      </c>
      <c r="E83" s="442" t="s">
        <v>135</v>
      </c>
      <c r="F83" s="1325">
        <f>INDEX('Capital Costs_Nominal$'!$F:$F,MATCH('Capital Cost Escalation'!$E83,'Capital Costs_Nominal$'!$C:$C,0),1)</f>
        <v>2.3944839450136257E-3</v>
      </c>
      <c r="G83" s="490">
        <f>IFERROR(IF(G$6&lt;=$E$9,INDEX('Capital Costs'!$H$15:$K$55,MATCH('Capital Cost Escalation'!$E83,'Capital Costs'!$B$15:$B$55,0),MATCH('Capital Cost Escalation'!$C83,'Capital Costs'!$H$7:$K$7,0))*G$9*(1+$F83)^(G$3), 0),0)</f>
        <v>8102.9502239856092</v>
      </c>
      <c r="H83" s="490">
        <f>IFERROR(IF(H$6&lt;=$E$9,INDEX('Capital Costs'!$H$15:$K$55,MATCH('Capital Cost Escalation'!$E83,'Capital Costs'!$B$15:$B$55,0),MATCH('Capital Cost Escalation'!$C83,'Capital Costs'!$H$7:$K$7,0))*H$9*(1+$F83)^(H$3), 0),0)</f>
        <v>40611.763041020931</v>
      </c>
      <c r="I83" s="490">
        <f>IFERROR(IF(I$6&lt;=$E$9,INDEX('Capital Costs'!$H$15:$K$55,MATCH('Capital Cost Escalation'!$E83,'Capital Costs'!$B$15:$B$55,0),MATCH('Capital Cost Escalation'!$C83,'Capital Costs'!$H$7:$K$7,0))*I$9*(1+$F83)^(I$3), 0),0)</f>
        <v>40709.007255601347</v>
      </c>
      <c r="J83" s="490">
        <f>IFERROR(IF(J$6&lt;=$E$9,INDEX('Capital Costs'!$H$15:$K$55,MATCH('Capital Cost Escalation'!$E83,'Capital Costs'!$B$15:$B$55,0),MATCH('Capital Cost Escalation'!$C83,'Capital Costs'!$H$7:$K$7,0))*J$9*(1+$F83)^(J$3), 0),0)</f>
        <v>1379259.1700123609</v>
      </c>
      <c r="K83" s="490">
        <f>IFERROR(IF(K$6&lt;=$E$9,INDEX('Capital Costs'!$H$15:$K$55,MATCH('Capital Cost Escalation'!$E83,'Capital Costs'!$B$15:$B$55,0),MATCH('Capital Cost Escalation'!$C83,'Capital Costs'!$H$7:$K$7,0))*K$9*(1+$F83)^(K$3), 0),0)</f>
        <v>1349838.4281178096</v>
      </c>
      <c r="L83" s="490">
        <f>IFERROR(IF(L$6&lt;=$E$9,INDEX('Capital Costs'!$H$15:$K$55,MATCH('Capital Cost Escalation'!$E83,'Capital Costs'!$B$15:$B$55,0),MATCH('Capital Cost Escalation'!$C83,'Capital Costs'!$H$7:$K$7,0))*L$9*(1+$F83)^(L$3), 0),0)</f>
        <v>196810.26829997089</v>
      </c>
      <c r="M83" s="490">
        <f>IFERROR(IF(M$6&lt;=$E$9,INDEX('Capital Costs'!$H$15:$K$55,MATCH('Capital Cost Escalation'!$E83,'Capital Costs'!$B$15:$B$55,0),MATCH('Capital Cost Escalation'!$C83,'Capital Costs'!$H$7:$K$7,0))*M$9*(1+$F83)^(M$3), 0),0)</f>
        <v>295922.29099144356</v>
      </c>
      <c r="N83" s="490">
        <f>IFERROR(IF(N$6&lt;=$E$9,INDEX('Capital Costs'!$H$15:$K$55,MATCH('Capital Cost Escalation'!$E83,'Capital Costs'!$B$15:$B$55,0),MATCH('Capital Cost Escalation'!$C83,'Capital Costs'!$H$7:$K$7,0))*N$9*(1+$F83)^(N$3), 0),0)</f>
        <v>1194763.2351138378</v>
      </c>
      <c r="O83" s="490">
        <f>IFERROR(IF(O$6&lt;=$E$9,INDEX('Capital Costs'!$H$15:$K$55,MATCH('Capital Cost Escalation'!$E83,'Capital Costs'!$B$15:$B$55,0),MATCH('Capital Cost Escalation'!$C83,'Capital Costs'!$H$7:$K$7,0))*O$9*(1+$F83)^(O$3), 0),0)</f>
        <v>1263699.8876155643</v>
      </c>
      <c r="P83" s="490">
        <f>IFERROR(IF(P$6&lt;=$E$9,INDEX('Capital Costs'!$H$15:$K$55,MATCH('Capital Cost Escalation'!$E83,'Capital Costs'!$B$15:$B$55,0),MATCH('Capital Cost Escalation'!$C83,'Capital Costs'!$H$7:$K$7,0))*P$9*(1+$F83)^(P$3), 0),0)</f>
        <v>1059744.4573764394</v>
      </c>
      <c r="Q83" s="490">
        <f>IFERROR(IF(Q$6&lt;=$E$9,INDEX('Capital Costs'!$H$15:$K$55,MATCH('Capital Cost Escalation'!$E83,'Capital Costs'!$B$15:$B$55,0),MATCH('Capital Cost Escalation'!$C83,'Capital Costs'!$H$7:$K$7,0))*Q$9*(1+$F83)^(Q$3), 0),0)</f>
        <v>1128674.6233695347</v>
      </c>
      <c r="R83" s="490">
        <f>IFERROR(IF(R$6&lt;=$E$9,INDEX('Capital Costs'!$H$15:$K$55,MATCH('Capital Cost Escalation'!$E83,'Capital Costs'!$B$15:$B$55,0),MATCH('Capital Cost Escalation'!$C83,'Capital Costs'!$H$7:$K$7,0))*R$9*(1+$F83)^(R$3), 0),0)</f>
        <v>1197928.817612828</v>
      </c>
      <c r="S83" s="490">
        <f>IFERROR(IF(S$6&lt;=$E$9,INDEX('Capital Costs'!$H$15:$K$55,MATCH('Capital Cost Escalation'!$E83,'Capital Costs'!$B$15:$B$55,0),MATCH('Capital Cost Escalation'!$C83,'Capital Costs'!$H$7:$K$7,0))*S$9*(1+$F83)^(S$3), 0),0)</f>
        <v>2293189.1715751002</v>
      </c>
      <c r="T83" s="490">
        <f>IFERROR(IF(T$6&lt;=$E$9,INDEX('Capital Costs'!$H$15:$K$55,MATCH('Capital Cost Escalation'!$E83,'Capital Costs'!$B$15:$B$55,0),MATCH('Capital Cost Escalation'!$C83,'Capital Costs'!$H$7:$K$7,0))*T$9*(1+$F83)^(T$3), 0),0)</f>
        <v>3251587.5947389239</v>
      </c>
      <c r="U83" s="490">
        <f>IFERROR(IF(U$6&lt;=$E$9,INDEX('Capital Costs'!$H$15:$K$55,MATCH('Capital Cost Escalation'!$E83,'Capital Costs'!$B$15:$B$55,0),MATCH('Capital Cost Escalation'!$C83,'Capital Costs'!$H$7:$K$7,0))*U$9*(1+$F83)^(U$3), 0),0)</f>
        <v>3552633.2927220073</v>
      </c>
      <c r="V83" s="490">
        <f>IFERROR(IF(V$6&lt;=$E$9,INDEX('Capital Costs'!$H$15:$K$55,MATCH('Capital Cost Escalation'!$E83,'Capital Costs'!$B$15:$B$55,0),MATCH('Capital Cost Escalation'!$C83,'Capital Costs'!$H$7:$K$7,0))*V$9*(1+$F83)^(V$3), 0),0)</f>
        <v>4065074.9240431897</v>
      </c>
      <c r="W83" s="490">
        <f>IFERROR(IF(W$6&lt;=$E$9,INDEX('Capital Costs'!$H$15:$K$55,MATCH('Capital Cost Escalation'!$E83,'Capital Costs'!$B$15:$B$55,0),MATCH('Capital Cost Escalation'!$C83,'Capital Costs'!$H$7:$K$7,0))*W$9*(1+$F83)^(W$3), 0),0)</f>
        <v>4487340.9644723535</v>
      </c>
      <c r="X83" s="490">
        <f>IFERROR(IF(X$6&lt;=$E$9,INDEX('Capital Costs'!$H$15:$K$55,MATCH('Capital Cost Escalation'!$E83,'Capital Costs'!$B$15:$B$55,0),MATCH('Capital Cost Escalation'!$C83,'Capital Costs'!$H$7:$K$7,0))*X$9*(1+$F83)^(X$3), 0),0)</f>
        <v>5266051.7038449766</v>
      </c>
      <c r="Y83" s="490">
        <f>IFERROR(IF(Y$6&lt;=$E$9,INDEX('Capital Costs'!$H$15:$K$55,MATCH('Capital Cost Escalation'!$E83,'Capital Costs'!$B$15:$B$55,0),MATCH('Capital Cost Escalation'!$C83,'Capital Costs'!$H$7:$K$7,0))*Y$9*(1+$F83)^(Y$3), 0),0)</f>
        <v>5380173.8951054346</v>
      </c>
      <c r="Z83" s="490">
        <f>IFERROR(IF(Z$6&lt;=$E$9,INDEX('Capital Costs'!$H$15:$K$55,MATCH('Capital Cost Escalation'!$E83,'Capital Costs'!$B$15:$B$55,0),MATCH('Capital Cost Escalation'!$C83,'Capital Costs'!$H$7:$K$7,0))*Z$9*(1+$F83)^(Z$3), 0),0)</f>
        <v>5274341.5519556571</v>
      </c>
      <c r="AA83" s="490">
        <f>IFERROR(IF(AA$6&lt;=$E$9,INDEX('Capital Costs'!$H$15:$K$55,MATCH('Capital Cost Escalation'!$E83,'Capital Costs'!$B$15:$B$55,0),MATCH('Capital Cost Escalation'!$C83,'Capital Costs'!$H$7:$K$7,0))*AA$9*(1+$F83)^(AA$3), 0),0)</f>
        <v>5439970.0353670307</v>
      </c>
      <c r="AB83" s="490">
        <f>IFERROR(IF(AB$6&lt;=$E$9,INDEX('Capital Costs'!$H$15:$K$55,MATCH('Capital Cost Escalation'!$E83,'Capital Costs'!$B$15:$B$55,0),MATCH('Capital Cost Escalation'!$C83,'Capital Costs'!$H$7:$K$7,0))*AB$9*(1+$F83)^(AB$3), 0),0)</f>
        <v>5171825.8522824841</v>
      </c>
      <c r="AC83" s="490">
        <f>IFERROR(IF(AC$6&lt;=$E$9,INDEX('Capital Costs'!$H$15:$K$55,MATCH('Capital Cost Escalation'!$E83,'Capital Costs'!$B$15:$B$55,0),MATCH('Capital Cost Escalation'!$C83,'Capital Costs'!$H$7:$K$7,0))*AC$9*(1+$F83)^(AC$3), 0),0)</f>
        <v>5312320.3250228278</v>
      </c>
      <c r="AD83" s="490">
        <f>IFERROR(IF(AD$6&lt;=$E$9,INDEX('Capital Costs'!$H$15:$K$55,MATCH('Capital Cost Escalation'!$E83,'Capital Costs'!$B$15:$B$55,0),MATCH('Capital Cost Escalation'!$C83,'Capital Costs'!$H$7:$K$7,0))*AD$9*(1+$F83)^(AD$3), 0),0)</f>
        <v>5316479.4322458338</v>
      </c>
      <c r="AE83" s="490">
        <f>IFERROR(IF(AE$6&lt;=$E$9,INDEX('Capital Costs'!$H$15:$K$55,MATCH('Capital Cost Escalation'!$E83,'Capital Costs'!$B$15:$B$55,0),MATCH('Capital Cost Escalation'!$C83,'Capital Costs'!$H$7:$K$7,0))*AE$9*(1+$F83)^(AE$3), 0),0)</f>
        <v>5037433.2827610793</v>
      </c>
      <c r="AF83" s="490">
        <f>IFERROR(IF(AF$6&lt;=$E$9,INDEX('Capital Costs'!$H$15:$K$55,MATCH('Capital Cost Escalation'!$E83,'Capital Costs'!$B$15:$B$55,0),MATCH('Capital Cost Escalation'!$C83,'Capital Costs'!$H$7:$K$7,0))*AF$9*(1+$F83)^(AF$3), 0),0)</f>
        <v>4972075.4755350268</v>
      </c>
      <c r="AG83" s="490">
        <f>IFERROR(IF(AG$6&lt;=$E$9,INDEX('Capital Costs'!$H$15:$K$55,MATCH('Capital Cost Escalation'!$E83,'Capital Costs'!$B$15:$B$55,0),MATCH('Capital Cost Escalation'!$C83,'Capital Costs'!$H$7:$K$7,0))*AG$9*(1+$F83)^(AG$3), 0),0)</f>
        <v>4251042.6436059736</v>
      </c>
      <c r="AH83" s="490">
        <f>IFERROR(IF(AH$6&lt;=$E$9,INDEX('Capital Costs'!$H$15:$K$55,MATCH('Capital Cost Escalation'!$E83,'Capital Costs'!$B$15:$B$55,0),MATCH('Capital Cost Escalation'!$C83,'Capital Costs'!$H$7:$K$7,0))*AH$9*(1+$F83)^(AH$3), 0),0)</f>
        <v>3595675.9146809611</v>
      </c>
      <c r="AI83" s="490">
        <f>IFERROR(IF(AI$6&lt;=$E$9,INDEX('Capital Costs'!$H$15:$K$55,MATCH('Capital Cost Escalation'!$E83,'Capital Costs'!$B$15:$B$55,0),MATCH('Capital Cost Escalation'!$C83,'Capital Costs'!$H$7:$K$7,0))*AI$9*(1+$F83)^(AI$3), 0),0)</f>
        <v>2062067.3011956066</v>
      </c>
      <c r="AJ83" s="490">
        <f>IFERROR(IF(AJ$6&lt;=$E$9,INDEX('Capital Costs'!$H$15:$K$55,MATCH('Capital Cost Escalation'!$E83,'Capital Costs'!$B$15:$B$55,0),MATCH('Capital Cost Escalation'!$C83,'Capital Costs'!$H$7:$K$7,0))*AJ$9*(1+$F83)^(AJ$3), 0),0)</f>
        <v>616627.50867719285</v>
      </c>
      <c r="AK83" s="490">
        <f>IFERROR(IF(AK$6&lt;=$E$9,INDEX('Capital Costs'!$H$15:$K$55,MATCH('Capital Cost Escalation'!$E83,'Capital Costs'!$B$15:$B$55,0),MATCH('Capital Cost Escalation'!$C83,'Capital Costs'!$H$7:$K$7,0))*AK$9*(1+$F83)^(AK$3), 0),0)</f>
        <v>147996.73559007273</v>
      </c>
      <c r="AL83" s="490">
        <f>IFERROR(IF(AL$6&lt;=$E$9,INDEX('Capital Costs'!$H$15:$K$55,MATCH('Capital Cost Escalation'!$E83,'Capital Costs'!$B$15:$B$55,0),MATCH('Capital Cost Escalation'!$C83,'Capital Costs'!$H$7:$K$7,0))*AL$9*(1+$F83)^(AL$3), 0),0)</f>
        <v>104718.43157460533</v>
      </c>
      <c r="AM83" s="490">
        <f>IFERROR(IF(AM$6&lt;=$E$9,INDEX('Capital Costs'!$H$15:$K$55,MATCH('Capital Cost Escalation'!$E83,'Capital Costs'!$B$15:$B$55,0),MATCH('Capital Cost Escalation'!$C83,'Capital Costs'!$H$7:$K$7,0))*AM$9*(1+$F83)^(AM$3), 0),0)</f>
        <v>0</v>
      </c>
      <c r="AN83" s="490">
        <f>IFERROR(IF(AN$6&lt;=$E$9,INDEX('Capital Costs'!$H$15:$K$55,MATCH('Capital Cost Escalation'!$E83,'Capital Costs'!$B$15:$B$55,0),MATCH('Capital Cost Escalation'!$C83,'Capital Costs'!$H$7:$K$7,0))*AN$9*(1+$F83)^(AN$3), 0),0)</f>
        <v>0</v>
      </c>
      <c r="AO83" s="490">
        <f>IFERROR(IF(AO$6&lt;=$E$9,INDEX('Capital Costs'!$H$15:$K$55,MATCH('Capital Cost Escalation'!$E83,'Capital Costs'!$B$15:$B$55,0),MATCH('Capital Cost Escalation'!$C83,'Capital Costs'!$H$7:$K$7,0))*AO$9*(1+$F83)^(AO$3), 0),0)</f>
        <v>0</v>
      </c>
      <c r="AP83" s="490">
        <f>IFERROR(IF(AP$6&lt;=$E$9,INDEX('Capital Costs'!$H$15:$K$55,MATCH('Capital Cost Escalation'!$E83,'Capital Costs'!$B$15:$B$55,0),MATCH('Capital Cost Escalation'!$C83,'Capital Costs'!$H$7:$K$7,0))*AP$9*(1+$F83)^(AP$3), 0),0)</f>
        <v>0</v>
      </c>
      <c r="AQ83" s="490">
        <f>IFERROR(IF(AQ$6&lt;=$E$9,INDEX('Capital Costs'!$H$15:$K$55,MATCH('Capital Cost Escalation'!$E83,'Capital Costs'!$B$15:$B$55,0),MATCH('Capital Cost Escalation'!$C83,'Capital Costs'!$H$7:$K$7,0))*AQ$9*(1+$F83)^(AQ$3), 0),0)</f>
        <v>0</v>
      </c>
      <c r="AR83" s="490">
        <f>IFERROR(IF(AR$6&lt;=$E$9,INDEX('Capital Costs'!$H$15:$K$55,MATCH('Capital Cost Escalation'!$E83,'Capital Costs'!$B$15:$B$55,0),MATCH('Capital Cost Escalation'!$C83,'Capital Costs'!$H$7:$K$7,0))*AR$9*(1+$F83)^(AR$3), 0),0)</f>
        <v>0</v>
      </c>
      <c r="AS83" s="490">
        <f>IFERROR(IF(AS$6&lt;=$E$9,INDEX('Capital Costs'!$H$15:$K$55,MATCH('Capital Cost Escalation'!$E83,'Capital Costs'!$B$15:$B$55,0),MATCH('Capital Cost Escalation'!$C83,'Capital Costs'!$H$7:$K$7,0))*AS$9*(1+$F83)^(AS$3), 0),0)</f>
        <v>0</v>
      </c>
      <c r="AT83" s="490">
        <f>IFERROR(IF(AT$6&lt;=$E$9,INDEX('Capital Costs'!$H$15:$K$55,MATCH('Capital Cost Escalation'!$E83,'Capital Costs'!$B$15:$B$55,0),MATCH('Capital Cost Escalation'!$C83,'Capital Costs'!$H$7:$K$7,0))*AT$9*(1+$F83)^(AT$3), 0),0)</f>
        <v>0</v>
      </c>
      <c r="AV83" s="827">
        <f t="shared" si="12"/>
        <v>84754690.936026722</v>
      </c>
      <c r="AW83" s="828">
        <f>INDEX('Capital Costs'!$H$15:$K$55,MATCH('Capital Cost Escalation'!$E83,'Capital Costs'!$B$15:$B$55,0),MATCH('Capital Cost Escalation'!$C83,'Capital Costs'!$H$7:$K$7,0))</f>
        <v>75600000</v>
      </c>
    </row>
    <row r="84" spans="1:49">
      <c r="A84" s="487" t="str">
        <f t="shared" si="10"/>
        <v>CC_WMAAC_Other Equipment</v>
      </c>
      <c r="B84" s="478" t="s">
        <v>77</v>
      </c>
      <c r="C84" s="488" t="s">
        <v>122</v>
      </c>
      <c r="E84" s="442" t="s">
        <v>136</v>
      </c>
      <c r="F84" s="1325">
        <f>INDEX('Capital Costs_Nominal$'!$F:$F,MATCH('Capital Cost Escalation'!$E84,'Capital Costs_Nominal$'!$C:$C,0),1)</f>
        <v>2.3944839450136257E-3</v>
      </c>
      <c r="G84" s="490">
        <f>IFERROR(IF(G$6&lt;=$E$9,INDEX('Capital Costs'!$H$15:$K$55,MATCH('Capital Cost Escalation'!$E84,'Capital Costs'!$B$15:$B$55,0),MATCH('Capital Cost Escalation'!$C84,'Capital Costs'!$H$7:$K$7,0))*G$9*(1+$F84)^(G$3), 0),0)</f>
        <v>8254.5054041008952</v>
      </c>
      <c r="H84" s="490">
        <f>IFERROR(IF(H$6&lt;=$E$9,INDEX('Capital Costs'!$H$15:$K$55,MATCH('Capital Cost Escalation'!$E84,'Capital Costs'!$B$15:$B$55,0),MATCH('Capital Cost Escalation'!$C84,'Capital Costs'!$H$7:$K$7,0))*H$9*(1+$F84)^(H$3), 0),0)</f>
        <v>41371.35342382521</v>
      </c>
      <c r="I84" s="490">
        <f>IFERROR(IF(I$6&lt;=$E$9,INDEX('Capital Costs'!$H$15:$K$55,MATCH('Capital Cost Escalation'!$E84,'Capital Costs'!$B$15:$B$55,0),MATCH('Capital Cost Escalation'!$C84,'Capital Costs'!$H$7:$K$7,0))*I$9*(1+$F84)^(I$3), 0),0)</f>
        <v>41470.416465382041</v>
      </c>
      <c r="J84" s="490">
        <f>IFERROR(IF(J$6&lt;=$E$9,INDEX('Capital Costs'!$H$15:$K$55,MATCH('Capital Cost Escalation'!$E84,'Capital Costs'!$B$15:$B$55,0),MATCH('Capital Cost Escalation'!$C84,'Capital Costs'!$H$7:$K$7,0))*J$9*(1+$F84)^(J$3), 0),0)</f>
        <v>1405056.4248588884</v>
      </c>
      <c r="K84" s="490">
        <f>IFERROR(IF(K$6&lt;=$E$9,INDEX('Capital Costs'!$H$15:$K$55,MATCH('Capital Cost Escalation'!$E84,'Capital Costs'!$B$15:$B$55,0),MATCH('Capital Cost Escalation'!$C84,'Capital Costs'!$H$7:$K$7,0))*K$9*(1+$F84)^(K$3), 0),0)</f>
        <v>1375085.4061251981</v>
      </c>
      <c r="L84" s="490">
        <f>IFERROR(IF(L$6&lt;=$E$9,INDEX('Capital Costs'!$H$15:$K$55,MATCH('Capital Cost Escalation'!$E84,'Capital Costs'!$B$15:$B$55,0),MATCH('Capital Cost Escalation'!$C84,'Capital Costs'!$H$7:$K$7,0))*L$9*(1+$F84)^(L$3), 0),0)</f>
        <v>200491.34924409998</v>
      </c>
      <c r="M84" s="490">
        <f>IFERROR(IF(M$6&lt;=$E$9,INDEX('Capital Costs'!$H$15:$K$55,MATCH('Capital Cost Escalation'!$E84,'Capital Costs'!$B$15:$B$55,0),MATCH('Capital Cost Escalation'!$C84,'Capital Costs'!$H$7:$K$7,0))*M$9*(1+$F84)^(M$3), 0),0)</f>
        <v>301457.13384146866</v>
      </c>
      <c r="N84" s="490">
        <f>IFERROR(IF(N$6&lt;=$E$9,INDEX('Capital Costs'!$H$15:$K$55,MATCH('Capital Cost Escalation'!$E84,'Capital Costs'!$B$15:$B$55,0),MATCH('Capital Cost Escalation'!$C84,'Capital Costs'!$H$7:$K$7,0))*N$9*(1+$F84)^(N$3), 0),0)</f>
        <v>1217109.7326594854</v>
      </c>
      <c r="O84" s="490">
        <f>IFERROR(IF(O$6&lt;=$E$9,INDEX('Capital Costs'!$H$15:$K$55,MATCH('Capital Cost Escalation'!$E84,'Capital Costs'!$B$15:$B$55,0),MATCH('Capital Cost Escalation'!$C84,'Capital Costs'!$H$7:$K$7,0))*O$9*(1+$F84)^(O$3), 0),0)</f>
        <v>1287335.7558839296</v>
      </c>
      <c r="P84" s="490">
        <f>IFERROR(IF(P$6&lt;=$E$9,INDEX('Capital Costs'!$H$15:$K$55,MATCH('Capital Cost Escalation'!$E84,'Capital Costs'!$B$15:$B$55,0),MATCH('Capital Cost Escalation'!$C84,'Capital Costs'!$H$7:$K$7,0))*P$9*(1+$F84)^(P$3), 0),0)</f>
        <v>1079565.6037088507</v>
      </c>
      <c r="Q84" s="490">
        <f>IFERROR(IF(Q$6&lt;=$E$9,INDEX('Capital Costs'!$H$15:$K$55,MATCH('Capital Cost Escalation'!$E84,'Capital Costs'!$B$15:$B$55,0),MATCH('Capital Cost Escalation'!$C84,'Capital Costs'!$H$7:$K$7,0))*Q$9*(1+$F84)^(Q$3), 0),0)</f>
        <v>1149785.0191029278</v>
      </c>
      <c r="R84" s="490">
        <f>IFERROR(IF(R$6&lt;=$E$9,INDEX('Capital Costs'!$H$15:$K$55,MATCH('Capital Cost Escalation'!$E84,'Capital Costs'!$B$15:$B$55,0),MATCH('Capital Cost Escalation'!$C84,'Capital Costs'!$H$7:$K$7,0))*R$9*(1+$F84)^(R$3), 0),0)</f>
        <v>1220334.5232755863</v>
      </c>
      <c r="S84" s="490">
        <f>IFERROR(IF(S$6&lt;=$E$9,INDEX('Capital Costs'!$H$15:$K$55,MATCH('Capital Cost Escalation'!$E84,'Capital Costs'!$B$15:$B$55,0),MATCH('Capital Cost Escalation'!$C84,'Capital Costs'!$H$7:$K$7,0))*S$9*(1+$F84)^(S$3), 0),0)</f>
        <v>2336080.3023767825</v>
      </c>
      <c r="T84" s="490">
        <f>IFERROR(IF(T$6&lt;=$E$9,INDEX('Capital Costs'!$H$15:$K$55,MATCH('Capital Cost Escalation'!$E84,'Capital Costs'!$B$15:$B$55,0),MATCH('Capital Cost Escalation'!$C84,'Capital Costs'!$H$7:$K$7,0))*T$9*(1+$F84)^(T$3), 0),0)</f>
        <v>3312404.3256775592</v>
      </c>
      <c r="U84" s="490">
        <f>IFERROR(IF(U$6&lt;=$E$9,INDEX('Capital Costs'!$H$15:$K$55,MATCH('Capital Cost Escalation'!$E84,'Capital Costs'!$B$15:$B$55,0),MATCH('Capital Cost Escalation'!$C84,'Capital Costs'!$H$7:$K$7,0))*U$9*(1+$F84)^(U$3), 0),0)</f>
        <v>3619080.6931969929</v>
      </c>
      <c r="V84" s="490">
        <f>IFERROR(IF(V$6&lt;=$E$9,INDEX('Capital Costs'!$H$15:$K$55,MATCH('Capital Cost Escalation'!$E84,'Capital Costs'!$B$15:$B$55,0),MATCH('Capital Cost Escalation'!$C84,'Capital Costs'!$H$7:$K$7,0))*V$9*(1+$F84)^(V$3), 0),0)</f>
        <v>4141106.8809558493</v>
      </c>
      <c r="W84" s="490">
        <f>IFERROR(IF(W$6&lt;=$E$9,INDEX('Capital Costs'!$H$15:$K$55,MATCH('Capital Cost Escalation'!$E84,'Capital Costs'!$B$15:$B$55,0),MATCH('Capital Cost Escalation'!$C84,'Capital Costs'!$H$7:$K$7,0))*W$9*(1+$F84)^(W$3), 0),0)</f>
        <v>4571270.8602893362</v>
      </c>
      <c r="X84" s="490">
        <f>IFERROR(IF(X$6&lt;=$E$9,INDEX('Capital Costs'!$H$15:$K$55,MATCH('Capital Cost Escalation'!$E84,'Capital Costs'!$B$15:$B$55,0),MATCH('Capital Cost Escalation'!$C84,'Capital Costs'!$H$7:$K$7,0))*X$9*(1+$F84)^(X$3), 0),0)</f>
        <v>5364546.3746020775</v>
      </c>
      <c r="Y84" s="490">
        <f>IFERROR(IF(Y$6&lt;=$E$9,INDEX('Capital Costs'!$H$15:$K$55,MATCH('Capital Cost Escalation'!$E84,'Capital Costs'!$B$15:$B$55,0),MATCH('Capital Cost Escalation'!$C84,'Capital Costs'!$H$7:$K$7,0))*Y$9*(1+$F84)^(Y$3), 0),0)</f>
        <v>5480803.0735138878</v>
      </c>
      <c r="Z84" s="490">
        <f>IFERROR(IF(Z$6&lt;=$E$9,INDEX('Capital Costs'!$H$15:$K$55,MATCH('Capital Cost Escalation'!$E84,'Capital Costs'!$B$15:$B$55,0),MATCH('Capital Cost Escalation'!$C84,'Capital Costs'!$H$7:$K$7,0))*Z$9*(1+$F84)^(Z$3), 0),0)</f>
        <v>5372991.2735755686</v>
      </c>
      <c r="AA84" s="490">
        <f>IFERROR(IF(AA$6&lt;=$E$9,INDEX('Capital Costs'!$H$15:$K$55,MATCH('Capital Cost Escalation'!$E84,'Capital Costs'!$B$15:$B$55,0),MATCH('Capital Cost Escalation'!$C84,'Capital Costs'!$H$7:$K$7,0))*AA$9*(1+$F84)^(AA$3), 0),0)</f>
        <v>5541717.623065562</v>
      </c>
      <c r="AB84" s="490">
        <f>IFERROR(IF(AB$6&lt;=$E$9,INDEX('Capital Costs'!$H$15:$K$55,MATCH('Capital Cost Escalation'!$E84,'Capital Costs'!$B$15:$B$55,0),MATCH('Capital Cost Escalation'!$C84,'Capital Costs'!$H$7:$K$7,0))*AB$9*(1+$F84)^(AB$3), 0),0)</f>
        <v>5268558.1506307311</v>
      </c>
      <c r="AC84" s="490">
        <f>IFERROR(IF(AC$6&lt;=$E$9,INDEX('Capital Costs'!$H$15:$K$55,MATCH('Capital Cost Escalation'!$E84,'Capital Costs'!$B$15:$B$55,0),MATCH('Capital Cost Escalation'!$C84,'Capital Costs'!$H$7:$K$7,0))*AC$9*(1+$F84)^(AC$3), 0),0)</f>
        <v>5411680.3903612178</v>
      </c>
      <c r="AD84" s="490">
        <f>IFERROR(IF(AD$6&lt;=$E$9,INDEX('Capital Costs'!$H$15:$K$55,MATCH('Capital Cost Escalation'!$E84,'Capital Costs'!$B$15:$B$55,0),MATCH('Capital Cost Escalation'!$C84,'Capital Costs'!$H$7:$K$7,0))*AD$9*(1+$F84)^(AD$3), 0),0)</f>
        <v>5415917.2882933952</v>
      </c>
      <c r="AE84" s="490">
        <f>IFERROR(IF(AE$6&lt;=$E$9,INDEX('Capital Costs'!$H$15:$K$55,MATCH('Capital Cost Escalation'!$E84,'Capital Costs'!$B$15:$B$55,0),MATCH('Capital Cost Escalation'!$C84,'Capital Costs'!$H$7:$K$7,0))*AE$9*(1+$F84)^(AE$3), 0),0)</f>
        <v>5131651.9423090182</v>
      </c>
      <c r="AF84" s="490">
        <f>IFERROR(IF(AF$6&lt;=$E$9,INDEX('Capital Costs'!$H$15:$K$55,MATCH('Capital Cost Escalation'!$E84,'Capital Costs'!$B$15:$B$55,0),MATCH('Capital Cost Escalation'!$C84,'Capital Costs'!$H$7:$K$7,0))*AF$9*(1+$F84)^(AF$3), 0),0)</f>
        <v>5065071.7020218857</v>
      </c>
      <c r="AG84" s="490">
        <f>IFERROR(IF(AG$6&lt;=$E$9,INDEX('Capital Costs'!$H$15:$K$55,MATCH('Capital Cost Escalation'!$E84,'Capital Costs'!$B$15:$B$55,0),MATCH('Capital Cost Escalation'!$C84,'Capital Costs'!$H$7:$K$7,0))*AG$9*(1+$F84)^(AG$3), 0),0)</f>
        <v>4330552.8856437895</v>
      </c>
      <c r="AH84" s="490">
        <f>IFERROR(IF(AH$6&lt;=$E$9,INDEX('Capital Costs'!$H$15:$K$55,MATCH('Capital Cost Escalation'!$E84,'Capital Costs'!$B$15:$B$55,0),MATCH('Capital Cost Escalation'!$C84,'Capital Costs'!$H$7:$K$7,0))*AH$9*(1+$F84)^(AH$3), 0),0)</f>
        <v>3662928.3716036975</v>
      </c>
      <c r="AI84" s="490">
        <f>IFERROR(IF(AI$6&lt;=$E$9,INDEX('Capital Costs'!$H$15:$K$55,MATCH('Capital Cost Escalation'!$E84,'Capital Costs'!$B$15:$B$55,0),MATCH('Capital Cost Escalation'!$C84,'Capital Costs'!$H$7:$K$7,0))*AI$9*(1+$F84)^(AI$3), 0),0)</f>
        <v>2100635.5970142656</v>
      </c>
      <c r="AJ84" s="490">
        <f>IFERROR(IF(AJ$6&lt;=$E$9,INDEX('Capital Costs'!$H$15:$K$55,MATCH('Capital Cost Escalation'!$E84,'Capital Costs'!$B$15:$B$55,0),MATCH('Capital Cost Escalation'!$C84,'Capital Costs'!$H$7:$K$7,0))*AJ$9*(1+$F84)^(AJ$3), 0),0)</f>
        <v>628160.72689504398</v>
      </c>
      <c r="AK84" s="490">
        <f>IFERROR(IF(AK$6&lt;=$E$9,INDEX('Capital Costs'!$H$15:$K$55,MATCH('Capital Cost Escalation'!$E84,'Capital Costs'!$B$15:$B$55,0),MATCH('Capital Cost Escalation'!$C84,'Capital Costs'!$H$7:$K$7,0))*AK$9*(1+$F84)^(AK$3), 0),0)</f>
        <v>150764.82268166481</v>
      </c>
      <c r="AL84" s="490">
        <f>IFERROR(IF(AL$6&lt;=$E$9,INDEX('Capital Costs'!$H$15:$K$55,MATCH('Capital Cost Escalation'!$E84,'Capital Costs'!$B$15:$B$55,0),MATCH('Capital Cost Escalation'!$C84,'Capital Costs'!$H$7:$K$7,0))*AL$9*(1+$F84)^(AL$3), 0),0)</f>
        <v>106677.05409109332</v>
      </c>
      <c r="AM84" s="490">
        <f>IFERROR(IF(AM$6&lt;=$E$9,INDEX('Capital Costs'!$H$15:$K$55,MATCH('Capital Cost Escalation'!$E84,'Capital Costs'!$B$15:$B$55,0),MATCH('Capital Cost Escalation'!$C84,'Capital Costs'!$H$7:$K$7,0))*AM$9*(1+$F84)^(AM$3), 0),0)</f>
        <v>0</v>
      </c>
      <c r="AN84" s="490">
        <f>IFERROR(IF(AN$6&lt;=$E$9,INDEX('Capital Costs'!$H$15:$K$55,MATCH('Capital Cost Escalation'!$E84,'Capital Costs'!$B$15:$B$55,0),MATCH('Capital Cost Escalation'!$C84,'Capital Costs'!$H$7:$K$7,0))*AN$9*(1+$F84)^(AN$3), 0),0)</f>
        <v>0</v>
      </c>
      <c r="AO84" s="490">
        <f>IFERROR(IF(AO$6&lt;=$E$9,INDEX('Capital Costs'!$H$15:$K$55,MATCH('Capital Cost Escalation'!$E84,'Capital Costs'!$B$15:$B$55,0),MATCH('Capital Cost Escalation'!$C84,'Capital Costs'!$H$7:$K$7,0))*AO$9*(1+$F84)^(AO$3), 0),0)</f>
        <v>0</v>
      </c>
      <c r="AP84" s="490">
        <f>IFERROR(IF(AP$6&lt;=$E$9,INDEX('Capital Costs'!$H$15:$K$55,MATCH('Capital Cost Escalation'!$E84,'Capital Costs'!$B$15:$B$55,0),MATCH('Capital Cost Escalation'!$C84,'Capital Costs'!$H$7:$K$7,0))*AP$9*(1+$F84)^(AP$3), 0),0)</f>
        <v>0</v>
      </c>
      <c r="AQ84" s="490">
        <f>IFERROR(IF(AQ$6&lt;=$E$9,INDEX('Capital Costs'!$H$15:$K$55,MATCH('Capital Cost Escalation'!$E84,'Capital Costs'!$B$15:$B$55,0),MATCH('Capital Cost Escalation'!$C84,'Capital Costs'!$H$7:$K$7,0))*AQ$9*(1+$F84)^(AQ$3), 0),0)</f>
        <v>0</v>
      </c>
      <c r="AR84" s="490">
        <f>IFERROR(IF(AR$6&lt;=$E$9,INDEX('Capital Costs'!$H$15:$K$55,MATCH('Capital Cost Escalation'!$E84,'Capital Costs'!$B$15:$B$55,0),MATCH('Capital Cost Escalation'!$C84,'Capital Costs'!$H$7:$K$7,0))*AR$9*(1+$F84)^(AR$3), 0),0)</f>
        <v>0</v>
      </c>
      <c r="AS84" s="490">
        <f>IFERROR(IF(AS$6&lt;=$E$9,INDEX('Capital Costs'!$H$15:$K$55,MATCH('Capital Cost Escalation'!$E84,'Capital Costs'!$B$15:$B$55,0),MATCH('Capital Cost Escalation'!$C84,'Capital Costs'!$H$7:$K$7,0))*AS$9*(1+$F84)^(AS$3), 0),0)</f>
        <v>0</v>
      </c>
      <c r="AT84" s="490">
        <f>IFERROR(IF(AT$6&lt;=$E$9,INDEX('Capital Costs'!$H$15:$K$55,MATCH('Capital Cost Escalation'!$E84,'Capital Costs'!$B$15:$B$55,0),MATCH('Capital Cost Escalation'!$C84,'Capital Costs'!$H$7:$K$7,0))*AT$9*(1+$F84)^(AT$3), 0),0)</f>
        <v>0</v>
      </c>
      <c r="AV84" s="827">
        <f t="shared" si="12"/>
        <v>86339917.562793165</v>
      </c>
      <c r="AW84" s="828">
        <f>INDEX('Capital Costs'!$H$15:$K$55,MATCH('Capital Cost Escalation'!$E84,'Capital Costs'!$B$15:$B$55,0),MATCH('Capital Cost Escalation'!$C84,'Capital Costs'!$H$7:$K$7,0))</f>
        <v>77014000</v>
      </c>
    </row>
    <row r="85" spans="1:49">
      <c r="A85" s="487" t="str">
        <f t="shared" si="10"/>
        <v>CC_WMAAC_Construction Labor</v>
      </c>
      <c r="B85" s="478" t="s">
        <v>77</v>
      </c>
      <c r="C85" s="488" t="s">
        <v>122</v>
      </c>
      <c r="E85" s="442" t="s">
        <v>138</v>
      </c>
      <c r="F85" s="1325">
        <f>INDEX('Capital Costs_Nominal$'!$F:$F,MATCH('Capital Cost Escalation'!$E85,'Capital Costs_Nominal$'!$C:$C,0),1)</f>
        <v>3.6840339826600399E-3</v>
      </c>
      <c r="G85" s="490">
        <f>IFERROR(IF(G$6&lt;=$E$9,INDEX('Capital Costs'!$H$15:$K$55,MATCH('Capital Cost Escalation'!$E85,'Capital Costs'!$B$15:$B$55,0),MATCH('Capital Cost Escalation'!$C85,'Capital Costs'!$H$7:$K$7,0))*G$9*(1+$F85)^(G$3), 0),0)</f>
        <v>30837.440375023303</v>
      </c>
      <c r="H85" s="490">
        <f>IFERROR(IF(H$6&lt;=$E$9,INDEX('Capital Costs'!$H$15:$K$55,MATCH('Capital Cost Escalation'!$E85,'Capital Costs'!$B$15:$B$55,0),MATCH('Capital Cost Escalation'!$C85,'Capital Costs'!$H$7:$K$7,0))*H$9*(1+$F85)^(H$3), 0),0)</f>
        <v>154755.23276651575</v>
      </c>
      <c r="I85" s="490">
        <f>IFERROR(IF(I$6&lt;=$E$9,INDEX('Capital Costs'!$H$15:$K$55,MATCH('Capital Cost Escalation'!$E85,'Capital Costs'!$B$15:$B$55,0),MATCH('Capital Cost Escalation'!$C85,'Capital Costs'!$H$7:$K$7,0))*I$9*(1+$F85)^(I$3), 0),0)</f>
        <v>155325.35630302207</v>
      </c>
      <c r="J85" s="490">
        <f>IFERROR(IF(J$6&lt;=$E$9,INDEX('Capital Costs'!$H$15:$K$55,MATCH('Capital Cost Escalation'!$E85,'Capital Costs'!$B$15:$B$55,0),MATCH('Capital Cost Escalation'!$C85,'Capital Costs'!$H$7:$K$7,0))*J$9*(1+$F85)^(J$3), 0),0)</f>
        <v>5269338.2105575753</v>
      </c>
      <c r="K85" s="490">
        <f>IFERROR(IF(K$6&lt;=$E$9,INDEX('Capital Costs'!$H$15:$K$55,MATCH('Capital Cost Escalation'!$E85,'Capital Costs'!$B$15:$B$55,0),MATCH('Capital Cost Escalation'!$C85,'Capital Costs'!$H$7:$K$7,0))*K$9*(1+$F85)^(K$3), 0),0)</f>
        <v>5163573.1018495914</v>
      </c>
      <c r="L85" s="490">
        <f>IFERROR(IF(L$6&lt;=$E$9,INDEX('Capital Costs'!$H$15:$K$55,MATCH('Capital Cost Escalation'!$E85,'Capital Costs'!$B$15:$B$55,0),MATCH('Capital Cost Escalation'!$C85,'Capital Costs'!$H$7:$K$7,0))*L$9*(1+$F85)^(L$3), 0),0)</f>
        <v>753832.12809145509</v>
      </c>
      <c r="M85" s="490">
        <f>IFERROR(IF(M$6&lt;=$E$9,INDEX('Capital Costs'!$H$15:$K$55,MATCH('Capital Cost Escalation'!$E85,'Capital Costs'!$B$15:$B$55,0),MATCH('Capital Cost Escalation'!$C85,'Capital Costs'!$H$7:$K$7,0))*M$9*(1+$F85)^(M$3), 0),0)</f>
        <v>1134913.9069028476</v>
      </c>
      <c r="N85" s="490">
        <f>IFERROR(IF(N$6&lt;=$E$9,INDEX('Capital Costs'!$H$15:$K$55,MATCH('Capital Cost Escalation'!$E85,'Capital Costs'!$B$15:$B$55,0),MATCH('Capital Cost Escalation'!$C85,'Capital Costs'!$H$7:$K$7,0))*N$9*(1+$F85)^(N$3), 0),0)</f>
        <v>4588021.4001103966</v>
      </c>
      <c r="O85" s="490">
        <f>IFERROR(IF(O$6&lt;=$E$9,INDEX('Capital Costs'!$H$15:$K$55,MATCH('Capital Cost Escalation'!$E85,'Capital Costs'!$B$15:$B$55,0),MATCH('Capital Cost Escalation'!$C85,'Capital Costs'!$H$7:$K$7,0))*O$9*(1+$F85)^(O$3), 0),0)</f>
        <v>4858988.5897229034</v>
      </c>
      <c r="P85" s="490">
        <f>IFERROR(IF(P$6&lt;=$E$9,INDEX('Capital Costs'!$H$15:$K$55,MATCH('Capital Cost Escalation'!$E85,'Capital Costs'!$B$15:$B$55,0),MATCH('Capital Cost Escalation'!$C85,'Capital Costs'!$H$7:$K$7,0))*P$9*(1+$F85)^(P$3), 0),0)</f>
        <v>4080011.9373040949</v>
      </c>
      <c r="Q85" s="490">
        <f>IFERROR(IF(Q$6&lt;=$E$9,INDEX('Capital Costs'!$H$15:$K$55,MATCH('Capital Cost Escalation'!$E85,'Capital Costs'!$B$15:$B$55,0),MATCH('Capital Cost Escalation'!$C85,'Capital Costs'!$H$7:$K$7,0))*Q$9*(1+$F85)^(Q$3), 0),0)</f>
        <v>4350983.0174264563</v>
      </c>
      <c r="R85" s="490">
        <f>IFERROR(IF(R$6&lt;=$E$9,INDEX('Capital Costs'!$H$15:$K$55,MATCH('Capital Cost Escalation'!$E85,'Capital Costs'!$B$15:$B$55,0),MATCH('Capital Cost Escalation'!$C85,'Capital Costs'!$H$7:$K$7,0))*R$9*(1+$F85)^(R$3), 0),0)</f>
        <v>4623895.2565277265</v>
      </c>
      <c r="S85" s="490">
        <f>IFERROR(IF(S$6&lt;=$E$9,INDEX('Capital Costs'!$H$15:$K$55,MATCH('Capital Cost Escalation'!$E85,'Capital Costs'!$B$15:$B$55,0),MATCH('Capital Cost Escalation'!$C85,'Capital Costs'!$H$7:$K$7,0))*S$9*(1+$F85)^(S$3), 0),0)</f>
        <v>8862886.854450589</v>
      </c>
      <c r="T85" s="490">
        <f>IFERROR(IF(T$6&lt;=$E$9,INDEX('Capital Costs'!$H$15:$K$55,MATCH('Capital Cost Escalation'!$E85,'Capital Costs'!$B$15:$B$55,0),MATCH('Capital Cost Escalation'!$C85,'Capital Costs'!$H$7:$K$7,0))*T$9*(1+$F85)^(T$3), 0),0)</f>
        <v>12583142.887214065</v>
      </c>
      <c r="U85" s="490">
        <f>IFERROR(IF(U$6&lt;=$E$9,INDEX('Capital Costs'!$H$15:$K$55,MATCH('Capital Cost Escalation'!$E85,'Capital Costs'!$B$15:$B$55,0),MATCH('Capital Cost Escalation'!$C85,'Capital Costs'!$H$7:$K$7,0))*U$9*(1+$F85)^(U$3), 0),0)</f>
        <v>13765829.912609132</v>
      </c>
      <c r="V85" s="490">
        <f>IFERROR(IF(V$6&lt;=$E$9,INDEX('Capital Costs'!$H$15:$K$55,MATCH('Capital Cost Escalation'!$E85,'Capital Costs'!$B$15:$B$55,0),MATCH('Capital Cost Escalation'!$C85,'Capital Costs'!$H$7:$K$7,0))*V$9*(1+$F85)^(V$3), 0),0)</f>
        <v>15771714.97579821</v>
      </c>
      <c r="W85" s="490">
        <f>IFERROR(IF(W$6&lt;=$E$9,INDEX('Capital Costs'!$H$15:$K$55,MATCH('Capital Cost Escalation'!$E85,'Capital Costs'!$B$15:$B$55,0),MATCH('Capital Cost Escalation'!$C85,'Capital Costs'!$H$7:$K$7,0))*W$9*(1+$F85)^(W$3), 0),0)</f>
        <v>17432424.102661483</v>
      </c>
      <c r="X85" s="490">
        <f>IFERROR(IF(X$6&lt;=$E$9,INDEX('Capital Costs'!$H$15:$K$55,MATCH('Capital Cost Escalation'!$E85,'Capital Costs'!$B$15:$B$55,0),MATCH('Capital Cost Escalation'!$C85,'Capital Costs'!$H$7:$K$7,0))*X$9*(1+$F85)^(X$3), 0),0)</f>
        <v>20483877.945899516</v>
      </c>
      <c r="Y85" s="490">
        <f>IFERROR(IF(Y$6&lt;=$E$9,INDEX('Capital Costs'!$H$15:$K$55,MATCH('Capital Cost Escalation'!$E85,'Capital Costs'!$B$15:$B$55,0),MATCH('Capital Cost Escalation'!$C85,'Capital Costs'!$H$7:$K$7,0))*Y$9*(1+$F85)^(Y$3), 0),0)</f>
        <v>20954713.195432499</v>
      </c>
      <c r="Z85" s="490">
        <f>IFERROR(IF(Z$6&lt;=$E$9,INDEX('Capital Costs'!$H$15:$K$55,MATCH('Capital Cost Escalation'!$E85,'Capital Costs'!$B$15:$B$55,0),MATCH('Capital Cost Escalation'!$C85,'Capital Costs'!$H$7:$K$7,0))*Z$9*(1+$F85)^(Z$3), 0),0)</f>
        <v>20568944.475040138</v>
      </c>
      <c r="AA85" s="490">
        <f>IFERROR(IF(AA$6&lt;=$E$9,INDEX('Capital Costs'!$H$15:$K$55,MATCH('Capital Cost Escalation'!$E85,'Capital Costs'!$B$15:$B$55,0),MATCH('Capital Cost Escalation'!$C85,'Capital Costs'!$H$7:$K$7,0))*AA$9*(1+$F85)^(AA$3), 0),0)</f>
        <v>21242156.826210815</v>
      </c>
      <c r="AB85" s="490">
        <f>IFERROR(IF(AB$6&lt;=$E$9,INDEX('Capital Costs'!$H$15:$K$55,MATCH('Capital Cost Escalation'!$E85,'Capital Costs'!$B$15:$B$55,0),MATCH('Capital Cost Escalation'!$C85,'Capital Costs'!$H$7:$K$7,0))*AB$9*(1+$F85)^(AB$3), 0),0)</f>
        <v>20221079.82479829</v>
      </c>
      <c r="AC85" s="490">
        <f>IFERROR(IF(AC$6&lt;=$E$9,INDEX('Capital Costs'!$H$15:$K$55,MATCH('Capital Cost Escalation'!$E85,'Capital Costs'!$B$15:$B$55,0),MATCH('Capital Cost Escalation'!$C85,'Capital Costs'!$H$7:$K$7,0))*AC$9*(1+$F85)^(AC$3), 0),0)</f>
        <v>20797113.066497881</v>
      </c>
      <c r="AD85" s="490">
        <f>IFERROR(IF(AD$6&lt;=$E$9,INDEX('Capital Costs'!$H$15:$K$55,MATCH('Capital Cost Escalation'!$E85,'Capital Costs'!$B$15:$B$55,0),MATCH('Capital Cost Escalation'!$C85,'Capital Costs'!$H$7:$K$7,0))*AD$9*(1+$F85)^(AD$3), 0),0)</f>
        <v>20840171.285786085</v>
      </c>
      <c r="AE85" s="490">
        <f>IFERROR(IF(AE$6&lt;=$E$9,INDEX('Capital Costs'!$H$15:$K$55,MATCH('Capital Cost Escalation'!$E85,'Capital Costs'!$B$15:$B$55,0),MATCH('Capital Cost Escalation'!$C85,'Capital Costs'!$H$7:$K$7,0))*AE$9*(1+$F85)^(AE$3), 0),0)</f>
        <v>19771735.905957054</v>
      </c>
      <c r="AF85" s="490">
        <f>IFERROR(IF(AF$6&lt;=$E$9,INDEX('Capital Costs'!$H$15:$K$55,MATCH('Capital Cost Escalation'!$E85,'Capital Costs'!$B$15:$B$55,0),MATCH('Capital Cost Escalation'!$C85,'Capital Costs'!$H$7:$K$7,0))*AF$9*(1+$F85)^(AF$3), 0),0)</f>
        <v>19540314.697434399</v>
      </c>
      <c r="AG85" s="490">
        <f>IFERROR(IF(AG$6&lt;=$E$9,INDEX('Capital Costs'!$H$15:$K$55,MATCH('Capital Cost Escalation'!$E85,'Capital Costs'!$B$15:$B$55,0),MATCH('Capital Cost Escalation'!$C85,'Capital Costs'!$H$7:$K$7,0))*AG$9*(1+$F85)^(AG$3), 0),0)</f>
        <v>16728139.839515792</v>
      </c>
      <c r="AH85" s="490">
        <f>IFERROR(IF(AH$6&lt;=$E$9,INDEX('Capital Costs'!$H$15:$K$55,MATCH('Capital Cost Escalation'!$E85,'Capital Costs'!$B$15:$B$55,0),MATCH('Capital Cost Escalation'!$C85,'Capital Costs'!$H$7:$K$7,0))*AH$9*(1+$F85)^(AH$3), 0),0)</f>
        <v>14167430.060979556</v>
      </c>
      <c r="AI85" s="490">
        <f>IFERROR(IF(AI$6&lt;=$E$9,INDEX('Capital Costs'!$H$15:$K$55,MATCH('Capital Cost Escalation'!$E85,'Capital Costs'!$B$15:$B$55,0),MATCH('Capital Cost Escalation'!$C85,'Capital Costs'!$H$7:$K$7,0))*AI$9*(1+$F85)^(AI$3), 0),0)</f>
        <v>8135265.2847008109</v>
      </c>
      <c r="AJ85" s="490">
        <f>IFERROR(IF(AJ$6&lt;=$E$9,INDEX('Capital Costs'!$H$15:$K$55,MATCH('Capital Cost Escalation'!$E85,'Capital Costs'!$B$15:$B$55,0),MATCH('Capital Cost Escalation'!$C85,'Capital Costs'!$H$7:$K$7,0))*AJ$9*(1+$F85)^(AJ$3), 0),0)</f>
        <v>2435847.6780302511</v>
      </c>
      <c r="AK85" s="490">
        <f>IFERROR(IF(AK$6&lt;=$E$9,INDEX('Capital Costs'!$H$15:$K$55,MATCH('Capital Cost Escalation'!$E85,'Capital Costs'!$B$15:$B$55,0),MATCH('Capital Cost Escalation'!$C85,'Capital Costs'!$H$7:$K$7,0))*AK$9*(1+$F85)^(AK$3), 0),0)</f>
        <v>585379.77749430819</v>
      </c>
      <c r="AL85" s="490">
        <f>IFERROR(IF(AL$6&lt;=$E$9,INDEX('Capital Costs'!$H$15:$K$55,MATCH('Capital Cost Escalation'!$E85,'Capital Costs'!$B$15:$B$55,0),MATCH('Capital Cost Escalation'!$C85,'Capital Costs'!$H$7:$K$7,0))*AL$9*(1+$F85)^(AL$3), 0),0)</f>
        <v>414731.53163813578</v>
      </c>
      <c r="AM85" s="490">
        <f>IFERROR(IF(AM$6&lt;=$E$9,INDEX('Capital Costs'!$H$15:$K$55,MATCH('Capital Cost Escalation'!$E85,'Capital Costs'!$B$15:$B$55,0),MATCH('Capital Cost Escalation'!$C85,'Capital Costs'!$H$7:$K$7,0))*AM$9*(1+$F85)^(AM$3), 0),0)</f>
        <v>0</v>
      </c>
      <c r="AN85" s="490">
        <f>IFERROR(IF(AN$6&lt;=$E$9,INDEX('Capital Costs'!$H$15:$K$55,MATCH('Capital Cost Escalation'!$E85,'Capital Costs'!$B$15:$B$55,0),MATCH('Capital Cost Escalation'!$C85,'Capital Costs'!$H$7:$K$7,0))*AN$9*(1+$F85)^(AN$3), 0),0)</f>
        <v>0</v>
      </c>
      <c r="AO85" s="490">
        <f>IFERROR(IF(AO$6&lt;=$E$9,INDEX('Capital Costs'!$H$15:$K$55,MATCH('Capital Cost Escalation'!$E85,'Capital Costs'!$B$15:$B$55,0),MATCH('Capital Cost Escalation'!$C85,'Capital Costs'!$H$7:$K$7,0))*AO$9*(1+$F85)^(AO$3), 0),0)</f>
        <v>0</v>
      </c>
      <c r="AP85" s="490">
        <f>IFERROR(IF(AP$6&lt;=$E$9,INDEX('Capital Costs'!$H$15:$K$55,MATCH('Capital Cost Escalation'!$E85,'Capital Costs'!$B$15:$B$55,0),MATCH('Capital Cost Escalation'!$C85,'Capital Costs'!$H$7:$K$7,0))*AP$9*(1+$F85)^(AP$3), 0),0)</f>
        <v>0</v>
      </c>
      <c r="AQ85" s="490">
        <f>IFERROR(IF(AQ$6&lt;=$E$9,INDEX('Capital Costs'!$H$15:$K$55,MATCH('Capital Cost Escalation'!$E85,'Capital Costs'!$B$15:$B$55,0),MATCH('Capital Cost Escalation'!$C85,'Capital Costs'!$H$7:$K$7,0))*AQ$9*(1+$F85)^(AQ$3), 0),0)</f>
        <v>0</v>
      </c>
      <c r="AR85" s="490">
        <f>IFERROR(IF(AR$6&lt;=$E$9,INDEX('Capital Costs'!$H$15:$K$55,MATCH('Capital Cost Escalation'!$E85,'Capital Costs'!$B$15:$B$55,0),MATCH('Capital Cost Escalation'!$C85,'Capital Costs'!$H$7:$K$7,0))*AR$9*(1+$F85)^(AR$3), 0),0)</f>
        <v>0</v>
      </c>
      <c r="AS85" s="490">
        <f>IFERROR(IF(AS$6&lt;=$E$9,INDEX('Capital Costs'!$H$15:$K$55,MATCH('Capital Cost Escalation'!$E85,'Capital Costs'!$B$15:$B$55,0),MATCH('Capital Cost Escalation'!$C85,'Capital Costs'!$H$7:$K$7,0))*AS$9*(1+$F85)^(AS$3), 0),0)</f>
        <v>0</v>
      </c>
      <c r="AT85" s="490">
        <f>IFERROR(IF(AT$6&lt;=$E$9,INDEX('Capital Costs'!$H$15:$K$55,MATCH('Capital Cost Escalation'!$E85,'Capital Costs'!$B$15:$B$55,0),MATCH('Capital Cost Escalation'!$C85,'Capital Costs'!$H$7:$K$7,0))*AT$9*(1+$F85)^(AT$3), 0),0)</f>
        <v>0</v>
      </c>
      <c r="AV85" s="827">
        <f t="shared" si="12"/>
        <v>330467375.7060867</v>
      </c>
      <c r="AW85" s="828">
        <f>INDEX('Capital Costs'!$H$15:$K$55,MATCH('Capital Cost Escalation'!$E85,'Capital Costs'!$B$15:$B$55,0),MATCH('Capital Cost Escalation'!$C85,'Capital Costs'!$H$7:$K$7,0))</f>
        <v>277181900</v>
      </c>
    </row>
    <row r="86" spans="1:49">
      <c r="A86" s="487" t="str">
        <f t="shared" si="10"/>
        <v xml:space="preserve">CC_WMAAC_Other Labor </v>
      </c>
      <c r="B86" s="478" t="s">
        <v>77</v>
      </c>
      <c r="C86" s="488" t="s">
        <v>122</v>
      </c>
      <c r="E86" s="442" t="s">
        <v>139</v>
      </c>
      <c r="F86" s="1325">
        <f>INDEX('Capital Costs_Nominal$'!$F:$F,MATCH('Capital Cost Escalation'!$E86,'Capital Costs_Nominal$'!$C:$C,0),1)</f>
        <v>3.6840339826600399E-3</v>
      </c>
      <c r="G86" s="490">
        <f>IFERROR(IF(G$6&lt;=$E$9,INDEX('Capital Costs'!$H$15:$K$55,MATCH('Capital Cost Escalation'!$E86,'Capital Costs'!$B$15:$B$55,0),MATCH('Capital Cost Escalation'!$C86,'Capital Costs'!$H$7:$K$7,0))*G$9*(1+$F86)^(G$3), 0),0)</f>
        <v>6787.405603033998</v>
      </c>
      <c r="H86" s="490">
        <f>IFERROR(IF(H$6&lt;=$E$9,INDEX('Capital Costs'!$H$15:$K$55,MATCH('Capital Cost Escalation'!$E86,'Capital Costs'!$B$15:$B$55,0),MATCH('Capital Cost Escalation'!$C86,'Capital Costs'!$H$7:$K$7,0))*H$9*(1+$F86)^(H$3), 0),0)</f>
        <v>34062.053179648363</v>
      </c>
      <c r="I86" s="490">
        <f>IFERROR(IF(I$6&lt;=$E$9,INDEX('Capital Costs'!$H$15:$K$55,MATCH('Capital Cost Escalation'!$E86,'Capital Costs'!$B$15:$B$55,0),MATCH('Capital Cost Escalation'!$C86,'Capital Costs'!$H$7:$K$7,0))*I$9*(1+$F86)^(I$3), 0),0)</f>
        <v>34187.538941081366</v>
      </c>
      <c r="J86" s="490">
        <f>IFERROR(IF(J$6&lt;=$E$9,INDEX('Capital Costs'!$H$15:$K$55,MATCH('Capital Cost Escalation'!$E86,'Capital Costs'!$B$15:$B$55,0),MATCH('Capital Cost Escalation'!$C86,'Capital Costs'!$H$7:$K$7,0))*J$9*(1+$F86)^(J$3), 0),0)</f>
        <v>1159795.8604757448</v>
      </c>
      <c r="K86" s="490">
        <f>IFERROR(IF(K$6&lt;=$E$9,INDEX('Capital Costs'!$H$15:$K$55,MATCH('Capital Cost Escalation'!$E86,'Capital Costs'!$B$15:$B$55,0),MATCH('Capital Cost Escalation'!$C86,'Capital Costs'!$H$7:$K$7,0))*K$9*(1+$F86)^(K$3), 0),0)</f>
        <v>1136516.6685999006</v>
      </c>
      <c r="L86" s="490">
        <f>IFERROR(IF(L$6&lt;=$E$9,INDEX('Capital Costs'!$H$15:$K$55,MATCH('Capital Cost Escalation'!$E86,'Capital Costs'!$B$15:$B$55,0),MATCH('Capital Cost Escalation'!$C86,'Capital Costs'!$H$7:$K$7,0))*L$9*(1+$F86)^(L$3), 0),0)</f>
        <v>165920.52867329193</v>
      </c>
      <c r="M86" s="490">
        <f>IFERROR(IF(M$6&lt;=$E$9,INDEX('Capital Costs'!$H$15:$K$55,MATCH('Capital Cost Escalation'!$E86,'Capital Costs'!$B$15:$B$55,0),MATCH('Capital Cost Escalation'!$C86,'Capital Costs'!$H$7:$K$7,0))*M$9*(1+$F86)^(M$3), 0),0)</f>
        <v>249797.67830901797</v>
      </c>
      <c r="N86" s="490">
        <f>IFERROR(IF(N$6&lt;=$E$9,INDEX('Capital Costs'!$H$15:$K$55,MATCH('Capital Cost Escalation'!$E86,'Capital Costs'!$B$15:$B$55,0),MATCH('Capital Cost Escalation'!$C86,'Capital Costs'!$H$7:$K$7,0))*N$9*(1+$F86)^(N$3), 0),0)</f>
        <v>1009836.1530411441</v>
      </c>
      <c r="O86" s="490">
        <f>IFERROR(IF(O$6&lt;=$E$9,INDEX('Capital Costs'!$H$15:$K$55,MATCH('Capital Cost Escalation'!$E86,'Capital Costs'!$B$15:$B$55,0),MATCH('Capital Cost Escalation'!$C86,'Capital Costs'!$H$7:$K$7,0))*O$9*(1+$F86)^(O$3), 0),0)</f>
        <v>1069476.7781594316</v>
      </c>
      <c r="P86" s="490">
        <f>IFERROR(IF(P$6&lt;=$E$9,INDEX('Capital Costs'!$H$15:$K$55,MATCH('Capital Cost Escalation'!$E86,'Capital Costs'!$B$15:$B$55,0),MATCH('Capital Cost Escalation'!$C86,'Capital Costs'!$H$7:$K$7,0))*P$9*(1+$F86)^(P$3), 0),0)</f>
        <v>898021.87039275246</v>
      </c>
      <c r="Q86" s="490">
        <f>IFERROR(IF(Q$6&lt;=$E$9,INDEX('Capital Costs'!$H$15:$K$55,MATCH('Capital Cost Escalation'!$E86,'Capital Costs'!$B$15:$B$55,0),MATCH('Capital Cost Escalation'!$C86,'Capital Costs'!$H$7:$K$7,0))*Q$9*(1+$F86)^(Q$3), 0),0)</f>
        <v>957663.35182297963</v>
      </c>
      <c r="R86" s="490">
        <f>IFERROR(IF(R$6&lt;=$E$9,INDEX('Capital Costs'!$H$15:$K$55,MATCH('Capital Cost Escalation'!$E86,'Capital Costs'!$B$15:$B$55,0),MATCH('Capital Cost Escalation'!$C86,'Capital Costs'!$H$7:$K$7,0))*R$9*(1+$F86)^(R$3), 0),0)</f>
        <v>1017732.0876935752</v>
      </c>
      <c r="S86" s="490">
        <f>IFERROR(IF(S$6&lt;=$E$9,INDEX('Capital Costs'!$H$15:$K$55,MATCH('Capital Cost Escalation'!$E86,'Capital Costs'!$B$15:$B$55,0),MATCH('Capital Cost Escalation'!$C86,'Capital Costs'!$H$7:$K$7,0))*S$9*(1+$F86)^(S$3), 0),0)</f>
        <v>1950745.8194772052</v>
      </c>
      <c r="T86" s="490">
        <f>IFERROR(IF(T$6&lt;=$E$9,INDEX('Capital Costs'!$H$15:$K$55,MATCH('Capital Cost Escalation'!$E86,'Capital Costs'!$B$15:$B$55,0),MATCH('Capital Cost Escalation'!$C86,'Capital Costs'!$H$7:$K$7,0))*T$9*(1+$F86)^(T$3), 0),0)</f>
        <v>2769584.4239273896</v>
      </c>
      <c r="U86" s="490">
        <f>IFERROR(IF(U$6&lt;=$E$9,INDEX('Capital Costs'!$H$15:$K$55,MATCH('Capital Cost Escalation'!$E86,'Capital Costs'!$B$15:$B$55,0),MATCH('Capital Cost Escalation'!$C86,'Capital Costs'!$H$7:$K$7,0))*U$9*(1+$F86)^(U$3), 0),0)</f>
        <v>3029897.0972614526</v>
      </c>
      <c r="V86" s="490">
        <f>IFERROR(IF(V$6&lt;=$E$9,INDEX('Capital Costs'!$H$15:$K$55,MATCH('Capital Cost Escalation'!$E86,'Capital Costs'!$B$15:$B$55,0),MATCH('Capital Cost Escalation'!$C86,'Capital Costs'!$H$7:$K$7,0))*V$9*(1+$F86)^(V$3), 0),0)</f>
        <v>3471397.9271409321</v>
      </c>
      <c r="W86" s="490">
        <f>IFERROR(IF(W$6&lt;=$E$9,INDEX('Capital Costs'!$H$15:$K$55,MATCH('Capital Cost Escalation'!$E86,'Capital Costs'!$B$15:$B$55,0),MATCH('Capital Cost Escalation'!$C86,'Capital Costs'!$H$7:$K$7,0))*W$9*(1+$F86)^(W$3), 0),0)</f>
        <v>3836924.5822588815</v>
      </c>
      <c r="X86" s="490">
        <f>IFERROR(IF(X$6&lt;=$E$9,INDEX('Capital Costs'!$H$15:$K$55,MATCH('Capital Cost Escalation'!$E86,'Capital Costs'!$B$15:$B$55,0),MATCH('Capital Cost Escalation'!$C86,'Capital Costs'!$H$7:$K$7,0))*X$9*(1+$F86)^(X$3), 0),0)</f>
        <v>4508557.9818249699</v>
      </c>
      <c r="Y86" s="490">
        <f>IFERROR(IF(Y$6&lt;=$E$9,INDEX('Capital Costs'!$H$15:$K$55,MATCH('Capital Cost Escalation'!$E86,'Capital Costs'!$B$15:$B$55,0),MATCH('Capital Cost Escalation'!$C86,'Capital Costs'!$H$7:$K$7,0))*Y$9*(1+$F86)^(Y$3), 0),0)</f>
        <v>4612190.1176936291</v>
      </c>
      <c r="Z86" s="490">
        <f>IFERROR(IF(Z$6&lt;=$E$9,INDEX('Capital Costs'!$H$15:$K$55,MATCH('Capital Cost Escalation'!$E86,'Capital Costs'!$B$15:$B$55,0),MATCH('Capital Cost Escalation'!$C86,'Capital Costs'!$H$7:$K$7,0))*Z$9*(1+$F86)^(Z$3), 0),0)</f>
        <v>4527281.3593004672</v>
      </c>
      <c r="AA86" s="490">
        <f>IFERROR(IF(AA$6&lt;=$E$9,INDEX('Capital Costs'!$H$15:$K$55,MATCH('Capital Cost Escalation'!$E86,'Capital Costs'!$B$15:$B$55,0),MATCH('Capital Cost Escalation'!$C86,'Capital Costs'!$H$7:$K$7,0))*AA$9*(1+$F86)^(AA$3), 0),0)</f>
        <v>4675457.2529154411</v>
      </c>
      <c r="AB86" s="490">
        <f>IFERROR(IF(AB$6&lt;=$E$9,INDEX('Capital Costs'!$H$15:$K$55,MATCH('Capital Cost Escalation'!$E86,'Capital Costs'!$B$15:$B$55,0),MATCH('Capital Cost Escalation'!$C86,'Capital Costs'!$H$7:$K$7,0))*AB$9*(1+$F86)^(AB$3), 0),0)</f>
        <v>4450715.3911969233</v>
      </c>
      <c r="AC86" s="490">
        <f>IFERROR(IF(AC$6&lt;=$E$9,INDEX('Capital Costs'!$H$15:$K$55,MATCH('Capital Cost Escalation'!$E86,'Capital Costs'!$B$15:$B$55,0),MATCH('Capital Cost Escalation'!$C86,'Capital Costs'!$H$7:$K$7,0))*AC$9*(1+$F86)^(AC$3), 0),0)</f>
        <v>4577501.8950279076</v>
      </c>
      <c r="AD86" s="490">
        <f>IFERROR(IF(AD$6&lt;=$E$9,INDEX('Capital Costs'!$H$15:$K$55,MATCH('Capital Cost Escalation'!$E86,'Capital Costs'!$B$15:$B$55,0),MATCH('Capital Cost Escalation'!$C86,'Capital Costs'!$H$7:$K$7,0))*AD$9*(1+$F86)^(AD$3), 0),0)</f>
        <v>4586979.1277456442</v>
      </c>
      <c r="AE86" s="490">
        <f>IFERROR(IF(AE$6&lt;=$E$9,INDEX('Capital Costs'!$H$15:$K$55,MATCH('Capital Cost Escalation'!$E86,'Capital Costs'!$B$15:$B$55,0),MATCH('Capital Cost Escalation'!$C86,'Capital Costs'!$H$7:$K$7,0))*AE$9*(1+$F86)^(AE$3), 0),0)</f>
        <v>4351813.5564356148</v>
      </c>
      <c r="AF86" s="490">
        <f>IFERROR(IF(AF$6&lt;=$E$9,INDEX('Capital Costs'!$H$15:$K$55,MATCH('Capital Cost Escalation'!$E86,'Capital Costs'!$B$15:$B$55,0),MATCH('Capital Cost Escalation'!$C86,'Capital Costs'!$H$7:$K$7,0))*AF$9*(1+$F86)^(AF$3), 0),0)</f>
        <v>4300877.1107291877</v>
      </c>
      <c r="AG86" s="490">
        <f>IFERROR(IF(AG$6&lt;=$E$9,INDEX('Capital Costs'!$H$15:$K$55,MATCH('Capital Cost Escalation'!$E86,'Capital Costs'!$B$15:$B$55,0),MATCH('Capital Cost Escalation'!$C86,'Capital Costs'!$H$7:$K$7,0))*AG$9*(1+$F86)^(AG$3), 0),0)</f>
        <v>3681909.6751955994</v>
      </c>
      <c r="AH86" s="490">
        <f>IFERROR(IF(AH$6&lt;=$E$9,INDEX('Capital Costs'!$H$15:$K$55,MATCH('Capital Cost Escalation'!$E86,'Capital Costs'!$B$15:$B$55,0),MATCH('Capital Cost Escalation'!$C86,'Capital Costs'!$H$7:$K$7,0))*AH$9*(1+$F86)^(AH$3), 0),0)</f>
        <v>3118290.3965781005</v>
      </c>
      <c r="AI86" s="490">
        <f>IFERROR(IF(AI$6&lt;=$E$9,INDEX('Capital Costs'!$H$15:$K$55,MATCH('Capital Cost Escalation'!$E86,'Capital Costs'!$B$15:$B$55,0),MATCH('Capital Cost Escalation'!$C86,'Capital Costs'!$H$7:$K$7,0))*AI$9*(1+$F86)^(AI$3), 0),0)</f>
        <v>1790594.3069214453</v>
      </c>
      <c r="AJ86" s="490">
        <f>IFERROR(IF(AJ$6&lt;=$E$9,INDEX('Capital Costs'!$H$15:$K$55,MATCH('Capital Cost Escalation'!$E86,'Capital Costs'!$B$15:$B$55,0),MATCH('Capital Cost Escalation'!$C86,'Capital Costs'!$H$7:$K$7,0))*AJ$9*(1+$F86)^(AJ$3), 0),0)</f>
        <v>536136.78622272448</v>
      </c>
      <c r="AK86" s="490">
        <f>IFERROR(IF(AK$6&lt;=$E$9,INDEX('Capital Costs'!$H$15:$K$55,MATCH('Capital Cost Escalation'!$E86,'Capital Costs'!$B$15:$B$55,0),MATCH('Capital Cost Escalation'!$C86,'Capital Costs'!$H$7:$K$7,0))*AK$9*(1+$F86)^(AK$3), 0),0)</f>
        <v>128843.70211497035</v>
      </c>
      <c r="AL86" s="490">
        <f>IFERROR(IF(AL$6&lt;=$E$9,INDEX('Capital Costs'!$H$15:$K$55,MATCH('Capital Cost Escalation'!$E86,'Capital Costs'!$B$15:$B$55,0),MATCH('Capital Cost Escalation'!$C86,'Capital Costs'!$H$7:$K$7,0))*AL$9*(1+$F86)^(AL$3), 0),0)</f>
        <v>91283.552959068431</v>
      </c>
      <c r="AM86" s="490">
        <f>IFERROR(IF(AM$6&lt;=$E$9,INDEX('Capital Costs'!$H$15:$K$55,MATCH('Capital Cost Escalation'!$E86,'Capital Costs'!$B$15:$B$55,0),MATCH('Capital Cost Escalation'!$C86,'Capital Costs'!$H$7:$K$7,0))*AM$9*(1+$F86)^(AM$3), 0),0)</f>
        <v>0</v>
      </c>
      <c r="AN86" s="490">
        <f>IFERROR(IF(AN$6&lt;=$E$9,INDEX('Capital Costs'!$H$15:$K$55,MATCH('Capital Cost Escalation'!$E86,'Capital Costs'!$B$15:$B$55,0),MATCH('Capital Cost Escalation'!$C86,'Capital Costs'!$H$7:$K$7,0))*AN$9*(1+$F86)^(AN$3), 0),0)</f>
        <v>0</v>
      </c>
      <c r="AO86" s="490">
        <f>IFERROR(IF(AO$6&lt;=$E$9,INDEX('Capital Costs'!$H$15:$K$55,MATCH('Capital Cost Escalation'!$E86,'Capital Costs'!$B$15:$B$55,0),MATCH('Capital Cost Escalation'!$C86,'Capital Costs'!$H$7:$K$7,0))*AO$9*(1+$F86)^(AO$3), 0),0)</f>
        <v>0</v>
      </c>
      <c r="AP86" s="490">
        <f>IFERROR(IF(AP$6&lt;=$E$9,INDEX('Capital Costs'!$H$15:$K$55,MATCH('Capital Cost Escalation'!$E86,'Capital Costs'!$B$15:$B$55,0),MATCH('Capital Cost Escalation'!$C86,'Capital Costs'!$H$7:$K$7,0))*AP$9*(1+$F86)^(AP$3), 0),0)</f>
        <v>0</v>
      </c>
      <c r="AQ86" s="490">
        <f>IFERROR(IF(AQ$6&lt;=$E$9,INDEX('Capital Costs'!$H$15:$K$55,MATCH('Capital Cost Escalation'!$E86,'Capital Costs'!$B$15:$B$55,0),MATCH('Capital Cost Escalation'!$C86,'Capital Costs'!$H$7:$K$7,0))*AQ$9*(1+$F86)^(AQ$3), 0),0)</f>
        <v>0</v>
      </c>
      <c r="AR86" s="490">
        <f>IFERROR(IF(AR$6&lt;=$E$9,INDEX('Capital Costs'!$H$15:$K$55,MATCH('Capital Cost Escalation'!$E86,'Capital Costs'!$B$15:$B$55,0),MATCH('Capital Cost Escalation'!$C86,'Capital Costs'!$H$7:$K$7,0))*AR$9*(1+$F86)^(AR$3), 0),0)</f>
        <v>0</v>
      </c>
      <c r="AS86" s="490">
        <f>IFERROR(IF(AS$6&lt;=$E$9,INDEX('Capital Costs'!$H$15:$K$55,MATCH('Capital Cost Escalation'!$E86,'Capital Costs'!$B$15:$B$55,0),MATCH('Capital Cost Escalation'!$C86,'Capital Costs'!$H$7:$K$7,0))*AS$9*(1+$F86)^(AS$3), 0),0)</f>
        <v>0</v>
      </c>
      <c r="AT86" s="490">
        <f>IFERROR(IF(AT$6&lt;=$E$9,INDEX('Capital Costs'!$H$15:$K$55,MATCH('Capital Cost Escalation'!$E86,'Capital Costs'!$B$15:$B$55,0),MATCH('Capital Cost Escalation'!$C86,'Capital Costs'!$H$7:$K$7,0))*AT$9*(1+$F86)^(AT$3), 0),0)</f>
        <v>0</v>
      </c>
      <c r="AV86" s="827">
        <f t="shared" si="12"/>
        <v>72736780.037819162</v>
      </c>
      <c r="AW86" s="828">
        <f>INDEX('Capital Costs'!$H$15:$K$55,MATCH('Capital Cost Escalation'!$E86,'Capital Costs'!$B$15:$B$55,0),MATCH('Capital Cost Escalation'!$C86,'Capital Costs'!$H$7:$K$7,0))</f>
        <v>61008500</v>
      </c>
    </row>
    <row r="87" spans="1:49">
      <c r="A87" s="487" t="str">
        <f t="shared" si="10"/>
        <v>CC_WMAAC_Materials</v>
      </c>
      <c r="B87" s="478" t="s">
        <v>77</v>
      </c>
      <c r="C87" s="488" t="s">
        <v>122</v>
      </c>
      <c r="E87" s="442" t="s">
        <v>140</v>
      </c>
      <c r="F87" s="1325">
        <f>INDEX('Capital Costs_Nominal$'!$F:$F,MATCH('Capital Cost Escalation'!$E87,'Capital Costs_Nominal$'!$C:$C,0),1)</f>
        <v>2.3944839450136257E-3</v>
      </c>
      <c r="G87" s="490">
        <f>IFERROR(IF(G$6&lt;=$E$9,INDEX('Capital Costs'!$H$15:$K$55,MATCH('Capital Cost Escalation'!$E87,'Capital Costs'!$B$15:$B$55,0),MATCH('Capital Cost Escalation'!$C87,'Capital Costs'!$H$7:$K$7,0))*G$9*(1+$F87)^(G$3), 0),0)</f>
        <v>7214.4338646364577</v>
      </c>
      <c r="H87" s="490">
        <f>IFERROR(IF(H$6&lt;=$E$9,INDEX('Capital Costs'!$H$15:$K$55,MATCH('Capital Cost Escalation'!$E87,'Capital Costs'!$B$15:$B$55,0),MATCH('Capital Cost Escalation'!$C87,'Capital Costs'!$H$7:$K$7,0))*H$9*(1+$F87)^(H$3), 0),0)</f>
        <v>36158.543553488453</v>
      </c>
      <c r="I87" s="490">
        <f>IFERROR(IF(I$6&lt;=$E$9,INDEX('Capital Costs'!$H$15:$K$55,MATCH('Capital Cost Escalation'!$E87,'Capital Costs'!$B$15:$B$55,0),MATCH('Capital Cost Escalation'!$C87,'Capital Costs'!$H$7:$K$7,0))*I$9*(1+$F87)^(I$3), 0),0)</f>
        <v>36245.124605502351</v>
      </c>
      <c r="J87" s="490">
        <f>IFERROR(IF(J$6&lt;=$E$9,INDEX('Capital Costs'!$H$15:$K$55,MATCH('Capital Cost Escalation'!$E87,'Capital Costs'!$B$15:$B$55,0),MATCH('Capital Cost Escalation'!$C87,'Capital Costs'!$H$7:$K$7,0))*J$9*(1+$F87)^(J$3), 0),0)</f>
        <v>1228018.6585365876</v>
      </c>
      <c r="K87" s="490">
        <f>IFERROR(IF(K$6&lt;=$E$9,INDEX('Capital Costs'!$H$15:$K$55,MATCH('Capital Cost Escalation'!$E87,'Capital Costs'!$B$15:$B$55,0),MATCH('Capital Cost Escalation'!$C87,'Capital Costs'!$H$7:$K$7,0))*K$9*(1+$F87)^(K$3), 0),0)</f>
        <v>1201824.0021732193</v>
      </c>
      <c r="L87" s="490">
        <f>IFERROR(IF(L$6&lt;=$E$9,INDEX('Capital Costs'!$H$15:$K$55,MATCH('Capital Cost Escalation'!$E87,'Capital Costs'!$B$15:$B$55,0),MATCH('Capital Cost Escalation'!$C87,'Capital Costs'!$H$7:$K$7,0))*L$9*(1+$F87)^(L$3), 0),0)</f>
        <v>175229.34552016802</v>
      </c>
      <c r="M87" s="490">
        <f>IFERROR(IF(M$6&lt;=$E$9,INDEX('Capital Costs'!$H$15:$K$55,MATCH('Capital Cost Escalation'!$E87,'Capital Costs'!$B$15:$B$55,0),MATCH('Capital Cost Escalation'!$C87,'Capital Costs'!$H$7:$K$7,0))*M$9*(1+$F87)^(M$3), 0),0)</f>
        <v>263473.39406206697</v>
      </c>
      <c r="N87" s="490">
        <f>IFERROR(IF(N$6&lt;=$E$9,INDEX('Capital Costs'!$H$15:$K$55,MATCH('Capital Cost Escalation'!$E87,'Capital Costs'!$B$15:$B$55,0),MATCH('Capital Cost Escalation'!$C87,'Capital Costs'!$H$7:$K$7,0))*N$9*(1+$F87)^(N$3), 0),0)</f>
        <v>1063753.3374095163</v>
      </c>
      <c r="O87" s="490">
        <f>IFERROR(IF(O$6&lt;=$E$9,INDEX('Capital Costs'!$H$15:$K$55,MATCH('Capital Cost Escalation'!$E87,'Capital Costs'!$B$15:$B$55,0),MATCH('Capital Cost Escalation'!$C87,'Capital Costs'!$H$7:$K$7,0))*O$9*(1+$F87)^(O$3), 0),0)</f>
        <v>1125130.8488807031</v>
      </c>
      <c r="P87" s="490">
        <f>IFERROR(IF(P$6&lt;=$E$9,INDEX('Capital Costs'!$H$15:$K$55,MATCH('Capital Cost Escalation'!$E87,'Capital Costs'!$B$15:$B$55,0),MATCH('Capital Cost Escalation'!$C87,'Capital Costs'!$H$7:$K$7,0))*P$9*(1+$F87)^(P$3), 0),0)</f>
        <v>943539.83300131757</v>
      </c>
      <c r="Q87" s="490">
        <f>IFERROR(IF(Q$6&lt;=$E$9,INDEX('Capital Costs'!$H$15:$K$55,MATCH('Capital Cost Escalation'!$E87,'Capital Costs'!$B$15:$B$55,0),MATCH('Capital Cost Escalation'!$C87,'Capital Costs'!$H$7:$K$7,0))*Q$9*(1+$F87)^(Q$3), 0),0)</f>
        <v>1004911.5692318525</v>
      </c>
      <c r="R87" s="490">
        <f>IFERROR(IF(R$6&lt;=$E$9,INDEX('Capital Costs'!$H$15:$K$55,MATCH('Capital Cost Escalation'!$E87,'Capital Costs'!$B$15:$B$55,0),MATCH('Capital Cost Escalation'!$C87,'Capital Costs'!$H$7:$K$7,0))*R$9*(1+$F87)^(R$3), 0),0)</f>
        <v>1066571.8029005683</v>
      </c>
      <c r="S87" s="490">
        <f>IFERROR(IF(S$6&lt;=$E$9,INDEX('Capital Costs'!$H$15:$K$55,MATCH('Capital Cost Escalation'!$E87,'Capital Costs'!$B$15:$B$55,0),MATCH('Capital Cost Escalation'!$C87,'Capital Costs'!$H$7:$K$7,0))*S$9*(1+$F87)^(S$3), 0),0)</f>
        <v>2041733.0922824645</v>
      </c>
      <c r="T87" s="490">
        <f>IFERROR(IF(T$6&lt;=$E$9,INDEX('Capital Costs'!$H$15:$K$55,MATCH('Capital Cost Escalation'!$E87,'Capital Costs'!$B$15:$B$55,0),MATCH('Capital Cost Escalation'!$C87,'Capital Costs'!$H$7:$K$7,0))*T$9*(1+$F87)^(T$3), 0),0)</f>
        <v>2895039.8322671419</v>
      </c>
      <c r="U87" s="490">
        <f>IFERROR(IF(U$6&lt;=$E$9,INDEX('Capital Costs'!$H$15:$K$55,MATCH('Capital Cost Escalation'!$E87,'Capital Costs'!$B$15:$B$55,0),MATCH('Capital Cost Escalation'!$C87,'Capital Costs'!$H$7:$K$7,0))*U$9*(1+$F87)^(U$3), 0),0)</f>
        <v>3163074.8341240324</v>
      </c>
      <c r="V87" s="490">
        <f>IFERROR(IF(V$6&lt;=$E$9,INDEX('Capital Costs'!$H$15:$K$55,MATCH('Capital Cost Escalation'!$E87,'Capital Costs'!$B$15:$B$55,0),MATCH('Capital Cost Escalation'!$C87,'Capital Costs'!$H$7:$K$7,0))*V$9*(1+$F87)^(V$3), 0),0)</f>
        <v>3619325.478205448</v>
      </c>
      <c r="W87" s="490">
        <f>IFERROR(IF(W$6&lt;=$E$9,INDEX('Capital Costs'!$H$15:$K$55,MATCH('Capital Cost Escalation'!$E87,'Capital Costs'!$B$15:$B$55,0),MATCH('Capital Cost Escalation'!$C87,'Capital Costs'!$H$7:$K$7,0))*W$9*(1+$F87)^(W$3), 0),0)</f>
        <v>3995288.5950638494</v>
      </c>
      <c r="X87" s="490">
        <f>IFERROR(IF(X$6&lt;=$E$9,INDEX('Capital Costs'!$H$15:$K$55,MATCH('Capital Cost Escalation'!$E87,'Capital Costs'!$B$15:$B$55,0),MATCH('Capital Cost Escalation'!$C87,'Capital Costs'!$H$7:$K$7,0))*X$9*(1+$F87)^(X$3), 0),0)</f>
        <v>4688611.0237585474</v>
      </c>
      <c r="Y87" s="490">
        <f>IFERROR(IF(Y$6&lt;=$E$9,INDEX('Capital Costs'!$H$15:$K$55,MATCH('Capital Cost Escalation'!$E87,'Capital Costs'!$B$15:$B$55,0),MATCH('Capital Cost Escalation'!$C87,'Capital Costs'!$H$7:$K$7,0))*Y$9*(1+$F87)^(Y$3), 0),0)</f>
        <v>4790219.3242635699</v>
      </c>
      <c r="Z87" s="490">
        <f>IFERROR(IF(Z$6&lt;=$E$9,INDEX('Capital Costs'!$H$15:$K$55,MATCH('Capital Cost Escalation'!$E87,'Capital Costs'!$B$15:$B$55,0),MATCH('Capital Cost Escalation'!$C87,'Capital Costs'!$H$7:$K$7,0))*Z$9*(1+$F87)^(Z$3), 0),0)</f>
        <v>4695991.8615138317</v>
      </c>
      <c r="AA87" s="490">
        <f>IFERROR(IF(AA$6&lt;=$E$9,INDEX('Capital Costs'!$H$15:$K$55,MATCH('Capital Cost Escalation'!$E87,'Capital Costs'!$B$15:$B$55,0),MATCH('Capital Cost Escalation'!$C87,'Capital Costs'!$H$7:$K$7,0))*AA$9*(1+$F87)^(AA$3), 0),0)</f>
        <v>4843458.6120973798</v>
      </c>
      <c r="AB87" s="490">
        <f>IFERROR(IF(AB$6&lt;=$E$9,INDEX('Capital Costs'!$H$15:$K$55,MATCH('Capital Cost Escalation'!$E87,'Capital Costs'!$B$15:$B$55,0),MATCH('Capital Cost Escalation'!$C87,'Capital Costs'!$H$7:$K$7,0))*AB$9*(1+$F87)^(AB$3), 0),0)</f>
        <v>4604717.3608770436</v>
      </c>
      <c r="AC87" s="490">
        <f>IFERROR(IF(AC$6&lt;=$E$9,INDEX('Capital Costs'!$H$15:$K$55,MATCH('Capital Cost Escalation'!$E87,'Capital Costs'!$B$15:$B$55,0),MATCH('Capital Cost Escalation'!$C87,'Capital Costs'!$H$7:$K$7,0))*AC$9*(1+$F87)^(AC$3), 0),0)</f>
        <v>4729806.1314993594</v>
      </c>
      <c r="AD87" s="490">
        <f>IFERROR(IF(AD$6&lt;=$E$9,INDEX('Capital Costs'!$H$15:$K$55,MATCH('Capital Cost Escalation'!$E87,'Capital Costs'!$B$15:$B$55,0),MATCH('Capital Cost Escalation'!$C87,'Capital Costs'!$H$7:$K$7,0))*AD$9*(1+$F87)^(AD$3), 0),0)</f>
        <v>4733509.1783115547</v>
      </c>
      <c r="AE87" s="490">
        <f>IFERROR(IF(AE$6&lt;=$E$9,INDEX('Capital Costs'!$H$15:$K$55,MATCH('Capital Cost Escalation'!$E87,'Capital Costs'!$B$15:$B$55,0),MATCH('Capital Cost Escalation'!$C87,'Capital Costs'!$H$7:$K$7,0))*AE$9*(1+$F87)^(AE$3), 0),0)</f>
        <v>4485061.3988003284</v>
      </c>
      <c r="AF87" s="490">
        <f>IFERROR(IF(AF$6&lt;=$E$9,INDEX('Capital Costs'!$H$15:$K$55,MATCH('Capital Cost Escalation'!$E87,'Capital Costs'!$B$15:$B$55,0),MATCH('Capital Cost Escalation'!$C87,'Capital Costs'!$H$7:$K$7,0))*AF$9*(1+$F87)^(AF$3), 0),0)</f>
        <v>4426870.2999121398</v>
      </c>
      <c r="AG87" s="490">
        <f>IFERROR(IF(AG$6&lt;=$E$9,INDEX('Capital Costs'!$H$15:$K$55,MATCH('Capital Cost Escalation'!$E87,'Capital Costs'!$B$15:$B$55,0),MATCH('Capital Cost Escalation'!$C87,'Capital Costs'!$H$7:$K$7,0))*AG$9*(1+$F87)^(AG$3), 0),0)</f>
        <v>3784901.1977466512</v>
      </c>
      <c r="AH87" s="490">
        <f>IFERROR(IF(AH$6&lt;=$E$9,INDEX('Capital Costs'!$H$15:$K$55,MATCH('Capital Cost Escalation'!$E87,'Capital Costs'!$B$15:$B$55,0),MATCH('Capital Cost Escalation'!$C87,'Capital Costs'!$H$7:$K$7,0))*AH$9*(1+$F87)^(AH$3), 0),0)</f>
        <v>3201397.6845550057</v>
      </c>
      <c r="AI87" s="490">
        <f>IFERROR(IF(AI$6&lt;=$E$9,INDEX('Capital Costs'!$H$15:$K$55,MATCH('Capital Cost Escalation'!$E87,'Capital Costs'!$B$15:$B$55,0),MATCH('Capital Cost Escalation'!$C87,'Capital Costs'!$H$7:$K$7,0))*AI$9*(1+$F87)^(AI$3), 0),0)</f>
        <v>1835954.5298536576</v>
      </c>
      <c r="AJ87" s="490">
        <f>IFERROR(IF(AJ$6&lt;=$E$9,INDEX('Capital Costs'!$H$15:$K$55,MATCH('Capital Cost Escalation'!$E87,'Capital Costs'!$B$15:$B$55,0),MATCH('Capital Cost Escalation'!$C87,'Capital Costs'!$H$7:$K$7,0))*AJ$9*(1+$F87)^(AJ$3), 0),0)</f>
        <v>549012.18167412153</v>
      </c>
      <c r="AK87" s="490">
        <f>IFERROR(IF(AK$6&lt;=$E$9,INDEX('Capital Costs'!$H$15:$K$55,MATCH('Capital Cost Escalation'!$E87,'Capital Costs'!$B$15:$B$55,0),MATCH('Capital Cost Escalation'!$C87,'Capital Costs'!$H$7:$K$7,0))*AK$9*(1+$F87)^(AK$3), 0),0)</f>
        <v>131768.38454913904</v>
      </c>
      <c r="AL87" s="490">
        <f>IFERROR(IF(AL$6&lt;=$E$9,INDEX('Capital Costs'!$H$15:$K$55,MATCH('Capital Cost Escalation'!$E87,'Capital Costs'!$B$15:$B$55,0),MATCH('Capital Cost Escalation'!$C87,'Capital Costs'!$H$7:$K$7,0))*AL$9*(1+$F87)^(AL$3), 0),0)</f>
        <v>93235.695409695763</v>
      </c>
      <c r="AM87" s="490">
        <f>IFERROR(IF(AM$6&lt;=$E$9,INDEX('Capital Costs'!$H$15:$K$55,MATCH('Capital Cost Escalation'!$E87,'Capital Costs'!$B$15:$B$55,0),MATCH('Capital Cost Escalation'!$C87,'Capital Costs'!$H$7:$K$7,0))*AM$9*(1+$F87)^(AM$3), 0),0)</f>
        <v>0</v>
      </c>
      <c r="AN87" s="490">
        <f>IFERROR(IF(AN$6&lt;=$E$9,INDEX('Capital Costs'!$H$15:$K$55,MATCH('Capital Cost Escalation'!$E87,'Capital Costs'!$B$15:$B$55,0),MATCH('Capital Cost Escalation'!$C87,'Capital Costs'!$H$7:$K$7,0))*AN$9*(1+$F87)^(AN$3), 0),0)</f>
        <v>0</v>
      </c>
      <c r="AO87" s="490">
        <f>IFERROR(IF(AO$6&lt;=$E$9,INDEX('Capital Costs'!$H$15:$K$55,MATCH('Capital Cost Escalation'!$E87,'Capital Costs'!$B$15:$B$55,0),MATCH('Capital Cost Escalation'!$C87,'Capital Costs'!$H$7:$K$7,0))*AO$9*(1+$F87)^(AO$3), 0),0)</f>
        <v>0</v>
      </c>
      <c r="AP87" s="490">
        <f>IFERROR(IF(AP$6&lt;=$E$9,INDEX('Capital Costs'!$H$15:$K$55,MATCH('Capital Cost Escalation'!$E87,'Capital Costs'!$B$15:$B$55,0),MATCH('Capital Cost Escalation'!$C87,'Capital Costs'!$H$7:$K$7,0))*AP$9*(1+$F87)^(AP$3), 0),0)</f>
        <v>0</v>
      </c>
      <c r="AQ87" s="490">
        <f>IFERROR(IF(AQ$6&lt;=$E$9,INDEX('Capital Costs'!$H$15:$K$55,MATCH('Capital Cost Escalation'!$E87,'Capital Costs'!$B$15:$B$55,0),MATCH('Capital Cost Escalation'!$C87,'Capital Costs'!$H$7:$K$7,0))*AQ$9*(1+$F87)^(AQ$3), 0),0)</f>
        <v>0</v>
      </c>
      <c r="AR87" s="490">
        <f>IFERROR(IF(AR$6&lt;=$E$9,INDEX('Capital Costs'!$H$15:$K$55,MATCH('Capital Cost Escalation'!$E87,'Capital Costs'!$B$15:$B$55,0),MATCH('Capital Cost Escalation'!$C87,'Capital Costs'!$H$7:$K$7,0))*AR$9*(1+$F87)^(AR$3), 0),0)</f>
        <v>0</v>
      </c>
      <c r="AS87" s="490">
        <f>IFERROR(IF(AS$6&lt;=$E$9,INDEX('Capital Costs'!$H$15:$K$55,MATCH('Capital Cost Escalation'!$E87,'Capital Costs'!$B$15:$B$55,0),MATCH('Capital Cost Escalation'!$C87,'Capital Costs'!$H$7:$K$7,0))*AS$9*(1+$F87)^(AS$3), 0),0)</f>
        <v>0</v>
      </c>
      <c r="AT87" s="490">
        <f>IFERROR(IF(AT$6&lt;=$E$9,INDEX('Capital Costs'!$H$15:$K$55,MATCH('Capital Cost Escalation'!$E87,'Capital Costs'!$B$15:$B$55,0),MATCH('Capital Cost Escalation'!$C87,'Capital Costs'!$H$7:$K$7,0))*AT$9*(1+$F87)^(AT$3), 0),0)</f>
        <v>0</v>
      </c>
      <c r="AV87" s="827">
        <f t="shared" si="12"/>
        <v>75461047.590504602</v>
      </c>
      <c r="AW87" s="828">
        <f>INDEX('Capital Costs'!$H$15:$K$55,MATCH('Capital Cost Escalation'!$E87,'Capital Costs'!$B$15:$B$55,0),MATCH('Capital Cost Escalation'!$C87,'Capital Costs'!$H$7:$K$7,0))</f>
        <v>67310200</v>
      </c>
    </row>
    <row r="88" spans="1:49">
      <c r="A88" s="487"/>
      <c r="F88" s="1168"/>
    </row>
    <row r="89" spans="1:49">
      <c r="F89" s="1168"/>
    </row>
    <row r="90" spans="1:49" ht="30">
      <c r="D90" s="486" t="s">
        <v>701</v>
      </c>
      <c r="F90" s="1326" t="s">
        <v>174</v>
      </c>
    </row>
    <row r="91" spans="1:49" ht="6" customHeight="1">
      <c r="D91" s="1456"/>
    </row>
    <row r="92" spans="1:49">
      <c r="A92" s="487" t="str">
        <f t="shared" ref="A92:A126" si="13">B92&amp;"_"&amp;C92&amp;"_"&amp;E92</f>
        <v>BESS_EMAAC_Batteries and Enclosures</v>
      </c>
      <c r="B92" s="478" t="s">
        <v>700</v>
      </c>
      <c r="C92" s="488" t="s">
        <v>120</v>
      </c>
      <c r="E92" s="1478" t="s">
        <v>647</v>
      </c>
      <c r="F92" s="1325">
        <f>INDEX('BESS_Capital Costs_Nominal$'!$F:$F,MATCH('Capital Cost Escalation'!$E92,'BESS_Capital Costs_Nominal$'!$C:$C,0),1)</f>
        <v>-2.5895842177414696E-4</v>
      </c>
      <c r="G92" s="490">
        <f>IFERROR(IF(G$6&lt;=$E$10,INDEX('BESS_Capital Costs'!$D$19:$G$48,MATCH('Capital Cost Escalation'!$E92,'BESS_Capital Costs'!$B$19:$B$48,0),MATCH('Capital Cost Escalation'!$C92,'BESS_Capital Costs'!$D$7:$G$7,0))*G$10*(1+$F92)^(G$4), 0),0)</f>
        <v>1861064.6775252866</v>
      </c>
      <c r="H92" s="490">
        <f>IFERROR(IF(H$6&lt;=$E$10,INDEX('BESS_Capital Costs'!$D$19:$G$48,MATCH('Capital Cost Escalation'!$E92,'BESS_Capital Costs'!$B$19:$B$48,0),MATCH('Capital Cost Escalation'!$C92,'BESS_Capital Costs'!$D$7:$G$7,0))*H$10*(1+$F92)^(H$4), 0),0)</f>
        <v>3004647.3130310285</v>
      </c>
      <c r="I92" s="490">
        <f>IFERROR(IF(I$6&lt;=$E$10,INDEX('BESS_Capital Costs'!$D$19:$G$48,MATCH('Capital Cost Escalation'!$E92,'BESS_Capital Costs'!$B$19:$B$48,0),MATCH('Capital Cost Escalation'!$C92,'BESS_Capital Costs'!$D$7:$G$7,0))*I$10*(1+$F92)^(I$4), 0),0)</f>
        <v>72200592.468589991</v>
      </c>
      <c r="J92" s="490">
        <f>IFERROR(IF(J$6&lt;=$E$10,INDEX('BESS_Capital Costs'!$D$19:$G$48,MATCH('Capital Cost Escalation'!$E92,'BESS_Capital Costs'!$B$19:$B$48,0),MATCH('Capital Cost Escalation'!$C92,'BESS_Capital Costs'!$D$7:$G$7,0))*J$10*(1+$F92)^(J$4), 0),0)</f>
        <v>3456760.9667091165</v>
      </c>
      <c r="K92" s="490">
        <f>IFERROR(IF(K$6&lt;=$E$10,INDEX('BESS_Capital Costs'!$D$19:$G$48,MATCH('Capital Cost Escalation'!$E92,'BESS_Capital Costs'!$B$19:$B$48,0),MATCH('Capital Cost Escalation'!$C92,'BESS_Capital Costs'!$D$7:$G$7,0))*K$10*(1+$F92)^(K$4), 0),0)</f>
        <v>3620283.2972760056</v>
      </c>
      <c r="L92" s="490">
        <f>IFERROR(IF(L$6&lt;=$E$10,INDEX('BESS_Capital Costs'!$D$19:$G$48,MATCH('Capital Cost Escalation'!$E92,'BESS_Capital Costs'!$B$19:$B$48,0),MATCH('Capital Cost Escalation'!$C92,'BESS_Capital Costs'!$D$7:$G$7,0))*L$10*(1+$F92)^(L$4), 0),0)</f>
        <v>4128927.3784074844</v>
      </c>
      <c r="M92" s="490">
        <f>IFERROR(IF(M$6&lt;=$E$10,INDEX('BESS_Capital Costs'!$D$19:$G$48,MATCH('Capital Cost Escalation'!$E92,'BESS_Capital Costs'!$B$19:$B$48,0),MATCH('Capital Cost Escalation'!$C92,'BESS_Capital Costs'!$D$7:$G$7,0))*M$10*(1+$F92)^(M$4), 0),0)</f>
        <v>4894548.8717323095</v>
      </c>
      <c r="N92" s="490">
        <f>IFERROR(IF(N$6&lt;=$E$10,INDEX('BESS_Capital Costs'!$D$19:$G$48,MATCH('Capital Cost Escalation'!$E92,'BESS_Capital Costs'!$B$19:$B$48,0),MATCH('Capital Cost Escalation'!$C92,'BESS_Capital Costs'!$D$7:$G$7,0))*N$10*(1+$F92)^(N$4), 0),0)</f>
        <v>5646227.8764683409</v>
      </c>
      <c r="O92" s="490">
        <f>IFERROR(IF(O$6&lt;=$E$10,INDEX('BESS_Capital Costs'!$D$19:$G$48,MATCH('Capital Cost Escalation'!$E92,'BESS_Capital Costs'!$B$19:$B$48,0),MATCH('Capital Cost Escalation'!$C92,'BESS_Capital Costs'!$D$7:$G$7,0))*O$10*(1+$F92)^(O$4), 0),0)</f>
        <v>6085466.8264132468</v>
      </c>
      <c r="P92" s="490">
        <f>IFERROR(IF(P$6&lt;=$E$10,INDEX('BESS_Capital Costs'!$D$19:$G$48,MATCH('Capital Cost Escalation'!$E92,'BESS_Capital Costs'!$B$19:$B$48,0),MATCH('Capital Cost Escalation'!$C92,'BESS_Capital Costs'!$D$7:$G$7,0))*P$10*(1+$F92)^(P$4), 0),0)</f>
        <v>5995889.5962714674</v>
      </c>
      <c r="Q92" s="490">
        <f>IFERROR(IF(Q$6&lt;=$E$10,INDEX('BESS_Capital Costs'!$D$19:$G$48,MATCH('Capital Cost Escalation'!$E92,'BESS_Capital Costs'!$B$19:$B$48,0),MATCH('Capital Cost Escalation'!$C92,'BESS_Capital Costs'!$D$7:$G$7,0))*Q$10*(1+$F92)^(Q$4), 0),0)</f>
        <v>5309264.3101608474</v>
      </c>
      <c r="R92" s="490">
        <f>IFERROR(IF(R$6&lt;=$E$10,INDEX('BESS_Capital Costs'!$D$19:$G$48,MATCH('Capital Cost Escalation'!$E92,'BESS_Capital Costs'!$B$19:$B$48,0),MATCH('Capital Cost Escalation'!$C92,'BESS_Capital Costs'!$D$7:$G$7,0))*R$10*(1+$F92)^(R$4), 0),0)</f>
        <v>59058147.282869712</v>
      </c>
      <c r="S92" s="490">
        <f>IFERROR(IF(S$6&lt;=$E$10,INDEX('BESS_Capital Costs'!$D$19:$G$48,MATCH('Capital Cost Escalation'!$E92,'BESS_Capital Costs'!$B$19:$B$48,0),MATCH('Capital Cost Escalation'!$C92,'BESS_Capital Costs'!$D$7:$G$7,0))*S$10*(1+$F92)^(S$4), 0),0)</f>
        <v>2700026.2142407992</v>
      </c>
      <c r="T92" s="490">
        <f>IFERROR(IF(T$6&lt;=$E$10,INDEX('BESS_Capital Costs'!$D$19:$G$48,MATCH('Capital Cost Escalation'!$E92,'BESS_Capital Costs'!$B$19:$B$48,0),MATCH('Capital Cost Escalation'!$C92,'BESS_Capital Costs'!$D$7:$G$7,0))*T$10*(1+$F92)^(T$4), 0),0)</f>
        <v>1363284.7649487678</v>
      </c>
      <c r="U92" s="490">
        <f>IFERROR(IF(U$6&lt;=$E$10,INDEX('BESS_Capital Costs'!$D$19:$G$48,MATCH('Capital Cost Escalation'!$E92,'BESS_Capital Costs'!$B$19:$B$48,0),MATCH('Capital Cost Escalation'!$C92,'BESS_Capital Costs'!$D$7:$G$7,0))*U$10*(1+$F92)^(U$4), 0),0)</f>
        <v>430165.66959529941</v>
      </c>
      <c r="V92" s="490">
        <f>IFERROR(IF(V$6&lt;=$E$10,INDEX('BESS_Capital Costs'!$D$19:$G$48,MATCH('Capital Cost Escalation'!$E92,'BESS_Capital Costs'!$B$19:$B$48,0),MATCH('Capital Cost Escalation'!$C92,'BESS_Capital Costs'!$D$7:$G$7,0))*V$10*(1+$F92)^(V$4), 0),0)</f>
        <v>13760771.240123317</v>
      </c>
      <c r="W92" s="490">
        <f>IFERROR(IF(W$6&lt;=$E$10,INDEX('BESS_Capital Costs'!$D$19:$G$48,MATCH('Capital Cost Escalation'!$E92,'BESS_Capital Costs'!$B$19:$B$48,0),MATCH('Capital Cost Escalation'!$C92,'BESS_Capital Costs'!$D$7:$G$7,0))*W$10*(1+$F92)^(W$4), 0),0)</f>
        <v>0</v>
      </c>
      <c r="X92" s="490">
        <f>IFERROR(IF(X$6&lt;=$E$10,INDEX('BESS_Capital Costs'!$D$19:$G$48,MATCH('Capital Cost Escalation'!$E92,'BESS_Capital Costs'!$B$19:$B$48,0),MATCH('Capital Cost Escalation'!$C92,'BESS_Capital Costs'!$D$7:$G$7,0))*X$10*(1+$F92)^(X$4), 0),0)</f>
        <v>0</v>
      </c>
      <c r="Y92" s="490">
        <f>IFERROR(IF(Y$6&lt;=$E$10,INDEX('BESS_Capital Costs'!$D$19:$G$48,MATCH('Capital Cost Escalation'!$E92,'BESS_Capital Costs'!$B$19:$B$48,0),MATCH('Capital Cost Escalation'!$C92,'BESS_Capital Costs'!$D$7:$G$7,0))*Y$10*(1+$F92)^(Y$4), 0),0)</f>
        <v>0</v>
      </c>
      <c r="Z92" s="490">
        <f>IFERROR(IF(Z$6&lt;=$E$10,INDEX('BESS_Capital Costs'!$D$19:$G$48,MATCH('Capital Cost Escalation'!$E92,'BESS_Capital Costs'!$B$19:$B$48,0),MATCH('Capital Cost Escalation'!$C92,'BESS_Capital Costs'!$D$7:$G$7,0))*Z$10*(1+$F92)^(Z$4), 0),0)</f>
        <v>0</v>
      </c>
      <c r="AA92" s="490">
        <f>IFERROR(IF(AA$6&lt;=$E$10,INDEX('BESS_Capital Costs'!$D$19:$G$48,MATCH('Capital Cost Escalation'!$E92,'BESS_Capital Costs'!$B$19:$B$48,0),MATCH('Capital Cost Escalation'!$C92,'BESS_Capital Costs'!$D$7:$G$7,0))*AA$10*(1+$F92)^(AA$4), 0),0)</f>
        <v>0</v>
      </c>
      <c r="AB92" s="490">
        <f>IFERROR(IF(AB$6&lt;=$E$10,INDEX('BESS_Capital Costs'!$D$19:$G$48,MATCH('Capital Cost Escalation'!$E92,'BESS_Capital Costs'!$B$19:$B$48,0),MATCH('Capital Cost Escalation'!$C92,'BESS_Capital Costs'!$D$7:$G$7,0))*AB$10*(1+$F92)^(AB$4), 0),0)</f>
        <v>0</v>
      </c>
      <c r="AC92" s="490">
        <f>IFERROR(IF(AC$6&lt;=$E$10,INDEX('BESS_Capital Costs'!$D$19:$G$48,MATCH('Capital Cost Escalation'!$E92,'BESS_Capital Costs'!$B$19:$B$48,0),MATCH('Capital Cost Escalation'!$C92,'BESS_Capital Costs'!$D$7:$G$7,0))*AC$10*(1+$F92)^(AC$4), 0),0)</f>
        <v>0</v>
      </c>
      <c r="AD92" s="490">
        <f>IFERROR(IF(AD$6&lt;=$E$10,INDEX('BESS_Capital Costs'!$D$19:$G$48,MATCH('Capital Cost Escalation'!$E92,'BESS_Capital Costs'!$B$19:$B$48,0),MATCH('Capital Cost Escalation'!$C92,'BESS_Capital Costs'!$D$7:$G$7,0))*AD$10*(1+$F92)^(AD$4), 0),0)</f>
        <v>0</v>
      </c>
      <c r="AE92" s="490">
        <f>IFERROR(IF(AE$6&lt;=$E$10,INDEX('BESS_Capital Costs'!$D$19:$G$48,MATCH('Capital Cost Escalation'!$E92,'BESS_Capital Costs'!$B$19:$B$48,0),MATCH('Capital Cost Escalation'!$C92,'BESS_Capital Costs'!$D$7:$G$7,0))*AE$10*(1+$F92)^(AE$4), 0),0)</f>
        <v>0</v>
      </c>
      <c r="AF92" s="490">
        <f>IFERROR(IF(AF$6&lt;=$E$10,INDEX('BESS_Capital Costs'!$D$19:$G$48,MATCH('Capital Cost Escalation'!$E92,'BESS_Capital Costs'!$B$19:$B$48,0),MATCH('Capital Cost Escalation'!$C92,'BESS_Capital Costs'!$D$7:$G$7,0))*AF$10*(1+$F92)^(AF$4), 0),0)</f>
        <v>0</v>
      </c>
      <c r="AG92" s="490">
        <f>IFERROR(IF(AG$6&lt;=$E$10,INDEX('BESS_Capital Costs'!$D$19:$G$48,MATCH('Capital Cost Escalation'!$E92,'BESS_Capital Costs'!$B$19:$B$48,0),MATCH('Capital Cost Escalation'!$C92,'BESS_Capital Costs'!$D$7:$G$7,0))*AG$10*(1+$F92)^(AG$4), 0),0)</f>
        <v>0</v>
      </c>
      <c r="AH92" s="490">
        <f>IFERROR(IF(AH$6&lt;=$E$10,INDEX('BESS_Capital Costs'!$D$19:$G$48,MATCH('Capital Cost Escalation'!$E92,'BESS_Capital Costs'!$B$19:$B$48,0),MATCH('Capital Cost Escalation'!$C92,'BESS_Capital Costs'!$D$7:$G$7,0))*AH$10*(1+$F92)^(AH$4), 0),0)</f>
        <v>0</v>
      </c>
      <c r="AI92" s="490">
        <f>IFERROR(IF(AI$6&lt;=$E$10,INDEX('BESS_Capital Costs'!$D$19:$G$48,MATCH('Capital Cost Escalation'!$E92,'BESS_Capital Costs'!$B$19:$B$48,0),MATCH('Capital Cost Escalation'!$C92,'BESS_Capital Costs'!$D$7:$G$7,0))*AI$10*(1+$F92)^(AI$4), 0),0)</f>
        <v>0</v>
      </c>
      <c r="AJ92" s="490">
        <f>IFERROR(IF(AJ$6&lt;=$E$10,INDEX('BESS_Capital Costs'!$D$19:$G$48,MATCH('Capital Cost Escalation'!$E92,'BESS_Capital Costs'!$B$19:$B$48,0),MATCH('Capital Cost Escalation'!$C92,'BESS_Capital Costs'!$D$7:$G$7,0))*AJ$10*(1+$F92)^(AJ$4), 0),0)</f>
        <v>0</v>
      </c>
      <c r="AK92" s="490">
        <f>IFERROR(IF(AK$6&lt;=$E$10,INDEX('BESS_Capital Costs'!$D$19:$G$48,MATCH('Capital Cost Escalation'!$E92,'BESS_Capital Costs'!$B$19:$B$48,0),MATCH('Capital Cost Escalation'!$C92,'BESS_Capital Costs'!$D$7:$G$7,0))*AK$10*(1+$F92)^(AK$4), 0),0)</f>
        <v>0</v>
      </c>
      <c r="AL92" s="490">
        <f>IFERROR(IF(AL$6&lt;=$E$10,INDEX('BESS_Capital Costs'!$D$19:$G$48,MATCH('Capital Cost Escalation'!$E92,'BESS_Capital Costs'!$B$19:$B$48,0),MATCH('Capital Cost Escalation'!$C92,'BESS_Capital Costs'!$D$7:$G$7,0))*AL$10*(1+$F92)^(AL$4), 0),0)</f>
        <v>0</v>
      </c>
      <c r="AM92" s="490">
        <f>IFERROR(IF(AM$6&lt;=$E$10,INDEX('BESS_Capital Costs'!$D$19:$G$48,MATCH('Capital Cost Escalation'!$E92,'BESS_Capital Costs'!$B$19:$B$48,0),MATCH('Capital Cost Escalation'!$C92,'BESS_Capital Costs'!$D$7:$G$7,0))*AM$10*(1+$F92)^(AM$4), 0),0)</f>
        <v>0</v>
      </c>
      <c r="AN92" s="490">
        <f>IFERROR(IF(AN$6&lt;=$E$10,INDEX('BESS_Capital Costs'!$D$19:$G$48,MATCH('Capital Cost Escalation'!$E92,'BESS_Capital Costs'!$B$19:$B$48,0),MATCH('Capital Cost Escalation'!$C92,'BESS_Capital Costs'!$D$7:$G$7,0))*AN$10*(1+$F92)^(AN$4), 0),0)</f>
        <v>0</v>
      </c>
      <c r="AO92" s="490">
        <f>IFERROR(IF(AO$6&lt;=$E$10,INDEX('BESS_Capital Costs'!$D$19:$G$48,MATCH('Capital Cost Escalation'!$E92,'BESS_Capital Costs'!$B$19:$B$48,0),MATCH('Capital Cost Escalation'!$C92,'BESS_Capital Costs'!$D$7:$G$7,0))*AO$10*(1+$F92)^(AO$4), 0),0)</f>
        <v>0</v>
      </c>
      <c r="AP92" s="490">
        <f>IFERROR(IF(AP$6&lt;=$E$10,INDEX('BESS_Capital Costs'!$D$19:$G$48,MATCH('Capital Cost Escalation'!$E92,'BESS_Capital Costs'!$B$19:$B$48,0),MATCH('Capital Cost Escalation'!$C92,'BESS_Capital Costs'!$D$7:$G$7,0))*AP$10*(1+$F92)^(AP$4), 0),0)</f>
        <v>0</v>
      </c>
      <c r="AQ92" s="490">
        <f>IFERROR(IF(AQ$6&lt;=$E$10,INDEX('BESS_Capital Costs'!$D$19:$G$48,MATCH('Capital Cost Escalation'!$E92,'BESS_Capital Costs'!$B$19:$B$48,0),MATCH('Capital Cost Escalation'!$C92,'BESS_Capital Costs'!$D$7:$G$7,0))*AQ$10*(1+$F92)^(AQ$4), 0),0)</f>
        <v>0</v>
      </c>
      <c r="AR92" s="490">
        <f>IFERROR(IF(AR$6&lt;=$E$10,INDEX('BESS_Capital Costs'!$D$19:$G$48,MATCH('Capital Cost Escalation'!$E92,'BESS_Capital Costs'!$B$19:$B$48,0),MATCH('Capital Cost Escalation'!$C92,'BESS_Capital Costs'!$D$7:$G$7,0))*AR$10*(1+$F92)^(AR$4), 0),0)</f>
        <v>0</v>
      </c>
      <c r="AS92" s="490">
        <f>IFERROR(IF(AS$6&lt;=$E$10,INDEX('BESS_Capital Costs'!$D$19:$G$48,MATCH('Capital Cost Escalation'!$E92,'BESS_Capital Costs'!$B$19:$B$48,0),MATCH('Capital Cost Escalation'!$C92,'BESS_Capital Costs'!$D$7:$G$7,0))*AS$10*(1+$F92)^(AS$4), 0),0)</f>
        <v>0</v>
      </c>
      <c r="AT92" s="490">
        <f>IFERROR(IF(AT$6&lt;=$E$10,INDEX('BESS_Capital Costs'!$D$19:$G$48,MATCH('Capital Cost Escalation'!$E92,'BESS_Capital Costs'!$B$19:$B$48,0),MATCH('Capital Cost Escalation'!$C92,'BESS_Capital Costs'!$D$7:$G$7,0))*AT$10*(1+$F92)^(AT$4), 0),0)</f>
        <v>0</v>
      </c>
      <c r="AV92" s="827">
        <f t="shared" ref="AV92:AV93" si="14">SUM(G92:AT92)</f>
        <v>193516068.754363</v>
      </c>
      <c r="AW92" s="828">
        <f>INDEX('BESS_Capital Costs'!$D$19:$G$48,MATCH('Capital Cost Escalation'!$E92,'BESS_Capital Costs'!$B$19:$B$48,0),MATCH('Capital Cost Escalation'!$C92,'BESS_Capital Costs'!$D$7:$G$7,0))</f>
        <v>196133500</v>
      </c>
    </row>
    <row r="93" spans="1:49">
      <c r="A93" s="487" t="str">
        <f t="shared" si="13"/>
        <v>BESS_EMAAC_PCS and BOP Equipment</v>
      </c>
      <c r="B93" s="478" t="s">
        <v>700</v>
      </c>
      <c r="C93" s="488" t="s">
        <v>120</v>
      </c>
      <c r="E93" s="1478" t="s">
        <v>645</v>
      </c>
      <c r="F93" s="1325">
        <f>INDEX('BESS_Capital Costs_Nominal$'!$F:$F,MATCH('Capital Cost Escalation'!$E93,'BESS_Capital Costs_Nominal$'!$C:$C,0),1)</f>
        <v>-2.5895842177414696E-4</v>
      </c>
      <c r="G93" s="490">
        <f>IFERROR(IF(G$6&lt;=$E$10,INDEX('BESS_Capital Costs'!$D$19:$G$48,MATCH('Capital Cost Escalation'!$E93,'BESS_Capital Costs'!$B$19:$B$48,0),MATCH('Capital Cost Escalation'!$C93,'BESS_Capital Costs'!$D$7:$G$7,0))*G$10*(1+$F93)^(G$4), 0),0)</f>
        <v>278549.33682430105</v>
      </c>
      <c r="H93" s="490">
        <f>IFERROR(IF(H$6&lt;=$E$10,INDEX('BESS_Capital Costs'!$D$19:$G$48,MATCH('Capital Cost Escalation'!$E93,'BESS_Capital Costs'!$B$19:$B$48,0),MATCH('Capital Cost Escalation'!$C93,'BESS_Capital Costs'!$D$7:$G$7,0))*H$10*(1+$F93)^(H$4), 0),0)</f>
        <v>449711.67662405939</v>
      </c>
      <c r="I93" s="490">
        <f>IFERROR(IF(I$6&lt;=$E$10,INDEX('BESS_Capital Costs'!$D$19:$G$48,MATCH('Capital Cost Escalation'!$E93,'BESS_Capital Costs'!$B$19:$B$48,0),MATCH('Capital Cost Escalation'!$C93,'BESS_Capital Costs'!$D$7:$G$7,0))*I$10*(1+$F93)^(I$4), 0),0)</f>
        <v>10806409.574754884</v>
      </c>
      <c r="J93" s="490">
        <f>IFERROR(IF(J$6&lt;=$E$10,INDEX('BESS_Capital Costs'!$D$19:$G$48,MATCH('Capital Cost Escalation'!$E93,'BESS_Capital Costs'!$B$19:$B$48,0),MATCH('Capital Cost Escalation'!$C93,'BESS_Capital Costs'!$D$7:$G$7,0))*J$10*(1+$F93)^(J$4), 0),0)</f>
        <v>517380.44704460382</v>
      </c>
      <c r="K93" s="490">
        <f>IFERROR(IF(K$6&lt;=$E$10,INDEX('BESS_Capital Costs'!$D$19:$G$48,MATCH('Capital Cost Escalation'!$E93,'BESS_Capital Costs'!$B$19:$B$48,0),MATCH('Capital Cost Escalation'!$C93,'BESS_Capital Costs'!$D$7:$G$7,0))*K$10*(1+$F93)^(K$4), 0),0)</f>
        <v>541855.16696456878</v>
      </c>
      <c r="L93" s="490">
        <f>IFERROR(IF(L$6&lt;=$E$10,INDEX('BESS_Capital Costs'!$D$19:$G$48,MATCH('Capital Cost Escalation'!$E93,'BESS_Capital Costs'!$B$19:$B$48,0),MATCH('Capital Cost Escalation'!$C93,'BESS_Capital Costs'!$D$7:$G$7,0))*L$10*(1+$F93)^(L$4), 0),0)</f>
        <v>617984.96147938317</v>
      </c>
      <c r="M93" s="490">
        <f>IFERROR(IF(M$6&lt;=$E$10,INDEX('BESS_Capital Costs'!$D$19:$G$48,MATCH('Capital Cost Escalation'!$E93,'BESS_Capital Costs'!$B$19:$B$48,0),MATCH('Capital Cost Escalation'!$C93,'BESS_Capital Costs'!$D$7:$G$7,0))*M$10*(1+$F93)^(M$4), 0),0)</f>
        <v>732577.08812575194</v>
      </c>
      <c r="N93" s="490">
        <f>IFERROR(IF(N$6&lt;=$E$10,INDEX('BESS_Capital Costs'!$D$19:$G$48,MATCH('Capital Cost Escalation'!$E93,'BESS_Capital Costs'!$B$19:$B$48,0),MATCH('Capital Cost Escalation'!$C93,'BESS_Capital Costs'!$D$7:$G$7,0))*N$10*(1+$F93)^(N$4), 0),0)</f>
        <v>845082.41413752199</v>
      </c>
      <c r="O93" s="490">
        <f>IFERROR(IF(O$6&lt;=$E$10,INDEX('BESS_Capital Costs'!$D$19:$G$48,MATCH('Capital Cost Escalation'!$E93,'BESS_Capital Costs'!$B$19:$B$48,0),MATCH('Capital Cost Escalation'!$C93,'BESS_Capital Costs'!$D$7:$G$7,0))*O$10*(1+$F93)^(O$4), 0),0)</f>
        <v>910824.20145533211</v>
      </c>
      <c r="P93" s="490">
        <f>IFERROR(IF(P$6&lt;=$E$10,INDEX('BESS_Capital Costs'!$D$19:$G$48,MATCH('Capital Cost Escalation'!$E93,'BESS_Capital Costs'!$B$19:$B$48,0),MATCH('Capital Cost Escalation'!$C93,'BESS_Capital Costs'!$D$7:$G$7,0))*P$10*(1+$F93)^(P$4), 0),0)</f>
        <v>897416.99516536598</v>
      </c>
      <c r="Q93" s="490">
        <f>IFERROR(IF(Q$6&lt;=$E$10,INDEX('BESS_Capital Costs'!$D$19:$G$48,MATCH('Capital Cost Escalation'!$E93,'BESS_Capital Costs'!$B$19:$B$48,0),MATCH('Capital Cost Escalation'!$C93,'BESS_Capital Costs'!$D$7:$G$7,0))*Q$10*(1+$F93)^(Q$4), 0),0)</f>
        <v>794648.39157914778</v>
      </c>
      <c r="R93" s="490">
        <f>IFERROR(IF(R$6&lt;=$E$10,INDEX('BESS_Capital Costs'!$D$19:$G$48,MATCH('Capital Cost Escalation'!$E93,'BESS_Capital Costs'!$B$19:$B$48,0),MATCH('Capital Cost Escalation'!$C93,'BESS_Capital Costs'!$D$7:$G$7,0))*R$10*(1+$F93)^(R$4), 0),0)</f>
        <v>8839353.0640698224</v>
      </c>
      <c r="S93" s="490">
        <f>IFERROR(IF(S$6&lt;=$E$10,INDEX('BESS_Capital Costs'!$D$19:$G$48,MATCH('Capital Cost Escalation'!$E93,'BESS_Capital Costs'!$B$19:$B$48,0),MATCH('Capital Cost Escalation'!$C93,'BESS_Capital Costs'!$D$7:$G$7,0))*S$10*(1+$F93)^(S$4), 0),0)</f>
        <v>404118.41698327224</v>
      </c>
      <c r="T93" s="490">
        <f>IFERROR(IF(T$6&lt;=$E$10,INDEX('BESS_Capital Costs'!$D$19:$G$48,MATCH('Capital Cost Escalation'!$E93,'BESS_Capital Costs'!$B$19:$B$48,0),MATCH('Capital Cost Escalation'!$C93,'BESS_Capital Costs'!$D$7:$G$7,0))*T$10*(1+$F93)^(T$4), 0),0)</f>
        <v>204045.60452144351</v>
      </c>
      <c r="U93" s="490">
        <f>IFERROR(IF(U$6&lt;=$E$10,INDEX('BESS_Capital Costs'!$D$19:$G$48,MATCH('Capital Cost Escalation'!$E93,'BESS_Capital Costs'!$B$19:$B$48,0),MATCH('Capital Cost Escalation'!$C93,'BESS_Capital Costs'!$D$7:$G$7,0))*U$10*(1+$F93)^(U$4), 0),0)</f>
        <v>64383.770987305739</v>
      </c>
      <c r="V93" s="490">
        <f>IFERROR(IF(V$6&lt;=$E$10,INDEX('BESS_Capital Costs'!$D$19:$G$48,MATCH('Capital Cost Escalation'!$E93,'BESS_Capital Costs'!$B$19:$B$48,0),MATCH('Capital Cost Escalation'!$C93,'BESS_Capital Costs'!$D$7:$G$7,0))*V$10*(1+$F93)^(V$4), 0),0)</f>
        <v>2059602.6292993703</v>
      </c>
      <c r="W93" s="490">
        <f>IFERROR(IF(W$6&lt;=$E$10,INDEX('BESS_Capital Costs'!$D$19:$G$48,MATCH('Capital Cost Escalation'!$E93,'BESS_Capital Costs'!$B$19:$B$48,0),MATCH('Capital Cost Escalation'!$C93,'BESS_Capital Costs'!$D$7:$G$7,0))*W$10*(1+$F93)^(W$4), 0),0)</f>
        <v>0</v>
      </c>
      <c r="X93" s="490">
        <f>IFERROR(IF(X$6&lt;=$E$10,INDEX('BESS_Capital Costs'!$D$19:$G$48,MATCH('Capital Cost Escalation'!$E93,'BESS_Capital Costs'!$B$19:$B$48,0),MATCH('Capital Cost Escalation'!$C93,'BESS_Capital Costs'!$D$7:$G$7,0))*X$10*(1+$F93)^(X$4), 0),0)</f>
        <v>0</v>
      </c>
      <c r="Y93" s="490">
        <f>IFERROR(IF(Y$6&lt;=$E$10,INDEX('BESS_Capital Costs'!$D$19:$G$48,MATCH('Capital Cost Escalation'!$E93,'BESS_Capital Costs'!$B$19:$B$48,0),MATCH('Capital Cost Escalation'!$C93,'BESS_Capital Costs'!$D$7:$G$7,0))*Y$10*(1+$F93)^(Y$4), 0),0)</f>
        <v>0</v>
      </c>
      <c r="Z93" s="490">
        <f>IFERROR(IF(Z$6&lt;=$E$10,INDEX('BESS_Capital Costs'!$D$19:$G$48,MATCH('Capital Cost Escalation'!$E93,'BESS_Capital Costs'!$B$19:$B$48,0),MATCH('Capital Cost Escalation'!$C93,'BESS_Capital Costs'!$D$7:$G$7,0))*Z$10*(1+$F93)^(Z$4), 0),0)</f>
        <v>0</v>
      </c>
      <c r="AA93" s="490">
        <f>IFERROR(IF(AA$6&lt;=$E$10,INDEX('BESS_Capital Costs'!$D$19:$G$48,MATCH('Capital Cost Escalation'!$E93,'BESS_Capital Costs'!$B$19:$B$48,0),MATCH('Capital Cost Escalation'!$C93,'BESS_Capital Costs'!$D$7:$G$7,0))*AA$10*(1+$F93)^(AA$4), 0),0)</f>
        <v>0</v>
      </c>
      <c r="AB93" s="490">
        <f>IFERROR(IF(AB$6&lt;=$E$10,INDEX('BESS_Capital Costs'!$D$19:$G$48,MATCH('Capital Cost Escalation'!$E93,'BESS_Capital Costs'!$B$19:$B$48,0),MATCH('Capital Cost Escalation'!$C93,'BESS_Capital Costs'!$D$7:$G$7,0))*AB$10*(1+$F93)^(AB$4), 0),0)</f>
        <v>0</v>
      </c>
      <c r="AC93" s="490">
        <f>IFERROR(IF(AC$6&lt;=$E$10,INDEX('BESS_Capital Costs'!$D$19:$G$48,MATCH('Capital Cost Escalation'!$E93,'BESS_Capital Costs'!$B$19:$B$48,0),MATCH('Capital Cost Escalation'!$C93,'BESS_Capital Costs'!$D$7:$G$7,0))*AC$10*(1+$F93)^(AC$4), 0),0)</f>
        <v>0</v>
      </c>
      <c r="AD93" s="490">
        <f>IFERROR(IF(AD$6&lt;=$E$10,INDEX('BESS_Capital Costs'!$D$19:$G$48,MATCH('Capital Cost Escalation'!$E93,'BESS_Capital Costs'!$B$19:$B$48,0),MATCH('Capital Cost Escalation'!$C93,'BESS_Capital Costs'!$D$7:$G$7,0))*AD$10*(1+$F93)^(AD$4), 0),0)</f>
        <v>0</v>
      </c>
      <c r="AE93" s="490">
        <f>IFERROR(IF(AE$6&lt;=$E$10,INDEX('BESS_Capital Costs'!$D$19:$G$48,MATCH('Capital Cost Escalation'!$E93,'BESS_Capital Costs'!$B$19:$B$48,0),MATCH('Capital Cost Escalation'!$C93,'BESS_Capital Costs'!$D$7:$G$7,0))*AE$10*(1+$F93)^(AE$4), 0),0)</f>
        <v>0</v>
      </c>
      <c r="AF93" s="490">
        <f>IFERROR(IF(AF$6&lt;=$E$10,INDEX('BESS_Capital Costs'!$D$19:$G$48,MATCH('Capital Cost Escalation'!$E93,'BESS_Capital Costs'!$B$19:$B$48,0),MATCH('Capital Cost Escalation'!$C93,'BESS_Capital Costs'!$D$7:$G$7,0))*AF$10*(1+$F93)^(AF$4), 0),0)</f>
        <v>0</v>
      </c>
      <c r="AG93" s="490">
        <f>IFERROR(IF(AG$6&lt;=$E$10,INDEX('BESS_Capital Costs'!$D$19:$G$48,MATCH('Capital Cost Escalation'!$E93,'BESS_Capital Costs'!$B$19:$B$48,0),MATCH('Capital Cost Escalation'!$C93,'BESS_Capital Costs'!$D$7:$G$7,0))*AG$10*(1+$F93)^(AG$4), 0),0)</f>
        <v>0</v>
      </c>
      <c r="AH93" s="490">
        <f>IFERROR(IF(AH$6&lt;=$E$10,INDEX('BESS_Capital Costs'!$D$19:$G$48,MATCH('Capital Cost Escalation'!$E93,'BESS_Capital Costs'!$B$19:$B$48,0),MATCH('Capital Cost Escalation'!$C93,'BESS_Capital Costs'!$D$7:$G$7,0))*AH$10*(1+$F93)^(AH$4), 0),0)</f>
        <v>0</v>
      </c>
      <c r="AI93" s="490">
        <f>IFERROR(IF(AI$6&lt;=$E$10,INDEX('BESS_Capital Costs'!$D$19:$G$48,MATCH('Capital Cost Escalation'!$E93,'BESS_Capital Costs'!$B$19:$B$48,0),MATCH('Capital Cost Escalation'!$C93,'BESS_Capital Costs'!$D$7:$G$7,0))*AI$10*(1+$F93)^(AI$4), 0),0)</f>
        <v>0</v>
      </c>
      <c r="AJ93" s="490">
        <f>IFERROR(IF(AJ$6&lt;=$E$10,INDEX('BESS_Capital Costs'!$D$19:$G$48,MATCH('Capital Cost Escalation'!$E93,'BESS_Capital Costs'!$B$19:$B$48,0),MATCH('Capital Cost Escalation'!$C93,'BESS_Capital Costs'!$D$7:$G$7,0))*AJ$10*(1+$F93)^(AJ$4), 0),0)</f>
        <v>0</v>
      </c>
      <c r="AK93" s="490">
        <f>IFERROR(IF(AK$6&lt;=$E$10,INDEX('BESS_Capital Costs'!$D$19:$G$48,MATCH('Capital Cost Escalation'!$E93,'BESS_Capital Costs'!$B$19:$B$48,0),MATCH('Capital Cost Escalation'!$C93,'BESS_Capital Costs'!$D$7:$G$7,0))*AK$10*(1+$F93)^(AK$4), 0),0)</f>
        <v>0</v>
      </c>
      <c r="AL93" s="490">
        <f>IFERROR(IF(AL$6&lt;=$E$10,INDEX('BESS_Capital Costs'!$D$19:$G$48,MATCH('Capital Cost Escalation'!$E93,'BESS_Capital Costs'!$B$19:$B$48,0),MATCH('Capital Cost Escalation'!$C93,'BESS_Capital Costs'!$D$7:$G$7,0))*AL$10*(1+$F93)^(AL$4), 0),0)</f>
        <v>0</v>
      </c>
      <c r="AM93" s="490">
        <f>IFERROR(IF(AM$6&lt;=$E$10,INDEX('BESS_Capital Costs'!$D$19:$G$48,MATCH('Capital Cost Escalation'!$E93,'BESS_Capital Costs'!$B$19:$B$48,0),MATCH('Capital Cost Escalation'!$C93,'BESS_Capital Costs'!$D$7:$G$7,0))*AM$10*(1+$F93)^(AM$4), 0),0)</f>
        <v>0</v>
      </c>
      <c r="AN93" s="490">
        <f>IFERROR(IF(AN$6&lt;=$E$10,INDEX('BESS_Capital Costs'!$D$19:$G$48,MATCH('Capital Cost Escalation'!$E93,'BESS_Capital Costs'!$B$19:$B$48,0),MATCH('Capital Cost Escalation'!$C93,'BESS_Capital Costs'!$D$7:$G$7,0))*AN$10*(1+$F93)^(AN$4), 0),0)</f>
        <v>0</v>
      </c>
      <c r="AO93" s="490">
        <f>IFERROR(IF(AO$6&lt;=$E$10,INDEX('BESS_Capital Costs'!$D$19:$G$48,MATCH('Capital Cost Escalation'!$E93,'BESS_Capital Costs'!$B$19:$B$48,0),MATCH('Capital Cost Escalation'!$C93,'BESS_Capital Costs'!$D$7:$G$7,0))*AO$10*(1+$F93)^(AO$4), 0),0)</f>
        <v>0</v>
      </c>
      <c r="AP93" s="490">
        <f>IFERROR(IF(AP$6&lt;=$E$10,INDEX('BESS_Capital Costs'!$D$19:$G$48,MATCH('Capital Cost Escalation'!$E93,'BESS_Capital Costs'!$B$19:$B$48,0),MATCH('Capital Cost Escalation'!$C93,'BESS_Capital Costs'!$D$7:$G$7,0))*AP$10*(1+$F93)^(AP$4), 0),0)</f>
        <v>0</v>
      </c>
      <c r="AQ93" s="490">
        <f>IFERROR(IF(AQ$6&lt;=$E$10,INDEX('BESS_Capital Costs'!$D$19:$G$48,MATCH('Capital Cost Escalation'!$E93,'BESS_Capital Costs'!$B$19:$B$48,0),MATCH('Capital Cost Escalation'!$C93,'BESS_Capital Costs'!$D$7:$G$7,0))*AQ$10*(1+$F93)^(AQ$4), 0),0)</f>
        <v>0</v>
      </c>
      <c r="AR93" s="490">
        <f>IFERROR(IF(AR$6&lt;=$E$10,INDEX('BESS_Capital Costs'!$D$19:$G$48,MATCH('Capital Cost Escalation'!$E93,'BESS_Capital Costs'!$B$19:$B$48,0),MATCH('Capital Cost Escalation'!$C93,'BESS_Capital Costs'!$D$7:$G$7,0))*AR$10*(1+$F93)^(AR$4), 0),0)</f>
        <v>0</v>
      </c>
      <c r="AS93" s="490">
        <f>IFERROR(IF(AS$6&lt;=$E$10,INDEX('BESS_Capital Costs'!$D$19:$G$48,MATCH('Capital Cost Escalation'!$E93,'BESS_Capital Costs'!$B$19:$B$48,0),MATCH('Capital Cost Escalation'!$C93,'BESS_Capital Costs'!$D$7:$G$7,0))*AS$10*(1+$F93)^(AS$4), 0),0)</f>
        <v>0</v>
      </c>
      <c r="AT93" s="490">
        <f>IFERROR(IF(AT$6&lt;=$E$10,INDEX('BESS_Capital Costs'!$D$19:$G$48,MATCH('Capital Cost Escalation'!$E93,'BESS_Capital Costs'!$B$19:$B$48,0),MATCH('Capital Cost Escalation'!$C93,'BESS_Capital Costs'!$D$7:$G$7,0))*AT$10*(1+$F93)^(AT$4), 0),0)</f>
        <v>0</v>
      </c>
      <c r="AV93" s="827">
        <f t="shared" si="14"/>
        <v>28963943.740016133</v>
      </c>
      <c r="AW93" s="828">
        <f>INDEX('BESS_Capital Costs'!$D$19:$G$48,MATCH('Capital Cost Escalation'!$E93,'BESS_Capital Costs'!$B$19:$B$48,0),MATCH('Capital Cost Escalation'!$C93,'BESS_Capital Costs'!$D$7:$G$7,0))</f>
        <v>29355700</v>
      </c>
    </row>
    <row r="94" spans="1:49">
      <c r="A94" s="487" t="str">
        <f t="shared" si="13"/>
        <v>BESS_EMAAC_Project Management</v>
      </c>
      <c r="B94" s="478" t="s">
        <v>700</v>
      </c>
      <c r="C94" s="488" t="s">
        <v>120</v>
      </c>
      <c r="E94" s="1478" t="s">
        <v>642</v>
      </c>
      <c r="F94" s="1325">
        <f>INDEX('BESS_Capital Costs_Nominal$'!$F:$F,MATCH('Capital Cost Escalation'!$E94,'BESS_Capital Costs_Nominal$'!$C:$C,0),1)</f>
        <v>-2.5895842177414696E-4</v>
      </c>
      <c r="G94" s="490">
        <f>IFERROR(IF(G$6&lt;=$E$10,INDEX('BESS_Capital Costs'!$D$19:$G$48,MATCH('Capital Cost Escalation'!$E94,'BESS_Capital Costs'!$B$19:$B$48,0),MATCH('Capital Cost Escalation'!$C94,'BESS_Capital Costs'!$D$7:$G$7,0))*G$10*(1+$F94)^(G$4), 0),0)</f>
        <v>113427.74716542315</v>
      </c>
      <c r="H94" s="490">
        <f>IFERROR(IF(H$6&lt;=$E$10,INDEX('BESS_Capital Costs'!$D$19:$G$48,MATCH('Capital Cost Escalation'!$E94,'BESS_Capital Costs'!$B$19:$B$48,0),MATCH('Capital Cost Escalation'!$C94,'BESS_Capital Costs'!$D$7:$G$7,0))*H$10*(1+$F94)^(H$4), 0),0)</f>
        <v>183126.56183284146</v>
      </c>
      <c r="I94" s="490">
        <f>IFERROR(IF(I$6&lt;=$E$10,INDEX('BESS_Capital Costs'!$D$19:$G$48,MATCH('Capital Cost Escalation'!$E94,'BESS_Capital Costs'!$B$19:$B$48,0),MATCH('Capital Cost Escalation'!$C94,'BESS_Capital Costs'!$D$7:$G$7,0))*I$10*(1+$F94)^(I$4), 0),0)</f>
        <v>4400465.3071009172</v>
      </c>
      <c r="J94" s="490">
        <f>IFERROR(IF(J$6&lt;=$E$10,INDEX('BESS_Capital Costs'!$D$19:$G$48,MATCH('Capital Cost Escalation'!$E94,'BESS_Capital Costs'!$B$19:$B$48,0),MATCH('Capital Cost Escalation'!$C94,'BESS_Capital Costs'!$D$7:$G$7,0))*J$10*(1+$F94)^(J$4), 0),0)</f>
        <v>210681.88208513134</v>
      </c>
      <c r="K94" s="490">
        <f>IFERROR(IF(K$6&lt;=$E$10,INDEX('BESS_Capital Costs'!$D$19:$G$48,MATCH('Capital Cost Escalation'!$E94,'BESS_Capital Costs'!$B$19:$B$48,0),MATCH('Capital Cost Escalation'!$C94,'BESS_Capital Costs'!$D$7:$G$7,0))*K$10*(1+$F94)^(K$4), 0),0)</f>
        <v>220648.20393919267</v>
      </c>
      <c r="L94" s="490">
        <f>IFERROR(IF(L$6&lt;=$E$10,INDEX('BESS_Capital Costs'!$D$19:$G$48,MATCH('Capital Cost Escalation'!$E94,'BESS_Capital Costs'!$B$19:$B$48,0),MATCH('Capital Cost Escalation'!$C94,'BESS_Capital Costs'!$D$7:$G$7,0))*L$10*(1+$F94)^(L$4), 0),0)</f>
        <v>251648.92784121647</v>
      </c>
      <c r="M94" s="490">
        <f>IFERROR(IF(M$6&lt;=$E$10,INDEX('BESS_Capital Costs'!$D$19:$G$48,MATCH('Capital Cost Escalation'!$E94,'BESS_Capital Costs'!$B$19:$B$48,0),MATCH('Capital Cost Escalation'!$C94,'BESS_Capital Costs'!$D$7:$G$7,0))*M$10*(1+$F94)^(M$4), 0),0)</f>
        <v>298311.85268095887</v>
      </c>
      <c r="N94" s="490">
        <f>IFERROR(IF(N$6&lt;=$E$10,INDEX('BESS_Capital Costs'!$D$19:$G$48,MATCH('Capital Cost Escalation'!$E94,'BESS_Capital Costs'!$B$19:$B$48,0),MATCH('Capital Cost Escalation'!$C94,'BESS_Capital Costs'!$D$7:$G$7,0))*N$10*(1+$F94)^(N$4), 0),0)</f>
        <v>344125.01389367395</v>
      </c>
      <c r="O94" s="490">
        <f>IFERROR(IF(O$6&lt;=$E$10,INDEX('BESS_Capital Costs'!$D$19:$G$48,MATCH('Capital Cost Escalation'!$E94,'BESS_Capital Costs'!$B$19:$B$48,0),MATCH('Capital Cost Escalation'!$C94,'BESS_Capital Costs'!$D$7:$G$7,0))*O$10*(1+$F94)^(O$4), 0),0)</f>
        <v>370895.64962773479</v>
      </c>
      <c r="P94" s="490">
        <f>IFERROR(IF(P$6&lt;=$E$10,INDEX('BESS_Capital Costs'!$D$19:$G$48,MATCH('Capital Cost Escalation'!$E94,'BESS_Capital Costs'!$B$19:$B$48,0),MATCH('Capital Cost Escalation'!$C94,'BESS_Capital Costs'!$D$7:$G$7,0))*P$10*(1+$F94)^(P$4), 0),0)</f>
        <v>365436.11695538746</v>
      </c>
      <c r="Q94" s="490">
        <f>IFERROR(IF(Q$6&lt;=$E$10,INDEX('BESS_Capital Costs'!$D$19:$G$48,MATCH('Capital Cost Escalation'!$E94,'BESS_Capital Costs'!$B$19:$B$48,0),MATCH('Capital Cost Escalation'!$C94,'BESS_Capital Costs'!$D$7:$G$7,0))*Q$10*(1+$F94)^(Q$4), 0),0)</f>
        <v>323587.83500642038</v>
      </c>
      <c r="R94" s="490">
        <f>IFERROR(IF(R$6&lt;=$E$10,INDEX('BESS_Capital Costs'!$D$19:$G$48,MATCH('Capital Cost Escalation'!$E94,'BESS_Capital Costs'!$B$19:$B$48,0),MATCH('Capital Cost Escalation'!$C94,'BESS_Capital Costs'!$D$7:$G$7,0))*R$10*(1+$F94)^(R$4), 0),0)</f>
        <v>3599462.5436485671</v>
      </c>
      <c r="S94" s="490">
        <f>IFERROR(IF(S$6&lt;=$E$10,INDEX('BESS_Capital Costs'!$D$19:$G$48,MATCH('Capital Cost Escalation'!$E94,'BESS_Capital Costs'!$B$19:$B$48,0),MATCH('Capital Cost Escalation'!$C94,'BESS_Capital Costs'!$D$7:$G$7,0))*S$10*(1+$F94)^(S$4), 0),0)</f>
        <v>164560.58430820378</v>
      </c>
      <c r="T94" s="490">
        <f>IFERROR(IF(T$6&lt;=$E$10,INDEX('BESS_Capital Costs'!$D$19:$G$48,MATCH('Capital Cost Escalation'!$E94,'BESS_Capital Costs'!$B$19:$B$48,0),MATCH('Capital Cost Escalation'!$C94,'BESS_Capital Costs'!$D$7:$G$7,0))*T$10*(1+$F94)^(T$4), 0),0)</f>
        <v>83089.170140343573</v>
      </c>
      <c r="U94" s="490">
        <f>IFERROR(IF(U$6&lt;=$E$10,INDEX('BESS_Capital Costs'!$D$19:$G$48,MATCH('Capital Cost Escalation'!$E94,'BESS_Capital Costs'!$B$19:$B$48,0),MATCH('Capital Cost Escalation'!$C94,'BESS_Capital Costs'!$D$7:$G$7,0))*U$10*(1+$F94)^(U$4), 0),0)</f>
        <v>26217.639504598908</v>
      </c>
      <c r="V94" s="490">
        <f>IFERROR(IF(V$6&lt;=$E$10,INDEX('BESS_Capital Costs'!$D$19:$G$48,MATCH('Capital Cost Escalation'!$E94,'BESS_Capital Costs'!$B$19:$B$48,0),MATCH('Capital Cost Escalation'!$C94,'BESS_Capital Costs'!$D$7:$G$7,0))*V$10*(1+$F94)^(V$4), 0),0)</f>
        <v>838688.35934355995</v>
      </c>
      <c r="W94" s="490">
        <f>IFERROR(IF(W$6&lt;=$E$10,INDEX('BESS_Capital Costs'!$D$19:$G$48,MATCH('Capital Cost Escalation'!$E94,'BESS_Capital Costs'!$B$19:$B$48,0),MATCH('Capital Cost Escalation'!$C94,'BESS_Capital Costs'!$D$7:$G$7,0))*W$10*(1+$F94)^(W$4), 0),0)</f>
        <v>0</v>
      </c>
      <c r="X94" s="490">
        <f>IFERROR(IF(X$6&lt;=$E$10,INDEX('BESS_Capital Costs'!$D$19:$G$48,MATCH('Capital Cost Escalation'!$E94,'BESS_Capital Costs'!$B$19:$B$48,0),MATCH('Capital Cost Escalation'!$C94,'BESS_Capital Costs'!$D$7:$G$7,0))*X$10*(1+$F94)^(X$4), 0),0)</f>
        <v>0</v>
      </c>
      <c r="Y94" s="490">
        <f>IFERROR(IF(Y$6&lt;=$E$10,INDEX('BESS_Capital Costs'!$D$19:$G$48,MATCH('Capital Cost Escalation'!$E94,'BESS_Capital Costs'!$B$19:$B$48,0),MATCH('Capital Cost Escalation'!$C94,'BESS_Capital Costs'!$D$7:$G$7,0))*Y$10*(1+$F94)^(Y$4), 0),0)</f>
        <v>0</v>
      </c>
      <c r="Z94" s="490">
        <f>IFERROR(IF(Z$6&lt;=$E$10,INDEX('BESS_Capital Costs'!$D$19:$G$48,MATCH('Capital Cost Escalation'!$E94,'BESS_Capital Costs'!$B$19:$B$48,0),MATCH('Capital Cost Escalation'!$C94,'BESS_Capital Costs'!$D$7:$G$7,0))*Z$10*(1+$F94)^(Z$4), 0),0)</f>
        <v>0</v>
      </c>
      <c r="AA94" s="490">
        <f>IFERROR(IF(AA$6&lt;=$E$10,INDEX('BESS_Capital Costs'!$D$19:$G$48,MATCH('Capital Cost Escalation'!$E94,'BESS_Capital Costs'!$B$19:$B$48,0),MATCH('Capital Cost Escalation'!$C94,'BESS_Capital Costs'!$D$7:$G$7,0))*AA$10*(1+$F94)^(AA$4), 0),0)</f>
        <v>0</v>
      </c>
      <c r="AB94" s="490">
        <f>IFERROR(IF(AB$6&lt;=$E$10,INDEX('BESS_Capital Costs'!$D$19:$G$48,MATCH('Capital Cost Escalation'!$E94,'BESS_Capital Costs'!$B$19:$B$48,0),MATCH('Capital Cost Escalation'!$C94,'BESS_Capital Costs'!$D$7:$G$7,0))*AB$10*(1+$F94)^(AB$4), 0),0)</f>
        <v>0</v>
      </c>
      <c r="AC94" s="490">
        <f>IFERROR(IF(AC$6&lt;=$E$10,INDEX('BESS_Capital Costs'!$D$19:$G$48,MATCH('Capital Cost Escalation'!$E94,'BESS_Capital Costs'!$B$19:$B$48,0),MATCH('Capital Cost Escalation'!$C94,'BESS_Capital Costs'!$D$7:$G$7,0))*AC$10*(1+$F94)^(AC$4), 0),0)</f>
        <v>0</v>
      </c>
      <c r="AD94" s="490">
        <f>IFERROR(IF(AD$6&lt;=$E$10,INDEX('BESS_Capital Costs'!$D$19:$G$48,MATCH('Capital Cost Escalation'!$E94,'BESS_Capital Costs'!$B$19:$B$48,0),MATCH('Capital Cost Escalation'!$C94,'BESS_Capital Costs'!$D$7:$G$7,0))*AD$10*(1+$F94)^(AD$4), 0),0)</f>
        <v>0</v>
      </c>
      <c r="AE94" s="490">
        <f>IFERROR(IF(AE$6&lt;=$E$10,INDEX('BESS_Capital Costs'!$D$19:$G$48,MATCH('Capital Cost Escalation'!$E94,'BESS_Capital Costs'!$B$19:$B$48,0),MATCH('Capital Cost Escalation'!$C94,'BESS_Capital Costs'!$D$7:$G$7,0))*AE$10*(1+$F94)^(AE$4), 0),0)</f>
        <v>0</v>
      </c>
      <c r="AF94" s="490">
        <f>IFERROR(IF(AF$6&lt;=$E$10,INDEX('BESS_Capital Costs'!$D$19:$G$48,MATCH('Capital Cost Escalation'!$E94,'BESS_Capital Costs'!$B$19:$B$48,0),MATCH('Capital Cost Escalation'!$C94,'BESS_Capital Costs'!$D$7:$G$7,0))*AF$10*(1+$F94)^(AF$4), 0),0)</f>
        <v>0</v>
      </c>
      <c r="AG94" s="490">
        <f>IFERROR(IF(AG$6&lt;=$E$10,INDEX('BESS_Capital Costs'!$D$19:$G$48,MATCH('Capital Cost Escalation'!$E94,'BESS_Capital Costs'!$B$19:$B$48,0),MATCH('Capital Cost Escalation'!$C94,'BESS_Capital Costs'!$D$7:$G$7,0))*AG$10*(1+$F94)^(AG$4), 0),0)</f>
        <v>0</v>
      </c>
      <c r="AH94" s="490">
        <f>IFERROR(IF(AH$6&lt;=$E$10,INDEX('BESS_Capital Costs'!$D$19:$G$48,MATCH('Capital Cost Escalation'!$E94,'BESS_Capital Costs'!$B$19:$B$48,0),MATCH('Capital Cost Escalation'!$C94,'BESS_Capital Costs'!$D$7:$G$7,0))*AH$10*(1+$F94)^(AH$4), 0),0)</f>
        <v>0</v>
      </c>
      <c r="AI94" s="490">
        <f>IFERROR(IF(AI$6&lt;=$E$10,INDEX('BESS_Capital Costs'!$D$19:$G$48,MATCH('Capital Cost Escalation'!$E94,'BESS_Capital Costs'!$B$19:$B$48,0),MATCH('Capital Cost Escalation'!$C94,'BESS_Capital Costs'!$D$7:$G$7,0))*AI$10*(1+$F94)^(AI$4), 0),0)</f>
        <v>0</v>
      </c>
      <c r="AJ94" s="490">
        <f>IFERROR(IF(AJ$6&lt;=$E$10,INDEX('BESS_Capital Costs'!$D$19:$G$48,MATCH('Capital Cost Escalation'!$E94,'BESS_Capital Costs'!$B$19:$B$48,0),MATCH('Capital Cost Escalation'!$C94,'BESS_Capital Costs'!$D$7:$G$7,0))*AJ$10*(1+$F94)^(AJ$4), 0),0)</f>
        <v>0</v>
      </c>
      <c r="AK94" s="490">
        <f>IFERROR(IF(AK$6&lt;=$E$10,INDEX('BESS_Capital Costs'!$D$19:$G$48,MATCH('Capital Cost Escalation'!$E94,'BESS_Capital Costs'!$B$19:$B$48,0),MATCH('Capital Cost Escalation'!$C94,'BESS_Capital Costs'!$D$7:$G$7,0))*AK$10*(1+$F94)^(AK$4), 0),0)</f>
        <v>0</v>
      </c>
      <c r="AL94" s="490">
        <f>IFERROR(IF(AL$6&lt;=$E$10,INDEX('BESS_Capital Costs'!$D$19:$G$48,MATCH('Capital Cost Escalation'!$E94,'BESS_Capital Costs'!$B$19:$B$48,0),MATCH('Capital Cost Escalation'!$C94,'BESS_Capital Costs'!$D$7:$G$7,0))*AL$10*(1+$F94)^(AL$4), 0),0)</f>
        <v>0</v>
      </c>
      <c r="AM94" s="490">
        <f>IFERROR(IF(AM$6&lt;=$E$10,INDEX('BESS_Capital Costs'!$D$19:$G$48,MATCH('Capital Cost Escalation'!$E94,'BESS_Capital Costs'!$B$19:$B$48,0),MATCH('Capital Cost Escalation'!$C94,'BESS_Capital Costs'!$D$7:$G$7,0))*AM$10*(1+$F94)^(AM$4), 0),0)</f>
        <v>0</v>
      </c>
      <c r="AN94" s="490">
        <f>IFERROR(IF(AN$6&lt;=$E$10,INDEX('BESS_Capital Costs'!$D$19:$G$48,MATCH('Capital Cost Escalation'!$E94,'BESS_Capital Costs'!$B$19:$B$48,0),MATCH('Capital Cost Escalation'!$C94,'BESS_Capital Costs'!$D$7:$G$7,0))*AN$10*(1+$F94)^(AN$4), 0),0)</f>
        <v>0</v>
      </c>
      <c r="AO94" s="490">
        <f>IFERROR(IF(AO$6&lt;=$E$10,INDEX('BESS_Capital Costs'!$D$19:$G$48,MATCH('Capital Cost Escalation'!$E94,'BESS_Capital Costs'!$B$19:$B$48,0),MATCH('Capital Cost Escalation'!$C94,'BESS_Capital Costs'!$D$7:$G$7,0))*AO$10*(1+$F94)^(AO$4), 0),0)</f>
        <v>0</v>
      </c>
      <c r="AP94" s="490">
        <f>IFERROR(IF(AP$6&lt;=$E$10,INDEX('BESS_Capital Costs'!$D$19:$G$48,MATCH('Capital Cost Escalation'!$E94,'BESS_Capital Costs'!$B$19:$B$48,0),MATCH('Capital Cost Escalation'!$C94,'BESS_Capital Costs'!$D$7:$G$7,0))*AP$10*(1+$F94)^(AP$4), 0),0)</f>
        <v>0</v>
      </c>
      <c r="AQ94" s="490">
        <f>IFERROR(IF(AQ$6&lt;=$E$10,INDEX('BESS_Capital Costs'!$D$19:$G$48,MATCH('Capital Cost Escalation'!$E94,'BESS_Capital Costs'!$B$19:$B$48,0),MATCH('Capital Cost Escalation'!$C94,'BESS_Capital Costs'!$D$7:$G$7,0))*AQ$10*(1+$F94)^(AQ$4), 0),0)</f>
        <v>0</v>
      </c>
      <c r="AR94" s="490">
        <f>IFERROR(IF(AR$6&lt;=$E$10,INDEX('BESS_Capital Costs'!$D$19:$G$48,MATCH('Capital Cost Escalation'!$E94,'BESS_Capital Costs'!$B$19:$B$48,0),MATCH('Capital Cost Escalation'!$C94,'BESS_Capital Costs'!$D$7:$G$7,0))*AR$10*(1+$F94)^(AR$4), 0),0)</f>
        <v>0</v>
      </c>
      <c r="AS94" s="490">
        <f>IFERROR(IF(AS$6&lt;=$E$10,INDEX('BESS_Capital Costs'!$D$19:$G$48,MATCH('Capital Cost Escalation'!$E94,'BESS_Capital Costs'!$B$19:$B$48,0),MATCH('Capital Cost Escalation'!$C94,'BESS_Capital Costs'!$D$7:$G$7,0))*AS$10*(1+$F94)^(AS$4), 0),0)</f>
        <v>0</v>
      </c>
      <c r="AT94" s="490">
        <f>IFERROR(IF(AT$6&lt;=$E$10,INDEX('BESS_Capital Costs'!$D$19:$G$48,MATCH('Capital Cost Escalation'!$E94,'BESS_Capital Costs'!$B$19:$B$48,0),MATCH('Capital Cost Escalation'!$C94,'BESS_Capital Costs'!$D$7:$G$7,0))*AT$10*(1+$F94)^(AT$4), 0),0)</f>
        <v>0</v>
      </c>
      <c r="AV94" s="827">
        <f t="shared" ref="AV94" si="15">SUM(G94:AT94)</f>
        <v>11794373.39507417</v>
      </c>
      <c r="AW94" s="828">
        <f>INDEX('BESS_Capital Costs'!$D$19:$G$48,MATCH('Capital Cost Escalation'!$E94,'BESS_Capital Costs'!$B$19:$B$48,0),MATCH('Capital Cost Escalation'!$C94,'BESS_Capital Costs'!$D$7:$G$7,0))</f>
        <v>11953900</v>
      </c>
    </row>
    <row r="95" spans="1:49">
      <c r="A95" s="487" t="str">
        <f t="shared" si="13"/>
        <v>BESS_EMAAC_Construction &amp; Materials</v>
      </c>
      <c r="B95" s="478" t="s">
        <v>700</v>
      </c>
      <c r="C95" s="488" t="s">
        <v>120</v>
      </c>
      <c r="E95" s="1478" t="s">
        <v>640</v>
      </c>
      <c r="F95" s="1325">
        <f>INDEX('BESS_Capital Costs_Nominal$'!$F:$F,MATCH('Capital Cost Escalation'!$E95,'BESS_Capital Costs_Nominal$'!$C:$C,0),1)</f>
        <v>-2.5895842177414696E-4</v>
      </c>
      <c r="G95" s="490">
        <f>IFERROR(IF(G$6&lt;=$E$10,INDEX('BESS_Capital Costs'!$D$19:$G$48,MATCH('Capital Cost Escalation'!$E95,'BESS_Capital Costs'!$B$19:$B$48,0),MATCH('Capital Cost Escalation'!$C95,'BESS_Capital Costs'!$D$7:$G$7,0))*G$10*(1+$F95)^(G$4), 0),0)</f>
        <v>564898.43842578598</v>
      </c>
      <c r="H95" s="490">
        <f>IFERROR(IF(H$6&lt;=$E$10,INDEX('BESS_Capital Costs'!$D$19:$G$48,MATCH('Capital Cost Escalation'!$E95,'BESS_Capital Costs'!$B$19:$B$48,0),MATCH('Capital Cost Escalation'!$C95,'BESS_Capital Costs'!$D$7:$G$7,0))*H$10*(1+$F95)^(H$4), 0),0)</f>
        <v>912015.89909730572</v>
      </c>
      <c r="I95" s="490">
        <f>IFERROR(IF(I$6&lt;=$E$10,INDEX('BESS_Capital Costs'!$D$19:$G$48,MATCH('Capital Cost Escalation'!$E95,'BESS_Capital Costs'!$B$19:$B$48,0),MATCH('Capital Cost Escalation'!$C95,'BESS_Capital Costs'!$D$7:$G$7,0))*I$10*(1+$F95)^(I$4), 0),0)</f>
        <v>21915413.489636168</v>
      </c>
      <c r="J95" s="490">
        <f>IFERROR(IF(J$6&lt;=$E$10,INDEX('BESS_Capital Costs'!$D$19:$G$48,MATCH('Capital Cost Escalation'!$E95,'BESS_Capital Costs'!$B$19:$B$48,0),MATCH('Capital Cost Escalation'!$C95,'BESS_Capital Costs'!$D$7:$G$7,0))*J$10*(1+$F95)^(J$4), 0),0)</f>
        <v>1049248.2586375123</v>
      </c>
      <c r="K95" s="490">
        <f>IFERROR(IF(K$6&lt;=$E$10,INDEX('BESS_Capital Costs'!$D$19:$G$48,MATCH('Capital Cost Escalation'!$E95,'BESS_Capital Costs'!$B$19:$B$48,0),MATCH('Capital Cost Escalation'!$C95,'BESS_Capital Costs'!$D$7:$G$7,0))*K$10*(1+$F95)^(K$4), 0),0)</f>
        <v>1098883.0243178823</v>
      </c>
      <c r="L95" s="490">
        <f>IFERROR(IF(L$6&lt;=$E$10,INDEX('BESS_Capital Costs'!$D$19:$G$48,MATCH('Capital Cost Escalation'!$E95,'BESS_Capital Costs'!$B$19:$B$48,0),MATCH('Capital Cost Escalation'!$C95,'BESS_Capital Costs'!$D$7:$G$7,0))*L$10*(1+$F95)^(L$4), 0),0)</f>
        <v>1253274.3523655271</v>
      </c>
      <c r="M95" s="490">
        <f>IFERROR(IF(M$6&lt;=$E$10,INDEX('BESS_Capital Costs'!$D$19:$G$48,MATCH('Capital Cost Escalation'!$E95,'BESS_Capital Costs'!$B$19:$B$48,0),MATCH('Capital Cost Escalation'!$C95,'BESS_Capital Costs'!$D$7:$G$7,0))*M$10*(1+$F95)^(M$4), 0),0)</f>
        <v>1485667.3429087242</v>
      </c>
      <c r="N95" s="490">
        <f>IFERROR(IF(N$6&lt;=$E$10,INDEX('BESS_Capital Costs'!$D$19:$G$48,MATCH('Capital Cost Escalation'!$E95,'BESS_Capital Costs'!$B$19:$B$48,0),MATCH('Capital Cost Escalation'!$C95,'BESS_Capital Costs'!$D$7:$G$7,0))*N$10*(1+$F95)^(N$4), 0),0)</f>
        <v>1713828.2988930517</v>
      </c>
      <c r="O95" s="490">
        <f>IFERROR(IF(O$6&lt;=$E$10,INDEX('BESS_Capital Costs'!$D$19:$G$48,MATCH('Capital Cost Escalation'!$E95,'BESS_Capital Costs'!$B$19:$B$48,0),MATCH('Capital Cost Escalation'!$C95,'BESS_Capital Costs'!$D$7:$G$7,0))*O$10*(1+$F95)^(O$4), 0),0)</f>
        <v>1847152.7340489535</v>
      </c>
      <c r="P95" s="490">
        <f>IFERROR(IF(P$6&lt;=$E$10,INDEX('BESS_Capital Costs'!$D$19:$G$48,MATCH('Capital Cost Escalation'!$E95,'BESS_Capital Costs'!$B$19:$B$48,0),MATCH('Capital Cost Escalation'!$C95,'BESS_Capital Costs'!$D$7:$G$7,0))*P$10*(1+$F95)^(P$4), 0),0)</f>
        <v>1819962.9012415917</v>
      </c>
      <c r="Q95" s="490">
        <f>IFERROR(IF(Q$6&lt;=$E$10,INDEX('BESS_Capital Costs'!$D$19:$G$48,MATCH('Capital Cost Escalation'!$E95,'BESS_Capital Costs'!$B$19:$B$48,0),MATCH('Capital Cost Escalation'!$C95,'BESS_Capital Costs'!$D$7:$G$7,0))*Q$10*(1+$F95)^(Q$4), 0),0)</f>
        <v>1611548.0317361888</v>
      </c>
      <c r="R95" s="490">
        <f>IFERROR(IF(R$6&lt;=$E$10,INDEX('BESS_Capital Costs'!$D$19:$G$48,MATCH('Capital Cost Escalation'!$E95,'BESS_Capital Costs'!$B$19:$B$48,0),MATCH('Capital Cost Escalation'!$C95,'BESS_Capital Costs'!$D$7:$G$7,0))*R$10*(1+$F95)^(R$4), 0),0)</f>
        <v>17926220.178857744</v>
      </c>
      <c r="S95" s="490">
        <f>IFERROR(IF(S$6&lt;=$E$10,INDEX('BESS_Capital Costs'!$D$19:$G$48,MATCH('Capital Cost Escalation'!$E95,'BESS_Capital Costs'!$B$19:$B$48,0),MATCH('Capital Cost Escalation'!$C95,'BESS_Capital Costs'!$D$7:$G$7,0))*S$10*(1+$F95)^(S$4), 0),0)</f>
        <v>819552.70579928055</v>
      </c>
      <c r="T95" s="490">
        <f>IFERROR(IF(T$6&lt;=$E$10,INDEX('BESS_Capital Costs'!$D$19:$G$48,MATCH('Capital Cost Escalation'!$E95,'BESS_Capital Costs'!$B$19:$B$48,0),MATCH('Capital Cost Escalation'!$C95,'BESS_Capital Costs'!$D$7:$G$7,0))*T$10*(1+$F95)^(T$4), 0),0)</f>
        <v>413804.76678181428</v>
      </c>
      <c r="U95" s="490">
        <f>IFERROR(IF(U$6&lt;=$E$10,INDEX('BESS_Capital Costs'!$D$19:$G$48,MATCH('Capital Cost Escalation'!$E95,'BESS_Capital Costs'!$B$19:$B$48,0),MATCH('Capital Cost Escalation'!$C95,'BESS_Capital Costs'!$D$7:$G$7,0))*U$10*(1+$F95)^(U$4), 0),0)</f>
        <v>130570.37616870549</v>
      </c>
      <c r="V95" s="490">
        <f>IFERROR(IF(V$6&lt;=$E$10,INDEX('BESS_Capital Costs'!$D$19:$G$48,MATCH('Capital Cost Escalation'!$E95,'BESS_Capital Costs'!$B$19:$B$48,0),MATCH('Capital Cost Escalation'!$C95,'BESS_Capital Costs'!$D$7:$G$7,0))*V$10*(1+$F95)^(V$4), 0),0)</f>
        <v>4176876.9666923671</v>
      </c>
      <c r="W95" s="490">
        <f>IFERROR(IF(W$6&lt;=$E$10,INDEX('BESS_Capital Costs'!$D$19:$G$48,MATCH('Capital Cost Escalation'!$E95,'BESS_Capital Costs'!$B$19:$B$48,0),MATCH('Capital Cost Escalation'!$C95,'BESS_Capital Costs'!$D$7:$G$7,0))*W$10*(1+$F95)^(W$4), 0),0)</f>
        <v>0</v>
      </c>
      <c r="X95" s="490">
        <f>IFERROR(IF(X$6&lt;=$E$10,INDEX('BESS_Capital Costs'!$D$19:$G$48,MATCH('Capital Cost Escalation'!$E95,'BESS_Capital Costs'!$B$19:$B$48,0),MATCH('Capital Cost Escalation'!$C95,'BESS_Capital Costs'!$D$7:$G$7,0))*X$10*(1+$F95)^(X$4), 0),0)</f>
        <v>0</v>
      </c>
      <c r="Y95" s="490">
        <f>IFERROR(IF(Y$6&lt;=$E$10,INDEX('BESS_Capital Costs'!$D$19:$G$48,MATCH('Capital Cost Escalation'!$E95,'BESS_Capital Costs'!$B$19:$B$48,0),MATCH('Capital Cost Escalation'!$C95,'BESS_Capital Costs'!$D$7:$G$7,0))*Y$10*(1+$F95)^(Y$4), 0),0)</f>
        <v>0</v>
      </c>
      <c r="Z95" s="490">
        <f>IFERROR(IF(Z$6&lt;=$E$10,INDEX('BESS_Capital Costs'!$D$19:$G$48,MATCH('Capital Cost Escalation'!$E95,'BESS_Capital Costs'!$B$19:$B$48,0),MATCH('Capital Cost Escalation'!$C95,'BESS_Capital Costs'!$D$7:$G$7,0))*Z$10*(1+$F95)^(Z$4), 0),0)</f>
        <v>0</v>
      </c>
      <c r="AA95" s="490">
        <f>IFERROR(IF(AA$6&lt;=$E$10,INDEX('BESS_Capital Costs'!$D$19:$G$48,MATCH('Capital Cost Escalation'!$E95,'BESS_Capital Costs'!$B$19:$B$48,0),MATCH('Capital Cost Escalation'!$C95,'BESS_Capital Costs'!$D$7:$G$7,0))*AA$10*(1+$F95)^(AA$4), 0),0)</f>
        <v>0</v>
      </c>
      <c r="AB95" s="490">
        <f>IFERROR(IF(AB$6&lt;=$E$10,INDEX('BESS_Capital Costs'!$D$19:$G$48,MATCH('Capital Cost Escalation'!$E95,'BESS_Capital Costs'!$B$19:$B$48,0),MATCH('Capital Cost Escalation'!$C95,'BESS_Capital Costs'!$D$7:$G$7,0))*AB$10*(1+$F95)^(AB$4), 0),0)</f>
        <v>0</v>
      </c>
      <c r="AC95" s="490">
        <f>IFERROR(IF(AC$6&lt;=$E$10,INDEX('BESS_Capital Costs'!$D$19:$G$48,MATCH('Capital Cost Escalation'!$E95,'BESS_Capital Costs'!$B$19:$B$48,0),MATCH('Capital Cost Escalation'!$C95,'BESS_Capital Costs'!$D$7:$G$7,0))*AC$10*(1+$F95)^(AC$4), 0),0)</f>
        <v>0</v>
      </c>
      <c r="AD95" s="490">
        <f>IFERROR(IF(AD$6&lt;=$E$10,INDEX('BESS_Capital Costs'!$D$19:$G$48,MATCH('Capital Cost Escalation'!$E95,'BESS_Capital Costs'!$B$19:$B$48,0),MATCH('Capital Cost Escalation'!$C95,'BESS_Capital Costs'!$D$7:$G$7,0))*AD$10*(1+$F95)^(AD$4), 0),0)</f>
        <v>0</v>
      </c>
      <c r="AE95" s="490">
        <f>IFERROR(IF(AE$6&lt;=$E$10,INDEX('BESS_Capital Costs'!$D$19:$G$48,MATCH('Capital Cost Escalation'!$E95,'BESS_Capital Costs'!$B$19:$B$48,0),MATCH('Capital Cost Escalation'!$C95,'BESS_Capital Costs'!$D$7:$G$7,0))*AE$10*(1+$F95)^(AE$4), 0),0)</f>
        <v>0</v>
      </c>
      <c r="AF95" s="490">
        <f>IFERROR(IF(AF$6&lt;=$E$10,INDEX('BESS_Capital Costs'!$D$19:$G$48,MATCH('Capital Cost Escalation'!$E95,'BESS_Capital Costs'!$B$19:$B$48,0),MATCH('Capital Cost Escalation'!$C95,'BESS_Capital Costs'!$D$7:$G$7,0))*AF$10*(1+$F95)^(AF$4), 0),0)</f>
        <v>0</v>
      </c>
      <c r="AG95" s="490">
        <f>IFERROR(IF(AG$6&lt;=$E$10,INDEX('BESS_Capital Costs'!$D$19:$G$48,MATCH('Capital Cost Escalation'!$E95,'BESS_Capital Costs'!$B$19:$B$48,0),MATCH('Capital Cost Escalation'!$C95,'BESS_Capital Costs'!$D$7:$G$7,0))*AG$10*(1+$F95)^(AG$4), 0),0)</f>
        <v>0</v>
      </c>
      <c r="AH95" s="490">
        <f>IFERROR(IF(AH$6&lt;=$E$10,INDEX('BESS_Capital Costs'!$D$19:$G$48,MATCH('Capital Cost Escalation'!$E95,'BESS_Capital Costs'!$B$19:$B$48,0),MATCH('Capital Cost Escalation'!$C95,'BESS_Capital Costs'!$D$7:$G$7,0))*AH$10*(1+$F95)^(AH$4), 0),0)</f>
        <v>0</v>
      </c>
      <c r="AI95" s="490">
        <f>IFERROR(IF(AI$6&lt;=$E$10,INDEX('BESS_Capital Costs'!$D$19:$G$48,MATCH('Capital Cost Escalation'!$E95,'BESS_Capital Costs'!$B$19:$B$48,0),MATCH('Capital Cost Escalation'!$C95,'BESS_Capital Costs'!$D$7:$G$7,0))*AI$10*(1+$F95)^(AI$4), 0),0)</f>
        <v>0</v>
      </c>
      <c r="AJ95" s="490">
        <f>IFERROR(IF(AJ$6&lt;=$E$10,INDEX('BESS_Capital Costs'!$D$19:$G$48,MATCH('Capital Cost Escalation'!$E95,'BESS_Capital Costs'!$B$19:$B$48,0),MATCH('Capital Cost Escalation'!$C95,'BESS_Capital Costs'!$D$7:$G$7,0))*AJ$10*(1+$F95)^(AJ$4), 0),0)</f>
        <v>0</v>
      </c>
      <c r="AK95" s="490">
        <f>IFERROR(IF(AK$6&lt;=$E$10,INDEX('BESS_Capital Costs'!$D$19:$G$48,MATCH('Capital Cost Escalation'!$E95,'BESS_Capital Costs'!$B$19:$B$48,0),MATCH('Capital Cost Escalation'!$C95,'BESS_Capital Costs'!$D$7:$G$7,0))*AK$10*(1+$F95)^(AK$4), 0),0)</f>
        <v>0</v>
      </c>
      <c r="AL95" s="490">
        <f>IFERROR(IF(AL$6&lt;=$E$10,INDEX('BESS_Capital Costs'!$D$19:$G$48,MATCH('Capital Cost Escalation'!$E95,'BESS_Capital Costs'!$B$19:$B$48,0),MATCH('Capital Cost Escalation'!$C95,'BESS_Capital Costs'!$D$7:$G$7,0))*AL$10*(1+$F95)^(AL$4), 0),0)</f>
        <v>0</v>
      </c>
      <c r="AM95" s="490">
        <f>IFERROR(IF(AM$6&lt;=$E$10,INDEX('BESS_Capital Costs'!$D$19:$G$48,MATCH('Capital Cost Escalation'!$E95,'BESS_Capital Costs'!$B$19:$B$48,0),MATCH('Capital Cost Escalation'!$C95,'BESS_Capital Costs'!$D$7:$G$7,0))*AM$10*(1+$F95)^(AM$4), 0),0)</f>
        <v>0</v>
      </c>
      <c r="AN95" s="490">
        <f>IFERROR(IF(AN$6&lt;=$E$10,INDEX('BESS_Capital Costs'!$D$19:$G$48,MATCH('Capital Cost Escalation'!$E95,'BESS_Capital Costs'!$B$19:$B$48,0),MATCH('Capital Cost Escalation'!$C95,'BESS_Capital Costs'!$D$7:$G$7,0))*AN$10*(1+$F95)^(AN$4), 0),0)</f>
        <v>0</v>
      </c>
      <c r="AO95" s="490">
        <f>IFERROR(IF(AO$6&lt;=$E$10,INDEX('BESS_Capital Costs'!$D$19:$G$48,MATCH('Capital Cost Escalation'!$E95,'BESS_Capital Costs'!$B$19:$B$48,0),MATCH('Capital Cost Escalation'!$C95,'BESS_Capital Costs'!$D$7:$G$7,0))*AO$10*(1+$F95)^(AO$4), 0),0)</f>
        <v>0</v>
      </c>
      <c r="AP95" s="490">
        <f>IFERROR(IF(AP$6&lt;=$E$10,INDEX('BESS_Capital Costs'!$D$19:$G$48,MATCH('Capital Cost Escalation'!$E95,'BESS_Capital Costs'!$B$19:$B$48,0),MATCH('Capital Cost Escalation'!$C95,'BESS_Capital Costs'!$D$7:$G$7,0))*AP$10*(1+$F95)^(AP$4), 0),0)</f>
        <v>0</v>
      </c>
      <c r="AQ95" s="490">
        <f>IFERROR(IF(AQ$6&lt;=$E$10,INDEX('BESS_Capital Costs'!$D$19:$G$48,MATCH('Capital Cost Escalation'!$E95,'BESS_Capital Costs'!$B$19:$B$48,0),MATCH('Capital Cost Escalation'!$C95,'BESS_Capital Costs'!$D$7:$G$7,0))*AQ$10*(1+$F95)^(AQ$4), 0),0)</f>
        <v>0</v>
      </c>
      <c r="AR95" s="490">
        <f>IFERROR(IF(AR$6&lt;=$E$10,INDEX('BESS_Capital Costs'!$D$19:$G$48,MATCH('Capital Cost Escalation'!$E95,'BESS_Capital Costs'!$B$19:$B$48,0),MATCH('Capital Cost Escalation'!$C95,'BESS_Capital Costs'!$D$7:$G$7,0))*AR$10*(1+$F95)^(AR$4), 0),0)</f>
        <v>0</v>
      </c>
      <c r="AS95" s="490">
        <f>IFERROR(IF(AS$6&lt;=$E$10,INDEX('BESS_Capital Costs'!$D$19:$G$48,MATCH('Capital Cost Escalation'!$E95,'BESS_Capital Costs'!$B$19:$B$48,0),MATCH('Capital Cost Escalation'!$C95,'BESS_Capital Costs'!$D$7:$G$7,0))*AS$10*(1+$F95)^(AS$4), 0),0)</f>
        <v>0</v>
      </c>
      <c r="AT95" s="490">
        <f>IFERROR(IF(AT$6&lt;=$E$10,INDEX('BESS_Capital Costs'!$D$19:$G$48,MATCH('Capital Cost Escalation'!$E95,'BESS_Capital Costs'!$B$19:$B$48,0),MATCH('Capital Cost Escalation'!$C95,'BESS_Capital Costs'!$D$7:$G$7,0))*AT$10*(1+$F95)^(AT$4), 0),0)</f>
        <v>0</v>
      </c>
      <c r="AV95" s="827">
        <f>SUM(G95:AT95)</f>
        <v>58738917.765608609</v>
      </c>
      <c r="AW95" s="828">
        <f>INDEX('BESS_Capital Costs'!$D$19:$G$48,MATCH('Capital Cost Escalation'!$E95,'BESS_Capital Costs'!$B$19:$B$48,0),MATCH('Capital Cost Escalation'!$C95,'BESS_Capital Costs'!$D$7:$G$7,0))</f>
        <v>59533400</v>
      </c>
    </row>
    <row r="96" spans="1:49">
      <c r="A96" s="487" t="str">
        <f t="shared" si="13"/>
        <v>BESS_EMAAC_Optional Augmentation to Maintain Nameplate over 15 Years</v>
      </c>
      <c r="B96" s="478" t="s">
        <v>700</v>
      </c>
      <c r="C96" s="488" t="s">
        <v>120</v>
      </c>
      <c r="E96" s="1478" t="s">
        <v>636</v>
      </c>
      <c r="F96" s="1325">
        <f>INDEX('BESS_Capital Costs_Nominal$'!$F:$F,MATCH('Capital Cost Escalation'!$E96,'BESS_Capital Costs_Nominal$'!$C:$C,0),1)</f>
        <v>-2.5895842177414696E-4</v>
      </c>
      <c r="G96" s="490">
        <f>IFERROR(IF(G$6&lt;=$E$10,INDEX('BESS_Capital Costs'!$D$19:$G$48,MATCH('Capital Cost Escalation'!$E96,'BESS_Capital Costs'!$B$19:$B$48,0),MATCH('Capital Cost Escalation'!$C96,'BESS_Capital Costs'!$D$7:$G$7,0))*G$10*(1+$F96)^(G$4), 0),0)</f>
        <v>0</v>
      </c>
      <c r="H96" s="490">
        <f>IFERROR(IF(H$6&lt;=$E$10,INDEX('BESS_Capital Costs'!$D$19:$G$48,MATCH('Capital Cost Escalation'!$E96,'BESS_Capital Costs'!$B$19:$B$48,0),MATCH('Capital Cost Escalation'!$C96,'BESS_Capital Costs'!$D$7:$G$7,0))*H$10*(1+$F96)^(H$4), 0),0)</f>
        <v>0</v>
      </c>
      <c r="I96" s="490">
        <f>IFERROR(IF(I$6&lt;=$E$10,INDEX('BESS_Capital Costs'!$D$19:$G$48,MATCH('Capital Cost Escalation'!$E96,'BESS_Capital Costs'!$B$19:$B$48,0),MATCH('Capital Cost Escalation'!$C96,'BESS_Capital Costs'!$D$7:$G$7,0))*I$10*(1+$F96)^(I$4), 0),0)</f>
        <v>0</v>
      </c>
      <c r="J96" s="490">
        <f>IFERROR(IF(J$6&lt;=$E$10,INDEX('BESS_Capital Costs'!$D$19:$G$48,MATCH('Capital Cost Escalation'!$E96,'BESS_Capital Costs'!$B$19:$B$48,0),MATCH('Capital Cost Escalation'!$C96,'BESS_Capital Costs'!$D$7:$G$7,0))*J$10*(1+$F96)^(J$4), 0),0)</f>
        <v>0</v>
      </c>
      <c r="K96" s="490">
        <f>IFERROR(IF(K$6&lt;=$E$10,INDEX('BESS_Capital Costs'!$D$19:$G$48,MATCH('Capital Cost Escalation'!$E96,'BESS_Capital Costs'!$B$19:$B$48,0),MATCH('Capital Cost Escalation'!$C96,'BESS_Capital Costs'!$D$7:$G$7,0))*K$10*(1+$F96)^(K$4), 0),0)</f>
        <v>0</v>
      </c>
      <c r="L96" s="490">
        <f>IFERROR(IF(L$6&lt;=$E$10,INDEX('BESS_Capital Costs'!$D$19:$G$48,MATCH('Capital Cost Escalation'!$E96,'BESS_Capital Costs'!$B$19:$B$48,0),MATCH('Capital Cost Escalation'!$C96,'BESS_Capital Costs'!$D$7:$G$7,0))*L$10*(1+$F96)^(L$4), 0),0)</f>
        <v>0</v>
      </c>
      <c r="M96" s="490">
        <f>IFERROR(IF(M$6&lt;=$E$10,INDEX('BESS_Capital Costs'!$D$19:$G$48,MATCH('Capital Cost Escalation'!$E96,'BESS_Capital Costs'!$B$19:$B$48,0),MATCH('Capital Cost Escalation'!$C96,'BESS_Capital Costs'!$D$7:$G$7,0))*M$10*(1+$F96)^(M$4), 0),0)</f>
        <v>0</v>
      </c>
      <c r="N96" s="490">
        <f>IFERROR(IF(N$6&lt;=$E$10,INDEX('BESS_Capital Costs'!$D$19:$G$48,MATCH('Capital Cost Escalation'!$E96,'BESS_Capital Costs'!$B$19:$B$48,0),MATCH('Capital Cost Escalation'!$C96,'BESS_Capital Costs'!$D$7:$G$7,0))*N$10*(1+$F96)^(N$4), 0),0)</f>
        <v>0</v>
      </c>
      <c r="O96" s="490">
        <f>IFERROR(IF(O$6&lt;=$E$10,INDEX('BESS_Capital Costs'!$D$19:$G$48,MATCH('Capital Cost Escalation'!$E96,'BESS_Capital Costs'!$B$19:$B$48,0),MATCH('Capital Cost Escalation'!$C96,'BESS_Capital Costs'!$D$7:$G$7,0))*O$10*(1+$F96)^(O$4), 0),0)</f>
        <v>0</v>
      </c>
      <c r="P96" s="490">
        <f>IFERROR(IF(P$6&lt;=$E$10,INDEX('BESS_Capital Costs'!$D$19:$G$48,MATCH('Capital Cost Escalation'!$E96,'BESS_Capital Costs'!$B$19:$B$48,0),MATCH('Capital Cost Escalation'!$C96,'BESS_Capital Costs'!$D$7:$G$7,0))*P$10*(1+$F96)^(P$4), 0),0)</f>
        <v>0</v>
      </c>
      <c r="Q96" s="490">
        <f>IFERROR(IF(Q$6&lt;=$E$10,INDEX('BESS_Capital Costs'!$D$19:$G$48,MATCH('Capital Cost Escalation'!$E96,'BESS_Capital Costs'!$B$19:$B$48,0),MATCH('Capital Cost Escalation'!$C96,'BESS_Capital Costs'!$D$7:$G$7,0))*Q$10*(1+$F96)^(Q$4), 0),0)</f>
        <v>0</v>
      </c>
      <c r="R96" s="490">
        <f>IFERROR(IF(R$6&lt;=$E$10,INDEX('BESS_Capital Costs'!$D$19:$G$48,MATCH('Capital Cost Escalation'!$E96,'BESS_Capital Costs'!$B$19:$B$48,0),MATCH('Capital Cost Escalation'!$C96,'BESS_Capital Costs'!$D$7:$G$7,0))*R$10*(1+$F96)^(R$4), 0),0)</f>
        <v>0</v>
      </c>
      <c r="S96" s="490">
        <f>IFERROR(IF(S$6&lt;=$E$10,INDEX('BESS_Capital Costs'!$D$19:$G$48,MATCH('Capital Cost Escalation'!$E96,'BESS_Capital Costs'!$B$19:$B$48,0),MATCH('Capital Cost Escalation'!$C96,'BESS_Capital Costs'!$D$7:$G$7,0))*S$10*(1+$F96)^(S$4), 0),0)</f>
        <v>0</v>
      </c>
      <c r="T96" s="490">
        <f>IFERROR(IF(T$6&lt;=$E$10,INDEX('BESS_Capital Costs'!$D$19:$G$48,MATCH('Capital Cost Escalation'!$E96,'BESS_Capital Costs'!$B$19:$B$48,0),MATCH('Capital Cost Escalation'!$C96,'BESS_Capital Costs'!$D$7:$G$7,0))*T$10*(1+$F96)^(T$4), 0),0)</f>
        <v>0</v>
      </c>
      <c r="U96" s="490">
        <f>IFERROR(IF(U$6&lt;=$E$10,INDEX('BESS_Capital Costs'!$D$19:$G$48,MATCH('Capital Cost Escalation'!$E96,'BESS_Capital Costs'!$B$19:$B$48,0),MATCH('Capital Cost Escalation'!$C96,'BESS_Capital Costs'!$D$7:$G$7,0))*U$10*(1+$F96)^(U$4), 0),0)</f>
        <v>0</v>
      </c>
      <c r="V96" s="490">
        <f>IFERROR(IF(V$6&lt;=$E$10,INDEX('BESS_Capital Costs'!$D$19:$G$48,MATCH('Capital Cost Escalation'!$E96,'BESS_Capital Costs'!$B$19:$B$48,0),MATCH('Capital Cost Escalation'!$C96,'BESS_Capital Costs'!$D$7:$G$7,0))*V$10*(1+$F96)^(V$4), 0),0)</f>
        <v>0</v>
      </c>
      <c r="W96" s="490">
        <f>IFERROR(IF(W$6&lt;=$E$10,INDEX('BESS_Capital Costs'!$D$19:$G$48,MATCH('Capital Cost Escalation'!$E96,'BESS_Capital Costs'!$B$19:$B$48,0),MATCH('Capital Cost Escalation'!$C96,'BESS_Capital Costs'!$D$7:$G$7,0))*W$10*(1+$F96)^(W$4), 0),0)</f>
        <v>0</v>
      </c>
      <c r="X96" s="490">
        <f>IFERROR(IF(X$6&lt;=$E$10,INDEX('BESS_Capital Costs'!$D$19:$G$48,MATCH('Capital Cost Escalation'!$E96,'BESS_Capital Costs'!$B$19:$B$48,0),MATCH('Capital Cost Escalation'!$C96,'BESS_Capital Costs'!$D$7:$G$7,0))*X$10*(1+$F96)^(X$4), 0),0)</f>
        <v>0</v>
      </c>
      <c r="Y96" s="490">
        <f>IFERROR(IF(Y$6&lt;=$E$10,INDEX('BESS_Capital Costs'!$D$19:$G$48,MATCH('Capital Cost Escalation'!$E96,'BESS_Capital Costs'!$B$19:$B$48,0),MATCH('Capital Cost Escalation'!$C96,'BESS_Capital Costs'!$D$7:$G$7,0))*Y$10*(1+$F96)^(Y$4), 0),0)</f>
        <v>0</v>
      </c>
      <c r="Z96" s="490">
        <f>IFERROR(IF(Z$6&lt;=$E$10,INDEX('BESS_Capital Costs'!$D$19:$G$48,MATCH('Capital Cost Escalation'!$E96,'BESS_Capital Costs'!$B$19:$B$48,0),MATCH('Capital Cost Escalation'!$C96,'BESS_Capital Costs'!$D$7:$G$7,0))*Z$10*(1+$F96)^(Z$4), 0),0)</f>
        <v>0</v>
      </c>
      <c r="AA96" s="490">
        <f>IFERROR(IF(AA$6&lt;=$E$10,INDEX('BESS_Capital Costs'!$D$19:$G$48,MATCH('Capital Cost Escalation'!$E96,'BESS_Capital Costs'!$B$19:$B$48,0),MATCH('Capital Cost Escalation'!$C96,'BESS_Capital Costs'!$D$7:$G$7,0))*AA$10*(1+$F96)^(AA$4), 0),0)</f>
        <v>0</v>
      </c>
      <c r="AB96" s="490">
        <f>IFERROR(IF(AB$6&lt;=$E$10,INDEX('BESS_Capital Costs'!$D$19:$G$48,MATCH('Capital Cost Escalation'!$E96,'BESS_Capital Costs'!$B$19:$B$48,0),MATCH('Capital Cost Escalation'!$C96,'BESS_Capital Costs'!$D$7:$G$7,0))*AB$10*(1+$F96)^(AB$4), 0),0)</f>
        <v>0</v>
      </c>
      <c r="AC96" s="490">
        <f>IFERROR(IF(AC$6&lt;=$E$10,INDEX('BESS_Capital Costs'!$D$19:$G$48,MATCH('Capital Cost Escalation'!$E96,'BESS_Capital Costs'!$B$19:$B$48,0),MATCH('Capital Cost Escalation'!$C96,'BESS_Capital Costs'!$D$7:$G$7,0))*AC$10*(1+$F96)^(AC$4), 0),0)</f>
        <v>0</v>
      </c>
      <c r="AD96" s="490">
        <f>IFERROR(IF(AD$6&lt;=$E$10,INDEX('BESS_Capital Costs'!$D$19:$G$48,MATCH('Capital Cost Escalation'!$E96,'BESS_Capital Costs'!$B$19:$B$48,0),MATCH('Capital Cost Escalation'!$C96,'BESS_Capital Costs'!$D$7:$G$7,0))*AD$10*(1+$F96)^(AD$4), 0),0)</f>
        <v>0</v>
      </c>
      <c r="AE96" s="490">
        <f>IFERROR(IF(AE$6&lt;=$E$10,INDEX('BESS_Capital Costs'!$D$19:$G$48,MATCH('Capital Cost Escalation'!$E96,'BESS_Capital Costs'!$B$19:$B$48,0),MATCH('Capital Cost Escalation'!$C96,'BESS_Capital Costs'!$D$7:$G$7,0))*AE$10*(1+$F96)^(AE$4), 0),0)</f>
        <v>0</v>
      </c>
      <c r="AF96" s="490">
        <f>IFERROR(IF(AF$6&lt;=$E$10,INDEX('BESS_Capital Costs'!$D$19:$G$48,MATCH('Capital Cost Escalation'!$E96,'BESS_Capital Costs'!$B$19:$B$48,0),MATCH('Capital Cost Escalation'!$C96,'BESS_Capital Costs'!$D$7:$G$7,0))*AF$10*(1+$F96)^(AF$4), 0),0)</f>
        <v>0</v>
      </c>
      <c r="AG96" s="490">
        <f>IFERROR(IF(AG$6&lt;=$E$10,INDEX('BESS_Capital Costs'!$D$19:$G$48,MATCH('Capital Cost Escalation'!$E96,'BESS_Capital Costs'!$B$19:$B$48,0),MATCH('Capital Cost Escalation'!$C96,'BESS_Capital Costs'!$D$7:$G$7,0))*AG$10*(1+$F96)^(AG$4), 0),0)</f>
        <v>0</v>
      </c>
      <c r="AH96" s="490">
        <f>IFERROR(IF(AH$6&lt;=$E$10,INDEX('BESS_Capital Costs'!$D$19:$G$48,MATCH('Capital Cost Escalation'!$E96,'BESS_Capital Costs'!$B$19:$B$48,0),MATCH('Capital Cost Escalation'!$C96,'BESS_Capital Costs'!$D$7:$G$7,0))*AH$10*(1+$F96)^(AH$4), 0),0)</f>
        <v>0</v>
      </c>
      <c r="AI96" s="490">
        <f>IFERROR(IF(AI$6&lt;=$E$10,INDEX('BESS_Capital Costs'!$D$19:$G$48,MATCH('Capital Cost Escalation'!$E96,'BESS_Capital Costs'!$B$19:$B$48,0),MATCH('Capital Cost Escalation'!$C96,'BESS_Capital Costs'!$D$7:$G$7,0))*AI$10*(1+$F96)^(AI$4), 0),0)</f>
        <v>0</v>
      </c>
      <c r="AJ96" s="490">
        <f>IFERROR(IF(AJ$6&lt;=$E$10,INDEX('BESS_Capital Costs'!$D$19:$G$48,MATCH('Capital Cost Escalation'!$E96,'BESS_Capital Costs'!$B$19:$B$48,0),MATCH('Capital Cost Escalation'!$C96,'BESS_Capital Costs'!$D$7:$G$7,0))*AJ$10*(1+$F96)^(AJ$4), 0),0)</f>
        <v>0</v>
      </c>
      <c r="AK96" s="490">
        <f>IFERROR(IF(AK$6&lt;=$E$10,INDEX('BESS_Capital Costs'!$D$19:$G$48,MATCH('Capital Cost Escalation'!$E96,'BESS_Capital Costs'!$B$19:$B$48,0),MATCH('Capital Cost Escalation'!$C96,'BESS_Capital Costs'!$D$7:$G$7,0))*AK$10*(1+$F96)^(AK$4), 0),0)</f>
        <v>0</v>
      </c>
      <c r="AL96" s="490">
        <f>IFERROR(IF(AL$6&lt;=$E$10,INDEX('BESS_Capital Costs'!$D$19:$G$48,MATCH('Capital Cost Escalation'!$E96,'BESS_Capital Costs'!$B$19:$B$48,0),MATCH('Capital Cost Escalation'!$C96,'BESS_Capital Costs'!$D$7:$G$7,0))*AL$10*(1+$F96)^(AL$4), 0),0)</f>
        <v>0</v>
      </c>
      <c r="AM96" s="490">
        <f>IFERROR(IF(AM$6&lt;=$E$10,INDEX('BESS_Capital Costs'!$D$19:$G$48,MATCH('Capital Cost Escalation'!$E96,'BESS_Capital Costs'!$B$19:$B$48,0),MATCH('Capital Cost Escalation'!$C96,'BESS_Capital Costs'!$D$7:$G$7,0))*AM$10*(1+$F96)^(AM$4), 0),0)</f>
        <v>0</v>
      </c>
      <c r="AN96" s="490">
        <f>IFERROR(IF(AN$6&lt;=$E$10,INDEX('BESS_Capital Costs'!$D$19:$G$48,MATCH('Capital Cost Escalation'!$E96,'BESS_Capital Costs'!$B$19:$B$48,0),MATCH('Capital Cost Escalation'!$C96,'BESS_Capital Costs'!$D$7:$G$7,0))*AN$10*(1+$F96)^(AN$4), 0),0)</f>
        <v>0</v>
      </c>
      <c r="AO96" s="490">
        <f>IFERROR(IF(AO$6&lt;=$E$10,INDEX('BESS_Capital Costs'!$D$19:$G$48,MATCH('Capital Cost Escalation'!$E96,'BESS_Capital Costs'!$B$19:$B$48,0),MATCH('Capital Cost Escalation'!$C96,'BESS_Capital Costs'!$D$7:$G$7,0))*AO$10*(1+$F96)^(AO$4), 0),0)</f>
        <v>0</v>
      </c>
      <c r="AP96" s="490">
        <f>IFERROR(IF(AP$6&lt;=$E$10,INDEX('BESS_Capital Costs'!$D$19:$G$48,MATCH('Capital Cost Escalation'!$E96,'BESS_Capital Costs'!$B$19:$B$48,0),MATCH('Capital Cost Escalation'!$C96,'BESS_Capital Costs'!$D$7:$G$7,0))*AP$10*(1+$F96)^(AP$4), 0),0)</f>
        <v>0</v>
      </c>
      <c r="AQ96" s="490">
        <f>IFERROR(IF(AQ$6&lt;=$E$10,INDEX('BESS_Capital Costs'!$D$19:$G$48,MATCH('Capital Cost Escalation'!$E96,'BESS_Capital Costs'!$B$19:$B$48,0),MATCH('Capital Cost Escalation'!$C96,'BESS_Capital Costs'!$D$7:$G$7,0))*AQ$10*(1+$F96)^(AQ$4), 0),0)</f>
        <v>0</v>
      </c>
      <c r="AR96" s="490">
        <f>IFERROR(IF(AR$6&lt;=$E$10,INDEX('BESS_Capital Costs'!$D$19:$G$48,MATCH('Capital Cost Escalation'!$E96,'BESS_Capital Costs'!$B$19:$B$48,0),MATCH('Capital Cost Escalation'!$C96,'BESS_Capital Costs'!$D$7:$G$7,0))*AR$10*(1+$F96)^(AR$4), 0),0)</f>
        <v>0</v>
      </c>
      <c r="AS96" s="490">
        <f>IFERROR(IF(AS$6&lt;=$E$10,INDEX('BESS_Capital Costs'!$D$19:$G$48,MATCH('Capital Cost Escalation'!$E96,'BESS_Capital Costs'!$B$19:$B$48,0),MATCH('Capital Cost Escalation'!$C96,'BESS_Capital Costs'!$D$7:$G$7,0))*AS$10*(1+$F96)^(AS$4), 0),0)</f>
        <v>0</v>
      </c>
      <c r="AT96" s="490">
        <f>IFERROR(IF(AT$6&lt;=$E$10,INDEX('BESS_Capital Costs'!$D$19:$G$48,MATCH('Capital Cost Escalation'!$E96,'BESS_Capital Costs'!$B$19:$B$48,0),MATCH('Capital Cost Escalation'!$C96,'BESS_Capital Costs'!$D$7:$G$7,0))*AT$10*(1+$F96)^(AT$4), 0),0)</f>
        <v>0</v>
      </c>
      <c r="AV96" s="827">
        <f t="shared" ref="AV96:AV99" si="16">SUM(G96:AT96)</f>
        <v>0</v>
      </c>
      <c r="AW96" s="828">
        <f>INDEX('BESS_Capital Costs'!$D$19:$G$48,MATCH('Capital Cost Escalation'!$E96,'BESS_Capital Costs'!$B$19:$B$48,0),MATCH('Capital Cost Escalation'!$C96,'BESS_Capital Costs'!$D$7:$G$7,0))</f>
        <v>0</v>
      </c>
    </row>
    <row r="97" spans="1:49">
      <c r="A97" s="487" t="str">
        <f t="shared" si="13"/>
        <v>BESS_EMAAC_Project Development</v>
      </c>
      <c r="B97" s="478" t="s">
        <v>700</v>
      </c>
      <c r="C97" s="488" t="s">
        <v>120</v>
      </c>
      <c r="E97" s="1478" t="s">
        <v>146</v>
      </c>
      <c r="F97" s="1325">
        <f>INDEX('BESS_Capital Costs_Nominal$'!$F:$F,MATCH('Capital Cost Escalation'!$E97,'BESS_Capital Costs_Nominal$'!$C:$C,0),1)</f>
        <v>-2.5895842177414696E-4</v>
      </c>
      <c r="G97" s="490">
        <f>IFERROR(IF(G$6&lt;=$E$10,INDEX('BESS_Capital Costs'!$D$19:$G$48,MATCH('Capital Cost Escalation'!$E97,'BESS_Capital Costs'!$B$19:$B$48,0),MATCH('Capital Cost Escalation'!$C97,'BESS_Capital Costs'!$D$7:$G$7,0))*G$10*(1+$F97)^(G$4), 0),0)</f>
        <v>140898.67053090359</v>
      </c>
      <c r="H97" s="490">
        <f>IFERROR(IF(H$6&lt;=$E$10,INDEX('BESS_Capital Costs'!$D$19:$G$48,MATCH('Capital Cost Escalation'!$E97,'BESS_Capital Costs'!$B$19:$B$48,0),MATCH('Capital Cost Escalation'!$C97,'BESS_Capital Costs'!$D$7:$G$7,0))*H$10*(1+$F97)^(H$4), 0),0)</f>
        <v>227477.75342405934</v>
      </c>
      <c r="I97" s="490">
        <f>IFERROR(IF(I$6&lt;=$E$10,INDEX('BESS_Capital Costs'!$D$19:$G$48,MATCH('Capital Cost Escalation'!$E97,'BESS_Capital Costs'!$B$19:$B$48,0),MATCH('Capital Cost Escalation'!$C97,'BESS_Capital Costs'!$D$7:$G$7,0))*I$10*(1+$F97)^(I$4), 0),0)</f>
        <v>5466208.4629402561</v>
      </c>
      <c r="J97" s="490">
        <f>IFERROR(IF(J$6&lt;=$E$10,INDEX('BESS_Capital Costs'!$D$19:$G$48,MATCH('Capital Cost Escalation'!$E97,'BESS_Capital Costs'!$B$19:$B$48,0),MATCH('Capital Cost Escalation'!$C97,'BESS_Capital Costs'!$D$7:$G$7,0))*J$10*(1+$F97)^(J$4), 0),0)</f>
        <v>261706.66201675727</v>
      </c>
      <c r="K97" s="490">
        <f>IFERROR(IF(K$6&lt;=$E$10,INDEX('BESS_Capital Costs'!$D$19:$G$48,MATCH('Capital Cost Escalation'!$E97,'BESS_Capital Costs'!$B$19:$B$48,0),MATCH('Capital Cost Escalation'!$C97,'BESS_Capital Costs'!$D$7:$G$7,0))*K$10*(1+$F97)^(K$4), 0),0)</f>
        <v>274086.71482052485</v>
      </c>
      <c r="L97" s="490">
        <f>IFERROR(IF(L$6&lt;=$E$10,INDEX('BESS_Capital Costs'!$D$19:$G$48,MATCH('Capital Cost Escalation'!$E97,'BESS_Capital Costs'!$B$19:$B$48,0),MATCH('Capital Cost Escalation'!$C97,'BESS_Capital Costs'!$D$7:$G$7,0))*L$10*(1+$F97)^(L$4), 0),0)</f>
        <v>312595.46503770514</v>
      </c>
      <c r="M97" s="490">
        <f>IFERROR(IF(M$6&lt;=$E$10,INDEX('BESS_Capital Costs'!$D$19:$G$48,MATCH('Capital Cost Escalation'!$E97,'BESS_Capital Costs'!$B$19:$B$48,0),MATCH('Capital Cost Escalation'!$C97,'BESS_Capital Costs'!$D$7:$G$7,0))*M$10*(1+$F97)^(M$4), 0),0)</f>
        <v>370559.62493073882</v>
      </c>
      <c r="N97" s="490">
        <f>IFERROR(IF(N$6&lt;=$E$10,INDEX('BESS_Capital Costs'!$D$19:$G$48,MATCH('Capital Cost Escalation'!$E97,'BESS_Capital Costs'!$B$19:$B$48,0),MATCH('Capital Cost Escalation'!$C97,'BESS_Capital Costs'!$D$7:$G$7,0))*N$10*(1+$F97)^(N$4), 0),0)</f>
        <v>427468.21801313077</v>
      </c>
      <c r="O97" s="490">
        <f>IFERROR(IF(O$6&lt;=$E$10,INDEX('BESS_Capital Costs'!$D$19:$G$48,MATCH('Capital Cost Escalation'!$E97,'BESS_Capital Costs'!$B$19:$B$48,0),MATCH('Capital Cost Escalation'!$C97,'BESS_Capital Costs'!$D$7:$G$7,0))*O$10*(1+$F97)^(O$4), 0),0)</f>
        <v>460722.40033145947</v>
      </c>
      <c r="P97" s="490">
        <f>IFERROR(IF(P$6&lt;=$E$10,INDEX('BESS_Capital Costs'!$D$19:$G$48,MATCH('Capital Cost Escalation'!$E97,'BESS_Capital Costs'!$B$19:$B$48,0),MATCH('Capital Cost Escalation'!$C97,'BESS_Capital Costs'!$D$7:$G$7,0))*P$10*(1+$F97)^(P$4), 0),0)</f>
        <v>453940.6303106558</v>
      </c>
      <c r="Q97" s="490">
        <f>IFERROR(IF(Q$6&lt;=$E$10,INDEX('BESS_Capital Costs'!$D$19:$G$48,MATCH('Capital Cost Escalation'!$E97,'BESS_Capital Costs'!$B$19:$B$48,0),MATCH('Capital Cost Escalation'!$C97,'BESS_Capital Costs'!$D$7:$G$7,0))*Q$10*(1+$F97)^(Q$4), 0),0)</f>
        <v>401957.16561208782</v>
      </c>
      <c r="R97" s="490">
        <f>IFERROR(IF(R$6&lt;=$E$10,INDEX('BESS_Capital Costs'!$D$19:$G$48,MATCH('Capital Cost Escalation'!$E97,'BESS_Capital Costs'!$B$19:$B$48,0),MATCH('Capital Cost Escalation'!$C97,'BESS_Capital Costs'!$D$7:$G$7,0))*R$10*(1+$F97)^(R$4), 0),0)</f>
        <v>4471211.8480694648</v>
      </c>
      <c r="S97" s="490">
        <f>IFERROR(IF(S$6&lt;=$E$10,INDEX('BESS_Capital Costs'!$D$19:$G$48,MATCH('Capital Cost Escalation'!$E97,'BESS_Capital Costs'!$B$19:$B$48,0),MATCH('Capital Cost Escalation'!$C97,'BESS_Capital Costs'!$D$7:$G$7,0))*S$10*(1+$F97)^(S$4), 0),0)</f>
        <v>204415.30516337915</v>
      </c>
      <c r="T97" s="490">
        <f>IFERROR(IF(T$6&lt;=$E$10,INDEX('BESS_Capital Costs'!$D$19:$G$48,MATCH('Capital Cost Escalation'!$E97,'BESS_Capital Costs'!$B$19:$B$48,0),MATCH('Capital Cost Escalation'!$C97,'BESS_Capital Costs'!$D$7:$G$7,0))*T$10*(1+$F97)^(T$4), 0),0)</f>
        <v>103212.43170964804</v>
      </c>
      <c r="U97" s="490">
        <f>IFERROR(IF(U$6&lt;=$E$10,INDEX('BESS_Capital Costs'!$D$19:$G$48,MATCH('Capital Cost Escalation'!$E97,'BESS_Capital Costs'!$B$19:$B$48,0),MATCH('Capital Cost Escalation'!$C97,'BESS_Capital Costs'!$D$7:$G$7,0))*U$10*(1+$F97)^(U$4), 0),0)</f>
        <v>32567.25662786113</v>
      </c>
      <c r="V97" s="490">
        <f>IFERROR(IF(V$6&lt;=$E$10,INDEX('BESS_Capital Costs'!$D$19:$G$48,MATCH('Capital Cost Escalation'!$E97,'BESS_Capital Costs'!$B$19:$B$48,0),MATCH('Capital Cost Escalation'!$C97,'BESS_Capital Costs'!$D$7:$G$7,0))*V$10*(1+$F97)^(V$4), 0),0)</f>
        <v>1041809.2378129751</v>
      </c>
      <c r="W97" s="490">
        <f>IFERROR(IF(W$6&lt;=$E$10,INDEX('BESS_Capital Costs'!$D$19:$G$48,MATCH('Capital Cost Escalation'!$E97,'BESS_Capital Costs'!$B$19:$B$48,0),MATCH('Capital Cost Escalation'!$C97,'BESS_Capital Costs'!$D$7:$G$7,0))*W$10*(1+$F97)^(W$4), 0),0)</f>
        <v>0</v>
      </c>
      <c r="X97" s="490">
        <f>IFERROR(IF(X$6&lt;=$E$10,INDEX('BESS_Capital Costs'!$D$19:$G$48,MATCH('Capital Cost Escalation'!$E97,'BESS_Capital Costs'!$B$19:$B$48,0),MATCH('Capital Cost Escalation'!$C97,'BESS_Capital Costs'!$D$7:$G$7,0))*X$10*(1+$F97)^(X$4), 0),0)</f>
        <v>0</v>
      </c>
      <c r="Y97" s="490">
        <f>IFERROR(IF(Y$6&lt;=$E$10,INDEX('BESS_Capital Costs'!$D$19:$G$48,MATCH('Capital Cost Escalation'!$E97,'BESS_Capital Costs'!$B$19:$B$48,0),MATCH('Capital Cost Escalation'!$C97,'BESS_Capital Costs'!$D$7:$G$7,0))*Y$10*(1+$F97)^(Y$4), 0),0)</f>
        <v>0</v>
      </c>
      <c r="Z97" s="490">
        <f>IFERROR(IF(Z$6&lt;=$E$10,INDEX('BESS_Capital Costs'!$D$19:$G$48,MATCH('Capital Cost Escalation'!$E97,'BESS_Capital Costs'!$B$19:$B$48,0),MATCH('Capital Cost Escalation'!$C97,'BESS_Capital Costs'!$D$7:$G$7,0))*Z$10*(1+$F97)^(Z$4), 0),0)</f>
        <v>0</v>
      </c>
      <c r="AA97" s="490">
        <f>IFERROR(IF(AA$6&lt;=$E$10,INDEX('BESS_Capital Costs'!$D$19:$G$48,MATCH('Capital Cost Escalation'!$E97,'BESS_Capital Costs'!$B$19:$B$48,0),MATCH('Capital Cost Escalation'!$C97,'BESS_Capital Costs'!$D$7:$G$7,0))*AA$10*(1+$F97)^(AA$4), 0),0)</f>
        <v>0</v>
      </c>
      <c r="AB97" s="490">
        <f>IFERROR(IF(AB$6&lt;=$E$10,INDEX('BESS_Capital Costs'!$D$19:$G$48,MATCH('Capital Cost Escalation'!$E97,'BESS_Capital Costs'!$B$19:$B$48,0),MATCH('Capital Cost Escalation'!$C97,'BESS_Capital Costs'!$D$7:$G$7,0))*AB$10*(1+$F97)^(AB$4), 0),0)</f>
        <v>0</v>
      </c>
      <c r="AC97" s="490">
        <f>IFERROR(IF(AC$6&lt;=$E$10,INDEX('BESS_Capital Costs'!$D$19:$G$48,MATCH('Capital Cost Escalation'!$E97,'BESS_Capital Costs'!$B$19:$B$48,0),MATCH('Capital Cost Escalation'!$C97,'BESS_Capital Costs'!$D$7:$G$7,0))*AC$10*(1+$F97)^(AC$4), 0),0)</f>
        <v>0</v>
      </c>
      <c r="AD97" s="490">
        <f>IFERROR(IF(AD$6&lt;=$E$10,INDEX('BESS_Capital Costs'!$D$19:$G$48,MATCH('Capital Cost Escalation'!$E97,'BESS_Capital Costs'!$B$19:$B$48,0),MATCH('Capital Cost Escalation'!$C97,'BESS_Capital Costs'!$D$7:$G$7,0))*AD$10*(1+$F97)^(AD$4), 0),0)</f>
        <v>0</v>
      </c>
      <c r="AE97" s="490">
        <f>IFERROR(IF(AE$6&lt;=$E$10,INDEX('BESS_Capital Costs'!$D$19:$G$48,MATCH('Capital Cost Escalation'!$E97,'BESS_Capital Costs'!$B$19:$B$48,0),MATCH('Capital Cost Escalation'!$C97,'BESS_Capital Costs'!$D$7:$G$7,0))*AE$10*(1+$F97)^(AE$4), 0),0)</f>
        <v>0</v>
      </c>
      <c r="AF97" s="490">
        <f>IFERROR(IF(AF$6&lt;=$E$10,INDEX('BESS_Capital Costs'!$D$19:$G$48,MATCH('Capital Cost Escalation'!$E97,'BESS_Capital Costs'!$B$19:$B$48,0),MATCH('Capital Cost Escalation'!$C97,'BESS_Capital Costs'!$D$7:$G$7,0))*AF$10*(1+$F97)^(AF$4), 0),0)</f>
        <v>0</v>
      </c>
      <c r="AG97" s="490">
        <f>IFERROR(IF(AG$6&lt;=$E$10,INDEX('BESS_Capital Costs'!$D$19:$G$48,MATCH('Capital Cost Escalation'!$E97,'BESS_Capital Costs'!$B$19:$B$48,0),MATCH('Capital Cost Escalation'!$C97,'BESS_Capital Costs'!$D$7:$G$7,0))*AG$10*(1+$F97)^(AG$4), 0),0)</f>
        <v>0</v>
      </c>
      <c r="AH97" s="490">
        <f>IFERROR(IF(AH$6&lt;=$E$10,INDEX('BESS_Capital Costs'!$D$19:$G$48,MATCH('Capital Cost Escalation'!$E97,'BESS_Capital Costs'!$B$19:$B$48,0),MATCH('Capital Cost Escalation'!$C97,'BESS_Capital Costs'!$D$7:$G$7,0))*AH$10*(1+$F97)^(AH$4), 0),0)</f>
        <v>0</v>
      </c>
      <c r="AI97" s="490">
        <f>IFERROR(IF(AI$6&lt;=$E$10,INDEX('BESS_Capital Costs'!$D$19:$G$48,MATCH('Capital Cost Escalation'!$E97,'BESS_Capital Costs'!$B$19:$B$48,0),MATCH('Capital Cost Escalation'!$C97,'BESS_Capital Costs'!$D$7:$G$7,0))*AI$10*(1+$F97)^(AI$4), 0),0)</f>
        <v>0</v>
      </c>
      <c r="AJ97" s="490">
        <f>IFERROR(IF(AJ$6&lt;=$E$10,INDEX('BESS_Capital Costs'!$D$19:$G$48,MATCH('Capital Cost Escalation'!$E97,'BESS_Capital Costs'!$B$19:$B$48,0),MATCH('Capital Cost Escalation'!$C97,'BESS_Capital Costs'!$D$7:$G$7,0))*AJ$10*(1+$F97)^(AJ$4), 0),0)</f>
        <v>0</v>
      </c>
      <c r="AK97" s="490">
        <f>IFERROR(IF(AK$6&lt;=$E$10,INDEX('BESS_Capital Costs'!$D$19:$G$48,MATCH('Capital Cost Escalation'!$E97,'BESS_Capital Costs'!$B$19:$B$48,0),MATCH('Capital Cost Escalation'!$C97,'BESS_Capital Costs'!$D$7:$G$7,0))*AK$10*(1+$F97)^(AK$4), 0),0)</f>
        <v>0</v>
      </c>
      <c r="AL97" s="490">
        <f>IFERROR(IF(AL$6&lt;=$E$10,INDEX('BESS_Capital Costs'!$D$19:$G$48,MATCH('Capital Cost Escalation'!$E97,'BESS_Capital Costs'!$B$19:$B$48,0),MATCH('Capital Cost Escalation'!$C97,'BESS_Capital Costs'!$D$7:$G$7,0))*AL$10*(1+$F97)^(AL$4), 0),0)</f>
        <v>0</v>
      </c>
      <c r="AM97" s="490">
        <f>IFERROR(IF(AM$6&lt;=$E$10,INDEX('BESS_Capital Costs'!$D$19:$G$48,MATCH('Capital Cost Escalation'!$E97,'BESS_Capital Costs'!$B$19:$B$48,0),MATCH('Capital Cost Escalation'!$C97,'BESS_Capital Costs'!$D$7:$G$7,0))*AM$10*(1+$F97)^(AM$4), 0),0)</f>
        <v>0</v>
      </c>
      <c r="AN97" s="490">
        <f>IFERROR(IF(AN$6&lt;=$E$10,INDEX('BESS_Capital Costs'!$D$19:$G$48,MATCH('Capital Cost Escalation'!$E97,'BESS_Capital Costs'!$B$19:$B$48,0),MATCH('Capital Cost Escalation'!$C97,'BESS_Capital Costs'!$D$7:$G$7,0))*AN$10*(1+$F97)^(AN$4), 0),0)</f>
        <v>0</v>
      </c>
      <c r="AO97" s="490">
        <f>IFERROR(IF(AO$6&lt;=$E$10,INDEX('BESS_Capital Costs'!$D$19:$G$48,MATCH('Capital Cost Escalation'!$E97,'BESS_Capital Costs'!$B$19:$B$48,0),MATCH('Capital Cost Escalation'!$C97,'BESS_Capital Costs'!$D$7:$G$7,0))*AO$10*(1+$F97)^(AO$4), 0),0)</f>
        <v>0</v>
      </c>
      <c r="AP97" s="490">
        <f>IFERROR(IF(AP$6&lt;=$E$10,INDEX('BESS_Capital Costs'!$D$19:$G$48,MATCH('Capital Cost Escalation'!$E97,'BESS_Capital Costs'!$B$19:$B$48,0),MATCH('Capital Cost Escalation'!$C97,'BESS_Capital Costs'!$D$7:$G$7,0))*AP$10*(1+$F97)^(AP$4), 0),0)</f>
        <v>0</v>
      </c>
      <c r="AQ97" s="490">
        <f>IFERROR(IF(AQ$6&lt;=$E$10,INDEX('BESS_Capital Costs'!$D$19:$G$48,MATCH('Capital Cost Escalation'!$E97,'BESS_Capital Costs'!$B$19:$B$48,0),MATCH('Capital Cost Escalation'!$C97,'BESS_Capital Costs'!$D$7:$G$7,0))*AQ$10*(1+$F97)^(AQ$4), 0),0)</f>
        <v>0</v>
      </c>
      <c r="AR97" s="490">
        <f>IFERROR(IF(AR$6&lt;=$E$10,INDEX('BESS_Capital Costs'!$D$19:$G$48,MATCH('Capital Cost Escalation'!$E97,'BESS_Capital Costs'!$B$19:$B$48,0),MATCH('Capital Cost Escalation'!$C97,'BESS_Capital Costs'!$D$7:$G$7,0))*AR$10*(1+$F97)^(AR$4), 0),0)</f>
        <v>0</v>
      </c>
      <c r="AS97" s="490">
        <f>IFERROR(IF(AS$6&lt;=$E$10,INDEX('BESS_Capital Costs'!$D$19:$G$48,MATCH('Capital Cost Escalation'!$E97,'BESS_Capital Costs'!$B$19:$B$48,0),MATCH('Capital Cost Escalation'!$C97,'BESS_Capital Costs'!$D$7:$G$7,0))*AS$10*(1+$F97)^(AS$4), 0),0)</f>
        <v>0</v>
      </c>
      <c r="AT97" s="490">
        <f>IFERROR(IF(AT$6&lt;=$E$10,INDEX('BESS_Capital Costs'!$D$19:$G$48,MATCH('Capital Cost Escalation'!$E97,'BESS_Capital Costs'!$B$19:$B$48,0),MATCH('Capital Cost Escalation'!$C97,'BESS_Capital Costs'!$D$7:$G$7,0))*AT$10*(1+$F97)^(AT$4), 0),0)</f>
        <v>0</v>
      </c>
      <c r="AV97" s="827">
        <f t="shared" si="16"/>
        <v>14650837.847351609</v>
      </c>
      <c r="AW97" s="828">
        <f>INDEX('BESS_Capital Costs'!$D$19:$G$48,MATCH('Capital Cost Escalation'!$E97,'BESS_Capital Costs'!$B$19:$B$48,0),MATCH('Capital Cost Escalation'!$C97,'BESS_Capital Costs'!$D$7:$G$7,0))</f>
        <v>14849000</v>
      </c>
    </row>
    <row r="98" spans="1:49">
      <c r="A98" s="487" t="str">
        <f t="shared" si="13"/>
        <v>BESS_EMAAC_Mobilization and Start-Up</v>
      </c>
      <c r="B98" s="478" t="s">
        <v>700</v>
      </c>
      <c r="C98" s="488" t="s">
        <v>120</v>
      </c>
      <c r="E98" s="1478" t="s">
        <v>147</v>
      </c>
      <c r="F98" s="1325">
        <f>INDEX('BESS_Capital Costs_Nominal$'!$F:$F,MATCH('Capital Cost Escalation'!$E98,'BESS_Capital Costs_Nominal$'!$C:$C,0),1)</f>
        <v>-2.5895842177414696E-4</v>
      </c>
      <c r="G98" s="490">
        <f>IFERROR(IF(G$6&lt;=$E$10,INDEX('BESS_Capital Costs'!$D$19:$G$48,MATCH('Capital Cost Escalation'!$E98,'BESS_Capital Costs'!$B$19:$B$48,0),MATCH('Capital Cost Escalation'!$C98,'BESS_Capital Costs'!$D$7:$G$7,0))*G$10*(1+$F98)^(G$4), 0),0)</f>
        <v>28181.631859167868</v>
      </c>
      <c r="H98" s="490">
        <f>IFERROR(IF(H$6&lt;=$E$10,INDEX('BESS_Capital Costs'!$D$19:$G$48,MATCH('Capital Cost Escalation'!$E98,'BESS_Capital Costs'!$B$19:$B$48,0),MATCH('Capital Cost Escalation'!$C98,'BESS_Capital Costs'!$D$7:$G$7,0))*H$10*(1+$F98)^(H$4), 0),0)</f>
        <v>45498.614564580523</v>
      </c>
      <c r="I98" s="490">
        <f>IFERROR(IF(I$6&lt;=$E$10,INDEX('BESS_Capital Costs'!$D$19:$G$48,MATCH('Capital Cost Escalation'!$E98,'BESS_Capital Costs'!$B$19:$B$48,0),MATCH('Capital Cost Escalation'!$C98,'BESS_Capital Costs'!$D$7:$G$7,0))*I$10*(1+$F98)^(I$4), 0),0)</f>
        <v>1093315.3165150895</v>
      </c>
      <c r="J98" s="490">
        <f>IFERROR(IF(J$6&lt;=$E$10,INDEX('BESS_Capital Costs'!$D$19:$G$48,MATCH('Capital Cost Escalation'!$E98,'BESS_Capital Costs'!$B$19:$B$48,0),MATCH('Capital Cost Escalation'!$C98,'BESS_Capital Costs'!$D$7:$G$7,0))*J$10*(1+$F98)^(J$4), 0),0)</f>
        <v>52344.857309567597</v>
      </c>
      <c r="K98" s="490">
        <f>IFERROR(IF(K$6&lt;=$E$10,INDEX('BESS_Capital Costs'!$D$19:$G$48,MATCH('Capital Cost Escalation'!$E98,'BESS_Capital Costs'!$B$19:$B$48,0),MATCH('Capital Cost Escalation'!$C98,'BESS_Capital Costs'!$D$7:$G$7,0))*K$10*(1+$F98)^(K$4), 0),0)</f>
        <v>54821.034616267672</v>
      </c>
      <c r="L98" s="490">
        <f>IFERROR(IF(L$6&lt;=$E$10,INDEX('BESS_Capital Costs'!$D$19:$G$48,MATCH('Capital Cost Escalation'!$E98,'BESS_Capital Costs'!$B$19:$B$48,0),MATCH('Capital Cost Escalation'!$C98,'BESS_Capital Costs'!$D$7:$G$7,0))*L$10*(1+$F98)^(L$4), 0),0)</f>
        <v>62523.30333099766</v>
      </c>
      <c r="M98" s="490">
        <f>IFERROR(IF(M$6&lt;=$E$10,INDEX('BESS_Capital Costs'!$D$19:$G$48,MATCH('Capital Cost Escalation'!$E98,'BESS_Capital Costs'!$B$19:$B$48,0),MATCH('Capital Cost Escalation'!$C98,'BESS_Capital Costs'!$D$7:$G$7,0))*M$10*(1+$F98)^(M$4), 0),0)</f>
        <v>74116.916024263875</v>
      </c>
      <c r="N98" s="490">
        <f>IFERROR(IF(N$6&lt;=$E$10,INDEX('BESS_Capital Costs'!$D$19:$G$48,MATCH('Capital Cost Escalation'!$E98,'BESS_Capital Costs'!$B$19:$B$48,0),MATCH('Capital Cost Escalation'!$C98,'BESS_Capital Costs'!$D$7:$G$7,0))*N$10*(1+$F98)^(N$4), 0),0)</f>
        <v>85499.401138056346</v>
      </c>
      <c r="O98" s="490">
        <f>IFERROR(IF(O$6&lt;=$E$10,INDEX('BESS_Capital Costs'!$D$19:$G$48,MATCH('Capital Cost Escalation'!$E98,'BESS_Capital Costs'!$B$19:$B$48,0),MATCH('Capital Cost Escalation'!$C98,'BESS_Capital Costs'!$D$7:$G$7,0))*O$10*(1+$F98)^(O$4), 0),0)</f>
        <v>92150.685499658881</v>
      </c>
      <c r="P98" s="490">
        <f>IFERROR(IF(P$6&lt;=$E$10,INDEX('BESS_Capital Costs'!$D$19:$G$48,MATCH('Capital Cost Escalation'!$E98,'BESS_Capital Costs'!$B$19:$B$48,0),MATCH('Capital Cost Escalation'!$C98,'BESS_Capital Costs'!$D$7:$G$7,0))*P$10*(1+$F98)^(P$4), 0),0)</f>
        <v>90794.240152377111</v>
      </c>
      <c r="Q98" s="490">
        <f>IFERROR(IF(Q$6&lt;=$E$10,INDEX('BESS_Capital Costs'!$D$19:$G$48,MATCH('Capital Cost Escalation'!$E98,'BESS_Capital Costs'!$B$19:$B$48,0),MATCH('Capital Cost Escalation'!$C98,'BESS_Capital Costs'!$D$7:$G$7,0))*Q$10*(1+$F98)^(Q$4), 0),0)</f>
        <v>80396.847051511926</v>
      </c>
      <c r="R98" s="490">
        <f>IFERROR(IF(R$6&lt;=$E$10,INDEX('BESS_Capital Costs'!$D$19:$G$48,MATCH('Capital Cost Escalation'!$E98,'BESS_Capital Costs'!$B$19:$B$48,0),MATCH('Capital Cost Escalation'!$C98,'BESS_Capital Costs'!$D$7:$G$7,0))*R$10*(1+$F98)^(R$4), 0),0)</f>
        <v>894302.59201066138</v>
      </c>
      <c r="S98" s="490">
        <f>IFERROR(IF(S$6&lt;=$E$10,INDEX('BESS_Capital Costs'!$D$19:$G$48,MATCH('Capital Cost Escalation'!$E98,'BESS_Capital Costs'!$B$19:$B$48,0),MATCH('Capital Cost Escalation'!$C98,'BESS_Capital Costs'!$D$7:$G$7,0))*S$10*(1+$F98)^(S$4), 0),0)</f>
        <v>40885.814286163113</v>
      </c>
      <c r="T98" s="490">
        <f>IFERROR(IF(T$6&lt;=$E$10,INDEX('BESS_Capital Costs'!$D$19:$G$48,MATCH('Capital Cost Escalation'!$E98,'BESS_Capital Costs'!$B$19:$B$48,0),MATCH('Capital Cost Escalation'!$C98,'BESS_Capital Costs'!$D$7:$G$7,0))*T$10*(1+$F98)^(T$4), 0),0)</f>
        <v>20643.876501963408</v>
      </c>
      <c r="U98" s="490">
        <f>IFERROR(IF(U$6&lt;=$E$10,INDEX('BESS_Capital Costs'!$D$19:$G$48,MATCH('Capital Cost Escalation'!$E98,'BESS_Capital Costs'!$B$19:$B$48,0),MATCH('Capital Cost Escalation'!$C98,'BESS_Capital Costs'!$D$7:$G$7,0))*U$10*(1+$F98)^(U$4), 0),0)</f>
        <v>6513.8899713615428</v>
      </c>
      <c r="V98" s="490">
        <f>IFERROR(IF(V$6&lt;=$E$10,INDEX('BESS_Capital Costs'!$D$19:$G$48,MATCH('Capital Cost Escalation'!$E98,'BESS_Capital Costs'!$B$19:$B$48,0),MATCH('Capital Cost Escalation'!$C98,'BESS_Capital Costs'!$D$7:$G$7,0))*V$10*(1+$F98)^(V$4), 0),0)</f>
        <v>208375.87960835989</v>
      </c>
      <c r="W98" s="490">
        <f>IFERROR(IF(W$6&lt;=$E$10,INDEX('BESS_Capital Costs'!$D$19:$G$48,MATCH('Capital Cost Escalation'!$E98,'BESS_Capital Costs'!$B$19:$B$48,0),MATCH('Capital Cost Escalation'!$C98,'BESS_Capital Costs'!$D$7:$G$7,0))*W$10*(1+$F98)^(W$4), 0),0)</f>
        <v>0</v>
      </c>
      <c r="X98" s="490">
        <f>IFERROR(IF(X$6&lt;=$E$10,INDEX('BESS_Capital Costs'!$D$19:$G$48,MATCH('Capital Cost Escalation'!$E98,'BESS_Capital Costs'!$B$19:$B$48,0),MATCH('Capital Cost Escalation'!$C98,'BESS_Capital Costs'!$D$7:$G$7,0))*X$10*(1+$F98)^(X$4), 0),0)</f>
        <v>0</v>
      </c>
      <c r="Y98" s="490">
        <f>IFERROR(IF(Y$6&lt;=$E$10,INDEX('BESS_Capital Costs'!$D$19:$G$48,MATCH('Capital Cost Escalation'!$E98,'BESS_Capital Costs'!$B$19:$B$48,0),MATCH('Capital Cost Escalation'!$C98,'BESS_Capital Costs'!$D$7:$G$7,0))*Y$10*(1+$F98)^(Y$4), 0),0)</f>
        <v>0</v>
      </c>
      <c r="Z98" s="490">
        <f>IFERROR(IF(Z$6&lt;=$E$10,INDEX('BESS_Capital Costs'!$D$19:$G$48,MATCH('Capital Cost Escalation'!$E98,'BESS_Capital Costs'!$B$19:$B$48,0),MATCH('Capital Cost Escalation'!$C98,'BESS_Capital Costs'!$D$7:$G$7,0))*Z$10*(1+$F98)^(Z$4), 0),0)</f>
        <v>0</v>
      </c>
      <c r="AA98" s="490">
        <f>IFERROR(IF(AA$6&lt;=$E$10,INDEX('BESS_Capital Costs'!$D$19:$G$48,MATCH('Capital Cost Escalation'!$E98,'BESS_Capital Costs'!$B$19:$B$48,0),MATCH('Capital Cost Escalation'!$C98,'BESS_Capital Costs'!$D$7:$G$7,0))*AA$10*(1+$F98)^(AA$4), 0),0)</f>
        <v>0</v>
      </c>
      <c r="AB98" s="490">
        <f>IFERROR(IF(AB$6&lt;=$E$10,INDEX('BESS_Capital Costs'!$D$19:$G$48,MATCH('Capital Cost Escalation'!$E98,'BESS_Capital Costs'!$B$19:$B$48,0),MATCH('Capital Cost Escalation'!$C98,'BESS_Capital Costs'!$D$7:$G$7,0))*AB$10*(1+$F98)^(AB$4), 0),0)</f>
        <v>0</v>
      </c>
      <c r="AC98" s="490">
        <f>IFERROR(IF(AC$6&lt;=$E$10,INDEX('BESS_Capital Costs'!$D$19:$G$48,MATCH('Capital Cost Escalation'!$E98,'BESS_Capital Costs'!$B$19:$B$48,0),MATCH('Capital Cost Escalation'!$C98,'BESS_Capital Costs'!$D$7:$G$7,0))*AC$10*(1+$F98)^(AC$4), 0),0)</f>
        <v>0</v>
      </c>
      <c r="AD98" s="490">
        <f>IFERROR(IF(AD$6&lt;=$E$10,INDEX('BESS_Capital Costs'!$D$19:$G$48,MATCH('Capital Cost Escalation'!$E98,'BESS_Capital Costs'!$B$19:$B$48,0),MATCH('Capital Cost Escalation'!$C98,'BESS_Capital Costs'!$D$7:$G$7,0))*AD$10*(1+$F98)^(AD$4), 0),0)</f>
        <v>0</v>
      </c>
      <c r="AE98" s="490">
        <f>IFERROR(IF(AE$6&lt;=$E$10,INDEX('BESS_Capital Costs'!$D$19:$G$48,MATCH('Capital Cost Escalation'!$E98,'BESS_Capital Costs'!$B$19:$B$48,0),MATCH('Capital Cost Escalation'!$C98,'BESS_Capital Costs'!$D$7:$G$7,0))*AE$10*(1+$F98)^(AE$4), 0),0)</f>
        <v>0</v>
      </c>
      <c r="AF98" s="490">
        <f>IFERROR(IF(AF$6&lt;=$E$10,INDEX('BESS_Capital Costs'!$D$19:$G$48,MATCH('Capital Cost Escalation'!$E98,'BESS_Capital Costs'!$B$19:$B$48,0),MATCH('Capital Cost Escalation'!$C98,'BESS_Capital Costs'!$D$7:$G$7,0))*AF$10*(1+$F98)^(AF$4), 0),0)</f>
        <v>0</v>
      </c>
      <c r="AG98" s="490">
        <f>IFERROR(IF(AG$6&lt;=$E$10,INDEX('BESS_Capital Costs'!$D$19:$G$48,MATCH('Capital Cost Escalation'!$E98,'BESS_Capital Costs'!$B$19:$B$48,0),MATCH('Capital Cost Escalation'!$C98,'BESS_Capital Costs'!$D$7:$G$7,0))*AG$10*(1+$F98)^(AG$4), 0),0)</f>
        <v>0</v>
      </c>
      <c r="AH98" s="490">
        <f>IFERROR(IF(AH$6&lt;=$E$10,INDEX('BESS_Capital Costs'!$D$19:$G$48,MATCH('Capital Cost Escalation'!$E98,'BESS_Capital Costs'!$B$19:$B$48,0),MATCH('Capital Cost Escalation'!$C98,'BESS_Capital Costs'!$D$7:$G$7,0))*AH$10*(1+$F98)^(AH$4), 0),0)</f>
        <v>0</v>
      </c>
      <c r="AI98" s="490">
        <f>IFERROR(IF(AI$6&lt;=$E$10,INDEX('BESS_Capital Costs'!$D$19:$G$48,MATCH('Capital Cost Escalation'!$E98,'BESS_Capital Costs'!$B$19:$B$48,0),MATCH('Capital Cost Escalation'!$C98,'BESS_Capital Costs'!$D$7:$G$7,0))*AI$10*(1+$F98)^(AI$4), 0),0)</f>
        <v>0</v>
      </c>
      <c r="AJ98" s="490">
        <f>IFERROR(IF(AJ$6&lt;=$E$10,INDEX('BESS_Capital Costs'!$D$19:$G$48,MATCH('Capital Cost Escalation'!$E98,'BESS_Capital Costs'!$B$19:$B$48,0),MATCH('Capital Cost Escalation'!$C98,'BESS_Capital Costs'!$D$7:$G$7,0))*AJ$10*(1+$F98)^(AJ$4), 0),0)</f>
        <v>0</v>
      </c>
      <c r="AK98" s="490">
        <f>IFERROR(IF(AK$6&lt;=$E$10,INDEX('BESS_Capital Costs'!$D$19:$G$48,MATCH('Capital Cost Escalation'!$E98,'BESS_Capital Costs'!$B$19:$B$48,0),MATCH('Capital Cost Escalation'!$C98,'BESS_Capital Costs'!$D$7:$G$7,0))*AK$10*(1+$F98)^(AK$4), 0),0)</f>
        <v>0</v>
      </c>
      <c r="AL98" s="490">
        <f>IFERROR(IF(AL$6&lt;=$E$10,INDEX('BESS_Capital Costs'!$D$19:$G$48,MATCH('Capital Cost Escalation'!$E98,'BESS_Capital Costs'!$B$19:$B$48,0),MATCH('Capital Cost Escalation'!$C98,'BESS_Capital Costs'!$D$7:$G$7,0))*AL$10*(1+$F98)^(AL$4), 0),0)</f>
        <v>0</v>
      </c>
      <c r="AM98" s="490">
        <f>IFERROR(IF(AM$6&lt;=$E$10,INDEX('BESS_Capital Costs'!$D$19:$G$48,MATCH('Capital Cost Escalation'!$E98,'BESS_Capital Costs'!$B$19:$B$48,0),MATCH('Capital Cost Escalation'!$C98,'BESS_Capital Costs'!$D$7:$G$7,0))*AM$10*(1+$F98)^(AM$4), 0),0)</f>
        <v>0</v>
      </c>
      <c r="AN98" s="490">
        <f>IFERROR(IF(AN$6&lt;=$E$10,INDEX('BESS_Capital Costs'!$D$19:$G$48,MATCH('Capital Cost Escalation'!$E98,'BESS_Capital Costs'!$B$19:$B$48,0),MATCH('Capital Cost Escalation'!$C98,'BESS_Capital Costs'!$D$7:$G$7,0))*AN$10*(1+$F98)^(AN$4), 0),0)</f>
        <v>0</v>
      </c>
      <c r="AO98" s="490">
        <f>IFERROR(IF(AO$6&lt;=$E$10,INDEX('BESS_Capital Costs'!$D$19:$G$48,MATCH('Capital Cost Escalation'!$E98,'BESS_Capital Costs'!$B$19:$B$48,0),MATCH('Capital Cost Escalation'!$C98,'BESS_Capital Costs'!$D$7:$G$7,0))*AO$10*(1+$F98)^(AO$4), 0),0)</f>
        <v>0</v>
      </c>
      <c r="AP98" s="490">
        <f>IFERROR(IF(AP$6&lt;=$E$10,INDEX('BESS_Capital Costs'!$D$19:$G$48,MATCH('Capital Cost Escalation'!$E98,'BESS_Capital Costs'!$B$19:$B$48,0),MATCH('Capital Cost Escalation'!$C98,'BESS_Capital Costs'!$D$7:$G$7,0))*AP$10*(1+$F98)^(AP$4), 0),0)</f>
        <v>0</v>
      </c>
      <c r="AQ98" s="490">
        <f>IFERROR(IF(AQ$6&lt;=$E$10,INDEX('BESS_Capital Costs'!$D$19:$G$48,MATCH('Capital Cost Escalation'!$E98,'BESS_Capital Costs'!$B$19:$B$48,0),MATCH('Capital Cost Escalation'!$C98,'BESS_Capital Costs'!$D$7:$G$7,0))*AQ$10*(1+$F98)^(AQ$4), 0),0)</f>
        <v>0</v>
      </c>
      <c r="AR98" s="490">
        <f>IFERROR(IF(AR$6&lt;=$E$10,INDEX('BESS_Capital Costs'!$D$19:$G$48,MATCH('Capital Cost Escalation'!$E98,'BESS_Capital Costs'!$B$19:$B$48,0),MATCH('Capital Cost Escalation'!$C98,'BESS_Capital Costs'!$D$7:$G$7,0))*AR$10*(1+$F98)^(AR$4), 0),0)</f>
        <v>0</v>
      </c>
      <c r="AS98" s="490">
        <f>IFERROR(IF(AS$6&lt;=$E$10,INDEX('BESS_Capital Costs'!$D$19:$G$48,MATCH('Capital Cost Escalation'!$E98,'BESS_Capital Costs'!$B$19:$B$48,0),MATCH('Capital Cost Escalation'!$C98,'BESS_Capital Costs'!$D$7:$G$7,0))*AS$10*(1+$F98)^(AS$4), 0),0)</f>
        <v>0</v>
      </c>
      <c r="AT98" s="490">
        <f>IFERROR(IF(AT$6&lt;=$E$10,INDEX('BESS_Capital Costs'!$D$19:$G$48,MATCH('Capital Cost Escalation'!$E98,'BESS_Capital Costs'!$B$19:$B$48,0),MATCH('Capital Cost Escalation'!$C98,'BESS_Capital Costs'!$D$7:$G$7,0))*AT$10*(1+$F98)^(AT$4), 0),0)</f>
        <v>0</v>
      </c>
      <c r="AV98" s="827">
        <f t="shared" si="16"/>
        <v>2930364.9004400484</v>
      </c>
      <c r="AW98" s="828">
        <f>INDEX('BESS_Capital Costs'!$D$19:$G$48,MATCH('Capital Cost Escalation'!$E98,'BESS_Capital Costs'!$B$19:$B$48,0),MATCH('Capital Cost Escalation'!$C98,'BESS_Capital Costs'!$D$7:$G$7,0))</f>
        <v>2970000</v>
      </c>
    </row>
    <row r="99" spans="1:49">
      <c r="A99" s="487" t="str">
        <f t="shared" si="13"/>
        <v>BESS_EMAAC_Owner's Contingency</v>
      </c>
      <c r="B99" s="478" t="s">
        <v>700</v>
      </c>
      <c r="C99" s="488" t="s">
        <v>120</v>
      </c>
      <c r="E99" s="1478" t="s">
        <v>114</v>
      </c>
      <c r="F99" s="1325">
        <f>INDEX('BESS_Capital Costs_Nominal$'!$F:$F,MATCH('Capital Cost Escalation'!$E99,'BESS_Capital Costs_Nominal$'!$C:$C,0),1)</f>
        <v>-2.5895842177414696E-4</v>
      </c>
      <c r="G99" s="490">
        <f>IFERROR(IF(G$6&lt;=$E$10,INDEX('BESS_Capital Costs'!$D$19:$G$48,MATCH('Capital Cost Escalation'!$E99,'BESS_Capital Costs'!$B$19:$B$48,0),MATCH('Capital Cost Escalation'!$C99,'BESS_Capital Costs'!$D$7:$G$7,0))*G$10*(1+$F99)^(G$4), 0),0)</f>
        <v>106976.33588560895</v>
      </c>
      <c r="H99" s="490">
        <f>IFERROR(IF(H$6&lt;=$E$10,INDEX('BESS_Capital Costs'!$D$19:$G$48,MATCH('Capital Cost Escalation'!$E99,'BESS_Capital Costs'!$B$19:$B$48,0),MATCH('Capital Cost Escalation'!$C99,'BESS_Capital Costs'!$D$7:$G$7,0))*H$10*(1+$F99)^(H$4), 0),0)</f>
        <v>172710.90255928648</v>
      </c>
      <c r="I99" s="490">
        <f>IFERROR(IF(I$6&lt;=$E$10,INDEX('BESS_Capital Costs'!$D$19:$G$48,MATCH('Capital Cost Escalation'!$E99,'BESS_Capital Costs'!$B$19:$B$48,0),MATCH('Capital Cost Escalation'!$C99,'BESS_Capital Costs'!$D$7:$G$7,0))*I$10*(1+$F99)^(I$4), 0),0)</f>
        <v>4150180.7671350567</v>
      </c>
      <c r="J99" s="490">
        <f>IFERROR(IF(J$6&lt;=$E$10,INDEX('BESS_Capital Costs'!$D$19:$G$48,MATCH('Capital Cost Escalation'!$E99,'BESS_Capital Costs'!$B$19:$B$48,0),MATCH('Capital Cost Escalation'!$C99,'BESS_Capital Costs'!$D$7:$G$7,0))*J$10*(1+$F99)^(J$4), 0),0)</f>
        <v>198698.96340338889</v>
      </c>
      <c r="K99" s="490">
        <f>IFERROR(IF(K$6&lt;=$E$10,INDEX('BESS_Capital Costs'!$D$19:$G$48,MATCH('Capital Cost Escalation'!$E99,'BESS_Capital Costs'!$B$19:$B$48,0),MATCH('Capital Cost Escalation'!$C99,'BESS_Capital Costs'!$D$7:$G$7,0))*K$10*(1+$F99)^(K$4), 0),0)</f>
        <v>208098.43241205448</v>
      </c>
      <c r="L99" s="490">
        <f>IFERROR(IF(L$6&lt;=$E$10,INDEX('BESS_Capital Costs'!$D$19:$G$48,MATCH('Capital Cost Escalation'!$E99,'BESS_Capital Costs'!$B$19:$B$48,0),MATCH('Capital Cost Escalation'!$C99,'BESS_Capital Costs'!$D$7:$G$7,0))*L$10*(1+$F99)^(L$4), 0),0)</f>
        <v>237335.93325039314</v>
      </c>
      <c r="M99" s="490">
        <f>IFERROR(IF(M$6&lt;=$E$10,INDEX('BESS_Capital Costs'!$D$19:$G$48,MATCH('Capital Cost Escalation'!$E99,'BESS_Capital Costs'!$B$19:$B$48,0),MATCH('Capital Cost Escalation'!$C99,'BESS_Capital Costs'!$D$7:$G$7,0))*M$10*(1+$F99)^(M$4), 0),0)</f>
        <v>281344.81860523595</v>
      </c>
      <c r="N99" s="490">
        <f>IFERROR(IF(N$6&lt;=$E$10,INDEX('BESS_Capital Costs'!$D$19:$G$48,MATCH('Capital Cost Escalation'!$E99,'BESS_Capital Costs'!$B$19:$B$48,0),MATCH('Capital Cost Escalation'!$C99,'BESS_Capital Costs'!$D$7:$G$7,0))*N$10*(1+$F99)^(N$4), 0),0)</f>
        <v>324552.27219880372</v>
      </c>
      <c r="O99" s="490">
        <f>IFERROR(IF(O$6&lt;=$E$10,INDEX('BESS_Capital Costs'!$D$19:$G$48,MATCH('Capital Cost Escalation'!$E99,'BESS_Capital Costs'!$B$19:$B$48,0),MATCH('Capital Cost Escalation'!$C99,'BESS_Capital Costs'!$D$7:$G$7,0))*O$10*(1+$F99)^(O$4), 0),0)</f>
        <v>349800.27889668487</v>
      </c>
      <c r="P99" s="490">
        <f>IFERROR(IF(P$6&lt;=$E$10,INDEX('BESS_Capital Costs'!$D$19:$G$48,MATCH('Capital Cost Escalation'!$E99,'BESS_Capital Costs'!$B$19:$B$48,0),MATCH('Capital Cost Escalation'!$C99,'BESS_Capital Costs'!$D$7:$G$7,0))*P$10*(1+$F99)^(P$4), 0),0)</f>
        <v>344651.26716427598</v>
      </c>
      <c r="Q99" s="490">
        <f>IFERROR(IF(Q$6&lt;=$E$10,INDEX('BESS_Capital Costs'!$D$19:$G$48,MATCH('Capital Cost Escalation'!$E99,'BESS_Capital Costs'!$B$19:$B$48,0),MATCH('Capital Cost Escalation'!$C99,'BESS_Capital Costs'!$D$7:$G$7,0))*Q$10*(1+$F99)^(Q$4), 0),0)</f>
        <v>305183.18305008265</v>
      </c>
      <c r="R99" s="490">
        <f>IFERROR(IF(R$6&lt;=$E$10,INDEX('BESS_Capital Costs'!$D$19:$G$48,MATCH('Capital Cost Escalation'!$E99,'BESS_Capital Costs'!$B$19:$B$48,0),MATCH('Capital Cost Escalation'!$C99,'BESS_Capital Costs'!$D$7:$G$7,0))*R$10*(1+$F99)^(R$4), 0),0)</f>
        <v>3394736.5058344095</v>
      </c>
      <c r="S99" s="490">
        <f>IFERROR(IF(S$6&lt;=$E$10,INDEX('BESS_Capital Costs'!$D$19:$G$48,MATCH('Capital Cost Escalation'!$E99,'BESS_Capital Costs'!$B$19:$B$48,0),MATCH('Capital Cost Escalation'!$C99,'BESS_Capital Costs'!$D$7:$G$7,0))*S$10*(1+$F99)^(S$4), 0),0)</f>
        <v>155200.89907818282</v>
      </c>
      <c r="T99" s="490">
        <f>IFERROR(IF(T$6&lt;=$E$10,INDEX('BESS_Capital Costs'!$D$19:$G$48,MATCH('Capital Cost Escalation'!$E99,'BESS_Capital Costs'!$B$19:$B$48,0),MATCH('Capital Cost Escalation'!$C99,'BESS_Capital Costs'!$D$7:$G$7,0))*T$10*(1+$F99)^(T$4), 0),0)</f>
        <v>78363.321105432813</v>
      </c>
      <c r="U99" s="490">
        <f>IFERROR(IF(U$6&lt;=$E$10,INDEX('BESS_Capital Costs'!$D$19:$G$48,MATCH('Capital Cost Escalation'!$E99,'BESS_Capital Costs'!$B$19:$B$48,0),MATCH('Capital Cost Escalation'!$C99,'BESS_Capital Costs'!$D$7:$G$7,0))*U$10*(1+$F99)^(U$4), 0),0)</f>
        <v>24726.463143814824</v>
      </c>
      <c r="V99" s="490">
        <f>IFERROR(IF(V$6&lt;=$E$10,INDEX('BESS_Capital Costs'!$D$19:$G$48,MATCH('Capital Cost Escalation'!$E99,'BESS_Capital Costs'!$B$19:$B$48,0),MATCH('Capital Cost Escalation'!$C99,'BESS_Capital Costs'!$D$7:$G$7,0))*V$10*(1+$F99)^(V$4), 0),0)</f>
        <v>790986.41976587509</v>
      </c>
      <c r="W99" s="490">
        <f>IFERROR(IF(W$6&lt;=$E$10,INDEX('BESS_Capital Costs'!$D$19:$G$48,MATCH('Capital Cost Escalation'!$E99,'BESS_Capital Costs'!$B$19:$B$48,0),MATCH('Capital Cost Escalation'!$C99,'BESS_Capital Costs'!$D$7:$G$7,0))*W$10*(1+$F99)^(W$4), 0),0)</f>
        <v>0</v>
      </c>
      <c r="X99" s="490">
        <f>IFERROR(IF(X$6&lt;=$E$10,INDEX('BESS_Capital Costs'!$D$19:$G$48,MATCH('Capital Cost Escalation'!$E99,'BESS_Capital Costs'!$B$19:$B$48,0),MATCH('Capital Cost Escalation'!$C99,'BESS_Capital Costs'!$D$7:$G$7,0))*X$10*(1+$F99)^(X$4), 0),0)</f>
        <v>0</v>
      </c>
      <c r="Y99" s="490">
        <f>IFERROR(IF(Y$6&lt;=$E$10,INDEX('BESS_Capital Costs'!$D$19:$G$48,MATCH('Capital Cost Escalation'!$E99,'BESS_Capital Costs'!$B$19:$B$48,0),MATCH('Capital Cost Escalation'!$C99,'BESS_Capital Costs'!$D$7:$G$7,0))*Y$10*(1+$F99)^(Y$4), 0),0)</f>
        <v>0</v>
      </c>
      <c r="Z99" s="490">
        <f>IFERROR(IF(Z$6&lt;=$E$10,INDEX('BESS_Capital Costs'!$D$19:$G$48,MATCH('Capital Cost Escalation'!$E99,'BESS_Capital Costs'!$B$19:$B$48,0),MATCH('Capital Cost Escalation'!$C99,'BESS_Capital Costs'!$D$7:$G$7,0))*Z$10*(1+$F99)^(Z$4), 0),0)</f>
        <v>0</v>
      </c>
      <c r="AA99" s="490">
        <f>IFERROR(IF(AA$6&lt;=$E$10,INDEX('BESS_Capital Costs'!$D$19:$G$48,MATCH('Capital Cost Escalation'!$E99,'BESS_Capital Costs'!$B$19:$B$48,0),MATCH('Capital Cost Escalation'!$C99,'BESS_Capital Costs'!$D$7:$G$7,0))*AA$10*(1+$F99)^(AA$4), 0),0)</f>
        <v>0</v>
      </c>
      <c r="AB99" s="490">
        <f>IFERROR(IF(AB$6&lt;=$E$10,INDEX('BESS_Capital Costs'!$D$19:$G$48,MATCH('Capital Cost Escalation'!$E99,'BESS_Capital Costs'!$B$19:$B$48,0),MATCH('Capital Cost Escalation'!$C99,'BESS_Capital Costs'!$D$7:$G$7,0))*AB$10*(1+$F99)^(AB$4), 0),0)</f>
        <v>0</v>
      </c>
      <c r="AC99" s="490">
        <f>IFERROR(IF(AC$6&lt;=$E$10,INDEX('BESS_Capital Costs'!$D$19:$G$48,MATCH('Capital Cost Escalation'!$E99,'BESS_Capital Costs'!$B$19:$B$48,0),MATCH('Capital Cost Escalation'!$C99,'BESS_Capital Costs'!$D$7:$G$7,0))*AC$10*(1+$F99)^(AC$4), 0),0)</f>
        <v>0</v>
      </c>
      <c r="AD99" s="490">
        <f>IFERROR(IF(AD$6&lt;=$E$10,INDEX('BESS_Capital Costs'!$D$19:$G$48,MATCH('Capital Cost Escalation'!$E99,'BESS_Capital Costs'!$B$19:$B$48,0),MATCH('Capital Cost Escalation'!$C99,'BESS_Capital Costs'!$D$7:$G$7,0))*AD$10*(1+$F99)^(AD$4), 0),0)</f>
        <v>0</v>
      </c>
      <c r="AE99" s="490">
        <f>IFERROR(IF(AE$6&lt;=$E$10,INDEX('BESS_Capital Costs'!$D$19:$G$48,MATCH('Capital Cost Escalation'!$E99,'BESS_Capital Costs'!$B$19:$B$48,0),MATCH('Capital Cost Escalation'!$C99,'BESS_Capital Costs'!$D$7:$G$7,0))*AE$10*(1+$F99)^(AE$4), 0),0)</f>
        <v>0</v>
      </c>
      <c r="AF99" s="490">
        <f>IFERROR(IF(AF$6&lt;=$E$10,INDEX('BESS_Capital Costs'!$D$19:$G$48,MATCH('Capital Cost Escalation'!$E99,'BESS_Capital Costs'!$B$19:$B$48,0),MATCH('Capital Cost Escalation'!$C99,'BESS_Capital Costs'!$D$7:$G$7,0))*AF$10*(1+$F99)^(AF$4), 0),0)</f>
        <v>0</v>
      </c>
      <c r="AG99" s="490">
        <f>IFERROR(IF(AG$6&lt;=$E$10,INDEX('BESS_Capital Costs'!$D$19:$G$48,MATCH('Capital Cost Escalation'!$E99,'BESS_Capital Costs'!$B$19:$B$48,0),MATCH('Capital Cost Escalation'!$C99,'BESS_Capital Costs'!$D$7:$G$7,0))*AG$10*(1+$F99)^(AG$4), 0),0)</f>
        <v>0</v>
      </c>
      <c r="AH99" s="490">
        <f>IFERROR(IF(AH$6&lt;=$E$10,INDEX('BESS_Capital Costs'!$D$19:$G$48,MATCH('Capital Cost Escalation'!$E99,'BESS_Capital Costs'!$B$19:$B$48,0),MATCH('Capital Cost Escalation'!$C99,'BESS_Capital Costs'!$D$7:$G$7,0))*AH$10*(1+$F99)^(AH$4), 0),0)</f>
        <v>0</v>
      </c>
      <c r="AI99" s="490">
        <f>IFERROR(IF(AI$6&lt;=$E$10,INDEX('BESS_Capital Costs'!$D$19:$G$48,MATCH('Capital Cost Escalation'!$E99,'BESS_Capital Costs'!$B$19:$B$48,0),MATCH('Capital Cost Escalation'!$C99,'BESS_Capital Costs'!$D$7:$G$7,0))*AI$10*(1+$F99)^(AI$4), 0),0)</f>
        <v>0</v>
      </c>
      <c r="AJ99" s="490">
        <f>IFERROR(IF(AJ$6&lt;=$E$10,INDEX('BESS_Capital Costs'!$D$19:$G$48,MATCH('Capital Cost Escalation'!$E99,'BESS_Capital Costs'!$B$19:$B$48,0),MATCH('Capital Cost Escalation'!$C99,'BESS_Capital Costs'!$D$7:$G$7,0))*AJ$10*(1+$F99)^(AJ$4), 0),0)</f>
        <v>0</v>
      </c>
      <c r="AK99" s="490">
        <f>IFERROR(IF(AK$6&lt;=$E$10,INDEX('BESS_Capital Costs'!$D$19:$G$48,MATCH('Capital Cost Escalation'!$E99,'BESS_Capital Costs'!$B$19:$B$48,0),MATCH('Capital Cost Escalation'!$C99,'BESS_Capital Costs'!$D$7:$G$7,0))*AK$10*(1+$F99)^(AK$4), 0),0)</f>
        <v>0</v>
      </c>
      <c r="AL99" s="490">
        <f>IFERROR(IF(AL$6&lt;=$E$10,INDEX('BESS_Capital Costs'!$D$19:$G$48,MATCH('Capital Cost Escalation'!$E99,'BESS_Capital Costs'!$B$19:$B$48,0),MATCH('Capital Cost Escalation'!$C99,'BESS_Capital Costs'!$D$7:$G$7,0))*AL$10*(1+$F99)^(AL$4), 0),0)</f>
        <v>0</v>
      </c>
      <c r="AM99" s="490">
        <f>IFERROR(IF(AM$6&lt;=$E$10,INDEX('BESS_Capital Costs'!$D$19:$G$48,MATCH('Capital Cost Escalation'!$E99,'BESS_Capital Costs'!$B$19:$B$48,0),MATCH('Capital Cost Escalation'!$C99,'BESS_Capital Costs'!$D$7:$G$7,0))*AM$10*(1+$F99)^(AM$4), 0),0)</f>
        <v>0</v>
      </c>
      <c r="AN99" s="490">
        <f>IFERROR(IF(AN$6&lt;=$E$10,INDEX('BESS_Capital Costs'!$D$19:$G$48,MATCH('Capital Cost Escalation'!$E99,'BESS_Capital Costs'!$B$19:$B$48,0),MATCH('Capital Cost Escalation'!$C99,'BESS_Capital Costs'!$D$7:$G$7,0))*AN$10*(1+$F99)^(AN$4), 0),0)</f>
        <v>0</v>
      </c>
      <c r="AO99" s="490">
        <f>IFERROR(IF(AO$6&lt;=$E$10,INDEX('BESS_Capital Costs'!$D$19:$G$48,MATCH('Capital Cost Escalation'!$E99,'BESS_Capital Costs'!$B$19:$B$48,0),MATCH('Capital Cost Escalation'!$C99,'BESS_Capital Costs'!$D$7:$G$7,0))*AO$10*(1+$F99)^(AO$4), 0),0)</f>
        <v>0</v>
      </c>
      <c r="AP99" s="490">
        <f>IFERROR(IF(AP$6&lt;=$E$10,INDEX('BESS_Capital Costs'!$D$19:$G$48,MATCH('Capital Cost Escalation'!$E99,'BESS_Capital Costs'!$B$19:$B$48,0),MATCH('Capital Cost Escalation'!$C99,'BESS_Capital Costs'!$D$7:$G$7,0))*AP$10*(1+$F99)^(AP$4), 0),0)</f>
        <v>0</v>
      </c>
      <c r="AQ99" s="490">
        <f>IFERROR(IF(AQ$6&lt;=$E$10,INDEX('BESS_Capital Costs'!$D$19:$G$48,MATCH('Capital Cost Escalation'!$E99,'BESS_Capital Costs'!$B$19:$B$48,0),MATCH('Capital Cost Escalation'!$C99,'BESS_Capital Costs'!$D$7:$G$7,0))*AQ$10*(1+$F99)^(AQ$4), 0),0)</f>
        <v>0</v>
      </c>
      <c r="AR99" s="490">
        <f>IFERROR(IF(AR$6&lt;=$E$10,INDEX('BESS_Capital Costs'!$D$19:$G$48,MATCH('Capital Cost Escalation'!$E99,'BESS_Capital Costs'!$B$19:$B$48,0),MATCH('Capital Cost Escalation'!$C99,'BESS_Capital Costs'!$D$7:$G$7,0))*AR$10*(1+$F99)^(AR$4), 0),0)</f>
        <v>0</v>
      </c>
      <c r="AS99" s="490">
        <f>IFERROR(IF(AS$6&lt;=$E$10,INDEX('BESS_Capital Costs'!$D$19:$G$48,MATCH('Capital Cost Escalation'!$E99,'BESS_Capital Costs'!$B$19:$B$48,0),MATCH('Capital Cost Escalation'!$C99,'BESS_Capital Costs'!$D$7:$G$7,0))*AS$10*(1+$F99)^(AS$4), 0),0)</f>
        <v>0</v>
      </c>
      <c r="AT99" s="490">
        <f>IFERROR(IF(AT$6&lt;=$E$10,INDEX('BESS_Capital Costs'!$D$19:$G$48,MATCH('Capital Cost Escalation'!$E99,'BESS_Capital Costs'!$B$19:$B$48,0),MATCH('Capital Cost Escalation'!$C99,'BESS_Capital Costs'!$D$7:$G$7,0))*AT$10*(1+$F99)^(AT$4), 0),0)</f>
        <v>0</v>
      </c>
      <c r="AV99" s="827">
        <f t="shared" si="16"/>
        <v>11123546.763488587</v>
      </c>
      <c r="AW99" s="828">
        <f>INDEX('BESS_Capital Costs'!$D$19:$G$48,MATCH('Capital Cost Escalation'!$E99,'BESS_Capital Costs'!$B$19:$B$48,0),MATCH('Capital Cost Escalation'!$C99,'BESS_Capital Costs'!$D$7:$G$7,0))</f>
        <v>11274000</v>
      </c>
    </row>
    <row r="100" spans="1:49">
      <c r="A100" s="487"/>
      <c r="C100" s="488"/>
      <c r="F100" s="1325"/>
    </row>
    <row r="101" spans="1:49">
      <c r="A101" s="487" t="str">
        <f t="shared" si="13"/>
        <v>BESS_SWMAAC_Batteries and Enclosures</v>
      </c>
      <c r="B101" s="478" t="s">
        <v>700</v>
      </c>
      <c r="C101" s="488" t="s">
        <v>121</v>
      </c>
      <c r="E101" s="1478" t="s">
        <v>647</v>
      </c>
      <c r="F101" s="1325">
        <f>INDEX('BESS_Capital Costs_Nominal$'!$F:$F,MATCH('Capital Cost Escalation'!$E101,'BESS_Capital Costs_Nominal$'!$C:$C,0),1)</f>
        <v>-2.5895842177414696E-4</v>
      </c>
      <c r="G101" s="490">
        <f>IFERROR(IF(G$6&lt;=$E$10,INDEX('BESS_Capital Costs'!$D$19:$G$48,MATCH('Capital Cost Escalation'!$E101,'BESS_Capital Costs'!$B$19:$B$48,0),MATCH('Capital Cost Escalation'!$C101,'BESS_Capital Costs'!$D$7:$G$7,0))*G$10*(1+$F101)^(G$4), 0),0)</f>
        <v>1861064.6775252866</v>
      </c>
      <c r="H101" s="490">
        <f>IFERROR(IF(H$6&lt;=$E$10,INDEX('BESS_Capital Costs'!$D$19:$G$48,MATCH('Capital Cost Escalation'!$E101,'BESS_Capital Costs'!$B$19:$B$48,0),MATCH('Capital Cost Escalation'!$C101,'BESS_Capital Costs'!$D$7:$G$7,0))*H$10*(1+$F101)^(H$4), 0),0)</f>
        <v>3004647.3130310285</v>
      </c>
      <c r="I101" s="490">
        <f>IFERROR(IF(I$6&lt;=$E$10,INDEX('BESS_Capital Costs'!$D$19:$G$48,MATCH('Capital Cost Escalation'!$E101,'BESS_Capital Costs'!$B$19:$B$48,0),MATCH('Capital Cost Escalation'!$C101,'BESS_Capital Costs'!$D$7:$G$7,0))*I$10*(1+$F101)^(I$4), 0),0)</f>
        <v>72200592.468589991</v>
      </c>
      <c r="J101" s="490">
        <f>IFERROR(IF(J$6&lt;=$E$10,INDEX('BESS_Capital Costs'!$D$19:$G$48,MATCH('Capital Cost Escalation'!$E101,'BESS_Capital Costs'!$B$19:$B$48,0),MATCH('Capital Cost Escalation'!$C101,'BESS_Capital Costs'!$D$7:$G$7,0))*J$10*(1+$F101)^(J$4), 0),0)</f>
        <v>3456760.9667091165</v>
      </c>
      <c r="K101" s="490">
        <f>IFERROR(IF(K$6&lt;=$E$10,INDEX('BESS_Capital Costs'!$D$19:$G$48,MATCH('Capital Cost Escalation'!$E101,'BESS_Capital Costs'!$B$19:$B$48,0),MATCH('Capital Cost Escalation'!$C101,'BESS_Capital Costs'!$D$7:$G$7,0))*K$10*(1+$F101)^(K$4), 0),0)</f>
        <v>3620283.2972760056</v>
      </c>
      <c r="L101" s="490">
        <f>IFERROR(IF(L$6&lt;=$E$10,INDEX('BESS_Capital Costs'!$D$19:$G$48,MATCH('Capital Cost Escalation'!$E101,'BESS_Capital Costs'!$B$19:$B$48,0),MATCH('Capital Cost Escalation'!$C101,'BESS_Capital Costs'!$D$7:$G$7,0))*L$10*(1+$F101)^(L$4), 0),0)</f>
        <v>4128927.3784074844</v>
      </c>
      <c r="M101" s="490">
        <f>IFERROR(IF(M$6&lt;=$E$10,INDEX('BESS_Capital Costs'!$D$19:$G$48,MATCH('Capital Cost Escalation'!$E101,'BESS_Capital Costs'!$B$19:$B$48,0),MATCH('Capital Cost Escalation'!$C101,'BESS_Capital Costs'!$D$7:$G$7,0))*M$10*(1+$F101)^(M$4), 0),0)</f>
        <v>4894548.8717323095</v>
      </c>
      <c r="N101" s="490">
        <f>IFERROR(IF(N$6&lt;=$E$10,INDEX('BESS_Capital Costs'!$D$19:$G$48,MATCH('Capital Cost Escalation'!$E101,'BESS_Capital Costs'!$B$19:$B$48,0),MATCH('Capital Cost Escalation'!$C101,'BESS_Capital Costs'!$D$7:$G$7,0))*N$10*(1+$F101)^(N$4), 0),0)</f>
        <v>5646227.8764683409</v>
      </c>
      <c r="O101" s="490">
        <f>IFERROR(IF(O$6&lt;=$E$10,INDEX('BESS_Capital Costs'!$D$19:$G$48,MATCH('Capital Cost Escalation'!$E101,'BESS_Capital Costs'!$B$19:$B$48,0),MATCH('Capital Cost Escalation'!$C101,'BESS_Capital Costs'!$D$7:$G$7,0))*O$10*(1+$F101)^(O$4), 0),0)</f>
        <v>6085466.8264132468</v>
      </c>
      <c r="P101" s="490">
        <f>IFERROR(IF(P$6&lt;=$E$10,INDEX('BESS_Capital Costs'!$D$19:$G$48,MATCH('Capital Cost Escalation'!$E101,'BESS_Capital Costs'!$B$19:$B$48,0),MATCH('Capital Cost Escalation'!$C101,'BESS_Capital Costs'!$D$7:$G$7,0))*P$10*(1+$F101)^(P$4), 0),0)</f>
        <v>5995889.5962714674</v>
      </c>
      <c r="Q101" s="490">
        <f>IFERROR(IF(Q$6&lt;=$E$10,INDEX('BESS_Capital Costs'!$D$19:$G$48,MATCH('Capital Cost Escalation'!$E101,'BESS_Capital Costs'!$B$19:$B$48,0),MATCH('Capital Cost Escalation'!$C101,'BESS_Capital Costs'!$D$7:$G$7,0))*Q$10*(1+$F101)^(Q$4), 0),0)</f>
        <v>5309264.3101608474</v>
      </c>
      <c r="R101" s="490">
        <f>IFERROR(IF(R$6&lt;=$E$10,INDEX('BESS_Capital Costs'!$D$19:$G$48,MATCH('Capital Cost Escalation'!$E101,'BESS_Capital Costs'!$B$19:$B$48,0),MATCH('Capital Cost Escalation'!$C101,'BESS_Capital Costs'!$D$7:$G$7,0))*R$10*(1+$F101)^(R$4), 0),0)</f>
        <v>59058147.282869712</v>
      </c>
      <c r="S101" s="490">
        <f>IFERROR(IF(S$6&lt;=$E$10,INDEX('BESS_Capital Costs'!$D$19:$G$48,MATCH('Capital Cost Escalation'!$E101,'BESS_Capital Costs'!$B$19:$B$48,0),MATCH('Capital Cost Escalation'!$C101,'BESS_Capital Costs'!$D$7:$G$7,0))*S$10*(1+$F101)^(S$4), 0),0)</f>
        <v>2700026.2142407992</v>
      </c>
      <c r="T101" s="490">
        <f>IFERROR(IF(T$6&lt;=$E$10,INDEX('BESS_Capital Costs'!$D$19:$G$48,MATCH('Capital Cost Escalation'!$E101,'BESS_Capital Costs'!$B$19:$B$48,0),MATCH('Capital Cost Escalation'!$C101,'BESS_Capital Costs'!$D$7:$G$7,0))*T$10*(1+$F101)^(T$4), 0),0)</f>
        <v>1363284.7649487678</v>
      </c>
      <c r="U101" s="490">
        <f>IFERROR(IF(U$6&lt;=$E$10,INDEX('BESS_Capital Costs'!$D$19:$G$48,MATCH('Capital Cost Escalation'!$E101,'BESS_Capital Costs'!$B$19:$B$48,0),MATCH('Capital Cost Escalation'!$C101,'BESS_Capital Costs'!$D$7:$G$7,0))*U$10*(1+$F101)^(U$4), 0),0)</f>
        <v>430165.66959529941</v>
      </c>
      <c r="V101" s="490">
        <f>IFERROR(IF(V$6&lt;=$E$10,INDEX('BESS_Capital Costs'!$D$19:$G$48,MATCH('Capital Cost Escalation'!$E101,'BESS_Capital Costs'!$B$19:$B$48,0),MATCH('Capital Cost Escalation'!$C101,'BESS_Capital Costs'!$D$7:$G$7,0))*V$10*(1+$F101)^(V$4), 0),0)</f>
        <v>13760771.240123317</v>
      </c>
      <c r="W101" s="490">
        <f>IFERROR(IF(W$6&lt;=$E$10,INDEX('BESS_Capital Costs'!$D$19:$G$48,MATCH('Capital Cost Escalation'!$E101,'BESS_Capital Costs'!$B$19:$B$48,0),MATCH('Capital Cost Escalation'!$C101,'BESS_Capital Costs'!$D$7:$G$7,0))*W$10*(1+$F101)^(W$4), 0),0)</f>
        <v>0</v>
      </c>
      <c r="X101" s="490">
        <f>IFERROR(IF(X$6&lt;=$E$10,INDEX('BESS_Capital Costs'!$D$19:$G$48,MATCH('Capital Cost Escalation'!$E101,'BESS_Capital Costs'!$B$19:$B$48,0),MATCH('Capital Cost Escalation'!$C101,'BESS_Capital Costs'!$D$7:$G$7,0))*X$10*(1+$F101)^(X$4), 0),0)</f>
        <v>0</v>
      </c>
      <c r="Y101" s="490">
        <f>IFERROR(IF(Y$6&lt;=$E$10,INDEX('BESS_Capital Costs'!$D$19:$G$48,MATCH('Capital Cost Escalation'!$E101,'BESS_Capital Costs'!$B$19:$B$48,0),MATCH('Capital Cost Escalation'!$C101,'BESS_Capital Costs'!$D$7:$G$7,0))*Y$10*(1+$F101)^(Y$4), 0),0)</f>
        <v>0</v>
      </c>
      <c r="Z101" s="490">
        <f>IFERROR(IF(Z$6&lt;=$E$10,INDEX('BESS_Capital Costs'!$D$19:$G$48,MATCH('Capital Cost Escalation'!$E101,'BESS_Capital Costs'!$B$19:$B$48,0),MATCH('Capital Cost Escalation'!$C101,'BESS_Capital Costs'!$D$7:$G$7,0))*Z$10*(1+$F101)^(Z$4), 0),0)</f>
        <v>0</v>
      </c>
      <c r="AA101" s="490">
        <f>IFERROR(IF(AA$6&lt;=$E$10,INDEX('BESS_Capital Costs'!$D$19:$G$48,MATCH('Capital Cost Escalation'!$E101,'BESS_Capital Costs'!$B$19:$B$48,0),MATCH('Capital Cost Escalation'!$C101,'BESS_Capital Costs'!$D$7:$G$7,0))*AA$10*(1+$F101)^(AA$4), 0),0)</f>
        <v>0</v>
      </c>
      <c r="AB101" s="490">
        <f>IFERROR(IF(AB$6&lt;=$E$10,INDEX('BESS_Capital Costs'!$D$19:$G$48,MATCH('Capital Cost Escalation'!$E101,'BESS_Capital Costs'!$B$19:$B$48,0),MATCH('Capital Cost Escalation'!$C101,'BESS_Capital Costs'!$D$7:$G$7,0))*AB$10*(1+$F101)^(AB$4), 0),0)</f>
        <v>0</v>
      </c>
      <c r="AC101" s="490">
        <f>IFERROR(IF(AC$6&lt;=$E$10,INDEX('BESS_Capital Costs'!$D$19:$G$48,MATCH('Capital Cost Escalation'!$E101,'BESS_Capital Costs'!$B$19:$B$48,0),MATCH('Capital Cost Escalation'!$C101,'BESS_Capital Costs'!$D$7:$G$7,0))*AC$10*(1+$F101)^(AC$4), 0),0)</f>
        <v>0</v>
      </c>
      <c r="AD101" s="490">
        <f>IFERROR(IF(AD$6&lt;=$E$10,INDEX('BESS_Capital Costs'!$D$19:$G$48,MATCH('Capital Cost Escalation'!$E101,'BESS_Capital Costs'!$B$19:$B$48,0),MATCH('Capital Cost Escalation'!$C101,'BESS_Capital Costs'!$D$7:$G$7,0))*AD$10*(1+$F101)^(AD$4), 0),0)</f>
        <v>0</v>
      </c>
      <c r="AE101" s="490">
        <f>IFERROR(IF(AE$6&lt;=$E$10,INDEX('BESS_Capital Costs'!$D$19:$G$48,MATCH('Capital Cost Escalation'!$E101,'BESS_Capital Costs'!$B$19:$B$48,0),MATCH('Capital Cost Escalation'!$C101,'BESS_Capital Costs'!$D$7:$G$7,0))*AE$10*(1+$F101)^(AE$4), 0),0)</f>
        <v>0</v>
      </c>
      <c r="AF101" s="490">
        <f>IFERROR(IF(AF$6&lt;=$E$10,INDEX('BESS_Capital Costs'!$D$19:$G$48,MATCH('Capital Cost Escalation'!$E101,'BESS_Capital Costs'!$B$19:$B$48,0),MATCH('Capital Cost Escalation'!$C101,'BESS_Capital Costs'!$D$7:$G$7,0))*AF$10*(1+$F101)^(AF$4), 0),0)</f>
        <v>0</v>
      </c>
      <c r="AG101" s="490">
        <f>IFERROR(IF(AG$6&lt;=$E$10,INDEX('BESS_Capital Costs'!$D$19:$G$48,MATCH('Capital Cost Escalation'!$E101,'BESS_Capital Costs'!$B$19:$B$48,0),MATCH('Capital Cost Escalation'!$C101,'BESS_Capital Costs'!$D$7:$G$7,0))*AG$10*(1+$F101)^(AG$4), 0),0)</f>
        <v>0</v>
      </c>
      <c r="AH101" s="490">
        <f>IFERROR(IF(AH$6&lt;=$E$10,INDEX('BESS_Capital Costs'!$D$19:$G$48,MATCH('Capital Cost Escalation'!$E101,'BESS_Capital Costs'!$B$19:$B$48,0),MATCH('Capital Cost Escalation'!$C101,'BESS_Capital Costs'!$D$7:$G$7,0))*AH$10*(1+$F101)^(AH$4), 0),0)</f>
        <v>0</v>
      </c>
      <c r="AI101" s="490">
        <f>IFERROR(IF(AI$6&lt;=$E$10,INDEX('BESS_Capital Costs'!$D$19:$G$48,MATCH('Capital Cost Escalation'!$E101,'BESS_Capital Costs'!$B$19:$B$48,0),MATCH('Capital Cost Escalation'!$C101,'BESS_Capital Costs'!$D$7:$G$7,0))*AI$10*(1+$F101)^(AI$4), 0),0)</f>
        <v>0</v>
      </c>
      <c r="AJ101" s="490">
        <f>IFERROR(IF(AJ$6&lt;=$E$10,INDEX('BESS_Capital Costs'!$D$19:$G$48,MATCH('Capital Cost Escalation'!$E101,'BESS_Capital Costs'!$B$19:$B$48,0),MATCH('Capital Cost Escalation'!$C101,'BESS_Capital Costs'!$D$7:$G$7,0))*AJ$10*(1+$F101)^(AJ$4), 0),0)</f>
        <v>0</v>
      </c>
      <c r="AK101" s="490">
        <f>IFERROR(IF(AK$6&lt;=$E$10,INDEX('BESS_Capital Costs'!$D$19:$G$48,MATCH('Capital Cost Escalation'!$E101,'BESS_Capital Costs'!$B$19:$B$48,0),MATCH('Capital Cost Escalation'!$C101,'BESS_Capital Costs'!$D$7:$G$7,0))*AK$10*(1+$F101)^(AK$4), 0),0)</f>
        <v>0</v>
      </c>
      <c r="AL101" s="490">
        <f>IFERROR(IF(AL$6&lt;=$E$10,INDEX('BESS_Capital Costs'!$D$19:$G$48,MATCH('Capital Cost Escalation'!$E101,'BESS_Capital Costs'!$B$19:$B$48,0),MATCH('Capital Cost Escalation'!$C101,'BESS_Capital Costs'!$D$7:$G$7,0))*AL$10*(1+$F101)^(AL$4), 0),0)</f>
        <v>0</v>
      </c>
      <c r="AM101" s="490">
        <f>IFERROR(IF(AM$6&lt;=$E$10,INDEX('BESS_Capital Costs'!$D$19:$G$48,MATCH('Capital Cost Escalation'!$E101,'BESS_Capital Costs'!$B$19:$B$48,0),MATCH('Capital Cost Escalation'!$C101,'BESS_Capital Costs'!$D$7:$G$7,0))*AM$10*(1+$F101)^(AM$4), 0),0)</f>
        <v>0</v>
      </c>
      <c r="AN101" s="490">
        <f>IFERROR(IF(AN$6&lt;=$E$10,INDEX('BESS_Capital Costs'!$D$19:$G$48,MATCH('Capital Cost Escalation'!$E101,'BESS_Capital Costs'!$B$19:$B$48,0),MATCH('Capital Cost Escalation'!$C101,'BESS_Capital Costs'!$D$7:$G$7,0))*AN$10*(1+$F101)^(AN$4), 0),0)</f>
        <v>0</v>
      </c>
      <c r="AO101" s="490">
        <f>IFERROR(IF(AO$6&lt;=$E$10,INDEX('BESS_Capital Costs'!$D$19:$G$48,MATCH('Capital Cost Escalation'!$E101,'BESS_Capital Costs'!$B$19:$B$48,0),MATCH('Capital Cost Escalation'!$C101,'BESS_Capital Costs'!$D$7:$G$7,0))*AO$10*(1+$F101)^(AO$4), 0),0)</f>
        <v>0</v>
      </c>
      <c r="AP101" s="490">
        <f>IFERROR(IF(AP$6&lt;=$E$10,INDEX('BESS_Capital Costs'!$D$19:$G$48,MATCH('Capital Cost Escalation'!$E101,'BESS_Capital Costs'!$B$19:$B$48,0),MATCH('Capital Cost Escalation'!$C101,'BESS_Capital Costs'!$D$7:$G$7,0))*AP$10*(1+$F101)^(AP$4), 0),0)</f>
        <v>0</v>
      </c>
      <c r="AQ101" s="490">
        <f>IFERROR(IF(AQ$6&lt;=$E$10,INDEX('BESS_Capital Costs'!$D$19:$G$48,MATCH('Capital Cost Escalation'!$E101,'BESS_Capital Costs'!$B$19:$B$48,0),MATCH('Capital Cost Escalation'!$C101,'BESS_Capital Costs'!$D$7:$G$7,0))*AQ$10*(1+$F101)^(AQ$4), 0),0)</f>
        <v>0</v>
      </c>
      <c r="AR101" s="490">
        <f>IFERROR(IF(AR$6&lt;=$E$10,INDEX('BESS_Capital Costs'!$D$19:$G$48,MATCH('Capital Cost Escalation'!$E101,'BESS_Capital Costs'!$B$19:$B$48,0),MATCH('Capital Cost Escalation'!$C101,'BESS_Capital Costs'!$D$7:$G$7,0))*AR$10*(1+$F101)^(AR$4), 0),0)</f>
        <v>0</v>
      </c>
      <c r="AS101" s="490">
        <f>IFERROR(IF(AS$6&lt;=$E$10,INDEX('BESS_Capital Costs'!$D$19:$G$48,MATCH('Capital Cost Escalation'!$E101,'BESS_Capital Costs'!$B$19:$B$48,0),MATCH('Capital Cost Escalation'!$C101,'BESS_Capital Costs'!$D$7:$G$7,0))*AS$10*(1+$F101)^(AS$4), 0),0)</f>
        <v>0</v>
      </c>
      <c r="AT101" s="490">
        <f>IFERROR(IF(AT$6&lt;=$E$10,INDEX('BESS_Capital Costs'!$D$19:$G$48,MATCH('Capital Cost Escalation'!$E101,'BESS_Capital Costs'!$B$19:$B$48,0),MATCH('Capital Cost Escalation'!$C101,'BESS_Capital Costs'!$D$7:$G$7,0))*AT$10*(1+$F101)^(AT$4), 0),0)</f>
        <v>0</v>
      </c>
      <c r="AV101" s="827">
        <f t="shared" ref="AV101:AV103" si="17">SUM(G101:AT101)</f>
        <v>193516068.754363</v>
      </c>
      <c r="AW101" s="828">
        <f>INDEX('BESS_Capital Costs'!$D$19:$G$48,MATCH('Capital Cost Escalation'!$E101,'BESS_Capital Costs'!$B$19:$B$48,0),MATCH('Capital Cost Escalation'!$C101,'BESS_Capital Costs'!$D$7:$G$7,0))</f>
        <v>196133500</v>
      </c>
    </row>
    <row r="102" spans="1:49">
      <c r="A102" s="487" t="str">
        <f t="shared" si="13"/>
        <v>BESS_SWMAAC_PCS and BOP Equipment</v>
      </c>
      <c r="B102" s="478" t="s">
        <v>700</v>
      </c>
      <c r="C102" s="488" t="s">
        <v>121</v>
      </c>
      <c r="E102" s="1478" t="s">
        <v>645</v>
      </c>
      <c r="F102" s="1325">
        <f>INDEX('BESS_Capital Costs_Nominal$'!$F:$F,MATCH('Capital Cost Escalation'!$E102,'BESS_Capital Costs_Nominal$'!$C:$C,0),1)</f>
        <v>-2.5895842177414696E-4</v>
      </c>
      <c r="G102" s="490">
        <f>IFERROR(IF(G$6&lt;=$E$10,INDEX('BESS_Capital Costs'!$D$19:$G$48,MATCH('Capital Cost Escalation'!$E102,'BESS_Capital Costs'!$B$19:$B$48,0),MATCH('Capital Cost Escalation'!$C102,'BESS_Capital Costs'!$D$7:$G$7,0))*G$10*(1+$F102)^(G$4), 0),0)</f>
        <v>278549.33682430105</v>
      </c>
      <c r="H102" s="490">
        <f>IFERROR(IF(H$6&lt;=$E$10,INDEX('BESS_Capital Costs'!$D$19:$G$48,MATCH('Capital Cost Escalation'!$E102,'BESS_Capital Costs'!$B$19:$B$48,0),MATCH('Capital Cost Escalation'!$C102,'BESS_Capital Costs'!$D$7:$G$7,0))*H$10*(1+$F102)^(H$4), 0),0)</f>
        <v>449711.67662405939</v>
      </c>
      <c r="I102" s="490">
        <f>IFERROR(IF(I$6&lt;=$E$10,INDEX('BESS_Capital Costs'!$D$19:$G$48,MATCH('Capital Cost Escalation'!$E102,'BESS_Capital Costs'!$B$19:$B$48,0),MATCH('Capital Cost Escalation'!$C102,'BESS_Capital Costs'!$D$7:$G$7,0))*I$10*(1+$F102)^(I$4), 0),0)</f>
        <v>10806409.574754884</v>
      </c>
      <c r="J102" s="490">
        <f>IFERROR(IF(J$6&lt;=$E$10,INDEX('BESS_Capital Costs'!$D$19:$G$48,MATCH('Capital Cost Escalation'!$E102,'BESS_Capital Costs'!$B$19:$B$48,0),MATCH('Capital Cost Escalation'!$C102,'BESS_Capital Costs'!$D$7:$G$7,0))*J$10*(1+$F102)^(J$4), 0),0)</f>
        <v>517380.44704460382</v>
      </c>
      <c r="K102" s="490">
        <f>IFERROR(IF(K$6&lt;=$E$10,INDEX('BESS_Capital Costs'!$D$19:$G$48,MATCH('Capital Cost Escalation'!$E102,'BESS_Capital Costs'!$B$19:$B$48,0),MATCH('Capital Cost Escalation'!$C102,'BESS_Capital Costs'!$D$7:$G$7,0))*K$10*(1+$F102)^(K$4), 0),0)</f>
        <v>541855.16696456878</v>
      </c>
      <c r="L102" s="490">
        <f>IFERROR(IF(L$6&lt;=$E$10,INDEX('BESS_Capital Costs'!$D$19:$G$48,MATCH('Capital Cost Escalation'!$E102,'BESS_Capital Costs'!$B$19:$B$48,0),MATCH('Capital Cost Escalation'!$C102,'BESS_Capital Costs'!$D$7:$G$7,0))*L$10*(1+$F102)^(L$4), 0),0)</f>
        <v>617984.96147938317</v>
      </c>
      <c r="M102" s="490">
        <f>IFERROR(IF(M$6&lt;=$E$10,INDEX('BESS_Capital Costs'!$D$19:$G$48,MATCH('Capital Cost Escalation'!$E102,'BESS_Capital Costs'!$B$19:$B$48,0),MATCH('Capital Cost Escalation'!$C102,'BESS_Capital Costs'!$D$7:$G$7,0))*M$10*(1+$F102)^(M$4), 0),0)</f>
        <v>732577.08812575194</v>
      </c>
      <c r="N102" s="490">
        <f>IFERROR(IF(N$6&lt;=$E$10,INDEX('BESS_Capital Costs'!$D$19:$G$48,MATCH('Capital Cost Escalation'!$E102,'BESS_Capital Costs'!$B$19:$B$48,0),MATCH('Capital Cost Escalation'!$C102,'BESS_Capital Costs'!$D$7:$G$7,0))*N$10*(1+$F102)^(N$4), 0),0)</f>
        <v>845082.41413752199</v>
      </c>
      <c r="O102" s="490">
        <f>IFERROR(IF(O$6&lt;=$E$10,INDEX('BESS_Capital Costs'!$D$19:$G$48,MATCH('Capital Cost Escalation'!$E102,'BESS_Capital Costs'!$B$19:$B$48,0),MATCH('Capital Cost Escalation'!$C102,'BESS_Capital Costs'!$D$7:$G$7,0))*O$10*(1+$F102)^(O$4), 0),0)</f>
        <v>910824.20145533211</v>
      </c>
      <c r="P102" s="490">
        <f>IFERROR(IF(P$6&lt;=$E$10,INDEX('BESS_Capital Costs'!$D$19:$G$48,MATCH('Capital Cost Escalation'!$E102,'BESS_Capital Costs'!$B$19:$B$48,0),MATCH('Capital Cost Escalation'!$C102,'BESS_Capital Costs'!$D$7:$G$7,0))*P$10*(1+$F102)^(P$4), 0),0)</f>
        <v>897416.99516536598</v>
      </c>
      <c r="Q102" s="490">
        <f>IFERROR(IF(Q$6&lt;=$E$10,INDEX('BESS_Capital Costs'!$D$19:$G$48,MATCH('Capital Cost Escalation'!$E102,'BESS_Capital Costs'!$B$19:$B$48,0),MATCH('Capital Cost Escalation'!$C102,'BESS_Capital Costs'!$D$7:$G$7,0))*Q$10*(1+$F102)^(Q$4), 0),0)</f>
        <v>794648.39157914778</v>
      </c>
      <c r="R102" s="490">
        <f>IFERROR(IF(R$6&lt;=$E$10,INDEX('BESS_Capital Costs'!$D$19:$G$48,MATCH('Capital Cost Escalation'!$E102,'BESS_Capital Costs'!$B$19:$B$48,0),MATCH('Capital Cost Escalation'!$C102,'BESS_Capital Costs'!$D$7:$G$7,0))*R$10*(1+$F102)^(R$4), 0),0)</f>
        <v>8839353.0640698224</v>
      </c>
      <c r="S102" s="490">
        <f>IFERROR(IF(S$6&lt;=$E$10,INDEX('BESS_Capital Costs'!$D$19:$G$48,MATCH('Capital Cost Escalation'!$E102,'BESS_Capital Costs'!$B$19:$B$48,0),MATCH('Capital Cost Escalation'!$C102,'BESS_Capital Costs'!$D$7:$G$7,0))*S$10*(1+$F102)^(S$4), 0),0)</f>
        <v>404118.41698327224</v>
      </c>
      <c r="T102" s="490">
        <f>IFERROR(IF(T$6&lt;=$E$10,INDEX('BESS_Capital Costs'!$D$19:$G$48,MATCH('Capital Cost Escalation'!$E102,'BESS_Capital Costs'!$B$19:$B$48,0),MATCH('Capital Cost Escalation'!$C102,'BESS_Capital Costs'!$D$7:$G$7,0))*T$10*(1+$F102)^(T$4), 0),0)</f>
        <v>204045.60452144351</v>
      </c>
      <c r="U102" s="490">
        <f>IFERROR(IF(U$6&lt;=$E$10,INDEX('BESS_Capital Costs'!$D$19:$G$48,MATCH('Capital Cost Escalation'!$E102,'BESS_Capital Costs'!$B$19:$B$48,0),MATCH('Capital Cost Escalation'!$C102,'BESS_Capital Costs'!$D$7:$G$7,0))*U$10*(1+$F102)^(U$4), 0),0)</f>
        <v>64383.770987305739</v>
      </c>
      <c r="V102" s="490">
        <f>IFERROR(IF(V$6&lt;=$E$10,INDEX('BESS_Capital Costs'!$D$19:$G$48,MATCH('Capital Cost Escalation'!$E102,'BESS_Capital Costs'!$B$19:$B$48,0),MATCH('Capital Cost Escalation'!$C102,'BESS_Capital Costs'!$D$7:$G$7,0))*V$10*(1+$F102)^(V$4), 0),0)</f>
        <v>2059602.6292993703</v>
      </c>
      <c r="W102" s="490">
        <f>IFERROR(IF(W$6&lt;=$E$10,INDEX('BESS_Capital Costs'!$D$19:$G$48,MATCH('Capital Cost Escalation'!$E102,'BESS_Capital Costs'!$B$19:$B$48,0),MATCH('Capital Cost Escalation'!$C102,'BESS_Capital Costs'!$D$7:$G$7,0))*W$10*(1+$F102)^(W$4), 0),0)</f>
        <v>0</v>
      </c>
      <c r="X102" s="490">
        <f>IFERROR(IF(X$6&lt;=$E$10,INDEX('BESS_Capital Costs'!$D$19:$G$48,MATCH('Capital Cost Escalation'!$E102,'BESS_Capital Costs'!$B$19:$B$48,0),MATCH('Capital Cost Escalation'!$C102,'BESS_Capital Costs'!$D$7:$G$7,0))*X$10*(1+$F102)^(X$4), 0),0)</f>
        <v>0</v>
      </c>
      <c r="Y102" s="490">
        <f>IFERROR(IF(Y$6&lt;=$E$10,INDEX('BESS_Capital Costs'!$D$19:$G$48,MATCH('Capital Cost Escalation'!$E102,'BESS_Capital Costs'!$B$19:$B$48,0),MATCH('Capital Cost Escalation'!$C102,'BESS_Capital Costs'!$D$7:$G$7,0))*Y$10*(1+$F102)^(Y$4), 0),0)</f>
        <v>0</v>
      </c>
      <c r="Z102" s="490">
        <f>IFERROR(IF(Z$6&lt;=$E$10,INDEX('BESS_Capital Costs'!$D$19:$G$48,MATCH('Capital Cost Escalation'!$E102,'BESS_Capital Costs'!$B$19:$B$48,0),MATCH('Capital Cost Escalation'!$C102,'BESS_Capital Costs'!$D$7:$G$7,0))*Z$10*(1+$F102)^(Z$4), 0),0)</f>
        <v>0</v>
      </c>
      <c r="AA102" s="490">
        <f>IFERROR(IF(AA$6&lt;=$E$10,INDEX('BESS_Capital Costs'!$D$19:$G$48,MATCH('Capital Cost Escalation'!$E102,'BESS_Capital Costs'!$B$19:$B$48,0),MATCH('Capital Cost Escalation'!$C102,'BESS_Capital Costs'!$D$7:$G$7,0))*AA$10*(1+$F102)^(AA$4), 0),0)</f>
        <v>0</v>
      </c>
      <c r="AB102" s="490">
        <f>IFERROR(IF(AB$6&lt;=$E$10,INDEX('BESS_Capital Costs'!$D$19:$G$48,MATCH('Capital Cost Escalation'!$E102,'BESS_Capital Costs'!$B$19:$B$48,0),MATCH('Capital Cost Escalation'!$C102,'BESS_Capital Costs'!$D$7:$G$7,0))*AB$10*(1+$F102)^(AB$4), 0),0)</f>
        <v>0</v>
      </c>
      <c r="AC102" s="490">
        <f>IFERROR(IF(AC$6&lt;=$E$10,INDEX('BESS_Capital Costs'!$D$19:$G$48,MATCH('Capital Cost Escalation'!$E102,'BESS_Capital Costs'!$B$19:$B$48,0),MATCH('Capital Cost Escalation'!$C102,'BESS_Capital Costs'!$D$7:$G$7,0))*AC$10*(1+$F102)^(AC$4), 0),0)</f>
        <v>0</v>
      </c>
      <c r="AD102" s="490">
        <f>IFERROR(IF(AD$6&lt;=$E$10,INDEX('BESS_Capital Costs'!$D$19:$G$48,MATCH('Capital Cost Escalation'!$E102,'BESS_Capital Costs'!$B$19:$B$48,0),MATCH('Capital Cost Escalation'!$C102,'BESS_Capital Costs'!$D$7:$G$7,0))*AD$10*(1+$F102)^(AD$4), 0),0)</f>
        <v>0</v>
      </c>
      <c r="AE102" s="490">
        <f>IFERROR(IF(AE$6&lt;=$E$10,INDEX('BESS_Capital Costs'!$D$19:$G$48,MATCH('Capital Cost Escalation'!$E102,'BESS_Capital Costs'!$B$19:$B$48,0),MATCH('Capital Cost Escalation'!$C102,'BESS_Capital Costs'!$D$7:$G$7,0))*AE$10*(1+$F102)^(AE$4), 0),0)</f>
        <v>0</v>
      </c>
      <c r="AF102" s="490">
        <f>IFERROR(IF(AF$6&lt;=$E$10,INDEX('BESS_Capital Costs'!$D$19:$G$48,MATCH('Capital Cost Escalation'!$E102,'BESS_Capital Costs'!$B$19:$B$48,0),MATCH('Capital Cost Escalation'!$C102,'BESS_Capital Costs'!$D$7:$G$7,0))*AF$10*(1+$F102)^(AF$4), 0),0)</f>
        <v>0</v>
      </c>
      <c r="AG102" s="490">
        <f>IFERROR(IF(AG$6&lt;=$E$10,INDEX('BESS_Capital Costs'!$D$19:$G$48,MATCH('Capital Cost Escalation'!$E102,'BESS_Capital Costs'!$B$19:$B$48,0),MATCH('Capital Cost Escalation'!$C102,'BESS_Capital Costs'!$D$7:$G$7,0))*AG$10*(1+$F102)^(AG$4), 0),0)</f>
        <v>0</v>
      </c>
      <c r="AH102" s="490">
        <f>IFERROR(IF(AH$6&lt;=$E$10,INDEX('BESS_Capital Costs'!$D$19:$G$48,MATCH('Capital Cost Escalation'!$E102,'BESS_Capital Costs'!$B$19:$B$48,0),MATCH('Capital Cost Escalation'!$C102,'BESS_Capital Costs'!$D$7:$G$7,0))*AH$10*(1+$F102)^(AH$4), 0),0)</f>
        <v>0</v>
      </c>
      <c r="AI102" s="490">
        <f>IFERROR(IF(AI$6&lt;=$E$10,INDEX('BESS_Capital Costs'!$D$19:$G$48,MATCH('Capital Cost Escalation'!$E102,'BESS_Capital Costs'!$B$19:$B$48,0),MATCH('Capital Cost Escalation'!$C102,'BESS_Capital Costs'!$D$7:$G$7,0))*AI$10*(1+$F102)^(AI$4), 0),0)</f>
        <v>0</v>
      </c>
      <c r="AJ102" s="490">
        <f>IFERROR(IF(AJ$6&lt;=$E$10,INDEX('BESS_Capital Costs'!$D$19:$G$48,MATCH('Capital Cost Escalation'!$E102,'BESS_Capital Costs'!$B$19:$B$48,0),MATCH('Capital Cost Escalation'!$C102,'BESS_Capital Costs'!$D$7:$G$7,0))*AJ$10*(1+$F102)^(AJ$4), 0),0)</f>
        <v>0</v>
      </c>
      <c r="AK102" s="490">
        <f>IFERROR(IF(AK$6&lt;=$E$10,INDEX('BESS_Capital Costs'!$D$19:$G$48,MATCH('Capital Cost Escalation'!$E102,'BESS_Capital Costs'!$B$19:$B$48,0),MATCH('Capital Cost Escalation'!$C102,'BESS_Capital Costs'!$D$7:$G$7,0))*AK$10*(1+$F102)^(AK$4), 0),0)</f>
        <v>0</v>
      </c>
      <c r="AL102" s="490">
        <f>IFERROR(IF(AL$6&lt;=$E$10,INDEX('BESS_Capital Costs'!$D$19:$G$48,MATCH('Capital Cost Escalation'!$E102,'BESS_Capital Costs'!$B$19:$B$48,0),MATCH('Capital Cost Escalation'!$C102,'BESS_Capital Costs'!$D$7:$G$7,0))*AL$10*(1+$F102)^(AL$4), 0),0)</f>
        <v>0</v>
      </c>
      <c r="AM102" s="490">
        <f>IFERROR(IF(AM$6&lt;=$E$10,INDEX('BESS_Capital Costs'!$D$19:$G$48,MATCH('Capital Cost Escalation'!$E102,'BESS_Capital Costs'!$B$19:$B$48,0),MATCH('Capital Cost Escalation'!$C102,'BESS_Capital Costs'!$D$7:$G$7,0))*AM$10*(1+$F102)^(AM$4), 0),0)</f>
        <v>0</v>
      </c>
      <c r="AN102" s="490">
        <f>IFERROR(IF(AN$6&lt;=$E$10,INDEX('BESS_Capital Costs'!$D$19:$G$48,MATCH('Capital Cost Escalation'!$E102,'BESS_Capital Costs'!$B$19:$B$48,0),MATCH('Capital Cost Escalation'!$C102,'BESS_Capital Costs'!$D$7:$G$7,0))*AN$10*(1+$F102)^(AN$4), 0),0)</f>
        <v>0</v>
      </c>
      <c r="AO102" s="490">
        <f>IFERROR(IF(AO$6&lt;=$E$10,INDEX('BESS_Capital Costs'!$D$19:$G$48,MATCH('Capital Cost Escalation'!$E102,'BESS_Capital Costs'!$B$19:$B$48,0),MATCH('Capital Cost Escalation'!$C102,'BESS_Capital Costs'!$D$7:$G$7,0))*AO$10*(1+$F102)^(AO$4), 0),0)</f>
        <v>0</v>
      </c>
      <c r="AP102" s="490">
        <f>IFERROR(IF(AP$6&lt;=$E$10,INDEX('BESS_Capital Costs'!$D$19:$G$48,MATCH('Capital Cost Escalation'!$E102,'BESS_Capital Costs'!$B$19:$B$48,0),MATCH('Capital Cost Escalation'!$C102,'BESS_Capital Costs'!$D$7:$G$7,0))*AP$10*(1+$F102)^(AP$4), 0),0)</f>
        <v>0</v>
      </c>
      <c r="AQ102" s="490">
        <f>IFERROR(IF(AQ$6&lt;=$E$10,INDEX('BESS_Capital Costs'!$D$19:$G$48,MATCH('Capital Cost Escalation'!$E102,'BESS_Capital Costs'!$B$19:$B$48,0),MATCH('Capital Cost Escalation'!$C102,'BESS_Capital Costs'!$D$7:$G$7,0))*AQ$10*(1+$F102)^(AQ$4), 0),0)</f>
        <v>0</v>
      </c>
      <c r="AR102" s="490">
        <f>IFERROR(IF(AR$6&lt;=$E$10,INDEX('BESS_Capital Costs'!$D$19:$G$48,MATCH('Capital Cost Escalation'!$E102,'BESS_Capital Costs'!$B$19:$B$48,0),MATCH('Capital Cost Escalation'!$C102,'BESS_Capital Costs'!$D$7:$G$7,0))*AR$10*(1+$F102)^(AR$4), 0),0)</f>
        <v>0</v>
      </c>
      <c r="AS102" s="490">
        <f>IFERROR(IF(AS$6&lt;=$E$10,INDEX('BESS_Capital Costs'!$D$19:$G$48,MATCH('Capital Cost Escalation'!$E102,'BESS_Capital Costs'!$B$19:$B$48,0),MATCH('Capital Cost Escalation'!$C102,'BESS_Capital Costs'!$D$7:$G$7,0))*AS$10*(1+$F102)^(AS$4), 0),0)</f>
        <v>0</v>
      </c>
      <c r="AT102" s="490">
        <f>IFERROR(IF(AT$6&lt;=$E$10,INDEX('BESS_Capital Costs'!$D$19:$G$48,MATCH('Capital Cost Escalation'!$E102,'BESS_Capital Costs'!$B$19:$B$48,0),MATCH('Capital Cost Escalation'!$C102,'BESS_Capital Costs'!$D$7:$G$7,0))*AT$10*(1+$F102)^(AT$4), 0),0)</f>
        <v>0</v>
      </c>
      <c r="AV102" s="827">
        <f t="shared" si="17"/>
        <v>28963943.740016133</v>
      </c>
      <c r="AW102" s="828">
        <f>INDEX('BESS_Capital Costs'!$D$19:$G$48,MATCH('Capital Cost Escalation'!$E102,'BESS_Capital Costs'!$B$19:$B$48,0),MATCH('Capital Cost Escalation'!$C102,'BESS_Capital Costs'!$D$7:$G$7,0))</f>
        <v>29355700</v>
      </c>
    </row>
    <row r="103" spans="1:49">
      <c r="A103" s="487" t="str">
        <f t="shared" si="13"/>
        <v>BESS_SWMAAC_Project Management</v>
      </c>
      <c r="B103" s="478" t="s">
        <v>700</v>
      </c>
      <c r="C103" s="488" t="s">
        <v>121</v>
      </c>
      <c r="E103" s="1478" t="s">
        <v>642</v>
      </c>
      <c r="F103" s="1325">
        <f>INDEX('BESS_Capital Costs_Nominal$'!$F:$F,MATCH('Capital Cost Escalation'!$E103,'BESS_Capital Costs_Nominal$'!$C:$C,0),1)</f>
        <v>-2.5895842177414696E-4</v>
      </c>
      <c r="G103" s="490">
        <f>IFERROR(IF(G$6&lt;=$E$10,INDEX('BESS_Capital Costs'!$D$19:$G$48,MATCH('Capital Cost Escalation'!$E103,'BESS_Capital Costs'!$B$19:$B$48,0),MATCH('Capital Cost Escalation'!$C103,'BESS_Capital Costs'!$D$7:$G$7,0))*G$10*(1+$F103)^(G$4), 0),0)</f>
        <v>90516.175351569051</v>
      </c>
      <c r="H103" s="490">
        <f>IFERROR(IF(H$6&lt;=$E$10,INDEX('BESS_Capital Costs'!$D$19:$G$48,MATCH('Capital Cost Escalation'!$E103,'BESS_Capital Costs'!$B$19:$B$48,0),MATCH('Capital Cost Escalation'!$C103,'BESS_Capital Costs'!$D$7:$G$7,0))*H$10*(1+$F103)^(H$4), 0),0)</f>
        <v>146136.34138582594</v>
      </c>
      <c r="I103" s="490">
        <f>IFERROR(IF(I$6&lt;=$E$10,INDEX('BESS_Capital Costs'!$D$19:$G$48,MATCH('Capital Cost Escalation'!$E103,'BESS_Capital Costs'!$B$19:$B$48,0),MATCH('Capital Cost Escalation'!$C103,'BESS_Capital Costs'!$D$7:$G$7,0))*I$10*(1+$F103)^(I$4), 0),0)</f>
        <v>3511603.6359705022</v>
      </c>
      <c r="J103" s="490">
        <f>IFERROR(IF(J$6&lt;=$E$10,INDEX('BESS_Capital Costs'!$D$19:$G$48,MATCH('Capital Cost Escalation'!$E103,'BESS_Capital Costs'!$B$19:$B$48,0),MATCH('Capital Cost Escalation'!$C103,'BESS_Capital Costs'!$D$7:$G$7,0))*J$10*(1+$F103)^(J$4), 0),0)</f>
        <v>168125.68933776367</v>
      </c>
      <c r="K103" s="490">
        <f>IFERROR(IF(K$6&lt;=$E$10,INDEX('BESS_Capital Costs'!$D$19:$G$48,MATCH('Capital Cost Escalation'!$E103,'BESS_Capital Costs'!$B$19:$B$48,0),MATCH('Capital Cost Escalation'!$C103,'BESS_Capital Costs'!$D$7:$G$7,0))*K$10*(1+$F103)^(K$4), 0),0)</f>
        <v>176078.88737877517</v>
      </c>
      <c r="L103" s="490">
        <f>IFERROR(IF(L$6&lt;=$E$10,INDEX('BESS_Capital Costs'!$D$19:$G$48,MATCH('Capital Cost Escalation'!$E103,'BESS_Capital Costs'!$B$19:$B$48,0),MATCH('Capital Cost Escalation'!$C103,'BESS_Capital Costs'!$D$7:$G$7,0))*L$10*(1+$F103)^(L$4), 0),0)</f>
        <v>200817.6927492882</v>
      </c>
      <c r="M103" s="490">
        <f>IFERROR(IF(M$6&lt;=$E$10,INDEX('BESS_Capital Costs'!$D$19:$G$48,MATCH('Capital Cost Escalation'!$E103,'BESS_Capital Costs'!$B$19:$B$48,0),MATCH('Capital Cost Escalation'!$C103,'BESS_Capital Costs'!$D$7:$G$7,0))*M$10*(1+$F103)^(M$4), 0),0)</f>
        <v>238055.04950513819</v>
      </c>
      <c r="N103" s="490">
        <f>IFERROR(IF(N$6&lt;=$E$10,INDEX('BESS_Capital Costs'!$D$19:$G$48,MATCH('Capital Cost Escalation'!$E103,'BESS_Capital Costs'!$B$19:$B$48,0),MATCH('Capital Cost Escalation'!$C103,'BESS_Capital Costs'!$D$7:$G$7,0))*N$10*(1+$F103)^(N$4), 0),0)</f>
        <v>274614.28864520561</v>
      </c>
      <c r="O103" s="490">
        <f>IFERROR(IF(O$6&lt;=$E$10,INDEX('BESS_Capital Costs'!$D$19:$G$48,MATCH('Capital Cost Escalation'!$E103,'BESS_Capital Costs'!$B$19:$B$48,0),MATCH('Capital Cost Escalation'!$C103,'BESS_Capital Costs'!$D$7:$G$7,0))*O$10*(1+$F103)^(O$4), 0),0)</f>
        <v>295977.45258818043</v>
      </c>
      <c r="P103" s="490">
        <f>IFERROR(IF(P$6&lt;=$E$10,INDEX('BESS_Capital Costs'!$D$19:$G$48,MATCH('Capital Cost Escalation'!$E103,'BESS_Capital Costs'!$B$19:$B$48,0),MATCH('Capital Cost Escalation'!$C103,'BESS_Capital Costs'!$D$7:$G$7,0))*P$10*(1+$F103)^(P$4), 0),0)</f>
        <v>291620.70541601715</v>
      </c>
      <c r="Q103" s="490">
        <f>IFERROR(IF(Q$6&lt;=$E$10,INDEX('BESS_Capital Costs'!$D$19:$G$48,MATCH('Capital Cost Escalation'!$E103,'BESS_Capital Costs'!$B$19:$B$48,0),MATCH('Capital Cost Escalation'!$C103,'BESS_Capital Costs'!$D$7:$G$7,0))*Q$10*(1+$F103)^(Q$4), 0),0)</f>
        <v>258225.46904999591</v>
      </c>
      <c r="R103" s="490">
        <f>IFERROR(IF(R$6&lt;=$E$10,INDEX('BESS_Capital Costs'!$D$19:$G$48,MATCH('Capital Cost Escalation'!$E103,'BESS_Capital Costs'!$B$19:$B$48,0),MATCH('Capital Cost Escalation'!$C103,'BESS_Capital Costs'!$D$7:$G$7,0))*R$10*(1+$F103)^(R$4), 0),0)</f>
        <v>2872397.5474637379</v>
      </c>
      <c r="S103" s="490">
        <f>IFERROR(IF(S$6&lt;=$E$10,INDEX('BESS_Capital Costs'!$D$19:$G$48,MATCH('Capital Cost Escalation'!$E103,'BESS_Capital Costs'!$B$19:$B$48,0),MATCH('Capital Cost Escalation'!$C103,'BESS_Capital Costs'!$D$7:$G$7,0))*S$10*(1+$F103)^(S$4), 0),0)</f>
        <v>131320.55495622754</v>
      </c>
      <c r="T103" s="490">
        <f>IFERROR(IF(T$6&lt;=$E$10,INDEX('BESS_Capital Costs'!$D$19:$G$48,MATCH('Capital Cost Escalation'!$E103,'BESS_Capital Costs'!$B$19:$B$48,0),MATCH('Capital Cost Escalation'!$C103,'BESS_Capital Costs'!$D$7:$G$7,0))*T$10*(1+$F103)^(T$4), 0),0)</f>
        <v>66305.768052249012</v>
      </c>
      <c r="U103" s="490">
        <f>IFERROR(IF(U$6&lt;=$E$10,INDEX('BESS_Capital Costs'!$D$19:$G$48,MATCH('Capital Cost Escalation'!$E103,'BESS_Capital Costs'!$B$19:$B$48,0),MATCH('Capital Cost Escalation'!$C103,'BESS_Capital Costs'!$D$7:$G$7,0))*U$10*(1+$F103)^(U$4), 0),0)</f>
        <v>20921.868890171438</v>
      </c>
      <c r="V103" s="490">
        <f>IFERROR(IF(V$6&lt;=$E$10,INDEX('BESS_Capital Costs'!$D$19:$G$48,MATCH('Capital Cost Escalation'!$E103,'BESS_Capital Costs'!$B$19:$B$48,0),MATCH('Capital Cost Escalation'!$C103,'BESS_Capital Costs'!$D$7:$G$7,0))*V$10*(1+$F103)^(V$4), 0),0)</f>
        <v>669279.47082425153</v>
      </c>
      <c r="W103" s="490">
        <f>IFERROR(IF(W$6&lt;=$E$10,INDEX('BESS_Capital Costs'!$D$19:$G$48,MATCH('Capital Cost Escalation'!$E103,'BESS_Capital Costs'!$B$19:$B$48,0),MATCH('Capital Cost Escalation'!$C103,'BESS_Capital Costs'!$D$7:$G$7,0))*W$10*(1+$F103)^(W$4), 0),0)</f>
        <v>0</v>
      </c>
      <c r="X103" s="490">
        <f>IFERROR(IF(X$6&lt;=$E$10,INDEX('BESS_Capital Costs'!$D$19:$G$48,MATCH('Capital Cost Escalation'!$E103,'BESS_Capital Costs'!$B$19:$B$48,0),MATCH('Capital Cost Escalation'!$C103,'BESS_Capital Costs'!$D$7:$G$7,0))*X$10*(1+$F103)^(X$4), 0),0)</f>
        <v>0</v>
      </c>
      <c r="Y103" s="490">
        <f>IFERROR(IF(Y$6&lt;=$E$10,INDEX('BESS_Capital Costs'!$D$19:$G$48,MATCH('Capital Cost Escalation'!$E103,'BESS_Capital Costs'!$B$19:$B$48,0),MATCH('Capital Cost Escalation'!$C103,'BESS_Capital Costs'!$D$7:$G$7,0))*Y$10*(1+$F103)^(Y$4), 0),0)</f>
        <v>0</v>
      </c>
      <c r="Z103" s="490">
        <f>IFERROR(IF(Z$6&lt;=$E$10,INDEX('BESS_Capital Costs'!$D$19:$G$48,MATCH('Capital Cost Escalation'!$E103,'BESS_Capital Costs'!$B$19:$B$48,0),MATCH('Capital Cost Escalation'!$C103,'BESS_Capital Costs'!$D$7:$G$7,0))*Z$10*(1+$F103)^(Z$4), 0),0)</f>
        <v>0</v>
      </c>
      <c r="AA103" s="490">
        <f>IFERROR(IF(AA$6&lt;=$E$10,INDEX('BESS_Capital Costs'!$D$19:$G$48,MATCH('Capital Cost Escalation'!$E103,'BESS_Capital Costs'!$B$19:$B$48,0),MATCH('Capital Cost Escalation'!$C103,'BESS_Capital Costs'!$D$7:$G$7,0))*AA$10*(1+$F103)^(AA$4), 0),0)</f>
        <v>0</v>
      </c>
      <c r="AB103" s="490">
        <f>IFERROR(IF(AB$6&lt;=$E$10,INDEX('BESS_Capital Costs'!$D$19:$G$48,MATCH('Capital Cost Escalation'!$E103,'BESS_Capital Costs'!$B$19:$B$48,0),MATCH('Capital Cost Escalation'!$C103,'BESS_Capital Costs'!$D$7:$G$7,0))*AB$10*(1+$F103)^(AB$4), 0),0)</f>
        <v>0</v>
      </c>
      <c r="AC103" s="490">
        <f>IFERROR(IF(AC$6&lt;=$E$10,INDEX('BESS_Capital Costs'!$D$19:$G$48,MATCH('Capital Cost Escalation'!$E103,'BESS_Capital Costs'!$B$19:$B$48,0),MATCH('Capital Cost Escalation'!$C103,'BESS_Capital Costs'!$D$7:$G$7,0))*AC$10*(1+$F103)^(AC$4), 0),0)</f>
        <v>0</v>
      </c>
      <c r="AD103" s="490">
        <f>IFERROR(IF(AD$6&lt;=$E$10,INDEX('BESS_Capital Costs'!$D$19:$G$48,MATCH('Capital Cost Escalation'!$E103,'BESS_Capital Costs'!$B$19:$B$48,0),MATCH('Capital Cost Escalation'!$C103,'BESS_Capital Costs'!$D$7:$G$7,0))*AD$10*(1+$F103)^(AD$4), 0),0)</f>
        <v>0</v>
      </c>
      <c r="AE103" s="490">
        <f>IFERROR(IF(AE$6&lt;=$E$10,INDEX('BESS_Capital Costs'!$D$19:$G$48,MATCH('Capital Cost Escalation'!$E103,'BESS_Capital Costs'!$B$19:$B$48,0),MATCH('Capital Cost Escalation'!$C103,'BESS_Capital Costs'!$D$7:$G$7,0))*AE$10*(1+$F103)^(AE$4), 0),0)</f>
        <v>0</v>
      </c>
      <c r="AF103" s="490">
        <f>IFERROR(IF(AF$6&lt;=$E$10,INDEX('BESS_Capital Costs'!$D$19:$G$48,MATCH('Capital Cost Escalation'!$E103,'BESS_Capital Costs'!$B$19:$B$48,0),MATCH('Capital Cost Escalation'!$C103,'BESS_Capital Costs'!$D$7:$G$7,0))*AF$10*(1+$F103)^(AF$4), 0),0)</f>
        <v>0</v>
      </c>
      <c r="AG103" s="490">
        <f>IFERROR(IF(AG$6&lt;=$E$10,INDEX('BESS_Capital Costs'!$D$19:$G$48,MATCH('Capital Cost Escalation'!$E103,'BESS_Capital Costs'!$B$19:$B$48,0),MATCH('Capital Cost Escalation'!$C103,'BESS_Capital Costs'!$D$7:$G$7,0))*AG$10*(1+$F103)^(AG$4), 0),0)</f>
        <v>0</v>
      </c>
      <c r="AH103" s="490">
        <f>IFERROR(IF(AH$6&lt;=$E$10,INDEX('BESS_Capital Costs'!$D$19:$G$48,MATCH('Capital Cost Escalation'!$E103,'BESS_Capital Costs'!$B$19:$B$48,0),MATCH('Capital Cost Escalation'!$C103,'BESS_Capital Costs'!$D$7:$G$7,0))*AH$10*(1+$F103)^(AH$4), 0),0)</f>
        <v>0</v>
      </c>
      <c r="AI103" s="490">
        <f>IFERROR(IF(AI$6&lt;=$E$10,INDEX('BESS_Capital Costs'!$D$19:$G$48,MATCH('Capital Cost Escalation'!$E103,'BESS_Capital Costs'!$B$19:$B$48,0),MATCH('Capital Cost Escalation'!$C103,'BESS_Capital Costs'!$D$7:$G$7,0))*AI$10*(1+$F103)^(AI$4), 0),0)</f>
        <v>0</v>
      </c>
      <c r="AJ103" s="490">
        <f>IFERROR(IF(AJ$6&lt;=$E$10,INDEX('BESS_Capital Costs'!$D$19:$G$48,MATCH('Capital Cost Escalation'!$E103,'BESS_Capital Costs'!$B$19:$B$48,0),MATCH('Capital Cost Escalation'!$C103,'BESS_Capital Costs'!$D$7:$G$7,0))*AJ$10*(1+$F103)^(AJ$4), 0),0)</f>
        <v>0</v>
      </c>
      <c r="AK103" s="490">
        <f>IFERROR(IF(AK$6&lt;=$E$10,INDEX('BESS_Capital Costs'!$D$19:$G$48,MATCH('Capital Cost Escalation'!$E103,'BESS_Capital Costs'!$B$19:$B$48,0),MATCH('Capital Cost Escalation'!$C103,'BESS_Capital Costs'!$D$7:$G$7,0))*AK$10*(1+$F103)^(AK$4), 0),0)</f>
        <v>0</v>
      </c>
      <c r="AL103" s="490">
        <f>IFERROR(IF(AL$6&lt;=$E$10,INDEX('BESS_Capital Costs'!$D$19:$G$48,MATCH('Capital Cost Escalation'!$E103,'BESS_Capital Costs'!$B$19:$B$48,0),MATCH('Capital Cost Escalation'!$C103,'BESS_Capital Costs'!$D$7:$G$7,0))*AL$10*(1+$F103)^(AL$4), 0),0)</f>
        <v>0</v>
      </c>
      <c r="AM103" s="490">
        <f>IFERROR(IF(AM$6&lt;=$E$10,INDEX('BESS_Capital Costs'!$D$19:$G$48,MATCH('Capital Cost Escalation'!$E103,'BESS_Capital Costs'!$B$19:$B$48,0),MATCH('Capital Cost Escalation'!$C103,'BESS_Capital Costs'!$D$7:$G$7,0))*AM$10*(1+$F103)^(AM$4), 0),0)</f>
        <v>0</v>
      </c>
      <c r="AN103" s="490">
        <f>IFERROR(IF(AN$6&lt;=$E$10,INDEX('BESS_Capital Costs'!$D$19:$G$48,MATCH('Capital Cost Escalation'!$E103,'BESS_Capital Costs'!$B$19:$B$48,0),MATCH('Capital Cost Escalation'!$C103,'BESS_Capital Costs'!$D$7:$G$7,0))*AN$10*(1+$F103)^(AN$4), 0),0)</f>
        <v>0</v>
      </c>
      <c r="AO103" s="490">
        <f>IFERROR(IF(AO$6&lt;=$E$10,INDEX('BESS_Capital Costs'!$D$19:$G$48,MATCH('Capital Cost Escalation'!$E103,'BESS_Capital Costs'!$B$19:$B$48,0),MATCH('Capital Cost Escalation'!$C103,'BESS_Capital Costs'!$D$7:$G$7,0))*AO$10*(1+$F103)^(AO$4), 0),0)</f>
        <v>0</v>
      </c>
      <c r="AP103" s="490">
        <f>IFERROR(IF(AP$6&lt;=$E$10,INDEX('BESS_Capital Costs'!$D$19:$G$48,MATCH('Capital Cost Escalation'!$E103,'BESS_Capital Costs'!$B$19:$B$48,0),MATCH('Capital Cost Escalation'!$C103,'BESS_Capital Costs'!$D$7:$G$7,0))*AP$10*(1+$F103)^(AP$4), 0),0)</f>
        <v>0</v>
      </c>
      <c r="AQ103" s="490">
        <f>IFERROR(IF(AQ$6&lt;=$E$10,INDEX('BESS_Capital Costs'!$D$19:$G$48,MATCH('Capital Cost Escalation'!$E103,'BESS_Capital Costs'!$B$19:$B$48,0),MATCH('Capital Cost Escalation'!$C103,'BESS_Capital Costs'!$D$7:$G$7,0))*AQ$10*(1+$F103)^(AQ$4), 0),0)</f>
        <v>0</v>
      </c>
      <c r="AR103" s="490">
        <f>IFERROR(IF(AR$6&lt;=$E$10,INDEX('BESS_Capital Costs'!$D$19:$G$48,MATCH('Capital Cost Escalation'!$E103,'BESS_Capital Costs'!$B$19:$B$48,0),MATCH('Capital Cost Escalation'!$C103,'BESS_Capital Costs'!$D$7:$G$7,0))*AR$10*(1+$F103)^(AR$4), 0),0)</f>
        <v>0</v>
      </c>
      <c r="AS103" s="490">
        <f>IFERROR(IF(AS$6&lt;=$E$10,INDEX('BESS_Capital Costs'!$D$19:$G$48,MATCH('Capital Cost Escalation'!$E103,'BESS_Capital Costs'!$B$19:$B$48,0),MATCH('Capital Cost Escalation'!$C103,'BESS_Capital Costs'!$D$7:$G$7,0))*AS$10*(1+$F103)^(AS$4), 0),0)</f>
        <v>0</v>
      </c>
      <c r="AT103" s="490">
        <f>IFERROR(IF(AT$6&lt;=$E$10,INDEX('BESS_Capital Costs'!$D$19:$G$48,MATCH('Capital Cost Escalation'!$E103,'BESS_Capital Costs'!$B$19:$B$48,0),MATCH('Capital Cost Escalation'!$C103,'BESS_Capital Costs'!$D$7:$G$7,0))*AT$10*(1+$F103)^(AT$4), 0),0)</f>
        <v>0</v>
      </c>
      <c r="AV103" s="827">
        <f t="shared" si="17"/>
        <v>9411996.5975648966</v>
      </c>
      <c r="AW103" s="828">
        <f>INDEX('BESS_Capital Costs'!$D$19:$G$48,MATCH('Capital Cost Escalation'!$E103,'BESS_Capital Costs'!$B$19:$B$48,0),MATCH('Capital Cost Escalation'!$C103,'BESS_Capital Costs'!$D$7:$G$7,0))</f>
        <v>9539300</v>
      </c>
    </row>
    <row r="104" spans="1:49">
      <c r="A104" s="487" t="str">
        <f t="shared" si="13"/>
        <v>BESS_SWMAAC_Construction &amp; Materials</v>
      </c>
      <c r="B104" s="478" t="s">
        <v>700</v>
      </c>
      <c r="C104" s="488" t="s">
        <v>121</v>
      </c>
      <c r="E104" s="1478" t="s">
        <v>640</v>
      </c>
      <c r="F104" s="1325">
        <f>INDEX('BESS_Capital Costs_Nominal$'!$F:$F,MATCH('Capital Cost Escalation'!$E104,'BESS_Capital Costs_Nominal$'!$C:$C,0),1)</f>
        <v>-2.5895842177414696E-4</v>
      </c>
      <c r="G104" s="490">
        <f>IFERROR(IF(G$6&lt;=$E$10,INDEX('BESS_Capital Costs'!$D$19:$G$48,MATCH('Capital Cost Escalation'!$E104,'BESS_Capital Costs'!$B$19:$B$48,0),MATCH('Capital Cost Escalation'!$C104,'BESS_Capital Costs'!$D$7:$G$7,0))*G$10*(1+$F104)^(G$4), 0),0)</f>
        <v>450794.14232044411</v>
      </c>
      <c r="H104" s="490">
        <f>IFERROR(IF(H$6&lt;=$E$10,INDEX('BESS_Capital Costs'!$D$19:$G$48,MATCH('Capital Cost Escalation'!$E104,'BESS_Capital Costs'!$B$19:$B$48,0),MATCH('Capital Cost Escalation'!$C104,'BESS_Capital Costs'!$D$7:$G$7,0))*H$10*(1+$F104)^(H$4), 0),0)</f>
        <v>727797.06412693753</v>
      </c>
      <c r="I104" s="490">
        <f>IFERROR(IF(I$6&lt;=$E$10,INDEX('BESS_Capital Costs'!$D$19:$G$48,MATCH('Capital Cost Escalation'!$E104,'BESS_Capital Costs'!$B$19:$B$48,0),MATCH('Capital Cost Escalation'!$C104,'BESS_Capital Costs'!$D$7:$G$7,0))*I$10*(1+$F104)^(I$4), 0),0)</f>
        <v>17488701.252546184</v>
      </c>
      <c r="J104" s="490">
        <f>IFERROR(IF(J$6&lt;=$E$10,INDEX('BESS_Capital Costs'!$D$19:$G$48,MATCH('Capital Cost Escalation'!$E104,'BESS_Capital Costs'!$B$19:$B$48,0),MATCH('Capital Cost Escalation'!$C104,'BESS_Capital Costs'!$D$7:$G$7,0))*J$10*(1+$F104)^(J$4), 0),0)</f>
        <v>837309.74748632964</v>
      </c>
      <c r="K104" s="490">
        <f>IFERROR(IF(K$6&lt;=$E$10,INDEX('BESS_Capital Costs'!$D$19:$G$48,MATCH('Capital Cost Escalation'!$E104,'BESS_Capital Costs'!$B$19:$B$48,0),MATCH('Capital Cost Escalation'!$C104,'BESS_Capital Costs'!$D$7:$G$7,0))*K$10*(1+$F104)^(K$4), 0),0)</f>
        <v>876918.74638268293</v>
      </c>
      <c r="L104" s="490">
        <f>IFERROR(IF(L$6&lt;=$E$10,INDEX('BESS_Capital Costs'!$D$19:$G$48,MATCH('Capital Cost Escalation'!$E104,'BESS_Capital Costs'!$B$19:$B$48,0),MATCH('Capital Cost Escalation'!$C104,'BESS_Capital Costs'!$D$7:$G$7,0))*L$10*(1+$F104)^(L$4), 0),0)</f>
        <v>1000124.4442120212</v>
      </c>
      <c r="M104" s="490">
        <f>IFERROR(IF(M$6&lt;=$E$10,INDEX('BESS_Capital Costs'!$D$19:$G$48,MATCH('Capital Cost Escalation'!$E104,'BESS_Capital Costs'!$B$19:$B$48,0),MATCH('Capital Cost Escalation'!$C104,'BESS_Capital Costs'!$D$7:$G$7,0))*M$10*(1+$F104)^(M$4), 0),0)</f>
        <v>1185576.1851393713</v>
      </c>
      <c r="N104" s="490">
        <f>IFERROR(IF(N$6&lt;=$E$10,INDEX('BESS_Capital Costs'!$D$19:$G$48,MATCH('Capital Cost Escalation'!$E104,'BESS_Capital Costs'!$B$19:$B$48,0),MATCH('Capital Cost Escalation'!$C104,'BESS_Capital Costs'!$D$7:$G$7,0))*N$10*(1+$F104)^(N$4), 0),0)</f>
        <v>1367650.7236185211</v>
      </c>
      <c r="O104" s="490">
        <f>IFERROR(IF(O$6&lt;=$E$10,INDEX('BESS_Capital Costs'!$D$19:$G$48,MATCH('Capital Cost Escalation'!$E104,'BESS_Capital Costs'!$B$19:$B$48,0),MATCH('Capital Cost Escalation'!$C104,'BESS_Capital Costs'!$D$7:$G$7,0))*O$10*(1+$F104)^(O$4), 0),0)</f>
        <v>1474044.8474258902</v>
      </c>
      <c r="P104" s="490">
        <f>IFERROR(IF(P$6&lt;=$E$10,INDEX('BESS_Capital Costs'!$D$19:$G$48,MATCH('Capital Cost Escalation'!$E104,'BESS_Capital Costs'!$B$19:$B$48,0),MATCH('Capital Cost Escalation'!$C104,'BESS_Capital Costs'!$D$7:$G$7,0))*P$10*(1+$F104)^(P$4), 0),0)</f>
        <v>1452347.1111135227</v>
      </c>
      <c r="Q104" s="490">
        <f>IFERROR(IF(Q$6&lt;=$E$10,INDEX('BESS_Capital Costs'!$D$19:$G$48,MATCH('Capital Cost Escalation'!$E104,'BESS_Capital Costs'!$B$19:$B$48,0),MATCH('Capital Cost Escalation'!$C104,'BESS_Capital Costs'!$D$7:$G$7,0))*Q$10*(1+$F104)^(Q$4), 0),0)</f>
        <v>1286030.1310076227</v>
      </c>
      <c r="R104" s="490">
        <f>IFERROR(IF(R$6&lt;=$E$10,INDEX('BESS_Capital Costs'!$D$19:$G$48,MATCH('Capital Cost Escalation'!$E104,'BESS_Capital Costs'!$B$19:$B$48,0),MATCH('Capital Cost Escalation'!$C104,'BESS_Capital Costs'!$D$7:$G$7,0))*R$10*(1+$F104)^(R$4), 0),0)</f>
        <v>14305288.350761246</v>
      </c>
      <c r="S104" s="490">
        <f>IFERROR(IF(S$6&lt;=$E$10,INDEX('BESS_Capital Costs'!$D$19:$G$48,MATCH('Capital Cost Escalation'!$E104,'BESS_Capital Costs'!$B$19:$B$48,0),MATCH('Capital Cost Escalation'!$C104,'BESS_Capital Costs'!$D$7:$G$7,0))*S$10*(1+$F104)^(S$4), 0),0)</f>
        <v>654010.58662286005</v>
      </c>
      <c r="T104" s="490">
        <f>IFERROR(IF(T$6&lt;=$E$10,INDEX('BESS_Capital Costs'!$D$19:$G$48,MATCH('Capital Cost Escalation'!$E104,'BESS_Capital Costs'!$B$19:$B$48,0),MATCH('Capital Cost Escalation'!$C104,'BESS_Capital Costs'!$D$7:$G$7,0))*T$10*(1+$F104)^(T$4), 0),0)</f>
        <v>330220.00458942022</v>
      </c>
      <c r="U104" s="490">
        <f>IFERROR(IF(U$6&lt;=$E$10,INDEX('BESS_Capital Costs'!$D$19:$G$48,MATCH('Capital Cost Escalation'!$E104,'BESS_Capital Costs'!$B$19:$B$48,0),MATCH('Capital Cost Escalation'!$C104,'BESS_Capital Costs'!$D$7:$G$7,0))*U$10*(1+$F104)^(U$4), 0),0)</f>
        <v>104196.35944021496</v>
      </c>
      <c r="V104" s="490">
        <f>IFERROR(IF(V$6&lt;=$E$10,INDEX('BESS_Capital Costs'!$D$19:$G$48,MATCH('Capital Cost Escalation'!$E104,'BESS_Capital Costs'!$B$19:$B$48,0),MATCH('Capital Cost Escalation'!$C104,'BESS_Capital Costs'!$D$7:$G$7,0))*V$10*(1+$F104)^(V$4), 0),0)</f>
        <v>3333186.1830336307</v>
      </c>
      <c r="W104" s="490">
        <f>IFERROR(IF(W$6&lt;=$E$10,INDEX('BESS_Capital Costs'!$D$19:$G$48,MATCH('Capital Cost Escalation'!$E104,'BESS_Capital Costs'!$B$19:$B$48,0),MATCH('Capital Cost Escalation'!$C104,'BESS_Capital Costs'!$D$7:$G$7,0))*W$10*(1+$F104)^(W$4), 0),0)</f>
        <v>0</v>
      </c>
      <c r="X104" s="490">
        <f>IFERROR(IF(X$6&lt;=$E$10,INDEX('BESS_Capital Costs'!$D$19:$G$48,MATCH('Capital Cost Escalation'!$E104,'BESS_Capital Costs'!$B$19:$B$48,0),MATCH('Capital Cost Escalation'!$C104,'BESS_Capital Costs'!$D$7:$G$7,0))*X$10*(1+$F104)^(X$4), 0),0)</f>
        <v>0</v>
      </c>
      <c r="Y104" s="490">
        <f>IFERROR(IF(Y$6&lt;=$E$10,INDEX('BESS_Capital Costs'!$D$19:$G$48,MATCH('Capital Cost Escalation'!$E104,'BESS_Capital Costs'!$B$19:$B$48,0),MATCH('Capital Cost Escalation'!$C104,'BESS_Capital Costs'!$D$7:$G$7,0))*Y$10*(1+$F104)^(Y$4), 0),0)</f>
        <v>0</v>
      </c>
      <c r="Z104" s="490">
        <f>IFERROR(IF(Z$6&lt;=$E$10,INDEX('BESS_Capital Costs'!$D$19:$G$48,MATCH('Capital Cost Escalation'!$E104,'BESS_Capital Costs'!$B$19:$B$48,0),MATCH('Capital Cost Escalation'!$C104,'BESS_Capital Costs'!$D$7:$G$7,0))*Z$10*(1+$F104)^(Z$4), 0),0)</f>
        <v>0</v>
      </c>
      <c r="AA104" s="490">
        <f>IFERROR(IF(AA$6&lt;=$E$10,INDEX('BESS_Capital Costs'!$D$19:$G$48,MATCH('Capital Cost Escalation'!$E104,'BESS_Capital Costs'!$B$19:$B$48,0),MATCH('Capital Cost Escalation'!$C104,'BESS_Capital Costs'!$D$7:$G$7,0))*AA$10*(1+$F104)^(AA$4), 0),0)</f>
        <v>0</v>
      </c>
      <c r="AB104" s="490">
        <f>IFERROR(IF(AB$6&lt;=$E$10,INDEX('BESS_Capital Costs'!$D$19:$G$48,MATCH('Capital Cost Escalation'!$E104,'BESS_Capital Costs'!$B$19:$B$48,0),MATCH('Capital Cost Escalation'!$C104,'BESS_Capital Costs'!$D$7:$G$7,0))*AB$10*(1+$F104)^(AB$4), 0),0)</f>
        <v>0</v>
      </c>
      <c r="AC104" s="490">
        <f>IFERROR(IF(AC$6&lt;=$E$10,INDEX('BESS_Capital Costs'!$D$19:$G$48,MATCH('Capital Cost Escalation'!$E104,'BESS_Capital Costs'!$B$19:$B$48,0),MATCH('Capital Cost Escalation'!$C104,'BESS_Capital Costs'!$D$7:$G$7,0))*AC$10*(1+$F104)^(AC$4), 0),0)</f>
        <v>0</v>
      </c>
      <c r="AD104" s="490">
        <f>IFERROR(IF(AD$6&lt;=$E$10,INDEX('BESS_Capital Costs'!$D$19:$G$48,MATCH('Capital Cost Escalation'!$E104,'BESS_Capital Costs'!$B$19:$B$48,0),MATCH('Capital Cost Escalation'!$C104,'BESS_Capital Costs'!$D$7:$G$7,0))*AD$10*(1+$F104)^(AD$4), 0),0)</f>
        <v>0</v>
      </c>
      <c r="AE104" s="490">
        <f>IFERROR(IF(AE$6&lt;=$E$10,INDEX('BESS_Capital Costs'!$D$19:$G$48,MATCH('Capital Cost Escalation'!$E104,'BESS_Capital Costs'!$B$19:$B$48,0),MATCH('Capital Cost Escalation'!$C104,'BESS_Capital Costs'!$D$7:$G$7,0))*AE$10*(1+$F104)^(AE$4), 0),0)</f>
        <v>0</v>
      </c>
      <c r="AF104" s="490">
        <f>IFERROR(IF(AF$6&lt;=$E$10,INDEX('BESS_Capital Costs'!$D$19:$G$48,MATCH('Capital Cost Escalation'!$E104,'BESS_Capital Costs'!$B$19:$B$48,0),MATCH('Capital Cost Escalation'!$C104,'BESS_Capital Costs'!$D$7:$G$7,0))*AF$10*(1+$F104)^(AF$4), 0),0)</f>
        <v>0</v>
      </c>
      <c r="AG104" s="490">
        <f>IFERROR(IF(AG$6&lt;=$E$10,INDEX('BESS_Capital Costs'!$D$19:$G$48,MATCH('Capital Cost Escalation'!$E104,'BESS_Capital Costs'!$B$19:$B$48,0),MATCH('Capital Cost Escalation'!$C104,'BESS_Capital Costs'!$D$7:$G$7,0))*AG$10*(1+$F104)^(AG$4), 0),0)</f>
        <v>0</v>
      </c>
      <c r="AH104" s="490">
        <f>IFERROR(IF(AH$6&lt;=$E$10,INDEX('BESS_Capital Costs'!$D$19:$G$48,MATCH('Capital Cost Escalation'!$E104,'BESS_Capital Costs'!$B$19:$B$48,0),MATCH('Capital Cost Escalation'!$C104,'BESS_Capital Costs'!$D$7:$G$7,0))*AH$10*(1+$F104)^(AH$4), 0),0)</f>
        <v>0</v>
      </c>
      <c r="AI104" s="490">
        <f>IFERROR(IF(AI$6&lt;=$E$10,INDEX('BESS_Capital Costs'!$D$19:$G$48,MATCH('Capital Cost Escalation'!$E104,'BESS_Capital Costs'!$B$19:$B$48,0),MATCH('Capital Cost Escalation'!$C104,'BESS_Capital Costs'!$D$7:$G$7,0))*AI$10*(1+$F104)^(AI$4), 0),0)</f>
        <v>0</v>
      </c>
      <c r="AJ104" s="490">
        <f>IFERROR(IF(AJ$6&lt;=$E$10,INDEX('BESS_Capital Costs'!$D$19:$G$48,MATCH('Capital Cost Escalation'!$E104,'BESS_Capital Costs'!$B$19:$B$48,0),MATCH('Capital Cost Escalation'!$C104,'BESS_Capital Costs'!$D$7:$G$7,0))*AJ$10*(1+$F104)^(AJ$4), 0),0)</f>
        <v>0</v>
      </c>
      <c r="AK104" s="490">
        <f>IFERROR(IF(AK$6&lt;=$E$10,INDEX('BESS_Capital Costs'!$D$19:$G$48,MATCH('Capital Cost Escalation'!$E104,'BESS_Capital Costs'!$B$19:$B$48,0),MATCH('Capital Cost Escalation'!$C104,'BESS_Capital Costs'!$D$7:$G$7,0))*AK$10*(1+$F104)^(AK$4), 0),0)</f>
        <v>0</v>
      </c>
      <c r="AL104" s="490">
        <f>IFERROR(IF(AL$6&lt;=$E$10,INDEX('BESS_Capital Costs'!$D$19:$G$48,MATCH('Capital Cost Escalation'!$E104,'BESS_Capital Costs'!$B$19:$B$48,0),MATCH('Capital Cost Escalation'!$C104,'BESS_Capital Costs'!$D$7:$G$7,0))*AL$10*(1+$F104)^(AL$4), 0),0)</f>
        <v>0</v>
      </c>
      <c r="AM104" s="490">
        <f>IFERROR(IF(AM$6&lt;=$E$10,INDEX('BESS_Capital Costs'!$D$19:$G$48,MATCH('Capital Cost Escalation'!$E104,'BESS_Capital Costs'!$B$19:$B$48,0),MATCH('Capital Cost Escalation'!$C104,'BESS_Capital Costs'!$D$7:$G$7,0))*AM$10*(1+$F104)^(AM$4), 0),0)</f>
        <v>0</v>
      </c>
      <c r="AN104" s="490">
        <f>IFERROR(IF(AN$6&lt;=$E$10,INDEX('BESS_Capital Costs'!$D$19:$G$48,MATCH('Capital Cost Escalation'!$E104,'BESS_Capital Costs'!$B$19:$B$48,0),MATCH('Capital Cost Escalation'!$C104,'BESS_Capital Costs'!$D$7:$G$7,0))*AN$10*(1+$F104)^(AN$4), 0),0)</f>
        <v>0</v>
      </c>
      <c r="AO104" s="490">
        <f>IFERROR(IF(AO$6&lt;=$E$10,INDEX('BESS_Capital Costs'!$D$19:$G$48,MATCH('Capital Cost Escalation'!$E104,'BESS_Capital Costs'!$B$19:$B$48,0),MATCH('Capital Cost Escalation'!$C104,'BESS_Capital Costs'!$D$7:$G$7,0))*AO$10*(1+$F104)^(AO$4), 0),0)</f>
        <v>0</v>
      </c>
      <c r="AP104" s="490">
        <f>IFERROR(IF(AP$6&lt;=$E$10,INDEX('BESS_Capital Costs'!$D$19:$G$48,MATCH('Capital Cost Escalation'!$E104,'BESS_Capital Costs'!$B$19:$B$48,0),MATCH('Capital Cost Escalation'!$C104,'BESS_Capital Costs'!$D$7:$G$7,0))*AP$10*(1+$F104)^(AP$4), 0),0)</f>
        <v>0</v>
      </c>
      <c r="AQ104" s="490">
        <f>IFERROR(IF(AQ$6&lt;=$E$10,INDEX('BESS_Capital Costs'!$D$19:$G$48,MATCH('Capital Cost Escalation'!$E104,'BESS_Capital Costs'!$B$19:$B$48,0),MATCH('Capital Cost Escalation'!$C104,'BESS_Capital Costs'!$D$7:$G$7,0))*AQ$10*(1+$F104)^(AQ$4), 0),0)</f>
        <v>0</v>
      </c>
      <c r="AR104" s="490">
        <f>IFERROR(IF(AR$6&lt;=$E$10,INDEX('BESS_Capital Costs'!$D$19:$G$48,MATCH('Capital Cost Escalation'!$E104,'BESS_Capital Costs'!$B$19:$B$48,0),MATCH('Capital Cost Escalation'!$C104,'BESS_Capital Costs'!$D$7:$G$7,0))*AR$10*(1+$F104)^(AR$4), 0),0)</f>
        <v>0</v>
      </c>
      <c r="AS104" s="490">
        <f>IFERROR(IF(AS$6&lt;=$E$10,INDEX('BESS_Capital Costs'!$D$19:$G$48,MATCH('Capital Cost Escalation'!$E104,'BESS_Capital Costs'!$B$19:$B$48,0),MATCH('Capital Cost Escalation'!$C104,'BESS_Capital Costs'!$D$7:$G$7,0))*AS$10*(1+$F104)^(AS$4), 0),0)</f>
        <v>0</v>
      </c>
      <c r="AT104" s="490">
        <f>IFERROR(IF(AT$6&lt;=$E$10,INDEX('BESS_Capital Costs'!$D$19:$G$48,MATCH('Capital Cost Escalation'!$E104,'BESS_Capital Costs'!$B$19:$B$48,0),MATCH('Capital Cost Escalation'!$C104,'BESS_Capital Costs'!$D$7:$G$7,0))*AT$10*(1+$F104)^(AT$4), 0),0)</f>
        <v>0</v>
      </c>
      <c r="AV104" s="827">
        <f>SUM(G104:AT104)</f>
        <v>46874195.879826903</v>
      </c>
      <c r="AW104" s="828">
        <f>INDEX('BESS_Capital Costs'!$D$19:$G$48,MATCH('Capital Cost Escalation'!$E104,'BESS_Capital Costs'!$B$19:$B$48,0),MATCH('Capital Cost Escalation'!$C104,'BESS_Capital Costs'!$D$7:$G$7,0))</f>
        <v>47508200</v>
      </c>
    </row>
    <row r="105" spans="1:49">
      <c r="A105" s="487" t="str">
        <f t="shared" si="13"/>
        <v>BESS_SWMAAC_Optional Augmentation to Maintain Nameplate over 15 Years</v>
      </c>
      <c r="B105" s="478" t="s">
        <v>700</v>
      </c>
      <c r="C105" s="488" t="s">
        <v>121</v>
      </c>
      <c r="E105" s="1478" t="s">
        <v>636</v>
      </c>
      <c r="F105" s="1325">
        <f>INDEX('BESS_Capital Costs_Nominal$'!$F:$F,MATCH('Capital Cost Escalation'!$E105,'BESS_Capital Costs_Nominal$'!$C:$C,0),1)</f>
        <v>-2.5895842177414696E-4</v>
      </c>
      <c r="G105" s="490">
        <f>IFERROR(IF(G$6&lt;=$E$10,INDEX('BESS_Capital Costs'!$D$19:$G$48,MATCH('Capital Cost Escalation'!$E105,'BESS_Capital Costs'!$B$19:$B$48,0),MATCH('Capital Cost Escalation'!$C105,'BESS_Capital Costs'!$D$7:$G$7,0))*G$10*(1+$F105)^(G$4), 0),0)</f>
        <v>0</v>
      </c>
      <c r="H105" s="490">
        <f>IFERROR(IF(H$6&lt;=$E$10,INDEX('BESS_Capital Costs'!$D$19:$G$48,MATCH('Capital Cost Escalation'!$E105,'BESS_Capital Costs'!$B$19:$B$48,0),MATCH('Capital Cost Escalation'!$C105,'BESS_Capital Costs'!$D$7:$G$7,0))*H$10*(1+$F105)^(H$4), 0),0)</f>
        <v>0</v>
      </c>
      <c r="I105" s="490">
        <f>IFERROR(IF(I$6&lt;=$E$10,INDEX('BESS_Capital Costs'!$D$19:$G$48,MATCH('Capital Cost Escalation'!$E105,'BESS_Capital Costs'!$B$19:$B$48,0),MATCH('Capital Cost Escalation'!$C105,'BESS_Capital Costs'!$D$7:$G$7,0))*I$10*(1+$F105)^(I$4), 0),0)</f>
        <v>0</v>
      </c>
      <c r="J105" s="490">
        <f>IFERROR(IF(J$6&lt;=$E$10,INDEX('BESS_Capital Costs'!$D$19:$G$48,MATCH('Capital Cost Escalation'!$E105,'BESS_Capital Costs'!$B$19:$B$48,0),MATCH('Capital Cost Escalation'!$C105,'BESS_Capital Costs'!$D$7:$G$7,0))*J$10*(1+$F105)^(J$4), 0),0)</f>
        <v>0</v>
      </c>
      <c r="K105" s="490">
        <f>IFERROR(IF(K$6&lt;=$E$10,INDEX('BESS_Capital Costs'!$D$19:$G$48,MATCH('Capital Cost Escalation'!$E105,'BESS_Capital Costs'!$B$19:$B$48,0),MATCH('Capital Cost Escalation'!$C105,'BESS_Capital Costs'!$D$7:$G$7,0))*K$10*(1+$F105)^(K$4), 0),0)</f>
        <v>0</v>
      </c>
      <c r="L105" s="490">
        <f>IFERROR(IF(L$6&lt;=$E$10,INDEX('BESS_Capital Costs'!$D$19:$G$48,MATCH('Capital Cost Escalation'!$E105,'BESS_Capital Costs'!$B$19:$B$48,0),MATCH('Capital Cost Escalation'!$C105,'BESS_Capital Costs'!$D$7:$G$7,0))*L$10*(1+$F105)^(L$4), 0),0)</f>
        <v>0</v>
      </c>
      <c r="M105" s="490">
        <f>IFERROR(IF(M$6&lt;=$E$10,INDEX('BESS_Capital Costs'!$D$19:$G$48,MATCH('Capital Cost Escalation'!$E105,'BESS_Capital Costs'!$B$19:$B$48,0),MATCH('Capital Cost Escalation'!$C105,'BESS_Capital Costs'!$D$7:$G$7,0))*M$10*(1+$F105)^(M$4), 0),0)</f>
        <v>0</v>
      </c>
      <c r="N105" s="490">
        <f>IFERROR(IF(N$6&lt;=$E$10,INDEX('BESS_Capital Costs'!$D$19:$G$48,MATCH('Capital Cost Escalation'!$E105,'BESS_Capital Costs'!$B$19:$B$48,0),MATCH('Capital Cost Escalation'!$C105,'BESS_Capital Costs'!$D$7:$G$7,0))*N$10*(1+$F105)^(N$4), 0),0)</f>
        <v>0</v>
      </c>
      <c r="O105" s="490">
        <f>IFERROR(IF(O$6&lt;=$E$10,INDEX('BESS_Capital Costs'!$D$19:$G$48,MATCH('Capital Cost Escalation'!$E105,'BESS_Capital Costs'!$B$19:$B$48,0),MATCH('Capital Cost Escalation'!$C105,'BESS_Capital Costs'!$D$7:$G$7,0))*O$10*(1+$F105)^(O$4), 0),0)</f>
        <v>0</v>
      </c>
      <c r="P105" s="490">
        <f>IFERROR(IF(P$6&lt;=$E$10,INDEX('BESS_Capital Costs'!$D$19:$G$48,MATCH('Capital Cost Escalation'!$E105,'BESS_Capital Costs'!$B$19:$B$48,0),MATCH('Capital Cost Escalation'!$C105,'BESS_Capital Costs'!$D$7:$G$7,0))*P$10*(1+$F105)^(P$4), 0),0)</f>
        <v>0</v>
      </c>
      <c r="Q105" s="490">
        <f>IFERROR(IF(Q$6&lt;=$E$10,INDEX('BESS_Capital Costs'!$D$19:$G$48,MATCH('Capital Cost Escalation'!$E105,'BESS_Capital Costs'!$B$19:$B$48,0),MATCH('Capital Cost Escalation'!$C105,'BESS_Capital Costs'!$D$7:$G$7,0))*Q$10*(1+$F105)^(Q$4), 0),0)</f>
        <v>0</v>
      </c>
      <c r="R105" s="490">
        <f>IFERROR(IF(R$6&lt;=$E$10,INDEX('BESS_Capital Costs'!$D$19:$G$48,MATCH('Capital Cost Escalation'!$E105,'BESS_Capital Costs'!$B$19:$B$48,0),MATCH('Capital Cost Escalation'!$C105,'BESS_Capital Costs'!$D$7:$G$7,0))*R$10*(1+$F105)^(R$4), 0),0)</f>
        <v>0</v>
      </c>
      <c r="S105" s="490">
        <f>IFERROR(IF(S$6&lt;=$E$10,INDEX('BESS_Capital Costs'!$D$19:$G$48,MATCH('Capital Cost Escalation'!$E105,'BESS_Capital Costs'!$B$19:$B$48,0),MATCH('Capital Cost Escalation'!$C105,'BESS_Capital Costs'!$D$7:$G$7,0))*S$10*(1+$F105)^(S$4), 0),0)</f>
        <v>0</v>
      </c>
      <c r="T105" s="490">
        <f>IFERROR(IF(T$6&lt;=$E$10,INDEX('BESS_Capital Costs'!$D$19:$G$48,MATCH('Capital Cost Escalation'!$E105,'BESS_Capital Costs'!$B$19:$B$48,0),MATCH('Capital Cost Escalation'!$C105,'BESS_Capital Costs'!$D$7:$G$7,0))*T$10*(1+$F105)^(T$4), 0),0)</f>
        <v>0</v>
      </c>
      <c r="U105" s="490">
        <f>IFERROR(IF(U$6&lt;=$E$10,INDEX('BESS_Capital Costs'!$D$19:$G$48,MATCH('Capital Cost Escalation'!$E105,'BESS_Capital Costs'!$B$19:$B$48,0),MATCH('Capital Cost Escalation'!$C105,'BESS_Capital Costs'!$D$7:$G$7,0))*U$10*(1+$F105)^(U$4), 0),0)</f>
        <v>0</v>
      </c>
      <c r="V105" s="490">
        <f>IFERROR(IF(V$6&lt;=$E$10,INDEX('BESS_Capital Costs'!$D$19:$G$48,MATCH('Capital Cost Escalation'!$E105,'BESS_Capital Costs'!$B$19:$B$48,0),MATCH('Capital Cost Escalation'!$C105,'BESS_Capital Costs'!$D$7:$G$7,0))*V$10*(1+$F105)^(V$4), 0),0)</f>
        <v>0</v>
      </c>
      <c r="W105" s="490">
        <f>IFERROR(IF(W$6&lt;=$E$10,INDEX('BESS_Capital Costs'!$D$19:$G$48,MATCH('Capital Cost Escalation'!$E105,'BESS_Capital Costs'!$B$19:$B$48,0),MATCH('Capital Cost Escalation'!$C105,'BESS_Capital Costs'!$D$7:$G$7,0))*W$10*(1+$F105)^(W$4), 0),0)</f>
        <v>0</v>
      </c>
      <c r="X105" s="490">
        <f>IFERROR(IF(X$6&lt;=$E$10,INDEX('BESS_Capital Costs'!$D$19:$G$48,MATCH('Capital Cost Escalation'!$E105,'BESS_Capital Costs'!$B$19:$B$48,0),MATCH('Capital Cost Escalation'!$C105,'BESS_Capital Costs'!$D$7:$G$7,0))*X$10*(1+$F105)^(X$4), 0),0)</f>
        <v>0</v>
      </c>
      <c r="Y105" s="490">
        <f>IFERROR(IF(Y$6&lt;=$E$10,INDEX('BESS_Capital Costs'!$D$19:$G$48,MATCH('Capital Cost Escalation'!$E105,'BESS_Capital Costs'!$B$19:$B$48,0),MATCH('Capital Cost Escalation'!$C105,'BESS_Capital Costs'!$D$7:$G$7,0))*Y$10*(1+$F105)^(Y$4), 0),0)</f>
        <v>0</v>
      </c>
      <c r="Z105" s="490">
        <f>IFERROR(IF(Z$6&lt;=$E$10,INDEX('BESS_Capital Costs'!$D$19:$G$48,MATCH('Capital Cost Escalation'!$E105,'BESS_Capital Costs'!$B$19:$B$48,0),MATCH('Capital Cost Escalation'!$C105,'BESS_Capital Costs'!$D$7:$G$7,0))*Z$10*(1+$F105)^(Z$4), 0),0)</f>
        <v>0</v>
      </c>
      <c r="AA105" s="490">
        <f>IFERROR(IF(AA$6&lt;=$E$10,INDEX('BESS_Capital Costs'!$D$19:$G$48,MATCH('Capital Cost Escalation'!$E105,'BESS_Capital Costs'!$B$19:$B$48,0),MATCH('Capital Cost Escalation'!$C105,'BESS_Capital Costs'!$D$7:$G$7,0))*AA$10*(1+$F105)^(AA$4), 0),0)</f>
        <v>0</v>
      </c>
      <c r="AB105" s="490">
        <f>IFERROR(IF(AB$6&lt;=$E$10,INDEX('BESS_Capital Costs'!$D$19:$G$48,MATCH('Capital Cost Escalation'!$E105,'BESS_Capital Costs'!$B$19:$B$48,0),MATCH('Capital Cost Escalation'!$C105,'BESS_Capital Costs'!$D$7:$G$7,0))*AB$10*(1+$F105)^(AB$4), 0),0)</f>
        <v>0</v>
      </c>
      <c r="AC105" s="490">
        <f>IFERROR(IF(AC$6&lt;=$E$10,INDEX('BESS_Capital Costs'!$D$19:$G$48,MATCH('Capital Cost Escalation'!$E105,'BESS_Capital Costs'!$B$19:$B$48,0),MATCH('Capital Cost Escalation'!$C105,'BESS_Capital Costs'!$D$7:$G$7,0))*AC$10*(1+$F105)^(AC$4), 0),0)</f>
        <v>0</v>
      </c>
      <c r="AD105" s="490">
        <f>IFERROR(IF(AD$6&lt;=$E$10,INDEX('BESS_Capital Costs'!$D$19:$G$48,MATCH('Capital Cost Escalation'!$E105,'BESS_Capital Costs'!$B$19:$B$48,0),MATCH('Capital Cost Escalation'!$C105,'BESS_Capital Costs'!$D$7:$G$7,0))*AD$10*(1+$F105)^(AD$4), 0),0)</f>
        <v>0</v>
      </c>
      <c r="AE105" s="490">
        <f>IFERROR(IF(AE$6&lt;=$E$10,INDEX('BESS_Capital Costs'!$D$19:$G$48,MATCH('Capital Cost Escalation'!$E105,'BESS_Capital Costs'!$B$19:$B$48,0),MATCH('Capital Cost Escalation'!$C105,'BESS_Capital Costs'!$D$7:$G$7,0))*AE$10*(1+$F105)^(AE$4), 0),0)</f>
        <v>0</v>
      </c>
      <c r="AF105" s="490">
        <f>IFERROR(IF(AF$6&lt;=$E$10,INDEX('BESS_Capital Costs'!$D$19:$G$48,MATCH('Capital Cost Escalation'!$E105,'BESS_Capital Costs'!$B$19:$B$48,0),MATCH('Capital Cost Escalation'!$C105,'BESS_Capital Costs'!$D$7:$G$7,0))*AF$10*(1+$F105)^(AF$4), 0),0)</f>
        <v>0</v>
      </c>
      <c r="AG105" s="490">
        <f>IFERROR(IF(AG$6&lt;=$E$10,INDEX('BESS_Capital Costs'!$D$19:$G$48,MATCH('Capital Cost Escalation'!$E105,'BESS_Capital Costs'!$B$19:$B$48,0),MATCH('Capital Cost Escalation'!$C105,'BESS_Capital Costs'!$D$7:$G$7,0))*AG$10*(1+$F105)^(AG$4), 0),0)</f>
        <v>0</v>
      </c>
      <c r="AH105" s="490">
        <f>IFERROR(IF(AH$6&lt;=$E$10,INDEX('BESS_Capital Costs'!$D$19:$G$48,MATCH('Capital Cost Escalation'!$E105,'BESS_Capital Costs'!$B$19:$B$48,0),MATCH('Capital Cost Escalation'!$C105,'BESS_Capital Costs'!$D$7:$G$7,0))*AH$10*(1+$F105)^(AH$4), 0),0)</f>
        <v>0</v>
      </c>
      <c r="AI105" s="490">
        <f>IFERROR(IF(AI$6&lt;=$E$10,INDEX('BESS_Capital Costs'!$D$19:$G$48,MATCH('Capital Cost Escalation'!$E105,'BESS_Capital Costs'!$B$19:$B$48,0),MATCH('Capital Cost Escalation'!$C105,'BESS_Capital Costs'!$D$7:$G$7,0))*AI$10*(1+$F105)^(AI$4), 0),0)</f>
        <v>0</v>
      </c>
      <c r="AJ105" s="490">
        <f>IFERROR(IF(AJ$6&lt;=$E$10,INDEX('BESS_Capital Costs'!$D$19:$G$48,MATCH('Capital Cost Escalation'!$E105,'BESS_Capital Costs'!$B$19:$B$48,0),MATCH('Capital Cost Escalation'!$C105,'BESS_Capital Costs'!$D$7:$G$7,0))*AJ$10*(1+$F105)^(AJ$4), 0),0)</f>
        <v>0</v>
      </c>
      <c r="AK105" s="490">
        <f>IFERROR(IF(AK$6&lt;=$E$10,INDEX('BESS_Capital Costs'!$D$19:$G$48,MATCH('Capital Cost Escalation'!$E105,'BESS_Capital Costs'!$B$19:$B$48,0),MATCH('Capital Cost Escalation'!$C105,'BESS_Capital Costs'!$D$7:$G$7,0))*AK$10*(1+$F105)^(AK$4), 0),0)</f>
        <v>0</v>
      </c>
      <c r="AL105" s="490">
        <f>IFERROR(IF(AL$6&lt;=$E$10,INDEX('BESS_Capital Costs'!$D$19:$G$48,MATCH('Capital Cost Escalation'!$E105,'BESS_Capital Costs'!$B$19:$B$48,0),MATCH('Capital Cost Escalation'!$C105,'BESS_Capital Costs'!$D$7:$G$7,0))*AL$10*(1+$F105)^(AL$4), 0),0)</f>
        <v>0</v>
      </c>
      <c r="AM105" s="490">
        <f>IFERROR(IF(AM$6&lt;=$E$10,INDEX('BESS_Capital Costs'!$D$19:$G$48,MATCH('Capital Cost Escalation'!$E105,'BESS_Capital Costs'!$B$19:$B$48,0),MATCH('Capital Cost Escalation'!$C105,'BESS_Capital Costs'!$D$7:$G$7,0))*AM$10*(1+$F105)^(AM$4), 0),0)</f>
        <v>0</v>
      </c>
      <c r="AN105" s="490">
        <f>IFERROR(IF(AN$6&lt;=$E$10,INDEX('BESS_Capital Costs'!$D$19:$G$48,MATCH('Capital Cost Escalation'!$E105,'BESS_Capital Costs'!$B$19:$B$48,0),MATCH('Capital Cost Escalation'!$C105,'BESS_Capital Costs'!$D$7:$G$7,0))*AN$10*(1+$F105)^(AN$4), 0),0)</f>
        <v>0</v>
      </c>
      <c r="AO105" s="490">
        <f>IFERROR(IF(AO$6&lt;=$E$10,INDEX('BESS_Capital Costs'!$D$19:$G$48,MATCH('Capital Cost Escalation'!$E105,'BESS_Capital Costs'!$B$19:$B$48,0),MATCH('Capital Cost Escalation'!$C105,'BESS_Capital Costs'!$D$7:$G$7,0))*AO$10*(1+$F105)^(AO$4), 0),0)</f>
        <v>0</v>
      </c>
      <c r="AP105" s="490">
        <f>IFERROR(IF(AP$6&lt;=$E$10,INDEX('BESS_Capital Costs'!$D$19:$G$48,MATCH('Capital Cost Escalation'!$E105,'BESS_Capital Costs'!$B$19:$B$48,0),MATCH('Capital Cost Escalation'!$C105,'BESS_Capital Costs'!$D$7:$G$7,0))*AP$10*(1+$F105)^(AP$4), 0),0)</f>
        <v>0</v>
      </c>
      <c r="AQ105" s="490">
        <f>IFERROR(IF(AQ$6&lt;=$E$10,INDEX('BESS_Capital Costs'!$D$19:$G$48,MATCH('Capital Cost Escalation'!$E105,'BESS_Capital Costs'!$B$19:$B$48,0),MATCH('Capital Cost Escalation'!$C105,'BESS_Capital Costs'!$D$7:$G$7,0))*AQ$10*(1+$F105)^(AQ$4), 0),0)</f>
        <v>0</v>
      </c>
      <c r="AR105" s="490">
        <f>IFERROR(IF(AR$6&lt;=$E$10,INDEX('BESS_Capital Costs'!$D$19:$G$48,MATCH('Capital Cost Escalation'!$E105,'BESS_Capital Costs'!$B$19:$B$48,0),MATCH('Capital Cost Escalation'!$C105,'BESS_Capital Costs'!$D$7:$G$7,0))*AR$10*(1+$F105)^(AR$4), 0),0)</f>
        <v>0</v>
      </c>
      <c r="AS105" s="490">
        <f>IFERROR(IF(AS$6&lt;=$E$10,INDEX('BESS_Capital Costs'!$D$19:$G$48,MATCH('Capital Cost Escalation'!$E105,'BESS_Capital Costs'!$B$19:$B$48,0),MATCH('Capital Cost Escalation'!$C105,'BESS_Capital Costs'!$D$7:$G$7,0))*AS$10*(1+$F105)^(AS$4), 0),0)</f>
        <v>0</v>
      </c>
      <c r="AT105" s="490">
        <f>IFERROR(IF(AT$6&lt;=$E$10,INDEX('BESS_Capital Costs'!$D$19:$G$48,MATCH('Capital Cost Escalation'!$E105,'BESS_Capital Costs'!$B$19:$B$48,0),MATCH('Capital Cost Escalation'!$C105,'BESS_Capital Costs'!$D$7:$G$7,0))*AT$10*(1+$F105)^(AT$4), 0),0)</f>
        <v>0</v>
      </c>
      <c r="AV105" s="827">
        <f t="shared" ref="AV105:AV108" si="18">SUM(G105:AT105)</f>
        <v>0</v>
      </c>
      <c r="AW105" s="828">
        <f>INDEX('BESS_Capital Costs'!$D$19:$G$48,MATCH('Capital Cost Escalation'!$E105,'BESS_Capital Costs'!$B$19:$B$48,0),MATCH('Capital Cost Escalation'!$C105,'BESS_Capital Costs'!$D$7:$G$7,0))</f>
        <v>0</v>
      </c>
    </row>
    <row r="106" spans="1:49">
      <c r="A106" s="487" t="str">
        <f t="shared" si="13"/>
        <v>BESS_SWMAAC_Project Development</v>
      </c>
      <c r="B106" s="478" t="s">
        <v>700</v>
      </c>
      <c r="C106" s="488" t="s">
        <v>121</v>
      </c>
      <c r="E106" s="1478" t="s">
        <v>146</v>
      </c>
      <c r="F106" s="1325">
        <f>INDEX('BESS_Capital Costs_Nominal$'!$F:$F,MATCH('Capital Cost Escalation'!$E106,'BESS_Capital Costs_Nominal$'!$C:$C,0),1)</f>
        <v>-2.5895842177414696E-4</v>
      </c>
      <c r="G106" s="490">
        <f>IFERROR(IF(G$6&lt;=$E$10,INDEX('BESS_Capital Costs'!$D$19:$G$48,MATCH('Capital Cost Escalation'!$E106,'BESS_Capital Costs'!$B$19:$B$48,0),MATCH('Capital Cost Escalation'!$C106,'BESS_Capital Costs'!$D$7:$G$7,0))*G$10*(1+$F106)^(G$4), 0),0)</f>
        <v>134047.78224729444</v>
      </c>
      <c r="H106" s="490">
        <f>IFERROR(IF(H$6&lt;=$E$10,INDEX('BESS_Capital Costs'!$D$19:$G$48,MATCH('Capital Cost Escalation'!$E106,'BESS_Capital Costs'!$B$19:$B$48,0),MATCH('Capital Cost Escalation'!$C106,'BESS_Capital Costs'!$D$7:$G$7,0))*H$10*(1+$F106)^(H$4), 0),0)</f>
        <v>216417.14745920172</v>
      </c>
      <c r="I106" s="490">
        <f>IFERROR(IF(I$6&lt;=$E$10,INDEX('BESS_Capital Costs'!$D$19:$G$48,MATCH('Capital Cost Escalation'!$E106,'BESS_Capital Costs'!$B$19:$B$48,0),MATCH('Capital Cost Escalation'!$C106,'BESS_Capital Costs'!$D$7:$G$7,0))*I$10*(1+$F106)^(I$4), 0),0)</f>
        <v>5200426.0863328837</v>
      </c>
      <c r="J106" s="490">
        <f>IFERROR(IF(J$6&lt;=$E$10,INDEX('BESS_Capital Costs'!$D$19:$G$48,MATCH('Capital Cost Escalation'!$E106,'BESS_Capital Costs'!$B$19:$B$48,0),MATCH('Capital Cost Escalation'!$C106,'BESS_Capital Costs'!$D$7:$G$7,0))*J$10*(1+$F106)^(J$4), 0),0)</f>
        <v>248981.75057651897</v>
      </c>
      <c r="K106" s="490">
        <f>IFERROR(IF(K$6&lt;=$E$10,INDEX('BESS_Capital Costs'!$D$19:$G$48,MATCH('Capital Cost Escalation'!$E106,'BESS_Capital Costs'!$B$19:$B$48,0),MATCH('Capital Cost Escalation'!$C106,'BESS_Capital Costs'!$D$7:$G$7,0))*K$10*(1+$F106)^(K$4), 0),0)</f>
        <v>260759.85051313587</v>
      </c>
      <c r="L106" s="490">
        <f>IFERROR(IF(L$6&lt;=$E$10,INDEX('BESS_Capital Costs'!$D$19:$G$48,MATCH('Capital Cost Escalation'!$E106,'BESS_Capital Costs'!$B$19:$B$48,0),MATCH('Capital Cost Escalation'!$C106,'BESS_Capital Costs'!$D$7:$G$7,0))*L$10*(1+$F106)^(L$4), 0),0)</f>
        <v>297396.19735926058</v>
      </c>
      <c r="M106" s="490">
        <f>IFERROR(IF(M$6&lt;=$E$10,INDEX('BESS_Capital Costs'!$D$19:$G$48,MATCH('Capital Cost Escalation'!$E106,'BESS_Capital Costs'!$B$19:$B$48,0),MATCH('Capital Cost Escalation'!$C106,'BESS_Capital Costs'!$D$7:$G$7,0))*M$10*(1+$F106)^(M$4), 0),0)</f>
        <v>352541.97733157437</v>
      </c>
      <c r="N106" s="490">
        <f>IFERROR(IF(N$6&lt;=$E$10,INDEX('BESS_Capital Costs'!$D$19:$G$48,MATCH('Capital Cost Escalation'!$E106,'BESS_Capital Costs'!$B$19:$B$48,0),MATCH('Capital Cost Escalation'!$C106,'BESS_Capital Costs'!$D$7:$G$7,0))*N$10*(1+$F106)^(N$4), 0),0)</f>
        <v>406683.51511020935</v>
      </c>
      <c r="O106" s="490">
        <f>IFERROR(IF(O$6&lt;=$E$10,INDEX('BESS_Capital Costs'!$D$19:$G$48,MATCH('Capital Cost Escalation'!$E106,'BESS_Capital Costs'!$B$19:$B$48,0),MATCH('Capital Cost Escalation'!$C106,'BESS_Capital Costs'!$D$7:$G$7,0))*O$10*(1+$F106)^(O$4), 0),0)</f>
        <v>438320.78587666026</v>
      </c>
      <c r="P106" s="490">
        <f>IFERROR(IF(P$6&lt;=$E$10,INDEX('BESS_Capital Costs'!$D$19:$G$48,MATCH('Capital Cost Escalation'!$E106,'BESS_Capital Costs'!$B$19:$B$48,0),MATCH('Capital Cost Escalation'!$C106,'BESS_Capital Costs'!$D$7:$G$7,0))*P$10*(1+$F106)^(P$4), 0),0)</f>
        <v>431868.76452277158</v>
      </c>
      <c r="Q106" s="490">
        <f>IFERROR(IF(Q$6&lt;=$E$10,INDEX('BESS_Capital Costs'!$D$19:$G$48,MATCH('Capital Cost Escalation'!$E106,'BESS_Capital Costs'!$B$19:$B$48,0),MATCH('Capital Cost Escalation'!$C106,'BESS_Capital Costs'!$D$7:$G$7,0))*Q$10*(1+$F106)^(Q$4), 0),0)</f>
        <v>382412.88158138352</v>
      </c>
      <c r="R106" s="490">
        <f>IFERROR(IF(R$6&lt;=$E$10,INDEX('BESS_Capital Costs'!$D$19:$G$48,MATCH('Capital Cost Escalation'!$E106,'BESS_Capital Costs'!$B$19:$B$48,0),MATCH('Capital Cost Escalation'!$C106,'BESS_Capital Costs'!$D$7:$G$7,0))*R$10*(1+$F106)^(R$4), 0),0)</f>
        <v>4253808.9957355605</v>
      </c>
      <c r="S106" s="490">
        <f>IFERROR(IF(S$6&lt;=$E$10,INDEX('BESS_Capital Costs'!$D$19:$G$48,MATCH('Capital Cost Escalation'!$E106,'BESS_Capital Costs'!$B$19:$B$48,0),MATCH('Capital Cost Escalation'!$C106,'BESS_Capital Costs'!$D$7:$G$7,0))*S$10*(1+$F106)^(S$4), 0),0)</f>
        <v>194476.06007428496</v>
      </c>
      <c r="T106" s="490">
        <f>IFERROR(IF(T$6&lt;=$E$10,INDEX('BESS_Capital Costs'!$D$19:$G$48,MATCH('Capital Cost Escalation'!$E106,'BESS_Capital Costs'!$B$19:$B$48,0),MATCH('Capital Cost Escalation'!$C106,'BESS_Capital Costs'!$D$7:$G$7,0))*T$10*(1+$F106)^(T$4), 0),0)</f>
        <v>98193.953987621906</v>
      </c>
      <c r="U106" s="490">
        <f>IFERROR(IF(U$6&lt;=$E$10,INDEX('BESS_Capital Costs'!$D$19:$G$48,MATCH('Capital Cost Escalation'!$E106,'BESS_Capital Costs'!$B$19:$B$48,0),MATCH('Capital Cost Escalation'!$C106,'BESS_Capital Costs'!$D$7:$G$7,0))*U$10*(1+$F106)^(U$4), 0),0)</f>
        <v>30983.745328425764</v>
      </c>
      <c r="V106" s="490">
        <f>IFERROR(IF(V$6&lt;=$E$10,INDEX('BESS_Capital Costs'!$D$19:$G$48,MATCH('Capital Cost Escalation'!$E106,'BESS_Capital Costs'!$B$19:$B$48,0),MATCH('Capital Cost Escalation'!$C106,'BESS_Capital Costs'!$D$7:$G$7,0))*V$10*(1+$F106)^(V$4), 0),0)</f>
        <v>991153.55260178447</v>
      </c>
      <c r="W106" s="490">
        <f>IFERROR(IF(W$6&lt;=$E$10,INDEX('BESS_Capital Costs'!$D$19:$G$48,MATCH('Capital Cost Escalation'!$E106,'BESS_Capital Costs'!$B$19:$B$48,0),MATCH('Capital Cost Escalation'!$C106,'BESS_Capital Costs'!$D$7:$G$7,0))*W$10*(1+$F106)^(W$4), 0),0)</f>
        <v>0</v>
      </c>
      <c r="X106" s="490">
        <f>IFERROR(IF(X$6&lt;=$E$10,INDEX('BESS_Capital Costs'!$D$19:$G$48,MATCH('Capital Cost Escalation'!$E106,'BESS_Capital Costs'!$B$19:$B$48,0),MATCH('Capital Cost Escalation'!$C106,'BESS_Capital Costs'!$D$7:$G$7,0))*X$10*(1+$F106)^(X$4), 0),0)</f>
        <v>0</v>
      </c>
      <c r="Y106" s="490">
        <f>IFERROR(IF(Y$6&lt;=$E$10,INDEX('BESS_Capital Costs'!$D$19:$G$48,MATCH('Capital Cost Escalation'!$E106,'BESS_Capital Costs'!$B$19:$B$48,0),MATCH('Capital Cost Escalation'!$C106,'BESS_Capital Costs'!$D$7:$G$7,0))*Y$10*(1+$F106)^(Y$4), 0),0)</f>
        <v>0</v>
      </c>
      <c r="Z106" s="490">
        <f>IFERROR(IF(Z$6&lt;=$E$10,INDEX('BESS_Capital Costs'!$D$19:$G$48,MATCH('Capital Cost Escalation'!$E106,'BESS_Capital Costs'!$B$19:$B$48,0),MATCH('Capital Cost Escalation'!$C106,'BESS_Capital Costs'!$D$7:$G$7,0))*Z$10*(1+$F106)^(Z$4), 0),0)</f>
        <v>0</v>
      </c>
      <c r="AA106" s="490">
        <f>IFERROR(IF(AA$6&lt;=$E$10,INDEX('BESS_Capital Costs'!$D$19:$G$48,MATCH('Capital Cost Escalation'!$E106,'BESS_Capital Costs'!$B$19:$B$48,0),MATCH('Capital Cost Escalation'!$C106,'BESS_Capital Costs'!$D$7:$G$7,0))*AA$10*(1+$F106)^(AA$4), 0),0)</f>
        <v>0</v>
      </c>
      <c r="AB106" s="490">
        <f>IFERROR(IF(AB$6&lt;=$E$10,INDEX('BESS_Capital Costs'!$D$19:$G$48,MATCH('Capital Cost Escalation'!$E106,'BESS_Capital Costs'!$B$19:$B$48,0),MATCH('Capital Cost Escalation'!$C106,'BESS_Capital Costs'!$D$7:$G$7,0))*AB$10*(1+$F106)^(AB$4), 0),0)</f>
        <v>0</v>
      </c>
      <c r="AC106" s="490">
        <f>IFERROR(IF(AC$6&lt;=$E$10,INDEX('BESS_Capital Costs'!$D$19:$G$48,MATCH('Capital Cost Escalation'!$E106,'BESS_Capital Costs'!$B$19:$B$48,0),MATCH('Capital Cost Escalation'!$C106,'BESS_Capital Costs'!$D$7:$G$7,0))*AC$10*(1+$F106)^(AC$4), 0),0)</f>
        <v>0</v>
      </c>
      <c r="AD106" s="490">
        <f>IFERROR(IF(AD$6&lt;=$E$10,INDEX('BESS_Capital Costs'!$D$19:$G$48,MATCH('Capital Cost Escalation'!$E106,'BESS_Capital Costs'!$B$19:$B$48,0),MATCH('Capital Cost Escalation'!$C106,'BESS_Capital Costs'!$D$7:$G$7,0))*AD$10*(1+$F106)^(AD$4), 0),0)</f>
        <v>0</v>
      </c>
      <c r="AE106" s="490">
        <f>IFERROR(IF(AE$6&lt;=$E$10,INDEX('BESS_Capital Costs'!$D$19:$G$48,MATCH('Capital Cost Escalation'!$E106,'BESS_Capital Costs'!$B$19:$B$48,0),MATCH('Capital Cost Escalation'!$C106,'BESS_Capital Costs'!$D$7:$G$7,0))*AE$10*(1+$F106)^(AE$4), 0),0)</f>
        <v>0</v>
      </c>
      <c r="AF106" s="490">
        <f>IFERROR(IF(AF$6&lt;=$E$10,INDEX('BESS_Capital Costs'!$D$19:$G$48,MATCH('Capital Cost Escalation'!$E106,'BESS_Capital Costs'!$B$19:$B$48,0),MATCH('Capital Cost Escalation'!$C106,'BESS_Capital Costs'!$D$7:$G$7,0))*AF$10*(1+$F106)^(AF$4), 0),0)</f>
        <v>0</v>
      </c>
      <c r="AG106" s="490">
        <f>IFERROR(IF(AG$6&lt;=$E$10,INDEX('BESS_Capital Costs'!$D$19:$G$48,MATCH('Capital Cost Escalation'!$E106,'BESS_Capital Costs'!$B$19:$B$48,0),MATCH('Capital Cost Escalation'!$C106,'BESS_Capital Costs'!$D$7:$G$7,0))*AG$10*(1+$F106)^(AG$4), 0),0)</f>
        <v>0</v>
      </c>
      <c r="AH106" s="490">
        <f>IFERROR(IF(AH$6&lt;=$E$10,INDEX('BESS_Capital Costs'!$D$19:$G$48,MATCH('Capital Cost Escalation'!$E106,'BESS_Capital Costs'!$B$19:$B$48,0),MATCH('Capital Cost Escalation'!$C106,'BESS_Capital Costs'!$D$7:$G$7,0))*AH$10*(1+$F106)^(AH$4), 0),0)</f>
        <v>0</v>
      </c>
      <c r="AI106" s="490">
        <f>IFERROR(IF(AI$6&lt;=$E$10,INDEX('BESS_Capital Costs'!$D$19:$G$48,MATCH('Capital Cost Escalation'!$E106,'BESS_Capital Costs'!$B$19:$B$48,0),MATCH('Capital Cost Escalation'!$C106,'BESS_Capital Costs'!$D$7:$G$7,0))*AI$10*(1+$F106)^(AI$4), 0),0)</f>
        <v>0</v>
      </c>
      <c r="AJ106" s="490">
        <f>IFERROR(IF(AJ$6&lt;=$E$10,INDEX('BESS_Capital Costs'!$D$19:$G$48,MATCH('Capital Cost Escalation'!$E106,'BESS_Capital Costs'!$B$19:$B$48,0),MATCH('Capital Cost Escalation'!$C106,'BESS_Capital Costs'!$D$7:$G$7,0))*AJ$10*(1+$F106)^(AJ$4), 0),0)</f>
        <v>0</v>
      </c>
      <c r="AK106" s="490">
        <f>IFERROR(IF(AK$6&lt;=$E$10,INDEX('BESS_Capital Costs'!$D$19:$G$48,MATCH('Capital Cost Escalation'!$E106,'BESS_Capital Costs'!$B$19:$B$48,0),MATCH('Capital Cost Escalation'!$C106,'BESS_Capital Costs'!$D$7:$G$7,0))*AK$10*(1+$F106)^(AK$4), 0),0)</f>
        <v>0</v>
      </c>
      <c r="AL106" s="490">
        <f>IFERROR(IF(AL$6&lt;=$E$10,INDEX('BESS_Capital Costs'!$D$19:$G$48,MATCH('Capital Cost Escalation'!$E106,'BESS_Capital Costs'!$B$19:$B$48,0),MATCH('Capital Cost Escalation'!$C106,'BESS_Capital Costs'!$D$7:$G$7,0))*AL$10*(1+$F106)^(AL$4), 0),0)</f>
        <v>0</v>
      </c>
      <c r="AM106" s="490">
        <f>IFERROR(IF(AM$6&lt;=$E$10,INDEX('BESS_Capital Costs'!$D$19:$G$48,MATCH('Capital Cost Escalation'!$E106,'BESS_Capital Costs'!$B$19:$B$48,0),MATCH('Capital Cost Escalation'!$C106,'BESS_Capital Costs'!$D$7:$G$7,0))*AM$10*(1+$F106)^(AM$4), 0),0)</f>
        <v>0</v>
      </c>
      <c r="AN106" s="490">
        <f>IFERROR(IF(AN$6&lt;=$E$10,INDEX('BESS_Capital Costs'!$D$19:$G$48,MATCH('Capital Cost Escalation'!$E106,'BESS_Capital Costs'!$B$19:$B$48,0),MATCH('Capital Cost Escalation'!$C106,'BESS_Capital Costs'!$D$7:$G$7,0))*AN$10*(1+$F106)^(AN$4), 0),0)</f>
        <v>0</v>
      </c>
      <c r="AO106" s="490">
        <f>IFERROR(IF(AO$6&lt;=$E$10,INDEX('BESS_Capital Costs'!$D$19:$G$48,MATCH('Capital Cost Escalation'!$E106,'BESS_Capital Costs'!$B$19:$B$48,0),MATCH('Capital Cost Escalation'!$C106,'BESS_Capital Costs'!$D$7:$G$7,0))*AO$10*(1+$F106)^(AO$4), 0),0)</f>
        <v>0</v>
      </c>
      <c r="AP106" s="490">
        <f>IFERROR(IF(AP$6&lt;=$E$10,INDEX('BESS_Capital Costs'!$D$19:$G$48,MATCH('Capital Cost Escalation'!$E106,'BESS_Capital Costs'!$B$19:$B$48,0),MATCH('Capital Cost Escalation'!$C106,'BESS_Capital Costs'!$D$7:$G$7,0))*AP$10*(1+$F106)^(AP$4), 0),0)</f>
        <v>0</v>
      </c>
      <c r="AQ106" s="490">
        <f>IFERROR(IF(AQ$6&lt;=$E$10,INDEX('BESS_Capital Costs'!$D$19:$G$48,MATCH('Capital Cost Escalation'!$E106,'BESS_Capital Costs'!$B$19:$B$48,0),MATCH('Capital Cost Escalation'!$C106,'BESS_Capital Costs'!$D$7:$G$7,0))*AQ$10*(1+$F106)^(AQ$4), 0),0)</f>
        <v>0</v>
      </c>
      <c r="AR106" s="490">
        <f>IFERROR(IF(AR$6&lt;=$E$10,INDEX('BESS_Capital Costs'!$D$19:$G$48,MATCH('Capital Cost Escalation'!$E106,'BESS_Capital Costs'!$B$19:$B$48,0),MATCH('Capital Cost Escalation'!$C106,'BESS_Capital Costs'!$D$7:$G$7,0))*AR$10*(1+$F106)^(AR$4), 0),0)</f>
        <v>0</v>
      </c>
      <c r="AS106" s="490">
        <f>IFERROR(IF(AS$6&lt;=$E$10,INDEX('BESS_Capital Costs'!$D$19:$G$48,MATCH('Capital Cost Escalation'!$E106,'BESS_Capital Costs'!$B$19:$B$48,0),MATCH('Capital Cost Escalation'!$C106,'BESS_Capital Costs'!$D$7:$G$7,0))*AS$10*(1+$F106)^(AS$4), 0),0)</f>
        <v>0</v>
      </c>
      <c r="AT106" s="490">
        <f>IFERROR(IF(AT$6&lt;=$E$10,INDEX('BESS_Capital Costs'!$D$19:$G$48,MATCH('Capital Cost Escalation'!$E106,'BESS_Capital Costs'!$B$19:$B$48,0),MATCH('Capital Cost Escalation'!$C106,'BESS_Capital Costs'!$D$7:$G$7,0))*AT$10*(1+$F106)^(AT$4), 0),0)</f>
        <v>0</v>
      </c>
      <c r="AV106" s="827">
        <f t="shared" si="18"/>
        <v>13938473.046638573</v>
      </c>
      <c r="AW106" s="828">
        <f>INDEX('BESS_Capital Costs'!$D$19:$G$48,MATCH('Capital Cost Escalation'!$E106,'BESS_Capital Costs'!$B$19:$B$48,0),MATCH('Capital Cost Escalation'!$C106,'BESS_Capital Costs'!$D$7:$G$7,0))</f>
        <v>14127000</v>
      </c>
    </row>
    <row r="107" spans="1:49">
      <c r="A107" s="487" t="str">
        <f t="shared" si="13"/>
        <v>BESS_SWMAAC_Mobilization and Start-Up</v>
      </c>
      <c r="B107" s="478" t="s">
        <v>700</v>
      </c>
      <c r="C107" s="488" t="s">
        <v>121</v>
      </c>
      <c r="E107" s="1478" t="s">
        <v>147</v>
      </c>
      <c r="F107" s="1325">
        <f>INDEX('BESS_Capital Costs_Nominal$'!$F:$F,MATCH('Capital Cost Escalation'!$E107,'BESS_Capital Costs_Nominal$'!$C:$C,0),1)</f>
        <v>-2.5895842177414696E-4</v>
      </c>
      <c r="G107" s="490">
        <f>IFERROR(IF(G$6&lt;=$E$10,INDEX('BESS_Capital Costs'!$D$19:$G$48,MATCH('Capital Cost Escalation'!$E107,'BESS_Capital Costs'!$B$19:$B$48,0),MATCH('Capital Cost Escalation'!$C107,'BESS_Capital Costs'!$D$7:$G$7,0))*G$10*(1+$F107)^(G$4), 0),0)</f>
        <v>26805.760943484587</v>
      </c>
      <c r="H107" s="490">
        <f>IFERROR(IF(H$6&lt;=$E$10,INDEX('BESS_Capital Costs'!$D$19:$G$48,MATCH('Capital Cost Escalation'!$E107,'BESS_Capital Costs'!$B$19:$B$48,0),MATCH('Capital Cost Escalation'!$C107,'BESS_Capital Costs'!$D$7:$G$7,0))*H$10*(1+$F107)^(H$4), 0),0)</f>
        <v>43277.301732303022</v>
      </c>
      <c r="I107" s="490">
        <f>IFERROR(IF(I$6&lt;=$E$10,INDEX('BESS_Capital Costs'!$D$19:$G$48,MATCH('Capital Cost Escalation'!$E107,'BESS_Capital Costs'!$B$19:$B$48,0),MATCH('Capital Cost Escalation'!$C107,'BESS_Capital Costs'!$D$7:$G$7,0))*I$10*(1+$F107)^(I$4), 0),0)</f>
        <v>1039937.9694125007</v>
      </c>
      <c r="J107" s="490">
        <f>IFERROR(IF(J$6&lt;=$E$10,INDEX('BESS_Capital Costs'!$D$19:$G$48,MATCH('Capital Cost Escalation'!$E107,'BESS_Capital Costs'!$B$19:$B$48,0),MATCH('Capital Cost Escalation'!$C107,'BESS_Capital Costs'!$D$7:$G$7,0))*J$10*(1+$F107)^(J$4), 0),0)</f>
        <v>49789.300302871532</v>
      </c>
      <c r="K107" s="490">
        <f>IFERROR(IF(K$6&lt;=$E$10,INDEX('BESS_Capital Costs'!$D$19:$G$48,MATCH('Capital Cost Escalation'!$E107,'BESS_Capital Costs'!$B$19:$B$48,0),MATCH('Capital Cost Escalation'!$C107,'BESS_Capital Costs'!$D$7:$G$7,0))*K$10*(1+$F107)^(K$4), 0),0)</f>
        <v>52144.586798301745</v>
      </c>
      <c r="L107" s="490">
        <f>IFERROR(IF(L$6&lt;=$E$10,INDEX('BESS_Capital Costs'!$D$19:$G$48,MATCH('Capital Cost Escalation'!$E107,'BESS_Capital Costs'!$B$19:$B$48,0),MATCH('Capital Cost Escalation'!$C107,'BESS_Capital Costs'!$D$7:$G$7,0))*L$10*(1+$F107)^(L$4), 0),0)</f>
        <v>59470.818824938855</v>
      </c>
      <c r="M107" s="490">
        <f>IFERROR(IF(M$6&lt;=$E$10,INDEX('BESS_Capital Costs'!$D$19:$G$48,MATCH('Capital Cost Escalation'!$E107,'BESS_Capital Costs'!$B$19:$B$48,0),MATCH('Capital Cost Escalation'!$C107,'BESS_Capital Costs'!$D$7:$G$7,0))*M$10*(1+$F107)^(M$4), 0),0)</f>
        <v>70498.413390082642</v>
      </c>
      <c r="N107" s="490">
        <f>IFERROR(IF(N$6&lt;=$E$10,INDEX('BESS_Capital Costs'!$D$19:$G$48,MATCH('Capital Cost Escalation'!$E107,'BESS_Capital Costs'!$B$19:$B$48,0),MATCH('Capital Cost Escalation'!$C107,'BESS_Capital Costs'!$D$7:$G$7,0))*N$10*(1+$F107)^(N$4), 0),0)</f>
        <v>81325.18795118152</v>
      </c>
      <c r="O107" s="490">
        <f>IFERROR(IF(O$6&lt;=$E$10,INDEX('BESS_Capital Costs'!$D$19:$G$48,MATCH('Capital Cost Escalation'!$E107,'BESS_Capital Costs'!$B$19:$B$48,0),MATCH('Capital Cost Escalation'!$C107,'BESS_Capital Costs'!$D$7:$G$7,0))*O$10*(1+$F107)^(O$4), 0),0)</f>
        <v>87651.7463085981</v>
      </c>
      <c r="P107" s="490">
        <f>IFERROR(IF(P$6&lt;=$E$10,INDEX('BESS_Capital Costs'!$D$19:$G$48,MATCH('Capital Cost Escalation'!$E107,'BESS_Capital Costs'!$B$19:$B$48,0),MATCH('Capital Cost Escalation'!$C107,'BESS_Capital Costs'!$D$7:$G$7,0))*P$10*(1+$F107)^(P$4), 0),0)</f>
        <v>86361.524724062401</v>
      </c>
      <c r="Q107" s="490">
        <f>IFERROR(IF(Q$6&lt;=$E$10,INDEX('BESS_Capital Costs'!$D$19:$G$48,MATCH('Capital Cost Escalation'!$E107,'BESS_Capital Costs'!$B$19:$B$48,0),MATCH('Capital Cost Escalation'!$C107,'BESS_Capital Costs'!$D$7:$G$7,0))*Q$10*(1+$F107)^(Q$4), 0),0)</f>
        <v>76471.748458087954</v>
      </c>
      <c r="R107" s="490">
        <f>IFERROR(IF(R$6&lt;=$E$10,INDEX('BESS_Capital Costs'!$D$19:$G$48,MATCH('Capital Cost Escalation'!$E107,'BESS_Capital Costs'!$B$19:$B$48,0),MATCH('Capital Cost Escalation'!$C107,'BESS_Capital Costs'!$D$7:$G$7,0))*R$10*(1+$F107)^(R$4), 0),0)</f>
        <v>850641.35435357515</v>
      </c>
      <c r="S107" s="490">
        <f>IFERROR(IF(S$6&lt;=$E$10,INDEX('BESS_Capital Costs'!$D$19:$G$48,MATCH('Capital Cost Escalation'!$E107,'BESS_Capital Costs'!$B$19:$B$48,0),MATCH('Capital Cost Escalation'!$C107,'BESS_Capital Costs'!$D$7:$G$7,0))*S$10*(1+$F107)^(S$4), 0),0)</f>
        <v>38889.705507882427</v>
      </c>
      <c r="T107" s="490">
        <f>IFERROR(IF(T$6&lt;=$E$10,INDEX('BESS_Capital Costs'!$D$19:$G$48,MATCH('Capital Cost Escalation'!$E107,'BESS_Capital Costs'!$B$19:$B$48,0),MATCH('Capital Cost Escalation'!$C107,'BESS_Capital Costs'!$D$7:$G$7,0))*T$10*(1+$F107)^(T$4), 0),0)</f>
        <v>19636.010477456781</v>
      </c>
      <c r="U107" s="490">
        <f>IFERROR(IF(U$6&lt;=$E$10,INDEX('BESS_Capital Costs'!$D$19:$G$48,MATCH('Capital Cost Escalation'!$E107,'BESS_Capital Costs'!$B$19:$B$48,0),MATCH('Capital Cost Escalation'!$C107,'BESS_Capital Costs'!$D$7:$G$7,0))*U$10*(1+$F107)^(U$4), 0),0)</f>
        <v>6195.8717741065184</v>
      </c>
      <c r="V107" s="490">
        <f>IFERROR(IF(V$6&lt;=$E$10,INDEX('BESS_Capital Costs'!$D$19:$G$48,MATCH('Capital Cost Escalation'!$E107,'BESS_Capital Costs'!$B$19:$B$48,0),MATCH('Capital Cost Escalation'!$C107,'BESS_Capital Costs'!$D$7:$G$7,0))*V$10*(1+$F107)^(V$4), 0),0)</f>
        <v>198202.64642882717</v>
      </c>
      <c r="W107" s="490">
        <f>IFERROR(IF(W$6&lt;=$E$10,INDEX('BESS_Capital Costs'!$D$19:$G$48,MATCH('Capital Cost Escalation'!$E107,'BESS_Capital Costs'!$B$19:$B$48,0),MATCH('Capital Cost Escalation'!$C107,'BESS_Capital Costs'!$D$7:$G$7,0))*W$10*(1+$F107)^(W$4), 0),0)</f>
        <v>0</v>
      </c>
      <c r="X107" s="490">
        <f>IFERROR(IF(X$6&lt;=$E$10,INDEX('BESS_Capital Costs'!$D$19:$G$48,MATCH('Capital Cost Escalation'!$E107,'BESS_Capital Costs'!$B$19:$B$48,0),MATCH('Capital Cost Escalation'!$C107,'BESS_Capital Costs'!$D$7:$G$7,0))*X$10*(1+$F107)^(X$4), 0),0)</f>
        <v>0</v>
      </c>
      <c r="Y107" s="490">
        <f>IFERROR(IF(Y$6&lt;=$E$10,INDEX('BESS_Capital Costs'!$D$19:$G$48,MATCH('Capital Cost Escalation'!$E107,'BESS_Capital Costs'!$B$19:$B$48,0),MATCH('Capital Cost Escalation'!$C107,'BESS_Capital Costs'!$D$7:$G$7,0))*Y$10*(1+$F107)^(Y$4), 0),0)</f>
        <v>0</v>
      </c>
      <c r="Z107" s="490">
        <f>IFERROR(IF(Z$6&lt;=$E$10,INDEX('BESS_Capital Costs'!$D$19:$G$48,MATCH('Capital Cost Escalation'!$E107,'BESS_Capital Costs'!$B$19:$B$48,0),MATCH('Capital Cost Escalation'!$C107,'BESS_Capital Costs'!$D$7:$G$7,0))*Z$10*(1+$F107)^(Z$4), 0),0)</f>
        <v>0</v>
      </c>
      <c r="AA107" s="490">
        <f>IFERROR(IF(AA$6&lt;=$E$10,INDEX('BESS_Capital Costs'!$D$19:$G$48,MATCH('Capital Cost Escalation'!$E107,'BESS_Capital Costs'!$B$19:$B$48,0),MATCH('Capital Cost Escalation'!$C107,'BESS_Capital Costs'!$D$7:$G$7,0))*AA$10*(1+$F107)^(AA$4), 0),0)</f>
        <v>0</v>
      </c>
      <c r="AB107" s="490">
        <f>IFERROR(IF(AB$6&lt;=$E$10,INDEX('BESS_Capital Costs'!$D$19:$G$48,MATCH('Capital Cost Escalation'!$E107,'BESS_Capital Costs'!$B$19:$B$48,0),MATCH('Capital Cost Escalation'!$C107,'BESS_Capital Costs'!$D$7:$G$7,0))*AB$10*(1+$F107)^(AB$4), 0),0)</f>
        <v>0</v>
      </c>
      <c r="AC107" s="490">
        <f>IFERROR(IF(AC$6&lt;=$E$10,INDEX('BESS_Capital Costs'!$D$19:$G$48,MATCH('Capital Cost Escalation'!$E107,'BESS_Capital Costs'!$B$19:$B$48,0),MATCH('Capital Cost Escalation'!$C107,'BESS_Capital Costs'!$D$7:$G$7,0))*AC$10*(1+$F107)^(AC$4), 0),0)</f>
        <v>0</v>
      </c>
      <c r="AD107" s="490">
        <f>IFERROR(IF(AD$6&lt;=$E$10,INDEX('BESS_Capital Costs'!$D$19:$G$48,MATCH('Capital Cost Escalation'!$E107,'BESS_Capital Costs'!$B$19:$B$48,0),MATCH('Capital Cost Escalation'!$C107,'BESS_Capital Costs'!$D$7:$G$7,0))*AD$10*(1+$F107)^(AD$4), 0),0)</f>
        <v>0</v>
      </c>
      <c r="AE107" s="490">
        <f>IFERROR(IF(AE$6&lt;=$E$10,INDEX('BESS_Capital Costs'!$D$19:$G$48,MATCH('Capital Cost Escalation'!$E107,'BESS_Capital Costs'!$B$19:$B$48,0),MATCH('Capital Cost Escalation'!$C107,'BESS_Capital Costs'!$D$7:$G$7,0))*AE$10*(1+$F107)^(AE$4), 0),0)</f>
        <v>0</v>
      </c>
      <c r="AF107" s="490">
        <f>IFERROR(IF(AF$6&lt;=$E$10,INDEX('BESS_Capital Costs'!$D$19:$G$48,MATCH('Capital Cost Escalation'!$E107,'BESS_Capital Costs'!$B$19:$B$48,0),MATCH('Capital Cost Escalation'!$C107,'BESS_Capital Costs'!$D$7:$G$7,0))*AF$10*(1+$F107)^(AF$4), 0),0)</f>
        <v>0</v>
      </c>
      <c r="AG107" s="490">
        <f>IFERROR(IF(AG$6&lt;=$E$10,INDEX('BESS_Capital Costs'!$D$19:$G$48,MATCH('Capital Cost Escalation'!$E107,'BESS_Capital Costs'!$B$19:$B$48,0),MATCH('Capital Cost Escalation'!$C107,'BESS_Capital Costs'!$D$7:$G$7,0))*AG$10*(1+$F107)^(AG$4), 0),0)</f>
        <v>0</v>
      </c>
      <c r="AH107" s="490">
        <f>IFERROR(IF(AH$6&lt;=$E$10,INDEX('BESS_Capital Costs'!$D$19:$G$48,MATCH('Capital Cost Escalation'!$E107,'BESS_Capital Costs'!$B$19:$B$48,0),MATCH('Capital Cost Escalation'!$C107,'BESS_Capital Costs'!$D$7:$G$7,0))*AH$10*(1+$F107)^(AH$4), 0),0)</f>
        <v>0</v>
      </c>
      <c r="AI107" s="490">
        <f>IFERROR(IF(AI$6&lt;=$E$10,INDEX('BESS_Capital Costs'!$D$19:$G$48,MATCH('Capital Cost Escalation'!$E107,'BESS_Capital Costs'!$B$19:$B$48,0),MATCH('Capital Cost Escalation'!$C107,'BESS_Capital Costs'!$D$7:$G$7,0))*AI$10*(1+$F107)^(AI$4), 0),0)</f>
        <v>0</v>
      </c>
      <c r="AJ107" s="490">
        <f>IFERROR(IF(AJ$6&lt;=$E$10,INDEX('BESS_Capital Costs'!$D$19:$G$48,MATCH('Capital Cost Escalation'!$E107,'BESS_Capital Costs'!$B$19:$B$48,0),MATCH('Capital Cost Escalation'!$C107,'BESS_Capital Costs'!$D$7:$G$7,0))*AJ$10*(1+$F107)^(AJ$4), 0),0)</f>
        <v>0</v>
      </c>
      <c r="AK107" s="490">
        <f>IFERROR(IF(AK$6&lt;=$E$10,INDEX('BESS_Capital Costs'!$D$19:$G$48,MATCH('Capital Cost Escalation'!$E107,'BESS_Capital Costs'!$B$19:$B$48,0),MATCH('Capital Cost Escalation'!$C107,'BESS_Capital Costs'!$D$7:$G$7,0))*AK$10*(1+$F107)^(AK$4), 0),0)</f>
        <v>0</v>
      </c>
      <c r="AL107" s="490">
        <f>IFERROR(IF(AL$6&lt;=$E$10,INDEX('BESS_Capital Costs'!$D$19:$G$48,MATCH('Capital Cost Escalation'!$E107,'BESS_Capital Costs'!$B$19:$B$48,0),MATCH('Capital Cost Escalation'!$C107,'BESS_Capital Costs'!$D$7:$G$7,0))*AL$10*(1+$F107)^(AL$4), 0),0)</f>
        <v>0</v>
      </c>
      <c r="AM107" s="490">
        <f>IFERROR(IF(AM$6&lt;=$E$10,INDEX('BESS_Capital Costs'!$D$19:$G$48,MATCH('Capital Cost Escalation'!$E107,'BESS_Capital Costs'!$B$19:$B$48,0),MATCH('Capital Cost Escalation'!$C107,'BESS_Capital Costs'!$D$7:$G$7,0))*AM$10*(1+$F107)^(AM$4), 0),0)</f>
        <v>0</v>
      </c>
      <c r="AN107" s="490">
        <f>IFERROR(IF(AN$6&lt;=$E$10,INDEX('BESS_Capital Costs'!$D$19:$G$48,MATCH('Capital Cost Escalation'!$E107,'BESS_Capital Costs'!$B$19:$B$48,0),MATCH('Capital Cost Escalation'!$C107,'BESS_Capital Costs'!$D$7:$G$7,0))*AN$10*(1+$F107)^(AN$4), 0),0)</f>
        <v>0</v>
      </c>
      <c r="AO107" s="490">
        <f>IFERROR(IF(AO$6&lt;=$E$10,INDEX('BESS_Capital Costs'!$D$19:$G$48,MATCH('Capital Cost Escalation'!$E107,'BESS_Capital Costs'!$B$19:$B$48,0),MATCH('Capital Cost Escalation'!$C107,'BESS_Capital Costs'!$D$7:$G$7,0))*AO$10*(1+$F107)^(AO$4), 0),0)</f>
        <v>0</v>
      </c>
      <c r="AP107" s="490">
        <f>IFERROR(IF(AP$6&lt;=$E$10,INDEX('BESS_Capital Costs'!$D$19:$G$48,MATCH('Capital Cost Escalation'!$E107,'BESS_Capital Costs'!$B$19:$B$48,0),MATCH('Capital Cost Escalation'!$C107,'BESS_Capital Costs'!$D$7:$G$7,0))*AP$10*(1+$F107)^(AP$4), 0),0)</f>
        <v>0</v>
      </c>
      <c r="AQ107" s="490">
        <f>IFERROR(IF(AQ$6&lt;=$E$10,INDEX('BESS_Capital Costs'!$D$19:$G$48,MATCH('Capital Cost Escalation'!$E107,'BESS_Capital Costs'!$B$19:$B$48,0),MATCH('Capital Cost Escalation'!$C107,'BESS_Capital Costs'!$D$7:$G$7,0))*AQ$10*(1+$F107)^(AQ$4), 0),0)</f>
        <v>0</v>
      </c>
      <c r="AR107" s="490">
        <f>IFERROR(IF(AR$6&lt;=$E$10,INDEX('BESS_Capital Costs'!$D$19:$G$48,MATCH('Capital Cost Escalation'!$E107,'BESS_Capital Costs'!$B$19:$B$48,0),MATCH('Capital Cost Escalation'!$C107,'BESS_Capital Costs'!$D$7:$G$7,0))*AR$10*(1+$F107)^(AR$4), 0),0)</f>
        <v>0</v>
      </c>
      <c r="AS107" s="490">
        <f>IFERROR(IF(AS$6&lt;=$E$10,INDEX('BESS_Capital Costs'!$D$19:$G$48,MATCH('Capital Cost Escalation'!$E107,'BESS_Capital Costs'!$B$19:$B$48,0),MATCH('Capital Cost Escalation'!$C107,'BESS_Capital Costs'!$D$7:$G$7,0))*AS$10*(1+$F107)^(AS$4), 0),0)</f>
        <v>0</v>
      </c>
      <c r="AT107" s="490">
        <f>IFERROR(IF(AT$6&lt;=$E$10,INDEX('BESS_Capital Costs'!$D$19:$G$48,MATCH('Capital Cost Escalation'!$E107,'BESS_Capital Costs'!$B$19:$B$48,0),MATCH('Capital Cost Escalation'!$C107,'BESS_Capital Costs'!$D$7:$G$7,0))*AT$10*(1+$F107)^(AT$4), 0),0)</f>
        <v>0</v>
      </c>
      <c r="AV107" s="827">
        <f t="shared" si="18"/>
        <v>2787299.9473882606</v>
      </c>
      <c r="AW107" s="828">
        <f>INDEX('BESS_Capital Costs'!$D$19:$G$48,MATCH('Capital Cost Escalation'!$E107,'BESS_Capital Costs'!$B$19:$B$48,0),MATCH('Capital Cost Escalation'!$C107,'BESS_Capital Costs'!$D$7:$G$7,0))</f>
        <v>2825000</v>
      </c>
    </row>
    <row r="108" spans="1:49">
      <c r="A108" s="487" t="str">
        <f t="shared" si="13"/>
        <v>BESS_SWMAAC_Owner's Contingency</v>
      </c>
      <c r="B108" s="478" t="s">
        <v>700</v>
      </c>
      <c r="C108" s="488" t="s">
        <v>121</v>
      </c>
      <c r="E108" s="1478" t="s">
        <v>114</v>
      </c>
      <c r="F108" s="1325">
        <f>INDEX('BESS_Capital Costs_Nominal$'!$F:$F,MATCH('Capital Cost Escalation'!$E108,'BESS_Capital Costs_Nominal$'!$C:$C,0),1)</f>
        <v>-2.5895842177414696E-4</v>
      </c>
      <c r="G108" s="490">
        <f>IFERROR(IF(G$6&lt;=$E$10,INDEX('BESS_Capital Costs'!$D$19:$G$48,MATCH('Capital Cost Escalation'!$E108,'BESS_Capital Costs'!$B$19:$B$48,0),MATCH('Capital Cost Escalation'!$C108,'BESS_Capital Costs'!$D$7:$G$7,0))*G$10*(1+$F108)^(G$4), 0),0)</f>
        <v>106976.33588560895</v>
      </c>
      <c r="H108" s="490">
        <f>IFERROR(IF(H$6&lt;=$E$10,INDEX('BESS_Capital Costs'!$D$19:$G$48,MATCH('Capital Cost Escalation'!$E108,'BESS_Capital Costs'!$B$19:$B$48,0),MATCH('Capital Cost Escalation'!$C108,'BESS_Capital Costs'!$D$7:$G$7,0))*H$10*(1+$F108)^(H$4), 0),0)</f>
        <v>172710.90255928648</v>
      </c>
      <c r="I108" s="490">
        <f>IFERROR(IF(I$6&lt;=$E$10,INDEX('BESS_Capital Costs'!$D$19:$G$48,MATCH('Capital Cost Escalation'!$E108,'BESS_Capital Costs'!$B$19:$B$48,0),MATCH('Capital Cost Escalation'!$C108,'BESS_Capital Costs'!$D$7:$G$7,0))*I$10*(1+$F108)^(I$4), 0),0)</f>
        <v>4150180.7671350567</v>
      </c>
      <c r="J108" s="490">
        <f>IFERROR(IF(J$6&lt;=$E$10,INDEX('BESS_Capital Costs'!$D$19:$G$48,MATCH('Capital Cost Escalation'!$E108,'BESS_Capital Costs'!$B$19:$B$48,0),MATCH('Capital Cost Escalation'!$C108,'BESS_Capital Costs'!$D$7:$G$7,0))*J$10*(1+$F108)^(J$4), 0),0)</f>
        <v>198698.96340338889</v>
      </c>
      <c r="K108" s="490">
        <f>IFERROR(IF(K$6&lt;=$E$10,INDEX('BESS_Capital Costs'!$D$19:$G$48,MATCH('Capital Cost Escalation'!$E108,'BESS_Capital Costs'!$B$19:$B$48,0),MATCH('Capital Cost Escalation'!$C108,'BESS_Capital Costs'!$D$7:$G$7,0))*K$10*(1+$F108)^(K$4), 0),0)</f>
        <v>208098.43241205448</v>
      </c>
      <c r="L108" s="490">
        <f>IFERROR(IF(L$6&lt;=$E$10,INDEX('BESS_Capital Costs'!$D$19:$G$48,MATCH('Capital Cost Escalation'!$E108,'BESS_Capital Costs'!$B$19:$B$48,0),MATCH('Capital Cost Escalation'!$C108,'BESS_Capital Costs'!$D$7:$G$7,0))*L$10*(1+$F108)^(L$4), 0),0)</f>
        <v>237335.93325039314</v>
      </c>
      <c r="M108" s="490">
        <f>IFERROR(IF(M$6&lt;=$E$10,INDEX('BESS_Capital Costs'!$D$19:$G$48,MATCH('Capital Cost Escalation'!$E108,'BESS_Capital Costs'!$B$19:$B$48,0),MATCH('Capital Cost Escalation'!$C108,'BESS_Capital Costs'!$D$7:$G$7,0))*M$10*(1+$F108)^(M$4), 0),0)</f>
        <v>281344.81860523595</v>
      </c>
      <c r="N108" s="490">
        <f>IFERROR(IF(N$6&lt;=$E$10,INDEX('BESS_Capital Costs'!$D$19:$G$48,MATCH('Capital Cost Escalation'!$E108,'BESS_Capital Costs'!$B$19:$B$48,0),MATCH('Capital Cost Escalation'!$C108,'BESS_Capital Costs'!$D$7:$G$7,0))*N$10*(1+$F108)^(N$4), 0),0)</f>
        <v>324552.27219880372</v>
      </c>
      <c r="O108" s="490">
        <f>IFERROR(IF(O$6&lt;=$E$10,INDEX('BESS_Capital Costs'!$D$19:$G$48,MATCH('Capital Cost Escalation'!$E108,'BESS_Capital Costs'!$B$19:$B$48,0),MATCH('Capital Cost Escalation'!$C108,'BESS_Capital Costs'!$D$7:$G$7,0))*O$10*(1+$F108)^(O$4), 0),0)</f>
        <v>349800.27889668487</v>
      </c>
      <c r="P108" s="490">
        <f>IFERROR(IF(P$6&lt;=$E$10,INDEX('BESS_Capital Costs'!$D$19:$G$48,MATCH('Capital Cost Escalation'!$E108,'BESS_Capital Costs'!$B$19:$B$48,0),MATCH('Capital Cost Escalation'!$C108,'BESS_Capital Costs'!$D$7:$G$7,0))*P$10*(1+$F108)^(P$4), 0),0)</f>
        <v>344651.26716427598</v>
      </c>
      <c r="Q108" s="490">
        <f>IFERROR(IF(Q$6&lt;=$E$10,INDEX('BESS_Capital Costs'!$D$19:$G$48,MATCH('Capital Cost Escalation'!$E108,'BESS_Capital Costs'!$B$19:$B$48,0),MATCH('Capital Cost Escalation'!$C108,'BESS_Capital Costs'!$D$7:$G$7,0))*Q$10*(1+$F108)^(Q$4), 0),0)</f>
        <v>305183.18305008265</v>
      </c>
      <c r="R108" s="490">
        <f>IFERROR(IF(R$6&lt;=$E$10,INDEX('BESS_Capital Costs'!$D$19:$G$48,MATCH('Capital Cost Escalation'!$E108,'BESS_Capital Costs'!$B$19:$B$48,0),MATCH('Capital Cost Escalation'!$C108,'BESS_Capital Costs'!$D$7:$G$7,0))*R$10*(1+$F108)^(R$4), 0),0)</f>
        <v>3394736.5058344095</v>
      </c>
      <c r="S108" s="490">
        <f>IFERROR(IF(S$6&lt;=$E$10,INDEX('BESS_Capital Costs'!$D$19:$G$48,MATCH('Capital Cost Escalation'!$E108,'BESS_Capital Costs'!$B$19:$B$48,0),MATCH('Capital Cost Escalation'!$C108,'BESS_Capital Costs'!$D$7:$G$7,0))*S$10*(1+$F108)^(S$4), 0),0)</f>
        <v>155200.89907818282</v>
      </c>
      <c r="T108" s="490">
        <f>IFERROR(IF(T$6&lt;=$E$10,INDEX('BESS_Capital Costs'!$D$19:$G$48,MATCH('Capital Cost Escalation'!$E108,'BESS_Capital Costs'!$B$19:$B$48,0),MATCH('Capital Cost Escalation'!$C108,'BESS_Capital Costs'!$D$7:$G$7,0))*T$10*(1+$F108)^(T$4), 0),0)</f>
        <v>78363.321105432813</v>
      </c>
      <c r="U108" s="490">
        <f>IFERROR(IF(U$6&lt;=$E$10,INDEX('BESS_Capital Costs'!$D$19:$G$48,MATCH('Capital Cost Escalation'!$E108,'BESS_Capital Costs'!$B$19:$B$48,0),MATCH('Capital Cost Escalation'!$C108,'BESS_Capital Costs'!$D$7:$G$7,0))*U$10*(1+$F108)^(U$4), 0),0)</f>
        <v>24726.463143814824</v>
      </c>
      <c r="V108" s="490">
        <f>IFERROR(IF(V$6&lt;=$E$10,INDEX('BESS_Capital Costs'!$D$19:$G$48,MATCH('Capital Cost Escalation'!$E108,'BESS_Capital Costs'!$B$19:$B$48,0),MATCH('Capital Cost Escalation'!$C108,'BESS_Capital Costs'!$D$7:$G$7,0))*V$10*(1+$F108)^(V$4), 0),0)</f>
        <v>790986.41976587509</v>
      </c>
      <c r="W108" s="490">
        <f>IFERROR(IF(W$6&lt;=$E$10,INDEX('BESS_Capital Costs'!$D$19:$G$48,MATCH('Capital Cost Escalation'!$E108,'BESS_Capital Costs'!$B$19:$B$48,0),MATCH('Capital Cost Escalation'!$C108,'BESS_Capital Costs'!$D$7:$G$7,0))*W$10*(1+$F108)^(W$4), 0),0)</f>
        <v>0</v>
      </c>
      <c r="X108" s="490">
        <f>IFERROR(IF(X$6&lt;=$E$10,INDEX('BESS_Capital Costs'!$D$19:$G$48,MATCH('Capital Cost Escalation'!$E108,'BESS_Capital Costs'!$B$19:$B$48,0),MATCH('Capital Cost Escalation'!$C108,'BESS_Capital Costs'!$D$7:$G$7,0))*X$10*(1+$F108)^(X$4), 0),0)</f>
        <v>0</v>
      </c>
      <c r="Y108" s="490">
        <f>IFERROR(IF(Y$6&lt;=$E$10,INDEX('BESS_Capital Costs'!$D$19:$G$48,MATCH('Capital Cost Escalation'!$E108,'BESS_Capital Costs'!$B$19:$B$48,0),MATCH('Capital Cost Escalation'!$C108,'BESS_Capital Costs'!$D$7:$G$7,0))*Y$10*(1+$F108)^(Y$4), 0),0)</f>
        <v>0</v>
      </c>
      <c r="Z108" s="490">
        <f>IFERROR(IF(Z$6&lt;=$E$10,INDEX('BESS_Capital Costs'!$D$19:$G$48,MATCH('Capital Cost Escalation'!$E108,'BESS_Capital Costs'!$B$19:$B$48,0),MATCH('Capital Cost Escalation'!$C108,'BESS_Capital Costs'!$D$7:$G$7,0))*Z$10*(1+$F108)^(Z$4), 0),0)</f>
        <v>0</v>
      </c>
      <c r="AA108" s="490">
        <f>IFERROR(IF(AA$6&lt;=$E$10,INDEX('BESS_Capital Costs'!$D$19:$G$48,MATCH('Capital Cost Escalation'!$E108,'BESS_Capital Costs'!$B$19:$B$48,0),MATCH('Capital Cost Escalation'!$C108,'BESS_Capital Costs'!$D$7:$G$7,0))*AA$10*(1+$F108)^(AA$4), 0),0)</f>
        <v>0</v>
      </c>
      <c r="AB108" s="490">
        <f>IFERROR(IF(AB$6&lt;=$E$10,INDEX('BESS_Capital Costs'!$D$19:$G$48,MATCH('Capital Cost Escalation'!$E108,'BESS_Capital Costs'!$B$19:$B$48,0),MATCH('Capital Cost Escalation'!$C108,'BESS_Capital Costs'!$D$7:$G$7,0))*AB$10*(1+$F108)^(AB$4), 0),0)</f>
        <v>0</v>
      </c>
      <c r="AC108" s="490">
        <f>IFERROR(IF(AC$6&lt;=$E$10,INDEX('BESS_Capital Costs'!$D$19:$G$48,MATCH('Capital Cost Escalation'!$E108,'BESS_Capital Costs'!$B$19:$B$48,0),MATCH('Capital Cost Escalation'!$C108,'BESS_Capital Costs'!$D$7:$G$7,0))*AC$10*(1+$F108)^(AC$4), 0),0)</f>
        <v>0</v>
      </c>
      <c r="AD108" s="490">
        <f>IFERROR(IF(AD$6&lt;=$E$10,INDEX('BESS_Capital Costs'!$D$19:$G$48,MATCH('Capital Cost Escalation'!$E108,'BESS_Capital Costs'!$B$19:$B$48,0),MATCH('Capital Cost Escalation'!$C108,'BESS_Capital Costs'!$D$7:$G$7,0))*AD$10*(1+$F108)^(AD$4), 0),0)</f>
        <v>0</v>
      </c>
      <c r="AE108" s="490">
        <f>IFERROR(IF(AE$6&lt;=$E$10,INDEX('BESS_Capital Costs'!$D$19:$G$48,MATCH('Capital Cost Escalation'!$E108,'BESS_Capital Costs'!$B$19:$B$48,0),MATCH('Capital Cost Escalation'!$C108,'BESS_Capital Costs'!$D$7:$G$7,0))*AE$10*(1+$F108)^(AE$4), 0),0)</f>
        <v>0</v>
      </c>
      <c r="AF108" s="490">
        <f>IFERROR(IF(AF$6&lt;=$E$10,INDEX('BESS_Capital Costs'!$D$19:$G$48,MATCH('Capital Cost Escalation'!$E108,'BESS_Capital Costs'!$B$19:$B$48,0),MATCH('Capital Cost Escalation'!$C108,'BESS_Capital Costs'!$D$7:$G$7,0))*AF$10*(1+$F108)^(AF$4), 0),0)</f>
        <v>0</v>
      </c>
      <c r="AG108" s="490">
        <f>IFERROR(IF(AG$6&lt;=$E$10,INDEX('BESS_Capital Costs'!$D$19:$G$48,MATCH('Capital Cost Escalation'!$E108,'BESS_Capital Costs'!$B$19:$B$48,0),MATCH('Capital Cost Escalation'!$C108,'BESS_Capital Costs'!$D$7:$G$7,0))*AG$10*(1+$F108)^(AG$4), 0),0)</f>
        <v>0</v>
      </c>
      <c r="AH108" s="490">
        <f>IFERROR(IF(AH$6&lt;=$E$10,INDEX('BESS_Capital Costs'!$D$19:$G$48,MATCH('Capital Cost Escalation'!$E108,'BESS_Capital Costs'!$B$19:$B$48,0),MATCH('Capital Cost Escalation'!$C108,'BESS_Capital Costs'!$D$7:$G$7,0))*AH$10*(1+$F108)^(AH$4), 0),0)</f>
        <v>0</v>
      </c>
      <c r="AI108" s="490">
        <f>IFERROR(IF(AI$6&lt;=$E$10,INDEX('BESS_Capital Costs'!$D$19:$G$48,MATCH('Capital Cost Escalation'!$E108,'BESS_Capital Costs'!$B$19:$B$48,0),MATCH('Capital Cost Escalation'!$C108,'BESS_Capital Costs'!$D$7:$G$7,0))*AI$10*(1+$F108)^(AI$4), 0),0)</f>
        <v>0</v>
      </c>
      <c r="AJ108" s="490">
        <f>IFERROR(IF(AJ$6&lt;=$E$10,INDEX('BESS_Capital Costs'!$D$19:$G$48,MATCH('Capital Cost Escalation'!$E108,'BESS_Capital Costs'!$B$19:$B$48,0),MATCH('Capital Cost Escalation'!$C108,'BESS_Capital Costs'!$D$7:$G$7,0))*AJ$10*(1+$F108)^(AJ$4), 0),0)</f>
        <v>0</v>
      </c>
      <c r="AK108" s="490">
        <f>IFERROR(IF(AK$6&lt;=$E$10,INDEX('BESS_Capital Costs'!$D$19:$G$48,MATCH('Capital Cost Escalation'!$E108,'BESS_Capital Costs'!$B$19:$B$48,0),MATCH('Capital Cost Escalation'!$C108,'BESS_Capital Costs'!$D$7:$G$7,0))*AK$10*(1+$F108)^(AK$4), 0),0)</f>
        <v>0</v>
      </c>
      <c r="AL108" s="490">
        <f>IFERROR(IF(AL$6&lt;=$E$10,INDEX('BESS_Capital Costs'!$D$19:$G$48,MATCH('Capital Cost Escalation'!$E108,'BESS_Capital Costs'!$B$19:$B$48,0),MATCH('Capital Cost Escalation'!$C108,'BESS_Capital Costs'!$D$7:$G$7,0))*AL$10*(1+$F108)^(AL$4), 0),0)</f>
        <v>0</v>
      </c>
      <c r="AM108" s="490">
        <f>IFERROR(IF(AM$6&lt;=$E$10,INDEX('BESS_Capital Costs'!$D$19:$G$48,MATCH('Capital Cost Escalation'!$E108,'BESS_Capital Costs'!$B$19:$B$48,0),MATCH('Capital Cost Escalation'!$C108,'BESS_Capital Costs'!$D$7:$G$7,0))*AM$10*(1+$F108)^(AM$4), 0),0)</f>
        <v>0</v>
      </c>
      <c r="AN108" s="490">
        <f>IFERROR(IF(AN$6&lt;=$E$10,INDEX('BESS_Capital Costs'!$D$19:$G$48,MATCH('Capital Cost Escalation'!$E108,'BESS_Capital Costs'!$B$19:$B$48,0),MATCH('Capital Cost Escalation'!$C108,'BESS_Capital Costs'!$D$7:$G$7,0))*AN$10*(1+$F108)^(AN$4), 0),0)</f>
        <v>0</v>
      </c>
      <c r="AO108" s="490">
        <f>IFERROR(IF(AO$6&lt;=$E$10,INDEX('BESS_Capital Costs'!$D$19:$G$48,MATCH('Capital Cost Escalation'!$E108,'BESS_Capital Costs'!$B$19:$B$48,0),MATCH('Capital Cost Escalation'!$C108,'BESS_Capital Costs'!$D$7:$G$7,0))*AO$10*(1+$F108)^(AO$4), 0),0)</f>
        <v>0</v>
      </c>
      <c r="AP108" s="490">
        <f>IFERROR(IF(AP$6&lt;=$E$10,INDEX('BESS_Capital Costs'!$D$19:$G$48,MATCH('Capital Cost Escalation'!$E108,'BESS_Capital Costs'!$B$19:$B$48,0),MATCH('Capital Cost Escalation'!$C108,'BESS_Capital Costs'!$D$7:$G$7,0))*AP$10*(1+$F108)^(AP$4), 0),0)</f>
        <v>0</v>
      </c>
      <c r="AQ108" s="490">
        <f>IFERROR(IF(AQ$6&lt;=$E$10,INDEX('BESS_Capital Costs'!$D$19:$G$48,MATCH('Capital Cost Escalation'!$E108,'BESS_Capital Costs'!$B$19:$B$48,0),MATCH('Capital Cost Escalation'!$C108,'BESS_Capital Costs'!$D$7:$G$7,0))*AQ$10*(1+$F108)^(AQ$4), 0),0)</f>
        <v>0</v>
      </c>
      <c r="AR108" s="490">
        <f>IFERROR(IF(AR$6&lt;=$E$10,INDEX('BESS_Capital Costs'!$D$19:$G$48,MATCH('Capital Cost Escalation'!$E108,'BESS_Capital Costs'!$B$19:$B$48,0),MATCH('Capital Cost Escalation'!$C108,'BESS_Capital Costs'!$D$7:$G$7,0))*AR$10*(1+$F108)^(AR$4), 0),0)</f>
        <v>0</v>
      </c>
      <c r="AS108" s="490">
        <f>IFERROR(IF(AS$6&lt;=$E$10,INDEX('BESS_Capital Costs'!$D$19:$G$48,MATCH('Capital Cost Escalation'!$E108,'BESS_Capital Costs'!$B$19:$B$48,0),MATCH('Capital Cost Escalation'!$C108,'BESS_Capital Costs'!$D$7:$G$7,0))*AS$10*(1+$F108)^(AS$4), 0),0)</f>
        <v>0</v>
      </c>
      <c r="AT108" s="490">
        <f>IFERROR(IF(AT$6&lt;=$E$10,INDEX('BESS_Capital Costs'!$D$19:$G$48,MATCH('Capital Cost Escalation'!$E108,'BESS_Capital Costs'!$B$19:$B$48,0),MATCH('Capital Cost Escalation'!$C108,'BESS_Capital Costs'!$D$7:$G$7,0))*AT$10*(1+$F108)^(AT$4), 0),0)</f>
        <v>0</v>
      </c>
      <c r="AV108" s="827">
        <f t="shared" si="18"/>
        <v>11123546.763488587</v>
      </c>
      <c r="AW108" s="828">
        <f>INDEX('BESS_Capital Costs'!$D$19:$G$48,MATCH('Capital Cost Escalation'!$E108,'BESS_Capital Costs'!$B$19:$B$48,0),MATCH('Capital Cost Escalation'!$C108,'BESS_Capital Costs'!$D$7:$G$7,0))</f>
        <v>11274000</v>
      </c>
    </row>
    <row r="109" spans="1:49">
      <c r="A109" s="487"/>
      <c r="C109" s="488"/>
      <c r="F109" s="1325"/>
    </row>
    <row r="110" spans="1:49">
      <c r="A110" s="487" t="str">
        <f t="shared" si="13"/>
        <v>BESS_Rest of RTO_Batteries and Enclosures</v>
      </c>
      <c r="B110" s="478" t="s">
        <v>700</v>
      </c>
      <c r="C110" s="488" t="s">
        <v>111</v>
      </c>
      <c r="E110" s="1478" t="s">
        <v>647</v>
      </c>
      <c r="F110" s="1325">
        <f>INDEX('BESS_Capital Costs_Nominal$'!$F:$F,MATCH('Capital Cost Escalation'!$E110,'BESS_Capital Costs_Nominal$'!$C:$C,0),1)</f>
        <v>-2.5895842177414696E-4</v>
      </c>
      <c r="G110" s="490">
        <f>IFERROR(IF(G$6&lt;=$E$10,INDEX('BESS_Capital Costs'!$D$19:$G$48,MATCH('Capital Cost Escalation'!$E110,'BESS_Capital Costs'!$B$19:$B$48,0),MATCH('Capital Cost Escalation'!$C110,'BESS_Capital Costs'!$D$7:$G$7,0))*G$10*(1+$F110)^(G$4), 0),0)</f>
        <v>1861064.6775252866</v>
      </c>
      <c r="H110" s="490">
        <f>IFERROR(IF(H$6&lt;=$E$10,INDEX('BESS_Capital Costs'!$D$19:$G$48,MATCH('Capital Cost Escalation'!$E110,'BESS_Capital Costs'!$B$19:$B$48,0),MATCH('Capital Cost Escalation'!$C110,'BESS_Capital Costs'!$D$7:$G$7,0))*H$10*(1+$F110)^(H$4), 0),0)</f>
        <v>3004647.3130310285</v>
      </c>
      <c r="I110" s="490">
        <f>IFERROR(IF(I$6&lt;=$E$10,INDEX('BESS_Capital Costs'!$D$19:$G$48,MATCH('Capital Cost Escalation'!$E110,'BESS_Capital Costs'!$B$19:$B$48,0),MATCH('Capital Cost Escalation'!$C110,'BESS_Capital Costs'!$D$7:$G$7,0))*I$10*(1+$F110)^(I$4), 0),0)</f>
        <v>72200592.468589991</v>
      </c>
      <c r="J110" s="490">
        <f>IFERROR(IF(J$6&lt;=$E$10,INDEX('BESS_Capital Costs'!$D$19:$G$48,MATCH('Capital Cost Escalation'!$E110,'BESS_Capital Costs'!$B$19:$B$48,0),MATCH('Capital Cost Escalation'!$C110,'BESS_Capital Costs'!$D$7:$G$7,0))*J$10*(1+$F110)^(J$4), 0),0)</f>
        <v>3456760.9667091165</v>
      </c>
      <c r="K110" s="490">
        <f>IFERROR(IF(K$6&lt;=$E$10,INDEX('BESS_Capital Costs'!$D$19:$G$48,MATCH('Capital Cost Escalation'!$E110,'BESS_Capital Costs'!$B$19:$B$48,0),MATCH('Capital Cost Escalation'!$C110,'BESS_Capital Costs'!$D$7:$G$7,0))*K$10*(1+$F110)^(K$4), 0),0)</f>
        <v>3620283.2972760056</v>
      </c>
      <c r="L110" s="490">
        <f>IFERROR(IF(L$6&lt;=$E$10,INDEX('BESS_Capital Costs'!$D$19:$G$48,MATCH('Capital Cost Escalation'!$E110,'BESS_Capital Costs'!$B$19:$B$48,0),MATCH('Capital Cost Escalation'!$C110,'BESS_Capital Costs'!$D$7:$G$7,0))*L$10*(1+$F110)^(L$4), 0),0)</f>
        <v>4128927.3784074844</v>
      </c>
      <c r="M110" s="490">
        <f>IFERROR(IF(M$6&lt;=$E$10,INDEX('BESS_Capital Costs'!$D$19:$G$48,MATCH('Capital Cost Escalation'!$E110,'BESS_Capital Costs'!$B$19:$B$48,0),MATCH('Capital Cost Escalation'!$C110,'BESS_Capital Costs'!$D$7:$G$7,0))*M$10*(1+$F110)^(M$4), 0),0)</f>
        <v>4894548.8717323095</v>
      </c>
      <c r="N110" s="490">
        <f>IFERROR(IF(N$6&lt;=$E$10,INDEX('BESS_Capital Costs'!$D$19:$G$48,MATCH('Capital Cost Escalation'!$E110,'BESS_Capital Costs'!$B$19:$B$48,0),MATCH('Capital Cost Escalation'!$C110,'BESS_Capital Costs'!$D$7:$G$7,0))*N$10*(1+$F110)^(N$4), 0),0)</f>
        <v>5646227.8764683409</v>
      </c>
      <c r="O110" s="490">
        <f>IFERROR(IF(O$6&lt;=$E$10,INDEX('BESS_Capital Costs'!$D$19:$G$48,MATCH('Capital Cost Escalation'!$E110,'BESS_Capital Costs'!$B$19:$B$48,0),MATCH('Capital Cost Escalation'!$C110,'BESS_Capital Costs'!$D$7:$G$7,0))*O$10*(1+$F110)^(O$4), 0),0)</f>
        <v>6085466.8264132468</v>
      </c>
      <c r="P110" s="490">
        <f>IFERROR(IF(P$6&lt;=$E$10,INDEX('BESS_Capital Costs'!$D$19:$G$48,MATCH('Capital Cost Escalation'!$E110,'BESS_Capital Costs'!$B$19:$B$48,0),MATCH('Capital Cost Escalation'!$C110,'BESS_Capital Costs'!$D$7:$G$7,0))*P$10*(1+$F110)^(P$4), 0),0)</f>
        <v>5995889.5962714674</v>
      </c>
      <c r="Q110" s="490">
        <f>IFERROR(IF(Q$6&lt;=$E$10,INDEX('BESS_Capital Costs'!$D$19:$G$48,MATCH('Capital Cost Escalation'!$E110,'BESS_Capital Costs'!$B$19:$B$48,0),MATCH('Capital Cost Escalation'!$C110,'BESS_Capital Costs'!$D$7:$G$7,0))*Q$10*(1+$F110)^(Q$4), 0),0)</f>
        <v>5309264.3101608474</v>
      </c>
      <c r="R110" s="490">
        <f>IFERROR(IF(R$6&lt;=$E$10,INDEX('BESS_Capital Costs'!$D$19:$G$48,MATCH('Capital Cost Escalation'!$E110,'BESS_Capital Costs'!$B$19:$B$48,0),MATCH('Capital Cost Escalation'!$C110,'BESS_Capital Costs'!$D$7:$G$7,0))*R$10*(1+$F110)^(R$4), 0),0)</f>
        <v>59058147.282869712</v>
      </c>
      <c r="S110" s="490">
        <f>IFERROR(IF(S$6&lt;=$E$10,INDEX('BESS_Capital Costs'!$D$19:$G$48,MATCH('Capital Cost Escalation'!$E110,'BESS_Capital Costs'!$B$19:$B$48,0),MATCH('Capital Cost Escalation'!$C110,'BESS_Capital Costs'!$D$7:$G$7,0))*S$10*(1+$F110)^(S$4), 0),0)</f>
        <v>2700026.2142407992</v>
      </c>
      <c r="T110" s="490">
        <f>IFERROR(IF(T$6&lt;=$E$10,INDEX('BESS_Capital Costs'!$D$19:$G$48,MATCH('Capital Cost Escalation'!$E110,'BESS_Capital Costs'!$B$19:$B$48,0),MATCH('Capital Cost Escalation'!$C110,'BESS_Capital Costs'!$D$7:$G$7,0))*T$10*(1+$F110)^(T$4), 0),0)</f>
        <v>1363284.7649487678</v>
      </c>
      <c r="U110" s="490">
        <f>IFERROR(IF(U$6&lt;=$E$10,INDEX('BESS_Capital Costs'!$D$19:$G$48,MATCH('Capital Cost Escalation'!$E110,'BESS_Capital Costs'!$B$19:$B$48,0),MATCH('Capital Cost Escalation'!$C110,'BESS_Capital Costs'!$D$7:$G$7,0))*U$10*(1+$F110)^(U$4), 0),0)</f>
        <v>430165.66959529941</v>
      </c>
      <c r="V110" s="490">
        <f>IFERROR(IF(V$6&lt;=$E$10,INDEX('BESS_Capital Costs'!$D$19:$G$48,MATCH('Capital Cost Escalation'!$E110,'BESS_Capital Costs'!$B$19:$B$48,0),MATCH('Capital Cost Escalation'!$C110,'BESS_Capital Costs'!$D$7:$G$7,0))*V$10*(1+$F110)^(V$4), 0),0)</f>
        <v>13760771.240123317</v>
      </c>
      <c r="W110" s="490">
        <f>IFERROR(IF(W$6&lt;=$E$10,INDEX('BESS_Capital Costs'!$D$19:$G$48,MATCH('Capital Cost Escalation'!$E110,'BESS_Capital Costs'!$B$19:$B$48,0),MATCH('Capital Cost Escalation'!$C110,'BESS_Capital Costs'!$D$7:$G$7,0))*W$10*(1+$F110)^(W$4), 0),0)</f>
        <v>0</v>
      </c>
      <c r="X110" s="490">
        <f>IFERROR(IF(X$6&lt;=$E$10,INDEX('BESS_Capital Costs'!$D$19:$G$48,MATCH('Capital Cost Escalation'!$E110,'BESS_Capital Costs'!$B$19:$B$48,0),MATCH('Capital Cost Escalation'!$C110,'BESS_Capital Costs'!$D$7:$G$7,0))*X$10*(1+$F110)^(X$4), 0),0)</f>
        <v>0</v>
      </c>
      <c r="Y110" s="490">
        <f>IFERROR(IF(Y$6&lt;=$E$10,INDEX('BESS_Capital Costs'!$D$19:$G$48,MATCH('Capital Cost Escalation'!$E110,'BESS_Capital Costs'!$B$19:$B$48,0),MATCH('Capital Cost Escalation'!$C110,'BESS_Capital Costs'!$D$7:$G$7,0))*Y$10*(1+$F110)^(Y$4), 0),0)</f>
        <v>0</v>
      </c>
      <c r="Z110" s="490">
        <f>IFERROR(IF(Z$6&lt;=$E$10,INDEX('BESS_Capital Costs'!$D$19:$G$48,MATCH('Capital Cost Escalation'!$E110,'BESS_Capital Costs'!$B$19:$B$48,0),MATCH('Capital Cost Escalation'!$C110,'BESS_Capital Costs'!$D$7:$G$7,0))*Z$10*(1+$F110)^(Z$4), 0),0)</f>
        <v>0</v>
      </c>
      <c r="AA110" s="490">
        <f>IFERROR(IF(AA$6&lt;=$E$10,INDEX('BESS_Capital Costs'!$D$19:$G$48,MATCH('Capital Cost Escalation'!$E110,'BESS_Capital Costs'!$B$19:$B$48,0),MATCH('Capital Cost Escalation'!$C110,'BESS_Capital Costs'!$D$7:$G$7,0))*AA$10*(1+$F110)^(AA$4), 0),0)</f>
        <v>0</v>
      </c>
      <c r="AB110" s="490">
        <f>IFERROR(IF(AB$6&lt;=$E$10,INDEX('BESS_Capital Costs'!$D$19:$G$48,MATCH('Capital Cost Escalation'!$E110,'BESS_Capital Costs'!$B$19:$B$48,0),MATCH('Capital Cost Escalation'!$C110,'BESS_Capital Costs'!$D$7:$G$7,0))*AB$10*(1+$F110)^(AB$4), 0),0)</f>
        <v>0</v>
      </c>
      <c r="AC110" s="490">
        <f>IFERROR(IF(AC$6&lt;=$E$10,INDEX('BESS_Capital Costs'!$D$19:$G$48,MATCH('Capital Cost Escalation'!$E110,'BESS_Capital Costs'!$B$19:$B$48,0),MATCH('Capital Cost Escalation'!$C110,'BESS_Capital Costs'!$D$7:$G$7,0))*AC$10*(1+$F110)^(AC$4), 0),0)</f>
        <v>0</v>
      </c>
      <c r="AD110" s="490">
        <f>IFERROR(IF(AD$6&lt;=$E$10,INDEX('BESS_Capital Costs'!$D$19:$G$48,MATCH('Capital Cost Escalation'!$E110,'BESS_Capital Costs'!$B$19:$B$48,0),MATCH('Capital Cost Escalation'!$C110,'BESS_Capital Costs'!$D$7:$G$7,0))*AD$10*(1+$F110)^(AD$4), 0),0)</f>
        <v>0</v>
      </c>
      <c r="AE110" s="490">
        <f>IFERROR(IF(AE$6&lt;=$E$10,INDEX('BESS_Capital Costs'!$D$19:$G$48,MATCH('Capital Cost Escalation'!$E110,'BESS_Capital Costs'!$B$19:$B$48,0),MATCH('Capital Cost Escalation'!$C110,'BESS_Capital Costs'!$D$7:$G$7,0))*AE$10*(1+$F110)^(AE$4), 0),0)</f>
        <v>0</v>
      </c>
      <c r="AF110" s="490">
        <f>IFERROR(IF(AF$6&lt;=$E$10,INDEX('BESS_Capital Costs'!$D$19:$G$48,MATCH('Capital Cost Escalation'!$E110,'BESS_Capital Costs'!$B$19:$B$48,0),MATCH('Capital Cost Escalation'!$C110,'BESS_Capital Costs'!$D$7:$G$7,0))*AF$10*(1+$F110)^(AF$4), 0),0)</f>
        <v>0</v>
      </c>
      <c r="AG110" s="490">
        <f>IFERROR(IF(AG$6&lt;=$E$10,INDEX('BESS_Capital Costs'!$D$19:$G$48,MATCH('Capital Cost Escalation'!$E110,'BESS_Capital Costs'!$B$19:$B$48,0),MATCH('Capital Cost Escalation'!$C110,'BESS_Capital Costs'!$D$7:$G$7,0))*AG$10*(1+$F110)^(AG$4), 0),0)</f>
        <v>0</v>
      </c>
      <c r="AH110" s="490">
        <f>IFERROR(IF(AH$6&lt;=$E$10,INDEX('BESS_Capital Costs'!$D$19:$G$48,MATCH('Capital Cost Escalation'!$E110,'BESS_Capital Costs'!$B$19:$B$48,0),MATCH('Capital Cost Escalation'!$C110,'BESS_Capital Costs'!$D$7:$G$7,0))*AH$10*(1+$F110)^(AH$4), 0),0)</f>
        <v>0</v>
      </c>
      <c r="AI110" s="490">
        <f>IFERROR(IF(AI$6&lt;=$E$10,INDEX('BESS_Capital Costs'!$D$19:$G$48,MATCH('Capital Cost Escalation'!$E110,'BESS_Capital Costs'!$B$19:$B$48,0),MATCH('Capital Cost Escalation'!$C110,'BESS_Capital Costs'!$D$7:$G$7,0))*AI$10*(1+$F110)^(AI$4), 0),0)</f>
        <v>0</v>
      </c>
      <c r="AJ110" s="490">
        <f>IFERROR(IF(AJ$6&lt;=$E$10,INDEX('BESS_Capital Costs'!$D$19:$G$48,MATCH('Capital Cost Escalation'!$E110,'BESS_Capital Costs'!$B$19:$B$48,0),MATCH('Capital Cost Escalation'!$C110,'BESS_Capital Costs'!$D$7:$G$7,0))*AJ$10*(1+$F110)^(AJ$4), 0),0)</f>
        <v>0</v>
      </c>
      <c r="AK110" s="490">
        <f>IFERROR(IF(AK$6&lt;=$E$10,INDEX('BESS_Capital Costs'!$D$19:$G$48,MATCH('Capital Cost Escalation'!$E110,'BESS_Capital Costs'!$B$19:$B$48,0),MATCH('Capital Cost Escalation'!$C110,'BESS_Capital Costs'!$D$7:$G$7,0))*AK$10*(1+$F110)^(AK$4), 0),0)</f>
        <v>0</v>
      </c>
      <c r="AL110" s="490">
        <f>IFERROR(IF(AL$6&lt;=$E$10,INDEX('BESS_Capital Costs'!$D$19:$G$48,MATCH('Capital Cost Escalation'!$E110,'BESS_Capital Costs'!$B$19:$B$48,0),MATCH('Capital Cost Escalation'!$C110,'BESS_Capital Costs'!$D$7:$G$7,0))*AL$10*(1+$F110)^(AL$4), 0),0)</f>
        <v>0</v>
      </c>
      <c r="AM110" s="490">
        <f>IFERROR(IF(AM$6&lt;=$E$10,INDEX('BESS_Capital Costs'!$D$19:$G$48,MATCH('Capital Cost Escalation'!$E110,'BESS_Capital Costs'!$B$19:$B$48,0),MATCH('Capital Cost Escalation'!$C110,'BESS_Capital Costs'!$D$7:$G$7,0))*AM$10*(1+$F110)^(AM$4), 0),0)</f>
        <v>0</v>
      </c>
      <c r="AN110" s="490">
        <f>IFERROR(IF(AN$6&lt;=$E$10,INDEX('BESS_Capital Costs'!$D$19:$G$48,MATCH('Capital Cost Escalation'!$E110,'BESS_Capital Costs'!$B$19:$B$48,0),MATCH('Capital Cost Escalation'!$C110,'BESS_Capital Costs'!$D$7:$G$7,0))*AN$10*(1+$F110)^(AN$4), 0),0)</f>
        <v>0</v>
      </c>
      <c r="AO110" s="490">
        <f>IFERROR(IF(AO$6&lt;=$E$10,INDEX('BESS_Capital Costs'!$D$19:$G$48,MATCH('Capital Cost Escalation'!$E110,'BESS_Capital Costs'!$B$19:$B$48,0),MATCH('Capital Cost Escalation'!$C110,'BESS_Capital Costs'!$D$7:$G$7,0))*AO$10*(1+$F110)^(AO$4), 0),0)</f>
        <v>0</v>
      </c>
      <c r="AP110" s="490">
        <f>IFERROR(IF(AP$6&lt;=$E$10,INDEX('BESS_Capital Costs'!$D$19:$G$48,MATCH('Capital Cost Escalation'!$E110,'BESS_Capital Costs'!$B$19:$B$48,0),MATCH('Capital Cost Escalation'!$C110,'BESS_Capital Costs'!$D$7:$G$7,0))*AP$10*(1+$F110)^(AP$4), 0),0)</f>
        <v>0</v>
      </c>
      <c r="AQ110" s="490">
        <f>IFERROR(IF(AQ$6&lt;=$E$10,INDEX('BESS_Capital Costs'!$D$19:$G$48,MATCH('Capital Cost Escalation'!$E110,'BESS_Capital Costs'!$B$19:$B$48,0),MATCH('Capital Cost Escalation'!$C110,'BESS_Capital Costs'!$D$7:$G$7,0))*AQ$10*(1+$F110)^(AQ$4), 0),0)</f>
        <v>0</v>
      </c>
      <c r="AR110" s="490">
        <f>IFERROR(IF(AR$6&lt;=$E$10,INDEX('BESS_Capital Costs'!$D$19:$G$48,MATCH('Capital Cost Escalation'!$E110,'BESS_Capital Costs'!$B$19:$B$48,0),MATCH('Capital Cost Escalation'!$C110,'BESS_Capital Costs'!$D$7:$G$7,0))*AR$10*(1+$F110)^(AR$4), 0),0)</f>
        <v>0</v>
      </c>
      <c r="AS110" s="490">
        <f>IFERROR(IF(AS$6&lt;=$E$10,INDEX('BESS_Capital Costs'!$D$19:$G$48,MATCH('Capital Cost Escalation'!$E110,'BESS_Capital Costs'!$B$19:$B$48,0),MATCH('Capital Cost Escalation'!$C110,'BESS_Capital Costs'!$D$7:$G$7,0))*AS$10*(1+$F110)^(AS$4), 0),0)</f>
        <v>0</v>
      </c>
      <c r="AT110" s="490">
        <f>IFERROR(IF(AT$6&lt;=$E$10,INDEX('BESS_Capital Costs'!$D$19:$G$48,MATCH('Capital Cost Escalation'!$E110,'BESS_Capital Costs'!$B$19:$B$48,0),MATCH('Capital Cost Escalation'!$C110,'BESS_Capital Costs'!$D$7:$G$7,0))*AT$10*(1+$F110)^(AT$4), 0),0)</f>
        <v>0</v>
      </c>
      <c r="AV110" s="827">
        <f t="shared" ref="AV110:AV112" si="19">SUM(G110:AT110)</f>
        <v>193516068.754363</v>
      </c>
      <c r="AW110" s="828">
        <f>INDEX('BESS_Capital Costs'!$D$19:$G$48,MATCH('Capital Cost Escalation'!$E110,'BESS_Capital Costs'!$B$19:$B$48,0),MATCH('Capital Cost Escalation'!$C110,'BESS_Capital Costs'!$D$7:$G$7,0))</f>
        <v>196133500</v>
      </c>
    </row>
    <row r="111" spans="1:49">
      <c r="A111" s="487" t="str">
        <f t="shared" si="13"/>
        <v>BESS_Rest of RTO_PCS and BOP Equipment</v>
      </c>
      <c r="B111" s="478" t="s">
        <v>700</v>
      </c>
      <c r="C111" s="488" t="s">
        <v>111</v>
      </c>
      <c r="E111" s="1478" t="s">
        <v>645</v>
      </c>
      <c r="F111" s="1325">
        <f>INDEX('BESS_Capital Costs_Nominal$'!$F:$F,MATCH('Capital Cost Escalation'!$E111,'BESS_Capital Costs_Nominal$'!$C:$C,0),1)</f>
        <v>-2.5895842177414696E-4</v>
      </c>
      <c r="G111" s="490">
        <f>IFERROR(IF(G$6&lt;=$E$10,INDEX('BESS_Capital Costs'!$D$19:$G$48,MATCH('Capital Cost Escalation'!$E111,'BESS_Capital Costs'!$B$19:$B$48,0),MATCH('Capital Cost Escalation'!$C111,'BESS_Capital Costs'!$D$7:$G$7,0))*G$10*(1+$F111)^(G$4), 0),0)</f>
        <v>278549.33682430105</v>
      </c>
      <c r="H111" s="490">
        <f>IFERROR(IF(H$6&lt;=$E$10,INDEX('BESS_Capital Costs'!$D$19:$G$48,MATCH('Capital Cost Escalation'!$E111,'BESS_Capital Costs'!$B$19:$B$48,0),MATCH('Capital Cost Escalation'!$C111,'BESS_Capital Costs'!$D$7:$G$7,0))*H$10*(1+$F111)^(H$4), 0),0)</f>
        <v>449711.67662405939</v>
      </c>
      <c r="I111" s="490">
        <f>IFERROR(IF(I$6&lt;=$E$10,INDEX('BESS_Capital Costs'!$D$19:$G$48,MATCH('Capital Cost Escalation'!$E111,'BESS_Capital Costs'!$B$19:$B$48,0),MATCH('Capital Cost Escalation'!$C111,'BESS_Capital Costs'!$D$7:$G$7,0))*I$10*(1+$F111)^(I$4), 0),0)</f>
        <v>10806409.574754884</v>
      </c>
      <c r="J111" s="490">
        <f>IFERROR(IF(J$6&lt;=$E$10,INDEX('BESS_Capital Costs'!$D$19:$G$48,MATCH('Capital Cost Escalation'!$E111,'BESS_Capital Costs'!$B$19:$B$48,0),MATCH('Capital Cost Escalation'!$C111,'BESS_Capital Costs'!$D$7:$G$7,0))*J$10*(1+$F111)^(J$4), 0),0)</f>
        <v>517380.44704460382</v>
      </c>
      <c r="K111" s="490">
        <f>IFERROR(IF(K$6&lt;=$E$10,INDEX('BESS_Capital Costs'!$D$19:$G$48,MATCH('Capital Cost Escalation'!$E111,'BESS_Capital Costs'!$B$19:$B$48,0),MATCH('Capital Cost Escalation'!$C111,'BESS_Capital Costs'!$D$7:$G$7,0))*K$10*(1+$F111)^(K$4), 0),0)</f>
        <v>541855.16696456878</v>
      </c>
      <c r="L111" s="490">
        <f>IFERROR(IF(L$6&lt;=$E$10,INDEX('BESS_Capital Costs'!$D$19:$G$48,MATCH('Capital Cost Escalation'!$E111,'BESS_Capital Costs'!$B$19:$B$48,0),MATCH('Capital Cost Escalation'!$C111,'BESS_Capital Costs'!$D$7:$G$7,0))*L$10*(1+$F111)^(L$4), 0),0)</f>
        <v>617984.96147938317</v>
      </c>
      <c r="M111" s="490">
        <f>IFERROR(IF(M$6&lt;=$E$10,INDEX('BESS_Capital Costs'!$D$19:$G$48,MATCH('Capital Cost Escalation'!$E111,'BESS_Capital Costs'!$B$19:$B$48,0),MATCH('Capital Cost Escalation'!$C111,'BESS_Capital Costs'!$D$7:$G$7,0))*M$10*(1+$F111)^(M$4), 0),0)</f>
        <v>732577.08812575194</v>
      </c>
      <c r="N111" s="490">
        <f>IFERROR(IF(N$6&lt;=$E$10,INDEX('BESS_Capital Costs'!$D$19:$G$48,MATCH('Capital Cost Escalation'!$E111,'BESS_Capital Costs'!$B$19:$B$48,0),MATCH('Capital Cost Escalation'!$C111,'BESS_Capital Costs'!$D$7:$G$7,0))*N$10*(1+$F111)^(N$4), 0),0)</f>
        <v>845082.41413752199</v>
      </c>
      <c r="O111" s="490">
        <f>IFERROR(IF(O$6&lt;=$E$10,INDEX('BESS_Capital Costs'!$D$19:$G$48,MATCH('Capital Cost Escalation'!$E111,'BESS_Capital Costs'!$B$19:$B$48,0),MATCH('Capital Cost Escalation'!$C111,'BESS_Capital Costs'!$D$7:$G$7,0))*O$10*(1+$F111)^(O$4), 0),0)</f>
        <v>910824.20145533211</v>
      </c>
      <c r="P111" s="490">
        <f>IFERROR(IF(P$6&lt;=$E$10,INDEX('BESS_Capital Costs'!$D$19:$G$48,MATCH('Capital Cost Escalation'!$E111,'BESS_Capital Costs'!$B$19:$B$48,0),MATCH('Capital Cost Escalation'!$C111,'BESS_Capital Costs'!$D$7:$G$7,0))*P$10*(1+$F111)^(P$4), 0),0)</f>
        <v>897416.99516536598</v>
      </c>
      <c r="Q111" s="490">
        <f>IFERROR(IF(Q$6&lt;=$E$10,INDEX('BESS_Capital Costs'!$D$19:$G$48,MATCH('Capital Cost Escalation'!$E111,'BESS_Capital Costs'!$B$19:$B$48,0),MATCH('Capital Cost Escalation'!$C111,'BESS_Capital Costs'!$D$7:$G$7,0))*Q$10*(1+$F111)^(Q$4), 0),0)</f>
        <v>794648.39157914778</v>
      </c>
      <c r="R111" s="490">
        <f>IFERROR(IF(R$6&lt;=$E$10,INDEX('BESS_Capital Costs'!$D$19:$G$48,MATCH('Capital Cost Escalation'!$E111,'BESS_Capital Costs'!$B$19:$B$48,0),MATCH('Capital Cost Escalation'!$C111,'BESS_Capital Costs'!$D$7:$G$7,0))*R$10*(1+$F111)^(R$4), 0),0)</f>
        <v>8839353.0640698224</v>
      </c>
      <c r="S111" s="490">
        <f>IFERROR(IF(S$6&lt;=$E$10,INDEX('BESS_Capital Costs'!$D$19:$G$48,MATCH('Capital Cost Escalation'!$E111,'BESS_Capital Costs'!$B$19:$B$48,0),MATCH('Capital Cost Escalation'!$C111,'BESS_Capital Costs'!$D$7:$G$7,0))*S$10*(1+$F111)^(S$4), 0),0)</f>
        <v>404118.41698327224</v>
      </c>
      <c r="T111" s="490">
        <f>IFERROR(IF(T$6&lt;=$E$10,INDEX('BESS_Capital Costs'!$D$19:$G$48,MATCH('Capital Cost Escalation'!$E111,'BESS_Capital Costs'!$B$19:$B$48,0),MATCH('Capital Cost Escalation'!$C111,'BESS_Capital Costs'!$D$7:$G$7,0))*T$10*(1+$F111)^(T$4), 0),0)</f>
        <v>204045.60452144351</v>
      </c>
      <c r="U111" s="490">
        <f>IFERROR(IF(U$6&lt;=$E$10,INDEX('BESS_Capital Costs'!$D$19:$G$48,MATCH('Capital Cost Escalation'!$E111,'BESS_Capital Costs'!$B$19:$B$48,0),MATCH('Capital Cost Escalation'!$C111,'BESS_Capital Costs'!$D$7:$G$7,0))*U$10*(1+$F111)^(U$4), 0),0)</f>
        <v>64383.770987305739</v>
      </c>
      <c r="V111" s="490">
        <f>IFERROR(IF(V$6&lt;=$E$10,INDEX('BESS_Capital Costs'!$D$19:$G$48,MATCH('Capital Cost Escalation'!$E111,'BESS_Capital Costs'!$B$19:$B$48,0),MATCH('Capital Cost Escalation'!$C111,'BESS_Capital Costs'!$D$7:$G$7,0))*V$10*(1+$F111)^(V$4), 0),0)</f>
        <v>2059602.6292993703</v>
      </c>
      <c r="W111" s="490">
        <f>IFERROR(IF(W$6&lt;=$E$10,INDEX('BESS_Capital Costs'!$D$19:$G$48,MATCH('Capital Cost Escalation'!$E111,'BESS_Capital Costs'!$B$19:$B$48,0),MATCH('Capital Cost Escalation'!$C111,'BESS_Capital Costs'!$D$7:$G$7,0))*W$10*(1+$F111)^(W$4), 0),0)</f>
        <v>0</v>
      </c>
      <c r="X111" s="490">
        <f>IFERROR(IF(X$6&lt;=$E$10,INDEX('BESS_Capital Costs'!$D$19:$G$48,MATCH('Capital Cost Escalation'!$E111,'BESS_Capital Costs'!$B$19:$B$48,0),MATCH('Capital Cost Escalation'!$C111,'BESS_Capital Costs'!$D$7:$G$7,0))*X$10*(1+$F111)^(X$4), 0),0)</f>
        <v>0</v>
      </c>
      <c r="Y111" s="490">
        <f>IFERROR(IF(Y$6&lt;=$E$10,INDEX('BESS_Capital Costs'!$D$19:$G$48,MATCH('Capital Cost Escalation'!$E111,'BESS_Capital Costs'!$B$19:$B$48,0),MATCH('Capital Cost Escalation'!$C111,'BESS_Capital Costs'!$D$7:$G$7,0))*Y$10*(1+$F111)^(Y$4), 0),0)</f>
        <v>0</v>
      </c>
      <c r="Z111" s="490">
        <f>IFERROR(IF(Z$6&lt;=$E$10,INDEX('BESS_Capital Costs'!$D$19:$G$48,MATCH('Capital Cost Escalation'!$E111,'BESS_Capital Costs'!$B$19:$B$48,0),MATCH('Capital Cost Escalation'!$C111,'BESS_Capital Costs'!$D$7:$G$7,0))*Z$10*(1+$F111)^(Z$4), 0),0)</f>
        <v>0</v>
      </c>
      <c r="AA111" s="490">
        <f>IFERROR(IF(AA$6&lt;=$E$10,INDEX('BESS_Capital Costs'!$D$19:$G$48,MATCH('Capital Cost Escalation'!$E111,'BESS_Capital Costs'!$B$19:$B$48,0),MATCH('Capital Cost Escalation'!$C111,'BESS_Capital Costs'!$D$7:$G$7,0))*AA$10*(1+$F111)^(AA$4), 0),0)</f>
        <v>0</v>
      </c>
      <c r="AB111" s="490">
        <f>IFERROR(IF(AB$6&lt;=$E$10,INDEX('BESS_Capital Costs'!$D$19:$G$48,MATCH('Capital Cost Escalation'!$E111,'BESS_Capital Costs'!$B$19:$B$48,0),MATCH('Capital Cost Escalation'!$C111,'BESS_Capital Costs'!$D$7:$G$7,0))*AB$10*(1+$F111)^(AB$4), 0),0)</f>
        <v>0</v>
      </c>
      <c r="AC111" s="490">
        <f>IFERROR(IF(AC$6&lt;=$E$10,INDEX('BESS_Capital Costs'!$D$19:$G$48,MATCH('Capital Cost Escalation'!$E111,'BESS_Capital Costs'!$B$19:$B$48,0),MATCH('Capital Cost Escalation'!$C111,'BESS_Capital Costs'!$D$7:$G$7,0))*AC$10*(1+$F111)^(AC$4), 0),0)</f>
        <v>0</v>
      </c>
      <c r="AD111" s="490">
        <f>IFERROR(IF(AD$6&lt;=$E$10,INDEX('BESS_Capital Costs'!$D$19:$G$48,MATCH('Capital Cost Escalation'!$E111,'BESS_Capital Costs'!$B$19:$B$48,0),MATCH('Capital Cost Escalation'!$C111,'BESS_Capital Costs'!$D$7:$G$7,0))*AD$10*(1+$F111)^(AD$4), 0),0)</f>
        <v>0</v>
      </c>
      <c r="AE111" s="490">
        <f>IFERROR(IF(AE$6&lt;=$E$10,INDEX('BESS_Capital Costs'!$D$19:$G$48,MATCH('Capital Cost Escalation'!$E111,'BESS_Capital Costs'!$B$19:$B$48,0),MATCH('Capital Cost Escalation'!$C111,'BESS_Capital Costs'!$D$7:$G$7,0))*AE$10*(1+$F111)^(AE$4), 0),0)</f>
        <v>0</v>
      </c>
      <c r="AF111" s="490">
        <f>IFERROR(IF(AF$6&lt;=$E$10,INDEX('BESS_Capital Costs'!$D$19:$G$48,MATCH('Capital Cost Escalation'!$E111,'BESS_Capital Costs'!$B$19:$B$48,0),MATCH('Capital Cost Escalation'!$C111,'BESS_Capital Costs'!$D$7:$G$7,0))*AF$10*(1+$F111)^(AF$4), 0),0)</f>
        <v>0</v>
      </c>
      <c r="AG111" s="490">
        <f>IFERROR(IF(AG$6&lt;=$E$10,INDEX('BESS_Capital Costs'!$D$19:$G$48,MATCH('Capital Cost Escalation'!$E111,'BESS_Capital Costs'!$B$19:$B$48,0),MATCH('Capital Cost Escalation'!$C111,'BESS_Capital Costs'!$D$7:$G$7,0))*AG$10*(1+$F111)^(AG$4), 0),0)</f>
        <v>0</v>
      </c>
      <c r="AH111" s="490">
        <f>IFERROR(IF(AH$6&lt;=$E$10,INDEX('BESS_Capital Costs'!$D$19:$G$48,MATCH('Capital Cost Escalation'!$E111,'BESS_Capital Costs'!$B$19:$B$48,0),MATCH('Capital Cost Escalation'!$C111,'BESS_Capital Costs'!$D$7:$G$7,0))*AH$10*(1+$F111)^(AH$4), 0),0)</f>
        <v>0</v>
      </c>
      <c r="AI111" s="490">
        <f>IFERROR(IF(AI$6&lt;=$E$10,INDEX('BESS_Capital Costs'!$D$19:$G$48,MATCH('Capital Cost Escalation'!$E111,'BESS_Capital Costs'!$B$19:$B$48,0),MATCH('Capital Cost Escalation'!$C111,'BESS_Capital Costs'!$D$7:$G$7,0))*AI$10*(1+$F111)^(AI$4), 0),0)</f>
        <v>0</v>
      </c>
      <c r="AJ111" s="490">
        <f>IFERROR(IF(AJ$6&lt;=$E$10,INDEX('BESS_Capital Costs'!$D$19:$G$48,MATCH('Capital Cost Escalation'!$E111,'BESS_Capital Costs'!$B$19:$B$48,0),MATCH('Capital Cost Escalation'!$C111,'BESS_Capital Costs'!$D$7:$G$7,0))*AJ$10*(1+$F111)^(AJ$4), 0),0)</f>
        <v>0</v>
      </c>
      <c r="AK111" s="490">
        <f>IFERROR(IF(AK$6&lt;=$E$10,INDEX('BESS_Capital Costs'!$D$19:$G$48,MATCH('Capital Cost Escalation'!$E111,'BESS_Capital Costs'!$B$19:$B$48,0),MATCH('Capital Cost Escalation'!$C111,'BESS_Capital Costs'!$D$7:$G$7,0))*AK$10*(1+$F111)^(AK$4), 0),0)</f>
        <v>0</v>
      </c>
      <c r="AL111" s="490">
        <f>IFERROR(IF(AL$6&lt;=$E$10,INDEX('BESS_Capital Costs'!$D$19:$G$48,MATCH('Capital Cost Escalation'!$E111,'BESS_Capital Costs'!$B$19:$B$48,0),MATCH('Capital Cost Escalation'!$C111,'BESS_Capital Costs'!$D$7:$G$7,0))*AL$10*(1+$F111)^(AL$4), 0),0)</f>
        <v>0</v>
      </c>
      <c r="AM111" s="490">
        <f>IFERROR(IF(AM$6&lt;=$E$10,INDEX('BESS_Capital Costs'!$D$19:$G$48,MATCH('Capital Cost Escalation'!$E111,'BESS_Capital Costs'!$B$19:$B$48,0),MATCH('Capital Cost Escalation'!$C111,'BESS_Capital Costs'!$D$7:$G$7,0))*AM$10*(1+$F111)^(AM$4), 0),0)</f>
        <v>0</v>
      </c>
      <c r="AN111" s="490">
        <f>IFERROR(IF(AN$6&lt;=$E$10,INDEX('BESS_Capital Costs'!$D$19:$G$48,MATCH('Capital Cost Escalation'!$E111,'BESS_Capital Costs'!$B$19:$B$48,0),MATCH('Capital Cost Escalation'!$C111,'BESS_Capital Costs'!$D$7:$G$7,0))*AN$10*(1+$F111)^(AN$4), 0),0)</f>
        <v>0</v>
      </c>
      <c r="AO111" s="490">
        <f>IFERROR(IF(AO$6&lt;=$E$10,INDEX('BESS_Capital Costs'!$D$19:$G$48,MATCH('Capital Cost Escalation'!$E111,'BESS_Capital Costs'!$B$19:$B$48,0),MATCH('Capital Cost Escalation'!$C111,'BESS_Capital Costs'!$D$7:$G$7,0))*AO$10*(1+$F111)^(AO$4), 0),0)</f>
        <v>0</v>
      </c>
      <c r="AP111" s="490">
        <f>IFERROR(IF(AP$6&lt;=$E$10,INDEX('BESS_Capital Costs'!$D$19:$G$48,MATCH('Capital Cost Escalation'!$E111,'BESS_Capital Costs'!$B$19:$B$48,0),MATCH('Capital Cost Escalation'!$C111,'BESS_Capital Costs'!$D$7:$G$7,0))*AP$10*(1+$F111)^(AP$4), 0),0)</f>
        <v>0</v>
      </c>
      <c r="AQ111" s="490">
        <f>IFERROR(IF(AQ$6&lt;=$E$10,INDEX('BESS_Capital Costs'!$D$19:$G$48,MATCH('Capital Cost Escalation'!$E111,'BESS_Capital Costs'!$B$19:$B$48,0),MATCH('Capital Cost Escalation'!$C111,'BESS_Capital Costs'!$D$7:$G$7,0))*AQ$10*(1+$F111)^(AQ$4), 0),0)</f>
        <v>0</v>
      </c>
      <c r="AR111" s="490">
        <f>IFERROR(IF(AR$6&lt;=$E$10,INDEX('BESS_Capital Costs'!$D$19:$G$48,MATCH('Capital Cost Escalation'!$E111,'BESS_Capital Costs'!$B$19:$B$48,0),MATCH('Capital Cost Escalation'!$C111,'BESS_Capital Costs'!$D$7:$G$7,0))*AR$10*(1+$F111)^(AR$4), 0),0)</f>
        <v>0</v>
      </c>
      <c r="AS111" s="490">
        <f>IFERROR(IF(AS$6&lt;=$E$10,INDEX('BESS_Capital Costs'!$D$19:$G$48,MATCH('Capital Cost Escalation'!$E111,'BESS_Capital Costs'!$B$19:$B$48,0),MATCH('Capital Cost Escalation'!$C111,'BESS_Capital Costs'!$D$7:$G$7,0))*AS$10*(1+$F111)^(AS$4), 0),0)</f>
        <v>0</v>
      </c>
      <c r="AT111" s="490">
        <f>IFERROR(IF(AT$6&lt;=$E$10,INDEX('BESS_Capital Costs'!$D$19:$G$48,MATCH('Capital Cost Escalation'!$E111,'BESS_Capital Costs'!$B$19:$B$48,0),MATCH('Capital Cost Escalation'!$C111,'BESS_Capital Costs'!$D$7:$G$7,0))*AT$10*(1+$F111)^(AT$4), 0),0)</f>
        <v>0</v>
      </c>
      <c r="AV111" s="827">
        <f t="shared" si="19"/>
        <v>28963943.740016133</v>
      </c>
      <c r="AW111" s="828">
        <f>INDEX('BESS_Capital Costs'!$D$19:$G$48,MATCH('Capital Cost Escalation'!$E111,'BESS_Capital Costs'!$B$19:$B$48,0),MATCH('Capital Cost Escalation'!$C111,'BESS_Capital Costs'!$D$7:$G$7,0))</f>
        <v>29355700</v>
      </c>
    </row>
    <row r="112" spans="1:49">
      <c r="A112" s="487" t="str">
        <f t="shared" si="13"/>
        <v>BESS_Rest of RTO_Project Management</v>
      </c>
      <c r="B112" s="478" t="s">
        <v>700</v>
      </c>
      <c r="C112" s="488" t="s">
        <v>111</v>
      </c>
      <c r="E112" s="1478" t="s">
        <v>642</v>
      </c>
      <c r="F112" s="1325">
        <f>INDEX('BESS_Capital Costs_Nominal$'!$F:$F,MATCH('Capital Cost Escalation'!$E112,'BESS_Capital Costs_Nominal$'!$C:$C,0),1)</f>
        <v>-2.5895842177414696E-4</v>
      </c>
      <c r="G112" s="490">
        <f>IFERROR(IF(G$6&lt;=$E$10,INDEX('BESS_Capital Costs'!$D$19:$G$48,MATCH('Capital Cost Escalation'!$E112,'BESS_Capital Costs'!$B$19:$B$48,0),MATCH('Capital Cost Escalation'!$C112,'BESS_Capital Costs'!$D$7:$G$7,0))*G$10*(1+$F112)^(G$4), 0),0)</f>
        <v>95745.433707659075</v>
      </c>
      <c r="H112" s="490">
        <f>IFERROR(IF(H$6&lt;=$E$10,INDEX('BESS_Capital Costs'!$D$19:$G$48,MATCH('Capital Cost Escalation'!$E112,'BESS_Capital Costs'!$B$19:$B$48,0),MATCH('Capital Cost Escalation'!$C112,'BESS_Capital Costs'!$D$7:$G$7,0))*H$10*(1+$F112)^(H$4), 0),0)</f>
        <v>154578.86208836475</v>
      </c>
      <c r="I112" s="490">
        <f>IFERROR(IF(I$6&lt;=$E$10,INDEX('BESS_Capital Costs'!$D$19:$G$48,MATCH('Capital Cost Escalation'!$E112,'BESS_Capital Costs'!$B$19:$B$48,0),MATCH('Capital Cost Escalation'!$C112,'BESS_Capital Costs'!$D$7:$G$7,0))*I$10*(1+$F112)^(I$4), 0),0)</f>
        <v>3714474.3669238575</v>
      </c>
      <c r="J112" s="490">
        <f>IFERROR(IF(J$6&lt;=$E$10,INDEX('BESS_Capital Costs'!$D$19:$G$48,MATCH('Capital Cost Escalation'!$E112,'BESS_Capital Costs'!$B$19:$B$48,0),MATCH('Capital Cost Escalation'!$C112,'BESS_Capital Costs'!$D$7:$G$7,0))*J$10*(1+$F112)^(J$4), 0),0)</f>
        <v>177838.56841631676</v>
      </c>
      <c r="K112" s="490">
        <f>IFERROR(IF(K$6&lt;=$E$10,INDEX('BESS_Capital Costs'!$D$19:$G$48,MATCH('Capital Cost Escalation'!$E112,'BESS_Capital Costs'!$B$19:$B$48,0),MATCH('Capital Cost Escalation'!$C112,'BESS_Capital Costs'!$D$7:$G$7,0))*K$10*(1+$F112)^(K$4), 0),0)</f>
        <v>186251.23491312706</v>
      </c>
      <c r="L112" s="490">
        <f>IFERROR(IF(L$6&lt;=$E$10,INDEX('BESS_Capital Costs'!$D$19:$G$48,MATCH('Capital Cost Escalation'!$E112,'BESS_Capital Costs'!$B$19:$B$48,0),MATCH('Capital Cost Escalation'!$C112,'BESS_Capital Costs'!$D$7:$G$7,0))*L$10*(1+$F112)^(L$4), 0),0)</f>
        <v>212419.23903403999</v>
      </c>
      <c r="M112" s="490">
        <f>IFERROR(IF(M$6&lt;=$E$10,INDEX('BESS_Capital Costs'!$D$19:$G$48,MATCH('Capital Cost Escalation'!$E112,'BESS_Capital Costs'!$B$19:$B$48,0),MATCH('Capital Cost Escalation'!$C112,'BESS_Capital Costs'!$D$7:$G$7,0))*M$10*(1+$F112)^(M$4), 0),0)</f>
        <v>251807.8550340849</v>
      </c>
      <c r="N112" s="490">
        <f>IFERROR(IF(N$6&lt;=$E$10,INDEX('BESS_Capital Costs'!$D$19:$G$48,MATCH('Capital Cost Escalation'!$E112,'BESS_Capital Costs'!$B$19:$B$48,0),MATCH('Capital Cost Escalation'!$C112,'BESS_Capital Costs'!$D$7:$G$7,0))*N$10*(1+$F112)^(N$4), 0),0)</f>
        <v>290479.17752304499</v>
      </c>
      <c r="O112" s="490">
        <f>IFERROR(IF(O$6&lt;=$E$10,INDEX('BESS_Capital Costs'!$D$19:$G$48,MATCH('Capital Cost Escalation'!$E112,'BESS_Capital Costs'!$B$19:$B$48,0),MATCH('Capital Cost Escalation'!$C112,'BESS_Capital Costs'!$D$7:$G$7,0))*O$10*(1+$F112)^(O$4), 0),0)</f>
        <v>313076.52423089492</v>
      </c>
      <c r="P112" s="490">
        <f>IFERROR(IF(P$6&lt;=$E$10,INDEX('BESS_Capital Costs'!$D$19:$G$48,MATCH('Capital Cost Escalation'!$E112,'BESS_Capital Costs'!$B$19:$B$48,0),MATCH('Capital Cost Escalation'!$C112,'BESS_Capital Costs'!$D$7:$G$7,0))*P$10*(1+$F112)^(P$4), 0),0)</f>
        <v>308468.08108873607</v>
      </c>
      <c r="Q112" s="490">
        <f>IFERROR(IF(Q$6&lt;=$E$10,INDEX('BESS_Capital Costs'!$D$19:$G$48,MATCH('Capital Cost Escalation'!$E112,'BESS_Capital Costs'!$B$19:$B$48,0),MATCH('Capital Cost Escalation'!$C112,'BESS_Capital Costs'!$D$7:$G$7,0))*Q$10*(1+$F112)^(Q$4), 0),0)</f>
        <v>273143.55066955421</v>
      </c>
      <c r="R112" s="490">
        <f>IFERROR(IF(R$6&lt;=$E$10,INDEX('BESS_Capital Costs'!$D$19:$G$48,MATCH('Capital Cost Escalation'!$E112,'BESS_Capital Costs'!$B$19:$B$48,0),MATCH('Capital Cost Escalation'!$C112,'BESS_Capital Costs'!$D$7:$G$7,0))*R$10*(1+$F112)^(R$4), 0),0)</f>
        <v>3038340.3617590498</v>
      </c>
      <c r="S112" s="490">
        <f>IFERROR(IF(S$6&lt;=$E$10,INDEX('BESS_Capital Costs'!$D$19:$G$48,MATCH('Capital Cost Escalation'!$E112,'BESS_Capital Costs'!$B$19:$B$48,0),MATCH('Capital Cost Escalation'!$C112,'BESS_Capital Costs'!$D$7:$G$7,0))*S$10*(1+$F112)^(S$4), 0),0)</f>
        <v>138907.14494043781</v>
      </c>
      <c r="T112" s="490">
        <f>IFERROR(IF(T$6&lt;=$E$10,INDEX('BESS_Capital Costs'!$D$19:$G$48,MATCH('Capital Cost Escalation'!$E112,'BESS_Capital Costs'!$B$19:$B$48,0),MATCH('Capital Cost Escalation'!$C112,'BESS_Capital Costs'!$D$7:$G$7,0))*T$10*(1+$F112)^(T$4), 0),0)</f>
        <v>70136.354025391105</v>
      </c>
      <c r="U112" s="490">
        <f>IFERROR(IF(U$6&lt;=$E$10,INDEX('BESS_Capital Costs'!$D$19:$G$48,MATCH('Capital Cost Escalation'!$E112,'BESS_Capital Costs'!$B$19:$B$48,0),MATCH('Capital Cost Escalation'!$C112,'BESS_Capital Costs'!$D$7:$G$7,0))*U$10*(1+$F112)^(U$4), 0),0)</f>
        <v>22130.557362635191</v>
      </c>
      <c r="V112" s="490">
        <f>IFERROR(IF(V$6&lt;=$E$10,INDEX('BESS_Capital Costs'!$D$19:$G$48,MATCH('Capital Cost Escalation'!$E112,'BESS_Capital Costs'!$B$19:$B$48,0),MATCH('Capital Cost Escalation'!$C112,'BESS_Capital Costs'!$D$7:$G$7,0))*V$10*(1+$F112)^(V$4), 0),0)</f>
        <v>707944.77292935841</v>
      </c>
      <c r="W112" s="490">
        <f>IFERROR(IF(W$6&lt;=$E$10,INDEX('BESS_Capital Costs'!$D$19:$G$48,MATCH('Capital Cost Escalation'!$E112,'BESS_Capital Costs'!$B$19:$B$48,0),MATCH('Capital Cost Escalation'!$C112,'BESS_Capital Costs'!$D$7:$G$7,0))*W$10*(1+$F112)^(W$4), 0),0)</f>
        <v>0</v>
      </c>
      <c r="X112" s="490">
        <f>IFERROR(IF(X$6&lt;=$E$10,INDEX('BESS_Capital Costs'!$D$19:$G$48,MATCH('Capital Cost Escalation'!$E112,'BESS_Capital Costs'!$B$19:$B$48,0),MATCH('Capital Cost Escalation'!$C112,'BESS_Capital Costs'!$D$7:$G$7,0))*X$10*(1+$F112)^(X$4), 0),0)</f>
        <v>0</v>
      </c>
      <c r="Y112" s="490">
        <f>IFERROR(IF(Y$6&lt;=$E$10,INDEX('BESS_Capital Costs'!$D$19:$G$48,MATCH('Capital Cost Escalation'!$E112,'BESS_Capital Costs'!$B$19:$B$48,0),MATCH('Capital Cost Escalation'!$C112,'BESS_Capital Costs'!$D$7:$G$7,0))*Y$10*(1+$F112)^(Y$4), 0),0)</f>
        <v>0</v>
      </c>
      <c r="Z112" s="490">
        <f>IFERROR(IF(Z$6&lt;=$E$10,INDEX('BESS_Capital Costs'!$D$19:$G$48,MATCH('Capital Cost Escalation'!$E112,'BESS_Capital Costs'!$B$19:$B$48,0),MATCH('Capital Cost Escalation'!$C112,'BESS_Capital Costs'!$D$7:$G$7,0))*Z$10*(1+$F112)^(Z$4), 0),0)</f>
        <v>0</v>
      </c>
      <c r="AA112" s="490">
        <f>IFERROR(IF(AA$6&lt;=$E$10,INDEX('BESS_Capital Costs'!$D$19:$G$48,MATCH('Capital Cost Escalation'!$E112,'BESS_Capital Costs'!$B$19:$B$48,0),MATCH('Capital Cost Escalation'!$C112,'BESS_Capital Costs'!$D$7:$G$7,0))*AA$10*(1+$F112)^(AA$4), 0),0)</f>
        <v>0</v>
      </c>
      <c r="AB112" s="490">
        <f>IFERROR(IF(AB$6&lt;=$E$10,INDEX('BESS_Capital Costs'!$D$19:$G$48,MATCH('Capital Cost Escalation'!$E112,'BESS_Capital Costs'!$B$19:$B$48,0),MATCH('Capital Cost Escalation'!$C112,'BESS_Capital Costs'!$D$7:$G$7,0))*AB$10*(1+$F112)^(AB$4), 0),0)</f>
        <v>0</v>
      </c>
      <c r="AC112" s="490">
        <f>IFERROR(IF(AC$6&lt;=$E$10,INDEX('BESS_Capital Costs'!$D$19:$G$48,MATCH('Capital Cost Escalation'!$E112,'BESS_Capital Costs'!$B$19:$B$48,0),MATCH('Capital Cost Escalation'!$C112,'BESS_Capital Costs'!$D$7:$G$7,0))*AC$10*(1+$F112)^(AC$4), 0),0)</f>
        <v>0</v>
      </c>
      <c r="AD112" s="490">
        <f>IFERROR(IF(AD$6&lt;=$E$10,INDEX('BESS_Capital Costs'!$D$19:$G$48,MATCH('Capital Cost Escalation'!$E112,'BESS_Capital Costs'!$B$19:$B$48,0),MATCH('Capital Cost Escalation'!$C112,'BESS_Capital Costs'!$D$7:$G$7,0))*AD$10*(1+$F112)^(AD$4), 0),0)</f>
        <v>0</v>
      </c>
      <c r="AE112" s="490">
        <f>IFERROR(IF(AE$6&lt;=$E$10,INDEX('BESS_Capital Costs'!$D$19:$G$48,MATCH('Capital Cost Escalation'!$E112,'BESS_Capital Costs'!$B$19:$B$48,0),MATCH('Capital Cost Escalation'!$C112,'BESS_Capital Costs'!$D$7:$G$7,0))*AE$10*(1+$F112)^(AE$4), 0),0)</f>
        <v>0</v>
      </c>
      <c r="AF112" s="490">
        <f>IFERROR(IF(AF$6&lt;=$E$10,INDEX('BESS_Capital Costs'!$D$19:$G$48,MATCH('Capital Cost Escalation'!$E112,'BESS_Capital Costs'!$B$19:$B$48,0),MATCH('Capital Cost Escalation'!$C112,'BESS_Capital Costs'!$D$7:$G$7,0))*AF$10*(1+$F112)^(AF$4), 0),0)</f>
        <v>0</v>
      </c>
      <c r="AG112" s="490">
        <f>IFERROR(IF(AG$6&lt;=$E$10,INDEX('BESS_Capital Costs'!$D$19:$G$48,MATCH('Capital Cost Escalation'!$E112,'BESS_Capital Costs'!$B$19:$B$48,0),MATCH('Capital Cost Escalation'!$C112,'BESS_Capital Costs'!$D$7:$G$7,0))*AG$10*(1+$F112)^(AG$4), 0),0)</f>
        <v>0</v>
      </c>
      <c r="AH112" s="490">
        <f>IFERROR(IF(AH$6&lt;=$E$10,INDEX('BESS_Capital Costs'!$D$19:$G$48,MATCH('Capital Cost Escalation'!$E112,'BESS_Capital Costs'!$B$19:$B$48,0),MATCH('Capital Cost Escalation'!$C112,'BESS_Capital Costs'!$D$7:$G$7,0))*AH$10*(1+$F112)^(AH$4), 0),0)</f>
        <v>0</v>
      </c>
      <c r="AI112" s="490">
        <f>IFERROR(IF(AI$6&lt;=$E$10,INDEX('BESS_Capital Costs'!$D$19:$G$48,MATCH('Capital Cost Escalation'!$E112,'BESS_Capital Costs'!$B$19:$B$48,0),MATCH('Capital Cost Escalation'!$C112,'BESS_Capital Costs'!$D$7:$G$7,0))*AI$10*(1+$F112)^(AI$4), 0),0)</f>
        <v>0</v>
      </c>
      <c r="AJ112" s="490">
        <f>IFERROR(IF(AJ$6&lt;=$E$10,INDEX('BESS_Capital Costs'!$D$19:$G$48,MATCH('Capital Cost Escalation'!$E112,'BESS_Capital Costs'!$B$19:$B$48,0),MATCH('Capital Cost Escalation'!$C112,'BESS_Capital Costs'!$D$7:$G$7,0))*AJ$10*(1+$F112)^(AJ$4), 0),0)</f>
        <v>0</v>
      </c>
      <c r="AK112" s="490">
        <f>IFERROR(IF(AK$6&lt;=$E$10,INDEX('BESS_Capital Costs'!$D$19:$G$48,MATCH('Capital Cost Escalation'!$E112,'BESS_Capital Costs'!$B$19:$B$48,0),MATCH('Capital Cost Escalation'!$C112,'BESS_Capital Costs'!$D$7:$G$7,0))*AK$10*(1+$F112)^(AK$4), 0),0)</f>
        <v>0</v>
      </c>
      <c r="AL112" s="490">
        <f>IFERROR(IF(AL$6&lt;=$E$10,INDEX('BESS_Capital Costs'!$D$19:$G$48,MATCH('Capital Cost Escalation'!$E112,'BESS_Capital Costs'!$B$19:$B$48,0),MATCH('Capital Cost Escalation'!$C112,'BESS_Capital Costs'!$D$7:$G$7,0))*AL$10*(1+$F112)^(AL$4), 0),0)</f>
        <v>0</v>
      </c>
      <c r="AM112" s="490">
        <f>IFERROR(IF(AM$6&lt;=$E$10,INDEX('BESS_Capital Costs'!$D$19:$G$48,MATCH('Capital Cost Escalation'!$E112,'BESS_Capital Costs'!$B$19:$B$48,0),MATCH('Capital Cost Escalation'!$C112,'BESS_Capital Costs'!$D$7:$G$7,0))*AM$10*(1+$F112)^(AM$4), 0),0)</f>
        <v>0</v>
      </c>
      <c r="AN112" s="490">
        <f>IFERROR(IF(AN$6&lt;=$E$10,INDEX('BESS_Capital Costs'!$D$19:$G$48,MATCH('Capital Cost Escalation'!$E112,'BESS_Capital Costs'!$B$19:$B$48,0),MATCH('Capital Cost Escalation'!$C112,'BESS_Capital Costs'!$D$7:$G$7,0))*AN$10*(1+$F112)^(AN$4), 0),0)</f>
        <v>0</v>
      </c>
      <c r="AO112" s="490">
        <f>IFERROR(IF(AO$6&lt;=$E$10,INDEX('BESS_Capital Costs'!$D$19:$G$48,MATCH('Capital Cost Escalation'!$E112,'BESS_Capital Costs'!$B$19:$B$48,0),MATCH('Capital Cost Escalation'!$C112,'BESS_Capital Costs'!$D$7:$G$7,0))*AO$10*(1+$F112)^(AO$4), 0),0)</f>
        <v>0</v>
      </c>
      <c r="AP112" s="490">
        <f>IFERROR(IF(AP$6&lt;=$E$10,INDEX('BESS_Capital Costs'!$D$19:$G$48,MATCH('Capital Cost Escalation'!$E112,'BESS_Capital Costs'!$B$19:$B$48,0),MATCH('Capital Cost Escalation'!$C112,'BESS_Capital Costs'!$D$7:$G$7,0))*AP$10*(1+$F112)^(AP$4), 0),0)</f>
        <v>0</v>
      </c>
      <c r="AQ112" s="490">
        <f>IFERROR(IF(AQ$6&lt;=$E$10,INDEX('BESS_Capital Costs'!$D$19:$G$48,MATCH('Capital Cost Escalation'!$E112,'BESS_Capital Costs'!$B$19:$B$48,0),MATCH('Capital Cost Escalation'!$C112,'BESS_Capital Costs'!$D$7:$G$7,0))*AQ$10*(1+$F112)^(AQ$4), 0),0)</f>
        <v>0</v>
      </c>
      <c r="AR112" s="490">
        <f>IFERROR(IF(AR$6&lt;=$E$10,INDEX('BESS_Capital Costs'!$D$19:$G$48,MATCH('Capital Cost Escalation'!$E112,'BESS_Capital Costs'!$B$19:$B$48,0),MATCH('Capital Cost Escalation'!$C112,'BESS_Capital Costs'!$D$7:$G$7,0))*AR$10*(1+$F112)^(AR$4), 0),0)</f>
        <v>0</v>
      </c>
      <c r="AS112" s="490">
        <f>IFERROR(IF(AS$6&lt;=$E$10,INDEX('BESS_Capital Costs'!$D$19:$G$48,MATCH('Capital Cost Escalation'!$E112,'BESS_Capital Costs'!$B$19:$B$48,0),MATCH('Capital Cost Escalation'!$C112,'BESS_Capital Costs'!$D$7:$G$7,0))*AS$10*(1+$F112)^(AS$4), 0),0)</f>
        <v>0</v>
      </c>
      <c r="AT112" s="490">
        <f>IFERROR(IF(AT$6&lt;=$E$10,INDEX('BESS_Capital Costs'!$D$19:$G$48,MATCH('Capital Cost Escalation'!$E112,'BESS_Capital Costs'!$B$19:$B$48,0),MATCH('Capital Cost Escalation'!$C112,'BESS_Capital Costs'!$D$7:$G$7,0))*AT$10*(1+$F112)^(AT$4), 0),0)</f>
        <v>0</v>
      </c>
      <c r="AV112" s="827">
        <f t="shared" si="19"/>
        <v>9955742.0846465528</v>
      </c>
      <c r="AW112" s="828">
        <f>INDEX('BESS_Capital Costs'!$D$19:$G$48,MATCH('Capital Cost Escalation'!$E112,'BESS_Capital Costs'!$B$19:$B$48,0),MATCH('Capital Cost Escalation'!$C112,'BESS_Capital Costs'!$D$7:$G$7,0))</f>
        <v>10090400</v>
      </c>
    </row>
    <row r="113" spans="1:49">
      <c r="A113" s="487" t="str">
        <f t="shared" si="13"/>
        <v>BESS_Rest of RTO_Construction &amp; Materials</v>
      </c>
      <c r="B113" s="478" t="s">
        <v>700</v>
      </c>
      <c r="C113" s="488" t="s">
        <v>111</v>
      </c>
      <c r="E113" s="1478" t="s">
        <v>640</v>
      </c>
      <c r="F113" s="1325">
        <f>INDEX('BESS_Capital Costs_Nominal$'!$F:$F,MATCH('Capital Cost Escalation'!$E113,'BESS_Capital Costs_Nominal$'!$C:$C,0),1)</f>
        <v>-2.5895842177414696E-4</v>
      </c>
      <c r="G113" s="490">
        <f>IFERROR(IF(G$6&lt;=$E$10,INDEX('BESS_Capital Costs'!$D$19:$G$48,MATCH('Capital Cost Escalation'!$E113,'BESS_Capital Costs'!$B$19:$B$48,0),MATCH('Capital Cost Escalation'!$C113,'BESS_Capital Costs'!$D$7:$G$7,0))*G$10*(1+$F113)^(G$4), 0),0)</f>
        <v>476835.10881010746</v>
      </c>
      <c r="H113" s="490">
        <f>IFERROR(IF(H$6&lt;=$E$10,INDEX('BESS_Capital Costs'!$D$19:$G$48,MATCH('Capital Cost Escalation'!$E113,'BESS_Capital Costs'!$B$19:$B$48,0),MATCH('Capital Cost Escalation'!$C113,'BESS_Capital Costs'!$D$7:$G$7,0))*H$10*(1+$F113)^(H$4), 0),0)</f>
        <v>769839.62231247115</v>
      </c>
      <c r="I113" s="490">
        <f>IFERROR(IF(I$6&lt;=$E$10,INDEX('BESS_Capital Costs'!$D$19:$G$48,MATCH('Capital Cost Escalation'!$E113,'BESS_Capital Costs'!$B$19:$B$48,0),MATCH('Capital Cost Escalation'!$C113,'BESS_Capital Costs'!$D$7:$G$7,0))*I$10*(1+$F113)^(I$4), 0),0)</f>
        <v>18498968.779362347</v>
      </c>
      <c r="J113" s="490">
        <f>IFERROR(IF(J$6&lt;=$E$10,INDEX('BESS_Capital Costs'!$D$19:$G$48,MATCH('Capital Cost Escalation'!$E113,'BESS_Capital Costs'!$B$19:$B$48,0),MATCH('Capital Cost Escalation'!$C113,'BESS_Capital Costs'!$D$7:$G$7,0))*J$10*(1+$F113)^(J$4), 0),0)</f>
        <v>885678.5105840998</v>
      </c>
      <c r="K113" s="490">
        <f>IFERROR(IF(K$6&lt;=$E$10,INDEX('BESS_Capital Costs'!$D$19:$G$48,MATCH('Capital Cost Escalation'!$E113,'BESS_Capital Costs'!$B$19:$B$48,0),MATCH('Capital Cost Escalation'!$C113,'BESS_Capital Costs'!$D$7:$G$7,0))*K$10*(1+$F113)^(K$4), 0),0)</f>
        <v>927575.59735941188</v>
      </c>
      <c r="L113" s="490">
        <f>IFERROR(IF(L$6&lt;=$E$10,INDEX('BESS_Capital Costs'!$D$19:$G$48,MATCH('Capital Cost Escalation'!$E113,'BESS_Capital Costs'!$B$19:$B$48,0),MATCH('Capital Cost Escalation'!$C113,'BESS_Capital Costs'!$D$7:$G$7,0))*L$10*(1+$F113)^(L$4), 0),0)</f>
        <v>1057898.5026839371</v>
      </c>
      <c r="M113" s="490">
        <f>IFERROR(IF(M$6&lt;=$E$10,INDEX('BESS_Capital Costs'!$D$19:$G$48,MATCH('Capital Cost Escalation'!$E113,'BESS_Capital Costs'!$B$19:$B$48,0),MATCH('Capital Cost Escalation'!$C113,'BESS_Capital Costs'!$D$7:$G$7,0))*M$10*(1+$F113)^(M$4), 0),0)</f>
        <v>1254063.2101686609</v>
      </c>
      <c r="N113" s="490">
        <f>IFERROR(IF(N$6&lt;=$E$10,INDEX('BESS_Capital Costs'!$D$19:$G$48,MATCH('Capital Cost Escalation'!$E113,'BESS_Capital Costs'!$B$19:$B$48,0),MATCH('Capital Cost Escalation'!$C113,'BESS_Capital Costs'!$D$7:$G$7,0))*N$10*(1+$F113)^(N$4), 0),0)</f>
        <v>1446655.6247913435</v>
      </c>
      <c r="O113" s="490">
        <f>IFERROR(IF(O$6&lt;=$E$10,INDEX('BESS_Capital Costs'!$D$19:$G$48,MATCH('Capital Cost Escalation'!$E113,'BESS_Capital Costs'!$B$19:$B$48,0),MATCH('Capital Cost Escalation'!$C113,'BESS_Capital Costs'!$D$7:$G$7,0))*O$10*(1+$F113)^(O$4), 0),0)</f>
        <v>1559195.8040875951</v>
      </c>
      <c r="P113" s="490">
        <f>IFERROR(IF(P$6&lt;=$E$10,INDEX('BESS_Capital Costs'!$D$19:$G$48,MATCH('Capital Cost Escalation'!$E113,'BESS_Capital Costs'!$B$19:$B$48,0),MATCH('Capital Cost Escalation'!$C113,'BESS_Capital Costs'!$D$7:$G$7,0))*P$10*(1+$F113)^(P$4), 0),0)</f>
        <v>1536244.6574684668</v>
      </c>
      <c r="Q113" s="490">
        <f>IFERROR(IF(Q$6&lt;=$E$10,INDEX('BESS_Capital Costs'!$D$19:$G$48,MATCH('Capital Cost Escalation'!$E113,'BESS_Capital Costs'!$B$19:$B$48,0),MATCH('Capital Cost Escalation'!$C113,'BESS_Capital Costs'!$D$7:$G$7,0))*Q$10*(1+$F113)^(Q$4), 0),0)</f>
        <v>1360320.0660406763</v>
      </c>
      <c r="R113" s="490">
        <f>IFERROR(IF(R$6&lt;=$E$10,INDEX('BESS_Capital Costs'!$D$19:$G$48,MATCH('Capital Cost Escalation'!$E113,'BESS_Capital Costs'!$B$19:$B$48,0),MATCH('Capital Cost Escalation'!$C113,'BESS_Capital Costs'!$D$7:$G$7,0))*R$10*(1+$F113)^(R$4), 0),0)</f>
        <v>15131660.079217158</v>
      </c>
      <c r="S113" s="490">
        <f>IFERROR(IF(S$6&lt;=$E$10,INDEX('BESS_Capital Costs'!$D$19:$G$48,MATCH('Capital Cost Escalation'!$E113,'BESS_Capital Costs'!$B$19:$B$48,0),MATCH('Capital Cost Escalation'!$C113,'BESS_Capital Costs'!$D$7:$G$7,0))*S$10*(1+$F113)^(S$4), 0),0)</f>
        <v>691790.73097536713</v>
      </c>
      <c r="T113" s="490">
        <f>IFERROR(IF(T$6&lt;=$E$10,INDEX('BESS_Capital Costs'!$D$19:$G$48,MATCH('Capital Cost Escalation'!$E113,'BESS_Capital Costs'!$B$19:$B$48,0),MATCH('Capital Cost Escalation'!$C113,'BESS_Capital Costs'!$D$7:$G$7,0))*T$10*(1+$F113)^(T$4), 0),0)</f>
        <v>349295.78057325468</v>
      </c>
      <c r="U113" s="490">
        <f>IFERROR(IF(U$6&lt;=$E$10,INDEX('BESS_Capital Costs'!$D$19:$G$48,MATCH('Capital Cost Escalation'!$E113,'BESS_Capital Costs'!$B$19:$B$48,0),MATCH('Capital Cost Escalation'!$C113,'BESS_Capital Costs'!$D$7:$G$7,0))*U$10*(1+$F113)^(U$4), 0),0)</f>
        <v>110215.45696122662</v>
      </c>
      <c r="V113" s="490">
        <f>IFERROR(IF(V$6&lt;=$E$10,INDEX('BESS_Capital Costs'!$D$19:$G$48,MATCH('Capital Cost Escalation'!$E113,'BESS_Capital Costs'!$B$19:$B$48,0),MATCH('Capital Cost Escalation'!$C113,'BESS_Capital Costs'!$D$7:$G$7,0))*V$10*(1+$F113)^(V$4), 0),0)</f>
        <v>3525733.9150192142</v>
      </c>
      <c r="W113" s="490">
        <f>IFERROR(IF(W$6&lt;=$E$10,INDEX('BESS_Capital Costs'!$D$19:$G$48,MATCH('Capital Cost Escalation'!$E113,'BESS_Capital Costs'!$B$19:$B$48,0),MATCH('Capital Cost Escalation'!$C113,'BESS_Capital Costs'!$D$7:$G$7,0))*W$10*(1+$F113)^(W$4), 0),0)</f>
        <v>0</v>
      </c>
      <c r="X113" s="490">
        <f>IFERROR(IF(X$6&lt;=$E$10,INDEX('BESS_Capital Costs'!$D$19:$G$48,MATCH('Capital Cost Escalation'!$E113,'BESS_Capital Costs'!$B$19:$B$48,0),MATCH('Capital Cost Escalation'!$C113,'BESS_Capital Costs'!$D$7:$G$7,0))*X$10*(1+$F113)^(X$4), 0),0)</f>
        <v>0</v>
      </c>
      <c r="Y113" s="490">
        <f>IFERROR(IF(Y$6&lt;=$E$10,INDEX('BESS_Capital Costs'!$D$19:$G$48,MATCH('Capital Cost Escalation'!$E113,'BESS_Capital Costs'!$B$19:$B$48,0),MATCH('Capital Cost Escalation'!$C113,'BESS_Capital Costs'!$D$7:$G$7,0))*Y$10*(1+$F113)^(Y$4), 0),0)</f>
        <v>0</v>
      </c>
      <c r="Z113" s="490">
        <f>IFERROR(IF(Z$6&lt;=$E$10,INDEX('BESS_Capital Costs'!$D$19:$G$48,MATCH('Capital Cost Escalation'!$E113,'BESS_Capital Costs'!$B$19:$B$48,0),MATCH('Capital Cost Escalation'!$C113,'BESS_Capital Costs'!$D$7:$G$7,0))*Z$10*(1+$F113)^(Z$4), 0),0)</f>
        <v>0</v>
      </c>
      <c r="AA113" s="490">
        <f>IFERROR(IF(AA$6&lt;=$E$10,INDEX('BESS_Capital Costs'!$D$19:$G$48,MATCH('Capital Cost Escalation'!$E113,'BESS_Capital Costs'!$B$19:$B$48,0),MATCH('Capital Cost Escalation'!$C113,'BESS_Capital Costs'!$D$7:$G$7,0))*AA$10*(1+$F113)^(AA$4), 0),0)</f>
        <v>0</v>
      </c>
      <c r="AB113" s="490">
        <f>IFERROR(IF(AB$6&lt;=$E$10,INDEX('BESS_Capital Costs'!$D$19:$G$48,MATCH('Capital Cost Escalation'!$E113,'BESS_Capital Costs'!$B$19:$B$48,0),MATCH('Capital Cost Escalation'!$C113,'BESS_Capital Costs'!$D$7:$G$7,0))*AB$10*(1+$F113)^(AB$4), 0),0)</f>
        <v>0</v>
      </c>
      <c r="AC113" s="490">
        <f>IFERROR(IF(AC$6&lt;=$E$10,INDEX('BESS_Capital Costs'!$D$19:$G$48,MATCH('Capital Cost Escalation'!$E113,'BESS_Capital Costs'!$B$19:$B$48,0),MATCH('Capital Cost Escalation'!$C113,'BESS_Capital Costs'!$D$7:$G$7,0))*AC$10*(1+$F113)^(AC$4), 0),0)</f>
        <v>0</v>
      </c>
      <c r="AD113" s="490">
        <f>IFERROR(IF(AD$6&lt;=$E$10,INDEX('BESS_Capital Costs'!$D$19:$G$48,MATCH('Capital Cost Escalation'!$E113,'BESS_Capital Costs'!$B$19:$B$48,0),MATCH('Capital Cost Escalation'!$C113,'BESS_Capital Costs'!$D$7:$G$7,0))*AD$10*(1+$F113)^(AD$4), 0),0)</f>
        <v>0</v>
      </c>
      <c r="AE113" s="490">
        <f>IFERROR(IF(AE$6&lt;=$E$10,INDEX('BESS_Capital Costs'!$D$19:$G$48,MATCH('Capital Cost Escalation'!$E113,'BESS_Capital Costs'!$B$19:$B$48,0),MATCH('Capital Cost Escalation'!$C113,'BESS_Capital Costs'!$D$7:$G$7,0))*AE$10*(1+$F113)^(AE$4), 0),0)</f>
        <v>0</v>
      </c>
      <c r="AF113" s="490">
        <f>IFERROR(IF(AF$6&lt;=$E$10,INDEX('BESS_Capital Costs'!$D$19:$G$48,MATCH('Capital Cost Escalation'!$E113,'BESS_Capital Costs'!$B$19:$B$48,0),MATCH('Capital Cost Escalation'!$C113,'BESS_Capital Costs'!$D$7:$G$7,0))*AF$10*(1+$F113)^(AF$4), 0),0)</f>
        <v>0</v>
      </c>
      <c r="AG113" s="490">
        <f>IFERROR(IF(AG$6&lt;=$E$10,INDEX('BESS_Capital Costs'!$D$19:$G$48,MATCH('Capital Cost Escalation'!$E113,'BESS_Capital Costs'!$B$19:$B$48,0),MATCH('Capital Cost Escalation'!$C113,'BESS_Capital Costs'!$D$7:$G$7,0))*AG$10*(1+$F113)^(AG$4), 0),0)</f>
        <v>0</v>
      </c>
      <c r="AH113" s="490">
        <f>IFERROR(IF(AH$6&lt;=$E$10,INDEX('BESS_Capital Costs'!$D$19:$G$48,MATCH('Capital Cost Escalation'!$E113,'BESS_Capital Costs'!$B$19:$B$48,0),MATCH('Capital Cost Escalation'!$C113,'BESS_Capital Costs'!$D$7:$G$7,0))*AH$10*(1+$F113)^(AH$4), 0),0)</f>
        <v>0</v>
      </c>
      <c r="AI113" s="490">
        <f>IFERROR(IF(AI$6&lt;=$E$10,INDEX('BESS_Capital Costs'!$D$19:$G$48,MATCH('Capital Cost Escalation'!$E113,'BESS_Capital Costs'!$B$19:$B$48,0),MATCH('Capital Cost Escalation'!$C113,'BESS_Capital Costs'!$D$7:$G$7,0))*AI$10*(1+$F113)^(AI$4), 0),0)</f>
        <v>0</v>
      </c>
      <c r="AJ113" s="490">
        <f>IFERROR(IF(AJ$6&lt;=$E$10,INDEX('BESS_Capital Costs'!$D$19:$G$48,MATCH('Capital Cost Escalation'!$E113,'BESS_Capital Costs'!$B$19:$B$48,0),MATCH('Capital Cost Escalation'!$C113,'BESS_Capital Costs'!$D$7:$G$7,0))*AJ$10*(1+$F113)^(AJ$4), 0),0)</f>
        <v>0</v>
      </c>
      <c r="AK113" s="490">
        <f>IFERROR(IF(AK$6&lt;=$E$10,INDEX('BESS_Capital Costs'!$D$19:$G$48,MATCH('Capital Cost Escalation'!$E113,'BESS_Capital Costs'!$B$19:$B$48,0),MATCH('Capital Cost Escalation'!$C113,'BESS_Capital Costs'!$D$7:$G$7,0))*AK$10*(1+$F113)^(AK$4), 0),0)</f>
        <v>0</v>
      </c>
      <c r="AL113" s="490">
        <f>IFERROR(IF(AL$6&lt;=$E$10,INDEX('BESS_Capital Costs'!$D$19:$G$48,MATCH('Capital Cost Escalation'!$E113,'BESS_Capital Costs'!$B$19:$B$48,0),MATCH('Capital Cost Escalation'!$C113,'BESS_Capital Costs'!$D$7:$G$7,0))*AL$10*(1+$F113)^(AL$4), 0),0)</f>
        <v>0</v>
      </c>
      <c r="AM113" s="490">
        <f>IFERROR(IF(AM$6&lt;=$E$10,INDEX('BESS_Capital Costs'!$D$19:$G$48,MATCH('Capital Cost Escalation'!$E113,'BESS_Capital Costs'!$B$19:$B$48,0),MATCH('Capital Cost Escalation'!$C113,'BESS_Capital Costs'!$D$7:$G$7,0))*AM$10*(1+$F113)^(AM$4), 0),0)</f>
        <v>0</v>
      </c>
      <c r="AN113" s="490">
        <f>IFERROR(IF(AN$6&lt;=$E$10,INDEX('BESS_Capital Costs'!$D$19:$G$48,MATCH('Capital Cost Escalation'!$E113,'BESS_Capital Costs'!$B$19:$B$48,0),MATCH('Capital Cost Escalation'!$C113,'BESS_Capital Costs'!$D$7:$G$7,0))*AN$10*(1+$F113)^(AN$4), 0),0)</f>
        <v>0</v>
      </c>
      <c r="AO113" s="490">
        <f>IFERROR(IF(AO$6&lt;=$E$10,INDEX('BESS_Capital Costs'!$D$19:$G$48,MATCH('Capital Cost Escalation'!$E113,'BESS_Capital Costs'!$B$19:$B$48,0),MATCH('Capital Cost Escalation'!$C113,'BESS_Capital Costs'!$D$7:$G$7,0))*AO$10*(1+$F113)^(AO$4), 0),0)</f>
        <v>0</v>
      </c>
      <c r="AP113" s="490">
        <f>IFERROR(IF(AP$6&lt;=$E$10,INDEX('BESS_Capital Costs'!$D$19:$G$48,MATCH('Capital Cost Escalation'!$E113,'BESS_Capital Costs'!$B$19:$B$48,0),MATCH('Capital Cost Escalation'!$C113,'BESS_Capital Costs'!$D$7:$G$7,0))*AP$10*(1+$F113)^(AP$4), 0),0)</f>
        <v>0</v>
      </c>
      <c r="AQ113" s="490">
        <f>IFERROR(IF(AQ$6&lt;=$E$10,INDEX('BESS_Capital Costs'!$D$19:$G$48,MATCH('Capital Cost Escalation'!$E113,'BESS_Capital Costs'!$B$19:$B$48,0),MATCH('Capital Cost Escalation'!$C113,'BESS_Capital Costs'!$D$7:$G$7,0))*AQ$10*(1+$F113)^(AQ$4), 0),0)</f>
        <v>0</v>
      </c>
      <c r="AR113" s="490">
        <f>IFERROR(IF(AR$6&lt;=$E$10,INDEX('BESS_Capital Costs'!$D$19:$G$48,MATCH('Capital Cost Escalation'!$E113,'BESS_Capital Costs'!$B$19:$B$48,0),MATCH('Capital Cost Escalation'!$C113,'BESS_Capital Costs'!$D$7:$G$7,0))*AR$10*(1+$F113)^(AR$4), 0),0)</f>
        <v>0</v>
      </c>
      <c r="AS113" s="490">
        <f>IFERROR(IF(AS$6&lt;=$E$10,INDEX('BESS_Capital Costs'!$D$19:$G$48,MATCH('Capital Cost Escalation'!$E113,'BESS_Capital Costs'!$B$19:$B$48,0),MATCH('Capital Cost Escalation'!$C113,'BESS_Capital Costs'!$D$7:$G$7,0))*AS$10*(1+$F113)^(AS$4), 0),0)</f>
        <v>0</v>
      </c>
      <c r="AT113" s="490">
        <f>IFERROR(IF(AT$6&lt;=$E$10,INDEX('BESS_Capital Costs'!$D$19:$G$48,MATCH('Capital Cost Escalation'!$E113,'BESS_Capital Costs'!$B$19:$B$48,0),MATCH('Capital Cost Escalation'!$C113,'BESS_Capital Costs'!$D$7:$G$7,0))*AT$10*(1+$F113)^(AT$4), 0),0)</f>
        <v>0</v>
      </c>
      <c r="AV113" s="827">
        <f>SUM(G113:AT113)</f>
        <v>49581971.446415342</v>
      </c>
      <c r="AW113" s="828">
        <f>INDEX('BESS_Capital Costs'!$D$19:$G$48,MATCH('Capital Cost Escalation'!$E113,'BESS_Capital Costs'!$B$19:$B$48,0),MATCH('Capital Cost Escalation'!$C113,'BESS_Capital Costs'!$D$7:$G$7,0))</f>
        <v>50252600</v>
      </c>
    </row>
    <row r="114" spans="1:49">
      <c r="A114" s="487" t="str">
        <f t="shared" si="13"/>
        <v>BESS_Rest of RTO_Optional Augmentation to Maintain Nameplate over 15 Years</v>
      </c>
      <c r="B114" s="478" t="s">
        <v>700</v>
      </c>
      <c r="C114" s="488" t="s">
        <v>111</v>
      </c>
      <c r="E114" s="1478" t="s">
        <v>636</v>
      </c>
      <c r="F114" s="1325">
        <f>INDEX('BESS_Capital Costs_Nominal$'!$F:$F,MATCH('Capital Cost Escalation'!$E114,'BESS_Capital Costs_Nominal$'!$C:$C,0),1)</f>
        <v>-2.5895842177414696E-4</v>
      </c>
      <c r="G114" s="490">
        <f>IFERROR(IF(G$6&lt;=$E$10,INDEX('BESS_Capital Costs'!$D$19:$G$48,MATCH('Capital Cost Escalation'!$E114,'BESS_Capital Costs'!$B$19:$B$48,0),MATCH('Capital Cost Escalation'!$C114,'BESS_Capital Costs'!$D$7:$G$7,0))*G$10*(1+$F114)^(G$4), 0),0)</f>
        <v>0</v>
      </c>
      <c r="H114" s="490">
        <f>IFERROR(IF(H$6&lt;=$E$10,INDEX('BESS_Capital Costs'!$D$19:$G$48,MATCH('Capital Cost Escalation'!$E114,'BESS_Capital Costs'!$B$19:$B$48,0),MATCH('Capital Cost Escalation'!$C114,'BESS_Capital Costs'!$D$7:$G$7,0))*H$10*(1+$F114)^(H$4), 0),0)</f>
        <v>0</v>
      </c>
      <c r="I114" s="490">
        <f>IFERROR(IF(I$6&lt;=$E$10,INDEX('BESS_Capital Costs'!$D$19:$G$48,MATCH('Capital Cost Escalation'!$E114,'BESS_Capital Costs'!$B$19:$B$48,0),MATCH('Capital Cost Escalation'!$C114,'BESS_Capital Costs'!$D$7:$G$7,0))*I$10*(1+$F114)^(I$4), 0),0)</f>
        <v>0</v>
      </c>
      <c r="J114" s="490">
        <f>IFERROR(IF(J$6&lt;=$E$10,INDEX('BESS_Capital Costs'!$D$19:$G$48,MATCH('Capital Cost Escalation'!$E114,'BESS_Capital Costs'!$B$19:$B$48,0),MATCH('Capital Cost Escalation'!$C114,'BESS_Capital Costs'!$D$7:$G$7,0))*J$10*(1+$F114)^(J$4), 0),0)</f>
        <v>0</v>
      </c>
      <c r="K114" s="490">
        <f>IFERROR(IF(K$6&lt;=$E$10,INDEX('BESS_Capital Costs'!$D$19:$G$48,MATCH('Capital Cost Escalation'!$E114,'BESS_Capital Costs'!$B$19:$B$48,0),MATCH('Capital Cost Escalation'!$C114,'BESS_Capital Costs'!$D$7:$G$7,0))*K$10*(1+$F114)^(K$4), 0),0)</f>
        <v>0</v>
      </c>
      <c r="L114" s="490">
        <f>IFERROR(IF(L$6&lt;=$E$10,INDEX('BESS_Capital Costs'!$D$19:$G$48,MATCH('Capital Cost Escalation'!$E114,'BESS_Capital Costs'!$B$19:$B$48,0),MATCH('Capital Cost Escalation'!$C114,'BESS_Capital Costs'!$D$7:$G$7,0))*L$10*(1+$F114)^(L$4), 0),0)</f>
        <v>0</v>
      </c>
      <c r="M114" s="490">
        <f>IFERROR(IF(M$6&lt;=$E$10,INDEX('BESS_Capital Costs'!$D$19:$G$48,MATCH('Capital Cost Escalation'!$E114,'BESS_Capital Costs'!$B$19:$B$48,0),MATCH('Capital Cost Escalation'!$C114,'BESS_Capital Costs'!$D$7:$G$7,0))*M$10*(1+$F114)^(M$4), 0),0)</f>
        <v>0</v>
      </c>
      <c r="N114" s="490">
        <f>IFERROR(IF(N$6&lt;=$E$10,INDEX('BESS_Capital Costs'!$D$19:$G$48,MATCH('Capital Cost Escalation'!$E114,'BESS_Capital Costs'!$B$19:$B$48,0),MATCH('Capital Cost Escalation'!$C114,'BESS_Capital Costs'!$D$7:$G$7,0))*N$10*(1+$F114)^(N$4), 0),0)</f>
        <v>0</v>
      </c>
      <c r="O114" s="490">
        <f>IFERROR(IF(O$6&lt;=$E$10,INDEX('BESS_Capital Costs'!$D$19:$G$48,MATCH('Capital Cost Escalation'!$E114,'BESS_Capital Costs'!$B$19:$B$48,0),MATCH('Capital Cost Escalation'!$C114,'BESS_Capital Costs'!$D$7:$G$7,0))*O$10*(1+$F114)^(O$4), 0),0)</f>
        <v>0</v>
      </c>
      <c r="P114" s="490">
        <f>IFERROR(IF(P$6&lt;=$E$10,INDEX('BESS_Capital Costs'!$D$19:$G$48,MATCH('Capital Cost Escalation'!$E114,'BESS_Capital Costs'!$B$19:$B$48,0),MATCH('Capital Cost Escalation'!$C114,'BESS_Capital Costs'!$D$7:$G$7,0))*P$10*(1+$F114)^(P$4), 0),0)</f>
        <v>0</v>
      </c>
      <c r="Q114" s="490">
        <f>IFERROR(IF(Q$6&lt;=$E$10,INDEX('BESS_Capital Costs'!$D$19:$G$48,MATCH('Capital Cost Escalation'!$E114,'BESS_Capital Costs'!$B$19:$B$48,0),MATCH('Capital Cost Escalation'!$C114,'BESS_Capital Costs'!$D$7:$G$7,0))*Q$10*(1+$F114)^(Q$4), 0),0)</f>
        <v>0</v>
      </c>
      <c r="R114" s="490">
        <f>IFERROR(IF(R$6&lt;=$E$10,INDEX('BESS_Capital Costs'!$D$19:$G$48,MATCH('Capital Cost Escalation'!$E114,'BESS_Capital Costs'!$B$19:$B$48,0),MATCH('Capital Cost Escalation'!$C114,'BESS_Capital Costs'!$D$7:$G$7,0))*R$10*(1+$F114)^(R$4), 0),0)</f>
        <v>0</v>
      </c>
      <c r="S114" s="490">
        <f>IFERROR(IF(S$6&lt;=$E$10,INDEX('BESS_Capital Costs'!$D$19:$G$48,MATCH('Capital Cost Escalation'!$E114,'BESS_Capital Costs'!$B$19:$B$48,0),MATCH('Capital Cost Escalation'!$C114,'BESS_Capital Costs'!$D$7:$G$7,0))*S$10*(1+$F114)^(S$4), 0),0)</f>
        <v>0</v>
      </c>
      <c r="T114" s="490">
        <f>IFERROR(IF(T$6&lt;=$E$10,INDEX('BESS_Capital Costs'!$D$19:$G$48,MATCH('Capital Cost Escalation'!$E114,'BESS_Capital Costs'!$B$19:$B$48,0),MATCH('Capital Cost Escalation'!$C114,'BESS_Capital Costs'!$D$7:$G$7,0))*T$10*(1+$F114)^(T$4), 0),0)</f>
        <v>0</v>
      </c>
      <c r="U114" s="490">
        <f>IFERROR(IF(U$6&lt;=$E$10,INDEX('BESS_Capital Costs'!$D$19:$G$48,MATCH('Capital Cost Escalation'!$E114,'BESS_Capital Costs'!$B$19:$B$48,0),MATCH('Capital Cost Escalation'!$C114,'BESS_Capital Costs'!$D$7:$G$7,0))*U$10*(1+$F114)^(U$4), 0),0)</f>
        <v>0</v>
      </c>
      <c r="V114" s="490">
        <f>IFERROR(IF(V$6&lt;=$E$10,INDEX('BESS_Capital Costs'!$D$19:$G$48,MATCH('Capital Cost Escalation'!$E114,'BESS_Capital Costs'!$B$19:$B$48,0),MATCH('Capital Cost Escalation'!$C114,'BESS_Capital Costs'!$D$7:$G$7,0))*V$10*(1+$F114)^(V$4), 0),0)</f>
        <v>0</v>
      </c>
      <c r="W114" s="490">
        <f>IFERROR(IF(W$6&lt;=$E$10,INDEX('BESS_Capital Costs'!$D$19:$G$48,MATCH('Capital Cost Escalation'!$E114,'BESS_Capital Costs'!$B$19:$B$48,0),MATCH('Capital Cost Escalation'!$C114,'BESS_Capital Costs'!$D$7:$G$7,0))*W$10*(1+$F114)^(W$4), 0),0)</f>
        <v>0</v>
      </c>
      <c r="X114" s="490">
        <f>IFERROR(IF(X$6&lt;=$E$10,INDEX('BESS_Capital Costs'!$D$19:$G$48,MATCH('Capital Cost Escalation'!$E114,'BESS_Capital Costs'!$B$19:$B$48,0),MATCH('Capital Cost Escalation'!$C114,'BESS_Capital Costs'!$D$7:$G$7,0))*X$10*(1+$F114)^(X$4), 0),0)</f>
        <v>0</v>
      </c>
      <c r="Y114" s="490">
        <f>IFERROR(IF(Y$6&lt;=$E$10,INDEX('BESS_Capital Costs'!$D$19:$G$48,MATCH('Capital Cost Escalation'!$E114,'BESS_Capital Costs'!$B$19:$B$48,0),MATCH('Capital Cost Escalation'!$C114,'BESS_Capital Costs'!$D$7:$G$7,0))*Y$10*(1+$F114)^(Y$4), 0),0)</f>
        <v>0</v>
      </c>
      <c r="Z114" s="490">
        <f>IFERROR(IF(Z$6&lt;=$E$10,INDEX('BESS_Capital Costs'!$D$19:$G$48,MATCH('Capital Cost Escalation'!$E114,'BESS_Capital Costs'!$B$19:$B$48,0),MATCH('Capital Cost Escalation'!$C114,'BESS_Capital Costs'!$D$7:$G$7,0))*Z$10*(1+$F114)^(Z$4), 0),0)</f>
        <v>0</v>
      </c>
      <c r="AA114" s="490">
        <f>IFERROR(IF(AA$6&lt;=$E$10,INDEX('BESS_Capital Costs'!$D$19:$G$48,MATCH('Capital Cost Escalation'!$E114,'BESS_Capital Costs'!$B$19:$B$48,0),MATCH('Capital Cost Escalation'!$C114,'BESS_Capital Costs'!$D$7:$G$7,0))*AA$10*(1+$F114)^(AA$4), 0),0)</f>
        <v>0</v>
      </c>
      <c r="AB114" s="490">
        <f>IFERROR(IF(AB$6&lt;=$E$10,INDEX('BESS_Capital Costs'!$D$19:$G$48,MATCH('Capital Cost Escalation'!$E114,'BESS_Capital Costs'!$B$19:$B$48,0),MATCH('Capital Cost Escalation'!$C114,'BESS_Capital Costs'!$D$7:$G$7,0))*AB$10*(1+$F114)^(AB$4), 0),0)</f>
        <v>0</v>
      </c>
      <c r="AC114" s="490">
        <f>IFERROR(IF(AC$6&lt;=$E$10,INDEX('BESS_Capital Costs'!$D$19:$G$48,MATCH('Capital Cost Escalation'!$E114,'BESS_Capital Costs'!$B$19:$B$48,0),MATCH('Capital Cost Escalation'!$C114,'BESS_Capital Costs'!$D$7:$G$7,0))*AC$10*(1+$F114)^(AC$4), 0),0)</f>
        <v>0</v>
      </c>
      <c r="AD114" s="490">
        <f>IFERROR(IF(AD$6&lt;=$E$10,INDEX('BESS_Capital Costs'!$D$19:$G$48,MATCH('Capital Cost Escalation'!$E114,'BESS_Capital Costs'!$B$19:$B$48,0),MATCH('Capital Cost Escalation'!$C114,'BESS_Capital Costs'!$D$7:$G$7,0))*AD$10*(1+$F114)^(AD$4), 0),0)</f>
        <v>0</v>
      </c>
      <c r="AE114" s="490">
        <f>IFERROR(IF(AE$6&lt;=$E$10,INDEX('BESS_Capital Costs'!$D$19:$G$48,MATCH('Capital Cost Escalation'!$E114,'BESS_Capital Costs'!$B$19:$B$48,0),MATCH('Capital Cost Escalation'!$C114,'BESS_Capital Costs'!$D$7:$G$7,0))*AE$10*(1+$F114)^(AE$4), 0),0)</f>
        <v>0</v>
      </c>
      <c r="AF114" s="490">
        <f>IFERROR(IF(AF$6&lt;=$E$10,INDEX('BESS_Capital Costs'!$D$19:$G$48,MATCH('Capital Cost Escalation'!$E114,'BESS_Capital Costs'!$B$19:$B$48,0),MATCH('Capital Cost Escalation'!$C114,'BESS_Capital Costs'!$D$7:$G$7,0))*AF$10*(1+$F114)^(AF$4), 0),0)</f>
        <v>0</v>
      </c>
      <c r="AG114" s="490">
        <f>IFERROR(IF(AG$6&lt;=$E$10,INDEX('BESS_Capital Costs'!$D$19:$G$48,MATCH('Capital Cost Escalation'!$E114,'BESS_Capital Costs'!$B$19:$B$48,0),MATCH('Capital Cost Escalation'!$C114,'BESS_Capital Costs'!$D$7:$G$7,0))*AG$10*(1+$F114)^(AG$4), 0),0)</f>
        <v>0</v>
      </c>
      <c r="AH114" s="490">
        <f>IFERROR(IF(AH$6&lt;=$E$10,INDEX('BESS_Capital Costs'!$D$19:$G$48,MATCH('Capital Cost Escalation'!$E114,'BESS_Capital Costs'!$B$19:$B$48,0),MATCH('Capital Cost Escalation'!$C114,'BESS_Capital Costs'!$D$7:$G$7,0))*AH$10*(1+$F114)^(AH$4), 0),0)</f>
        <v>0</v>
      </c>
      <c r="AI114" s="490">
        <f>IFERROR(IF(AI$6&lt;=$E$10,INDEX('BESS_Capital Costs'!$D$19:$G$48,MATCH('Capital Cost Escalation'!$E114,'BESS_Capital Costs'!$B$19:$B$48,0),MATCH('Capital Cost Escalation'!$C114,'BESS_Capital Costs'!$D$7:$G$7,0))*AI$10*(1+$F114)^(AI$4), 0),0)</f>
        <v>0</v>
      </c>
      <c r="AJ114" s="490">
        <f>IFERROR(IF(AJ$6&lt;=$E$10,INDEX('BESS_Capital Costs'!$D$19:$G$48,MATCH('Capital Cost Escalation'!$E114,'BESS_Capital Costs'!$B$19:$B$48,0),MATCH('Capital Cost Escalation'!$C114,'BESS_Capital Costs'!$D$7:$G$7,0))*AJ$10*(1+$F114)^(AJ$4), 0),0)</f>
        <v>0</v>
      </c>
      <c r="AK114" s="490">
        <f>IFERROR(IF(AK$6&lt;=$E$10,INDEX('BESS_Capital Costs'!$D$19:$G$48,MATCH('Capital Cost Escalation'!$E114,'BESS_Capital Costs'!$B$19:$B$48,0),MATCH('Capital Cost Escalation'!$C114,'BESS_Capital Costs'!$D$7:$G$7,0))*AK$10*(1+$F114)^(AK$4), 0),0)</f>
        <v>0</v>
      </c>
      <c r="AL114" s="490">
        <f>IFERROR(IF(AL$6&lt;=$E$10,INDEX('BESS_Capital Costs'!$D$19:$G$48,MATCH('Capital Cost Escalation'!$E114,'BESS_Capital Costs'!$B$19:$B$48,0),MATCH('Capital Cost Escalation'!$C114,'BESS_Capital Costs'!$D$7:$G$7,0))*AL$10*(1+$F114)^(AL$4), 0),0)</f>
        <v>0</v>
      </c>
      <c r="AM114" s="490">
        <f>IFERROR(IF(AM$6&lt;=$E$10,INDEX('BESS_Capital Costs'!$D$19:$G$48,MATCH('Capital Cost Escalation'!$E114,'BESS_Capital Costs'!$B$19:$B$48,0),MATCH('Capital Cost Escalation'!$C114,'BESS_Capital Costs'!$D$7:$G$7,0))*AM$10*(1+$F114)^(AM$4), 0),0)</f>
        <v>0</v>
      </c>
      <c r="AN114" s="490">
        <f>IFERROR(IF(AN$6&lt;=$E$10,INDEX('BESS_Capital Costs'!$D$19:$G$48,MATCH('Capital Cost Escalation'!$E114,'BESS_Capital Costs'!$B$19:$B$48,0),MATCH('Capital Cost Escalation'!$C114,'BESS_Capital Costs'!$D$7:$G$7,0))*AN$10*(1+$F114)^(AN$4), 0),0)</f>
        <v>0</v>
      </c>
      <c r="AO114" s="490">
        <f>IFERROR(IF(AO$6&lt;=$E$10,INDEX('BESS_Capital Costs'!$D$19:$G$48,MATCH('Capital Cost Escalation'!$E114,'BESS_Capital Costs'!$B$19:$B$48,0),MATCH('Capital Cost Escalation'!$C114,'BESS_Capital Costs'!$D$7:$G$7,0))*AO$10*(1+$F114)^(AO$4), 0),0)</f>
        <v>0</v>
      </c>
      <c r="AP114" s="490">
        <f>IFERROR(IF(AP$6&lt;=$E$10,INDEX('BESS_Capital Costs'!$D$19:$G$48,MATCH('Capital Cost Escalation'!$E114,'BESS_Capital Costs'!$B$19:$B$48,0),MATCH('Capital Cost Escalation'!$C114,'BESS_Capital Costs'!$D$7:$G$7,0))*AP$10*(1+$F114)^(AP$4), 0),0)</f>
        <v>0</v>
      </c>
      <c r="AQ114" s="490">
        <f>IFERROR(IF(AQ$6&lt;=$E$10,INDEX('BESS_Capital Costs'!$D$19:$G$48,MATCH('Capital Cost Escalation'!$E114,'BESS_Capital Costs'!$B$19:$B$48,0),MATCH('Capital Cost Escalation'!$C114,'BESS_Capital Costs'!$D$7:$G$7,0))*AQ$10*(1+$F114)^(AQ$4), 0),0)</f>
        <v>0</v>
      </c>
      <c r="AR114" s="490">
        <f>IFERROR(IF(AR$6&lt;=$E$10,INDEX('BESS_Capital Costs'!$D$19:$G$48,MATCH('Capital Cost Escalation'!$E114,'BESS_Capital Costs'!$B$19:$B$48,0),MATCH('Capital Cost Escalation'!$C114,'BESS_Capital Costs'!$D$7:$G$7,0))*AR$10*(1+$F114)^(AR$4), 0),0)</f>
        <v>0</v>
      </c>
      <c r="AS114" s="490">
        <f>IFERROR(IF(AS$6&lt;=$E$10,INDEX('BESS_Capital Costs'!$D$19:$G$48,MATCH('Capital Cost Escalation'!$E114,'BESS_Capital Costs'!$B$19:$B$48,0),MATCH('Capital Cost Escalation'!$C114,'BESS_Capital Costs'!$D$7:$G$7,0))*AS$10*(1+$F114)^(AS$4), 0),0)</f>
        <v>0</v>
      </c>
      <c r="AT114" s="490">
        <f>IFERROR(IF(AT$6&lt;=$E$10,INDEX('BESS_Capital Costs'!$D$19:$G$48,MATCH('Capital Cost Escalation'!$E114,'BESS_Capital Costs'!$B$19:$B$48,0),MATCH('Capital Cost Escalation'!$C114,'BESS_Capital Costs'!$D$7:$G$7,0))*AT$10*(1+$F114)^(AT$4), 0),0)</f>
        <v>0</v>
      </c>
      <c r="AV114" s="827">
        <f t="shared" ref="AV114:AV117" si="20">SUM(G114:AT114)</f>
        <v>0</v>
      </c>
      <c r="AW114" s="828">
        <f>INDEX('BESS_Capital Costs'!$D$19:$G$48,MATCH('Capital Cost Escalation'!$E114,'BESS_Capital Costs'!$B$19:$B$48,0),MATCH('Capital Cost Escalation'!$C114,'BESS_Capital Costs'!$D$7:$G$7,0))</f>
        <v>0</v>
      </c>
    </row>
    <row r="115" spans="1:49">
      <c r="A115" s="487" t="str">
        <f t="shared" si="13"/>
        <v>BESS_Rest of RTO_Project Development</v>
      </c>
      <c r="B115" s="478" t="s">
        <v>700</v>
      </c>
      <c r="C115" s="488" t="s">
        <v>111</v>
      </c>
      <c r="E115" s="1478" t="s">
        <v>146</v>
      </c>
      <c r="F115" s="1325">
        <f>INDEX('BESS_Capital Costs_Nominal$'!$F:$F,MATCH('Capital Cost Escalation'!$E115,'BESS_Capital Costs_Nominal$'!$C:$C,0),1)</f>
        <v>-2.5895842177414696E-4</v>
      </c>
      <c r="G115" s="490">
        <f>IFERROR(IF(G$6&lt;=$E$10,INDEX('BESS_Capital Costs'!$D$19:$G$48,MATCH('Capital Cost Escalation'!$E115,'BESS_Capital Costs'!$B$19:$B$48,0),MATCH('Capital Cost Escalation'!$C115,'BESS_Capital Costs'!$D$7:$G$7,0))*G$10*(1+$F115)^(G$4), 0),0)</f>
        <v>135613.42846169265</v>
      </c>
      <c r="H115" s="490">
        <f>IFERROR(IF(H$6&lt;=$E$10,INDEX('BESS_Capital Costs'!$D$19:$G$48,MATCH('Capital Cost Escalation'!$E115,'BESS_Capital Costs'!$B$19:$B$48,0),MATCH('Capital Cost Escalation'!$C115,'BESS_Capital Costs'!$D$7:$G$7,0))*H$10*(1+$F115)^(H$4), 0),0)</f>
        <v>218944.84826834506</v>
      </c>
      <c r="I115" s="490">
        <f>IFERROR(IF(I$6&lt;=$E$10,INDEX('BESS_Capital Costs'!$D$19:$G$48,MATCH('Capital Cost Escalation'!$E115,'BESS_Capital Costs'!$B$19:$B$48,0),MATCH('Capital Cost Escalation'!$C115,'BESS_Capital Costs'!$D$7:$G$7,0))*I$10*(1+$F115)^(I$4), 0),0)</f>
        <v>5261165.8261392778</v>
      </c>
      <c r="J115" s="490">
        <f>IFERROR(IF(J$6&lt;=$E$10,INDEX('BESS_Capital Costs'!$D$19:$G$48,MATCH('Capital Cost Escalation'!$E115,'BESS_Capital Costs'!$B$19:$B$48,0),MATCH('Capital Cost Escalation'!$C115,'BESS_Capital Costs'!$D$7:$G$7,0))*J$10*(1+$F115)^(J$4), 0),0)</f>
        <v>251889.79820482829</v>
      </c>
      <c r="K115" s="490">
        <f>IFERROR(IF(K$6&lt;=$E$10,INDEX('BESS_Capital Costs'!$D$19:$G$48,MATCH('Capital Cost Escalation'!$E115,'BESS_Capital Costs'!$B$19:$B$48,0),MATCH('Capital Cost Escalation'!$C115,'BESS_Capital Costs'!$D$7:$G$7,0))*K$10*(1+$F115)^(K$4), 0),0)</f>
        <v>263805.46354737296</v>
      </c>
      <c r="L115" s="490">
        <f>IFERROR(IF(L$6&lt;=$E$10,INDEX('BESS_Capital Costs'!$D$19:$G$48,MATCH('Capital Cost Escalation'!$E115,'BESS_Capital Costs'!$B$19:$B$48,0),MATCH('Capital Cost Escalation'!$C115,'BESS_Capital Costs'!$D$7:$G$7,0))*L$10*(1+$F115)^(L$4), 0),0)</f>
        <v>300869.71421098267</v>
      </c>
      <c r="M115" s="490">
        <f>IFERROR(IF(M$6&lt;=$E$10,INDEX('BESS_Capital Costs'!$D$19:$G$48,MATCH('Capital Cost Escalation'!$E115,'BESS_Capital Costs'!$B$19:$B$48,0),MATCH('Capital Cost Escalation'!$C115,'BESS_Capital Costs'!$D$7:$G$7,0))*M$10*(1+$F115)^(M$4), 0),0)</f>
        <v>356659.58377736679</v>
      </c>
      <c r="N115" s="490">
        <f>IFERROR(IF(N$6&lt;=$E$10,INDEX('BESS_Capital Costs'!$D$19:$G$48,MATCH('Capital Cost Escalation'!$E115,'BESS_Capital Costs'!$B$19:$B$48,0),MATCH('Capital Cost Escalation'!$C115,'BESS_Capital Costs'!$D$7:$G$7,0))*N$10*(1+$F115)^(N$4), 0),0)</f>
        <v>411433.48184010136</v>
      </c>
      <c r="O115" s="490">
        <f>IFERROR(IF(O$6&lt;=$E$10,INDEX('BESS_Capital Costs'!$D$19:$G$48,MATCH('Capital Cost Escalation'!$E115,'BESS_Capital Costs'!$B$19:$B$48,0),MATCH('Capital Cost Escalation'!$C115,'BESS_Capital Costs'!$D$7:$G$7,0))*O$10*(1+$F115)^(O$4), 0),0)</f>
        <v>443440.26840441907</v>
      </c>
      <c r="P115" s="490">
        <f>IFERROR(IF(P$6&lt;=$E$10,INDEX('BESS_Capital Costs'!$D$19:$G$48,MATCH('Capital Cost Escalation'!$E115,'BESS_Capital Costs'!$B$19:$B$48,0),MATCH('Capital Cost Escalation'!$C115,'BESS_Capital Costs'!$D$7:$G$7,0))*P$10*(1+$F115)^(P$4), 0),0)</f>
        <v>436912.88897568139</v>
      </c>
      <c r="Q115" s="490">
        <f>IFERROR(IF(Q$6&lt;=$E$10,INDEX('BESS_Capital Costs'!$D$19:$G$48,MATCH('Capital Cost Escalation'!$E115,'BESS_Capital Costs'!$B$19:$B$48,0),MATCH('Capital Cost Escalation'!$C115,'BESS_Capital Costs'!$D$7:$G$7,0))*Q$10*(1+$F115)^(Q$4), 0),0)</f>
        <v>386879.37308424531</v>
      </c>
      <c r="R115" s="490">
        <f>IFERROR(IF(R$6&lt;=$E$10,INDEX('BESS_Capital Costs'!$D$19:$G$48,MATCH('Capital Cost Escalation'!$E115,'BESS_Capital Costs'!$B$19:$B$48,0),MATCH('Capital Cost Escalation'!$C115,'BESS_Capital Costs'!$D$7:$G$7,0))*R$10*(1+$F115)^(R$4), 0),0)</f>
        <v>4303492.4730694853</v>
      </c>
      <c r="S115" s="490">
        <f>IFERROR(IF(S$6&lt;=$E$10,INDEX('BESS_Capital Costs'!$D$19:$G$48,MATCH('Capital Cost Escalation'!$E115,'BESS_Capital Costs'!$B$19:$B$48,0),MATCH('Capital Cost Escalation'!$C115,'BESS_Capital Costs'!$D$7:$G$7,0))*S$10*(1+$F115)^(S$4), 0),0)</f>
        <v>196747.494201294</v>
      </c>
      <c r="T115" s="490">
        <f>IFERROR(IF(T$6&lt;=$E$10,INDEX('BESS_Capital Costs'!$D$19:$G$48,MATCH('Capital Cost Escalation'!$E115,'BESS_Capital Costs'!$B$19:$B$48,0),MATCH('Capital Cost Escalation'!$C115,'BESS_Capital Costs'!$D$7:$G$7,0))*T$10*(1+$F115)^(T$4), 0),0)</f>
        <v>99340.836015508772</v>
      </c>
      <c r="U115" s="490">
        <f>IFERROR(IF(U$6&lt;=$E$10,INDEX('BESS_Capital Costs'!$D$19:$G$48,MATCH('Capital Cost Escalation'!$E115,'BESS_Capital Costs'!$B$19:$B$48,0),MATCH('Capital Cost Escalation'!$C115,'BESS_Capital Costs'!$D$7:$G$7,0))*U$10*(1+$F115)^(U$4), 0),0)</f>
        <v>31345.628104612515</v>
      </c>
      <c r="V115" s="490">
        <f>IFERROR(IF(V$6&lt;=$E$10,INDEX('BESS_Capital Costs'!$D$19:$G$48,MATCH('Capital Cost Escalation'!$E115,'BESS_Capital Costs'!$B$19:$B$48,0),MATCH('Capital Cost Escalation'!$C115,'BESS_Capital Costs'!$D$7:$G$7,0))*V$10*(1+$F115)^(V$4), 0),0)</f>
        <v>1002729.9903578045</v>
      </c>
      <c r="W115" s="490">
        <f>IFERROR(IF(W$6&lt;=$E$10,INDEX('BESS_Capital Costs'!$D$19:$G$48,MATCH('Capital Cost Escalation'!$E115,'BESS_Capital Costs'!$B$19:$B$48,0),MATCH('Capital Cost Escalation'!$C115,'BESS_Capital Costs'!$D$7:$G$7,0))*W$10*(1+$F115)^(W$4), 0),0)</f>
        <v>0</v>
      </c>
      <c r="X115" s="490">
        <f>IFERROR(IF(X$6&lt;=$E$10,INDEX('BESS_Capital Costs'!$D$19:$G$48,MATCH('Capital Cost Escalation'!$E115,'BESS_Capital Costs'!$B$19:$B$48,0),MATCH('Capital Cost Escalation'!$C115,'BESS_Capital Costs'!$D$7:$G$7,0))*X$10*(1+$F115)^(X$4), 0),0)</f>
        <v>0</v>
      </c>
      <c r="Y115" s="490">
        <f>IFERROR(IF(Y$6&lt;=$E$10,INDEX('BESS_Capital Costs'!$D$19:$G$48,MATCH('Capital Cost Escalation'!$E115,'BESS_Capital Costs'!$B$19:$B$48,0),MATCH('Capital Cost Escalation'!$C115,'BESS_Capital Costs'!$D$7:$G$7,0))*Y$10*(1+$F115)^(Y$4), 0),0)</f>
        <v>0</v>
      </c>
      <c r="Z115" s="490">
        <f>IFERROR(IF(Z$6&lt;=$E$10,INDEX('BESS_Capital Costs'!$D$19:$G$48,MATCH('Capital Cost Escalation'!$E115,'BESS_Capital Costs'!$B$19:$B$48,0),MATCH('Capital Cost Escalation'!$C115,'BESS_Capital Costs'!$D$7:$G$7,0))*Z$10*(1+$F115)^(Z$4), 0),0)</f>
        <v>0</v>
      </c>
      <c r="AA115" s="490">
        <f>IFERROR(IF(AA$6&lt;=$E$10,INDEX('BESS_Capital Costs'!$D$19:$G$48,MATCH('Capital Cost Escalation'!$E115,'BESS_Capital Costs'!$B$19:$B$48,0),MATCH('Capital Cost Escalation'!$C115,'BESS_Capital Costs'!$D$7:$G$7,0))*AA$10*(1+$F115)^(AA$4), 0),0)</f>
        <v>0</v>
      </c>
      <c r="AB115" s="490">
        <f>IFERROR(IF(AB$6&lt;=$E$10,INDEX('BESS_Capital Costs'!$D$19:$G$48,MATCH('Capital Cost Escalation'!$E115,'BESS_Capital Costs'!$B$19:$B$48,0),MATCH('Capital Cost Escalation'!$C115,'BESS_Capital Costs'!$D$7:$G$7,0))*AB$10*(1+$F115)^(AB$4), 0),0)</f>
        <v>0</v>
      </c>
      <c r="AC115" s="490">
        <f>IFERROR(IF(AC$6&lt;=$E$10,INDEX('BESS_Capital Costs'!$D$19:$G$48,MATCH('Capital Cost Escalation'!$E115,'BESS_Capital Costs'!$B$19:$B$48,0),MATCH('Capital Cost Escalation'!$C115,'BESS_Capital Costs'!$D$7:$G$7,0))*AC$10*(1+$F115)^(AC$4), 0),0)</f>
        <v>0</v>
      </c>
      <c r="AD115" s="490">
        <f>IFERROR(IF(AD$6&lt;=$E$10,INDEX('BESS_Capital Costs'!$D$19:$G$48,MATCH('Capital Cost Escalation'!$E115,'BESS_Capital Costs'!$B$19:$B$48,0),MATCH('Capital Cost Escalation'!$C115,'BESS_Capital Costs'!$D$7:$G$7,0))*AD$10*(1+$F115)^(AD$4), 0),0)</f>
        <v>0</v>
      </c>
      <c r="AE115" s="490">
        <f>IFERROR(IF(AE$6&lt;=$E$10,INDEX('BESS_Capital Costs'!$D$19:$G$48,MATCH('Capital Cost Escalation'!$E115,'BESS_Capital Costs'!$B$19:$B$48,0),MATCH('Capital Cost Escalation'!$C115,'BESS_Capital Costs'!$D$7:$G$7,0))*AE$10*(1+$F115)^(AE$4), 0),0)</f>
        <v>0</v>
      </c>
      <c r="AF115" s="490">
        <f>IFERROR(IF(AF$6&lt;=$E$10,INDEX('BESS_Capital Costs'!$D$19:$G$48,MATCH('Capital Cost Escalation'!$E115,'BESS_Capital Costs'!$B$19:$B$48,0),MATCH('Capital Cost Escalation'!$C115,'BESS_Capital Costs'!$D$7:$G$7,0))*AF$10*(1+$F115)^(AF$4), 0),0)</f>
        <v>0</v>
      </c>
      <c r="AG115" s="490">
        <f>IFERROR(IF(AG$6&lt;=$E$10,INDEX('BESS_Capital Costs'!$D$19:$G$48,MATCH('Capital Cost Escalation'!$E115,'BESS_Capital Costs'!$B$19:$B$48,0),MATCH('Capital Cost Escalation'!$C115,'BESS_Capital Costs'!$D$7:$G$7,0))*AG$10*(1+$F115)^(AG$4), 0),0)</f>
        <v>0</v>
      </c>
      <c r="AH115" s="490">
        <f>IFERROR(IF(AH$6&lt;=$E$10,INDEX('BESS_Capital Costs'!$D$19:$G$48,MATCH('Capital Cost Escalation'!$E115,'BESS_Capital Costs'!$B$19:$B$48,0),MATCH('Capital Cost Escalation'!$C115,'BESS_Capital Costs'!$D$7:$G$7,0))*AH$10*(1+$F115)^(AH$4), 0),0)</f>
        <v>0</v>
      </c>
      <c r="AI115" s="490">
        <f>IFERROR(IF(AI$6&lt;=$E$10,INDEX('BESS_Capital Costs'!$D$19:$G$48,MATCH('Capital Cost Escalation'!$E115,'BESS_Capital Costs'!$B$19:$B$48,0),MATCH('Capital Cost Escalation'!$C115,'BESS_Capital Costs'!$D$7:$G$7,0))*AI$10*(1+$F115)^(AI$4), 0),0)</f>
        <v>0</v>
      </c>
      <c r="AJ115" s="490">
        <f>IFERROR(IF(AJ$6&lt;=$E$10,INDEX('BESS_Capital Costs'!$D$19:$G$48,MATCH('Capital Cost Escalation'!$E115,'BESS_Capital Costs'!$B$19:$B$48,0),MATCH('Capital Cost Escalation'!$C115,'BESS_Capital Costs'!$D$7:$G$7,0))*AJ$10*(1+$F115)^(AJ$4), 0),0)</f>
        <v>0</v>
      </c>
      <c r="AK115" s="490">
        <f>IFERROR(IF(AK$6&lt;=$E$10,INDEX('BESS_Capital Costs'!$D$19:$G$48,MATCH('Capital Cost Escalation'!$E115,'BESS_Capital Costs'!$B$19:$B$48,0),MATCH('Capital Cost Escalation'!$C115,'BESS_Capital Costs'!$D$7:$G$7,0))*AK$10*(1+$F115)^(AK$4), 0),0)</f>
        <v>0</v>
      </c>
      <c r="AL115" s="490">
        <f>IFERROR(IF(AL$6&lt;=$E$10,INDEX('BESS_Capital Costs'!$D$19:$G$48,MATCH('Capital Cost Escalation'!$E115,'BESS_Capital Costs'!$B$19:$B$48,0),MATCH('Capital Cost Escalation'!$C115,'BESS_Capital Costs'!$D$7:$G$7,0))*AL$10*(1+$F115)^(AL$4), 0),0)</f>
        <v>0</v>
      </c>
      <c r="AM115" s="490">
        <f>IFERROR(IF(AM$6&lt;=$E$10,INDEX('BESS_Capital Costs'!$D$19:$G$48,MATCH('Capital Cost Escalation'!$E115,'BESS_Capital Costs'!$B$19:$B$48,0),MATCH('Capital Cost Escalation'!$C115,'BESS_Capital Costs'!$D$7:$G$7,0))*AM$10*(1+$F115)^(AM$4), 0),0)</f>
        <v>0</v>
      </c>
      <c r="AN115" s="490">
        <f>IFERROR(IF(AN$6&lt;=$E$10,INDEX('BESS_Capital Costs'!$D$19:$G$48,MATCH('Capital Cost Escalation'!$E115,'BESS_Capital Costs'!$B$19:$B$48,0),MATCH('Capital Cost Escalation'!$C115,'BESS_Capital Costs'!$D$7:$G$7,0))*AN$10*(1+$F115)^(AN$4), 0),0)</f>
        <v>0</v>
      </c>
      <c r="AO115" s="490">
        <f>IFERROR(IF(AO$6&lt;=$E$10,INDEX('BESS_Capital Costs'!$D$19:$G$48,MATCH('Capital Cost Escalation'!$E115,'BESS_Capital Costs'!$B$19:$B$48,0),MATCH('Capital Cost Escalation'!$C115,'BESS_Capital Costs'!$D$7:$G$7,0))*AO$10*(1+$F115)^(AO$4), 0),0)</f>
        <v>0</v>
      </c>
      <c r="AP115" s="490">
        <f>IFERROR(IF(AP$6&lt;=$E$10,INDEX('BESS_Capital Costs'!$D$19:$G$48,MATCH('Capital Cost Escalation'!$E115,'BESS_Capital Costs'!$B$19:$B$48,0),MATCH('Capital Cost Escalation'!$C115,'BESS_Capital Costs'!$D$7:$G$7,0))*AP$10*(1+$F115)^(AP$4), 0),0)</f>
        <v>0</v>
      </c>
      <c r="AQ115" s="490">
        <f>IFERROR(IF(AQ$6&lt;=$E$10,INDEX('BESS_Capital Costs'!$D$19:$G$48,MATCH('Capital Cost Escalation'!$E115,'BESS_Capital Costs'!$B$19:$B$48,0),MATCH('Capital Cost Escalation'!$C115,'BESS_Capital Costs'!$D$7:$G$7,0))*AQ$10*(1+$F115)^(AQ$4), 0),0)</f>
        <v>0</v>
      </c>
      <c r="AR115" s="490">
        <f>IFERROR(IF(AR$6&lt;=$E$10,INDEX('BESS_Capital Costs'!$D$19:$G$48,MATCH('Capital Cost Escalation'!$E115,'BESS_Capital Costs'!$B$19:$B$48,0),MATCH('Capital Cost Escalation'!$C115,'BESS_Capital Costs'!$D$7:$G$7,0))*AR$10*(1+$F115)^(AR$4), 0),0)</f>
        <v>0</v>
      </c>
      <c r="AS115" s="490">
        <f>IFERROR(IF(AS$6&lt;=$E$10,INDEX('BESS_Capital Costs'!$D$19:$G$48,MATCH('Capital Cost Escalation'!$E115,'BESS_Capital Costs'!$B$19:$B$48,0),MATCH('Capital Cost Escalation'!$C115,'BESS_Capital Costs'!$D$7:$G$7,0))*AS$10*(1+$F115)^(AS$4), 0),0)</f>
        <v>0</v>
      </c>
      <c r="AT115" s="490">
        <f>IFERROR(IF(AT$6&lt;=$E$10,INDEX('BESS_Capital Costs'!$D$19:$G$48,MATCH('Capital Cost Escalation'!$E115,'BESS_Capital Costs'!$B$19:$B$48,0),MATCH('Capital Cost Escalation'!$C115,'BESS_Capital Costs'!$D$7:$G$7,0))*AT$10*(1+$F115)^(AT$4), 0),0)</f>
        <v>0</v>
      </c>
      <c r="AV115" s="827">
        <f t="shared" si="20"/>
        <v>14101271.096663019</v>
      </c>
      <c r="AW115" s="828">
        <f>INDEX('BESS_Capital Costs'!$D$19:$G$48,MATCH('Capital Cost Escalation'!$E115,'BESS_Capital Costs'!$B$19:$B$48,0),MATCH('Capital Cost Escalation'!$C115,'BESS_Capital Costs'!$D$7:$G$7,0))</f>
        <v>14292000</v>
      </c>
    </row>
    <row r="116" spans="1:49">
      <c r="A116" s="487" t="str">
        <f t="shared" si="13"/>
        <v>BESS_Rest of RTO_Mobilization and Start-Up</v>
      </c>
      <c r="B116" s="478" t="s">
        <v>700</v>
      </c>
      <c r="C116" s="488" t="s">
        <v>111</v>
      </c>
      <c r="E116" s="1478" t="s">
        <v>147</v>
      </c>
      <c r="F116" s="1325">
        <f>INDEX('BESS_Capital Costs_Nominal$'!$F:$F,MATCH('Capital Cost Escalation'!$E116,'BESS_Capital Costs_Nominal$'!$C:$C,0),1)</f>
        <v>-2.5895842177414696E-4</v>
      </c>
      <c r="G116" s="490">
        <f>IFERROR(IF(G$6&lt;=$E$10,INDEX('BESS_Capital Costs'!$D$19:$G$48,MATCH('Capital Cost Escalation'!$E116,'BESS_Capital Costs'!$B$19:$B$48,0),MATCH('Capital Cost Escalation'!$C116,'BESS_Capital Costs'!$D$7:$G$7,0))*G$10*(1+$F116)^(G$4), 0),0)</f>
        <v>27118.890186364231</v>
      </c>
      <c r="H116" s="490">
        <f>IFERROR(IF(H$6&lt;=$E$10,INDEX('BESS_Capital Costs'!$D$19:$G$48,MATCH('Capital Cost Escalation'!$E116,'BESS_Capital Costs'!$B$19:$B$48,0),MATCH('Capital Cost Escalation'!$C116,'BESS_Capital Costs'!$D$7:$G$7,0))*H$10*(1+$F116)^(H$4), 0),0)</f>
        <v>43782.8418941317</v>
      </c>
      <c r="I116" s="490">
        <f>IFERROR(IF(I$6&lt;=$E$10,INDEX('BESS_Capital Costs'!$D$19:$G$48,MATCH('Capital Cost Escalation'!$E116,'BESS_Capital Costs'!$B$19:$B$48,0),MATCH('Capital Cost Escalation'!$C116,'BESS_Capital Costs'!$D$7:$G$7,0))*I$10*(1+$F116)^(I$4), 0),0)</f>
        <v>1052085.9173737795</v>
      </c>
      <c r="J116" s="490">
        <f>IFERROR(IF(J$6&lt;=$E$10,INDEX('BESS_Capital Costs'!$D$19:$G$48,MATCH('Capital Cost Escalation'!$E116,'BESS_Capital Costs'!$B$19:$B$48,0),MATCH('Capital Cost Escalation'!$C116,'BESS_Capital Costs'!$D$7:$G$7,0))*J$10*(1+$F116)^(J$4), 0),0)</f>
        <v>50370.909828533397</v>
      </c>
      <c r="K116" s="490">
        <f>IFERROR(IF(K$6&lt;=$E$10,INDEX('BESS_Capital Costs'!$D$19:$G$48,MATCH('Capital Cost Escalation'!$E116,'BESS_Capital Costs'!$B$19:$B$48,0),MATCH('Capital Cost Escalation'!$C116,'BESS_Capital Costs'!$D$7:$G$7,0))*K$10*(1+$F116)^(K$4), 0),0)</f>
        <v>52753.709405149166</v>
      </c>
      <c r="L116" s="490">
        <f>IFERROR(IF(L$6&lt;=$E$10,INDEX('BESS_Capital Costs'!$D$19:$G$48,MATCH('Capital Cost Escalation'!$E116,'BESS_Capital Costs'!$B$19:$B$48,0),MATCH('Capital Cost Escalation'!$C116,'BESS_Capital Costs'!$D$7:$G$7,0))*L$10*(1+$F116)^(L$4), 0),0)</f>
        <v>60165.522195283273</v>
      </c>
      <c r="M116" s="490">
        <f>IFERROR(IF(M$6&lt;=$E$10,INDEX('BESS_Capital Costs'!$D$19:$G$48,MATCH('Capital Cost Escalation'!$E116,'BESS_Capital Costs'!$B$19:$B$48,0),MATCH('Capital Cost Escalation'!$C116,'BESS_Capital Costs'!$D$7:$G$7,0))*M$10*(1+$F116)^(M$4), 0),0)</f>
        <v>71321.934679241123</v>
      </c>
      <c r="N116" s="490">
        <f>IFERROR(IF(N$6&lt;=$E$10,INDEX('BESS_Capital Costs'!$D$19:$G$48,MATCH('Capital Cost Escalation'!$E116,'BESS_Capital Costs'!$B$19:$B$48,0),MATCH('Capital Cost Escalation'!$C116,'BESS_Capital Costs'!$D$7:$G$7,0))*N$10*(1+$F116)^(N$4), 0),0)</f>
        <v>82275.181297159943</v>
      </c>
      <c r="O116" s="490">
        <f>IFERROR(IF(O$6&lt;=$E$10,INDEX('BESS_Capital Costs'!$D$19:$G$48,MATCH('Capital Cost Escalation'!$E116,'BESS_Capital Costs'!$B$19:$B$48,0),MATCH('Capital Cost Escalation'!$C116,'BESS_Capital Costs'!$D$7:$G$7,0))*O$10*(1+$F116)^(O$4), 0),0)</f>
        <v>88675.642814149862</v>
      </c>
      <c r="P116" s="490">
        <f>IFERROR(IF(P$6&lt;=$E$10,INDEX('BESS_Capital Costs'!$D$19:$G$48,MATCH('Capital Cost Escalation'!$E116,'BESS_Capital Costs'!$B$19:$B$48,0),MATCH('Capital Cost Escalation'!$C116,'BESS_Capital Costs'!$D$7:$G$7,0))*P$10*(1+$F116)^(P$4), 0),0)</f>
        <v>87370.349614644379</v>
      </c>
      <c r="Q116" s="490">
        <f>IFERROR(IF(Q$6&lt;=$E$10,INDEX('BESS_Capital Costs'!$D$19:$G$48,MATCH('Capital Cost Escalation'!$E116,'BESS_Capital Costs'!$B$19:$B$48,0),MATCH('Capital Cost Escalation'!$C116,'BESS_Capital Costs'!$D$7:$G$7,0))*Q$10*(1+$F116)^(Q$4), 0),0)</f>
        <v>77365.046758660304</v>
      </c>
      <c r="R116" s="490">
        <f>IFERROR(IF(R$6&lt;=$E$10,INDEX('BESS_Capital Costs'!$D$19:$G$48,MATCH('Capital Cost Escalation'!$E116,'BESS_Capital Costs'!$B$19:$B$48,0),MATCH('Capital Cost Escalation'!$C116,'BESS_Capital Costs'!$D$7:$G$7,0))*R$10*(1+$F116)^(R$4), 0),0)</f>
        <v>860578.04982036038</v>
      </c>
      <c r="S116" s="490">
        <f>IFERROR(IF(S$6&lt;=$E$10,INDEX('BESS_Capital Costs'!$D$19:$G$48,MATCH('Capital Cost Escalation'!$E116,'BESS_Capital Costs'!$B$19:$B$48,0),MATCH('Capital Cost Escalation'!$C116,'BESS_Capital Costs'!$D$7:$G$7,0))*S$10*(1+$F116)^(S$4), 0),0)</f>
        <v>39343.992333284237</v>
      </c>
      <c r="T116" s="490">
        <f>IFERROR(IF(T$6&lt;=$E$10,INDEX('BESS_Capital Costs'!$D$19:$G$48,MATCH('Capital Cost Escalation'!$E116,'BESS_Capital Costs'!$B$19:$B$48,0),MATCH('Capital Cost Escalation'!$C116,'BESS_Capital Costs'!$D$7:$G$7,0))*T$10*(1+$F116)^(T$4), 0),0)</f>
        <v>19865.386883034149</v>
      </c>
      <c r="U116" s="490">
        <f>IFERROR(IF(U$6&lt;=$E$10,INDEX('BESS_Capital Costs'!$D$19:$G$48,MATCH('Capital Cost Escalation'!$E116,'BESS_Capital Costs'!$B$19:$B$48,0),MATCH('Capital Cost Escalation'!$C116,'BESS_Capital Costs'!$D$7:$G$7,0))*U$10*(1+$F116)^(U$4), 0),0)</f>
        <v>6268.248329343869</v>
      </c>
      <c r="V116" s="490">
        <f>IFERROR(IF(V$6&lt;=$E$10,INDEX('BESS_Capital Costs'!$D$19:$G$48,MATCH('Capital Cost Escalation'!$E116,'BESS_Capital Costs'!$B$19:$B$48,0),MATCH('Capital Cost Escalation'!$C116,'BESS_Capital Costs'!$D$7:$G$7,0))*V$10*(1+$F116)^(V$4), 0),0)</f>
        <v>200517.93398003114</v>
      </c>
      <c r="W116" s="490">
        <f>IFERROR(IF(W$6&lt;=$E$10,INDEX('BESS_Capital Costs'!$D$19:$G$48,MATCH('Capital Cost Escalation'!$E116,'BESS_Capital Costs'!$B$19:$B$48,0),MATCH('Capital Cost Escalation'!$C116,'BESS_Capital Costs'!$D$7:$G$7,0))*W$10*(1+$F116)^(W$4), 0),0)</f>
        <v>0</v>
      </c>
      <c r="X116" s="490">
        <f>IFERROR(IF(X$6&lt;=$E$10,INDEX('BESS_Capital Costs'!$D$19:$G$48,MATCH('Capital Cost Escalation'!$E116,'BESS_Capital Costs'!$B$19:$B$48,0),MATCH('Capital Cost Escalation'!$C116,'BESS_Capital Costs'!$D$7:$G$7,0))*X$10*(1+$F116)^(X$4), 0),0)</f>
        <v>0</v>
      </c>
      <c r="Y116" s="490">
        <f>IFERROR(IF(Y$6&lt;=$E$10,INDEX('BESS_Capital Costs'!$D$19:$G$48,MATCH('Capital Cost Escalation'!$E116,'BESS_Capital Costs'!$B$19:$B$48,0),MATCH('Capital Cost Escalation'!$C116,'BESS_Capital Costs'!$D$7:$G$7,0))*Y$10*(1+$F116)^(Y$4), 0),0)</f>
        <v>0</v>
      </c>
      <c r="Z116" s="490">
        <f>IFERROR(IF(Z$6&lt;=$E$10,INDEX('BESS_Capital Costs'!$D$19:$G$48,MATCH('Capital Cost Escalation'!$E116,'BESS_Capital Costs'!$B$19:$B$48,0),MATCH('Capital Cost Escalation'!$C116,'BESS_Capital Costs'!$D$7:$G$7,0))*Z$10*(1+$F116)^(Z$4), 0),0)</f>
        <v>0</v>
      </c>
      <c r="AA116" s="490">
        <f>IFERROR(IF(AA$6&lt;=$E$10,INDEX('BESS_Capital Costs'!$D$19:$G$48,MATCH('Capital Cost Escalation'!$E116,'BESS_Capital Costs'!$B$19:$B$48,0),MATCH('Capital Cost Escalation'!$C116,'BESS_Capital Costs'!$D$7:$G$7,0))*AA$10*(1+$F116)^(AA$4), 0),0)</f>
        <v>0</v>
      </c>
      <c r="AB116" s="490">
        <f>IFERROR(IF(AB$6&lt;=$E$10,INDEX('BESS_Capital Costs'!$D$19:$G$48,MATCH('Capital Cost Escalation'!$E116,'BESS_Capital Costs'!$B$19:$B$48,0),MATCH('Capital Cost Escalation'!$C116,'BESS_Capital Costs'!$D$7:$G$7,0))*AB$10*(1+$F116)^(AB$4), 0),0)</f>
        <v>0</v>
      </c>
      <c r="AC116" s="490">
        <f>IFERROR(IF(AC$6&lt;=$E$10,INDEX('BESS_Capital Costs'!$D$19:$G$48,MATCH('Capital Cost Escalation'!$E116,'BESS_Capital Costs'!$B$19:$B$48,0),MATCH('Capital Cost Escalation'!$C116,'BESS_Capital Costs'!$D$7:$G$7,0))*AC$10*(1+$F116)^(AC$4), 0),0)</f>
        <v>0</v>
      </c>
      <c r="AD116" s="490">
        <f>IFERROR(IF(AD$6&lt;=$E$10,INDEX('BESS_Capital Costs'!$D$19:$G$48,MATCH('Capital Cost Escalation'!$E116,'BESS_Capital Costs'!$B$19:$B$48,0),MATCH('Capital Cost Escalation'!$C116,'BESS_Capital Costs'!$D$7:$G$7,0))*AD$10*(1+$F116)^(AD$4), 0),0)</f>
        <v>0</v>
      </c>
      <c r="AE116" s="490">
        <f>IFERROR(IF(AE$6&lt;=$E$10,INDEX('BESS_Capital Costs'!$D$19:$G$48,MATCH('Capital Cost Escalation'!$E116,'BESS_Capital Costs'!$B$19:$B$48,0),MATCH('Capital Cost Escalation'!$C116,'BESS_Capital Costs'!$D$7:$G$7,0))*AE$10*(1+$F116)^(AE$4), 0),0)</f>
        <v>0</v>
      </c>
      <c r="AF116" s="490">
        <f>IFERROR(IF(AF$6&lt;=$E$10,INDEX('BESS_Capital Costs'!$D$19:$G$48,MATCH('Capital Cost Escalation'!$E116,'BESS_Capital Costs'!$B$19:$B$48,0),MATCH('Capital Cost Escalation'!$C116,'BESS_Capital Costs'!$D$7:$G$7,0))*AF$10*(1+$F116)^(AF$4), 0),0)</f>
        <v>0</v>
      </c>
      <c r="AG116" s="490">
        <f>IFERROR(IF(AG$6&lt;=$E$10,INDEX('BESS_Capital Costs'!$D$19:$G$48,MATCH('Capital Cost Escalation'!$E116,'BESS_Capital Costs'!$B$19:$B$48,0),MATCH('Capital Cost Escalation'!$C116,'BESS_Capital Costs'!$D$7:$G$7,0))*AG$10*(1+$F116)^(AG$4), 0),0)</f>
        <v>0</v>
      </c>
      <c r="AH116" s="490">
        <f>IFERROR(IF(AH$6&lt;=$E$10,INDEX('BESS_Capital Costs'!$D$19:$G$48,MATCH('Capital Cost Escalation'!$E116,'BESS_Capital Costs'!$B$19:$B$48,0),MATCH('Capital Cost Escalation'!$C116,'BESS_Capital Costs'!$D$7:$G$7,0))*AH$10*(1+$F116)^(AH$4), 0),0)</f>
        <v>0</v>
      </c>
      <c r="AI116" s="490">
        <f>IFERROR(IF(AI$6&lt;=$E$10,INDEX('BESS_Capital Costs'!$D$19:$G$48,MATCH('Capital Cost Escalation'!$E116,'BESS_Capital Costs'!$B$19:$B$48,0),MATCH('Capital Cost Escalation'!$C116,'BESS_Capital Costs'!$D$7:$G$7,0))*AI$10*(1+$F116)^(AI$4), 0),0)</f>
        <v>0</v>
      </c>
      <c r="AJ116" s="490">
        <f>IFERROR(IF(AJ$6&lt;=$E$10,INDEX('BESS_Capital Costs'!$D$19:$G$48,MATCH('Capital Cost Escalation'!$E116,'BESS_Capital Costs'!$B$19:$B$48,0),MATCH('Capital Cost Escalation'!$C116,'BESS_Capital Costs'!$D$7:$G$7,0))*AJ$10*(1+$F116)^(AJ$4), 0),0)</f>
        <v>0</v>
      </c>
      <c r="AK116" s="490">
        <f>IFERROR(IF(AK$6&lt;=$E$10,INDEX('BESS_Capital Costs'!$D$19:$G$48,MATCH('Capital Cost Escalation'!$E116,'BESS_Capital Costs'!$B$19:$B$48,0),MATCH('Capital Cost Escalation'!$C116,'BESS_Capital Costs'!$D$7:$G$7,0))*AK$10*(1+$F116)^(AK$4), 0),0)</f>
        <v>0</v>
      </c>
      <c r="AL116" s="490">
        <f>IFERROR(IF(AL$6&lt;=$E$10,INDEX('BESS_Capital Costs'!$D$19:$G$48,MATCH('Capital Cost Escalation'!$E116,'BESS_Capital Costs'!$B$19:$B$48,0),MATCH('Capital Cost Escalation'!$C116,'BESS_Capital Costs'!$D$7:$G$7,0))*AL$10*(1+$F116)^(AL$4), 0),0)</f>
        <v>0</v>
      </c>
      <c r="AM116" s="490">
        <f>IFERROR(IF(AM$6&lt;=$E$10,INDEX('BESS_Capital Costs'!$D$19:$G$48,MATCH('Capital Cost Escalation'!$E116,'BESS_Capital Costs'!$B$19:$B$48,0),MATCH('Capital Cost Escalation'!$C116,'BESS_Capital Costs'!$D$7:$G$7,0))*AM$10*(1+$F116)^(AM$4), 0),0)</f>
        <v>0</v>
      </c>
      <c r="AN116" s="490">
        <f>IFERROR(IF(AN$6&lt;=$E$10,INDEX('BESS_Capital Costs'!$D$19:$G$48,MATCH('Capital Cost Escalation'!$E116,'BESS_Capital Costs'!$B$19:$B$48,0),MATCH('Capital Cost Escalation'!$C116,'BESS_Capital Costs'!$D$7:$G$7,0))*AN$10*(1+$F116)^(AN$4), 0),0)</f>
        <v>0</v>
      </c>
      <c r="AO116" s="490">
        <f>IFERROR(IF(AO$6&lt;=$E$10,INDEX('BESS_Capital Costs'!$D$19:$G$48,MATCH('Capital Cost Escalation'!$E116,'BESS_Capital Costs'!$B$19:$B$48,0),MATCH('Capital Cost Escalation'!$C116,'BESS_Capital Costs'!$D$7:$G$7,0))*AO$10*(1+$F116)^(AO$4), 0),0)</f>
        <v>0</v>
      </c>
      <c r="AP116" s="490">
        <f>IFERROR(IF(AP$6&lt;=$E$10,INDEX('BESS_Capital Costs'!$D$19:$G$48,MATCH('Capital Cost Escalation'!$E116,'BESS_Capital Costs'!$B$19:$B$48,0),MATCH('Capital Cost Escalation'!$C116,'BESS_Capital Costs'!$D$7:$G$7,0))*AP$10*(1+$F116)^(AP$4), 0),0)</f>
        <v>0</v>
      </c>
      <c r="AQ116" s="490">
        <f>IFERROR(IF(AQ$6&lt;=$E$10,INDEX('BESS_Capital Costs'!$D$19:$G$48,MATCH('Capital Cost Escalation'!$E116,'BESS_Capital Costs'!$B$19:$B$48,0),MATCH('Capital Cost Escalation'!$C116,'BESS_Capital Costs'!$D$7:$G$7,0))*AQ$10*(1+$F116)^(AQ$4), 0),0)</f>
        <v>0</v>
      </c>
      <c r="AR116" s="490">
        <f>IFERROR(IF(AR$6&lt;=$E$10,INDEX('BESS_Capital Costs'!$D$19:$G$48,MATCH('Capital Cost Escalation'!$E116,'BESS_Capital Costs'!$B$19:$B$48,0),MATCH('Capital Cost Escalation'!$C116,'BESS_Capital Costs'!$D$7:$G$7,0))*AR$10*(1+$F116)^(AR$4), 0),0)</f>
        <v>0</v>
      </c>
      <c r="AS116" s="490">
        <f>IFERROR(IF(AS$6&lt;=$E$10,INDEX('BESS_Capital Costs'!$D$19:$G$48,MATCH('Capital Cost Escalation'!$E116,'BESS_Capital Costs'!$B$19:$B$48,0),MATCH('Capital Cost Escalation'!$C116,'BESS_Capital Costs'!$D$7:$G$7,0))*AS$10*(1+$F116)^(AS$4), 0),0)</f>
        <v>0</v>
      </c>
      <c r="AT116" s="490">
        <f>IFERROR(IF(AT$6&lt;=$E$10,INDEX('BESS_Capital Costs'!$D$19:$G$48,MATCH('Capital Cost Escalation'!$E116,'BESS_Capital Costs'!$B$19:$B$48,0),MATCH('Capital Cost Escalation'!$C116,'BESS_Capital Costs'!$D$7:$G$7,0))*AT$10*(1+$F116)^(AT$4), 0),0)</f>
        <v>0</v>
      </c>
      <c r="AV116" s="827">
        <f t="shared" si="20"/>
        <v>2819859.5573931504</v>
      </c>
      <c r="AW116" s="828">
        <f>INDEX('BESS_Capital Costs'!$D$19:$G$48,MATCH('Capital Cost Escalation'!$E116,'BESS_Capital Costs'!$B$19:$B$48,0),MATCH('Capital Cost Escalation'!$C116,'BESS_Capital Costs'!$D$7:$G$7,0))</f>
        <v>2858000</v>
      </c>
    </row>
    <row r="117" spans="1:49">
      <c r="A117" s="487" t="str">
        <f t="shared" si="13"/>
        <v>BESS_Rest of RTO_Owner's Contingency</v>
      </c>
      <c r="B117" s="478" t="s">
        <v>700</v>
      </c>
      <c r="C117" s="488" t="s">
        <v>111</v>
      </c>
      <c r="E117" s="1478" t="s">
        <v>114</v>
      </c>
      <c r="F117" s="1325">
        <f>INDEX('BESS_Capital Costs_Nominal$'!$F:$F,MATCH('Capital Cost Escalation'!$E117,'BESS_Capital Costs_Nominal$'!$C:$C,0),1)</f>
        <v>-2.5895842177414696E-4</v>
      </c>
      <c r="G117" s="490">
        <f>IFERROR(IF(G$6&lt;=$E$10,INDEX('BESS_Capital Costs'!$D$19:$G$48,MATCH('Capital Cost Escalation'!$E117,'BESS_Capital Costs'!$B$19:$B$48,0),MATCH('Capital Cost Escalation'!$C117,'BESS_Capital Costs'!$D$7:$G$7,0))*G$10*(1+$F117)^(G$4), 0),0)</f>
        <v>106976.33588560895</v>
      </c>
      <c r="H117" s="490">
        <f>IFERROR(IF(H$6&lt;=$E$10,INDEX('BESS_Capital Costs'!$D$19:$G$48,MATCH('Capital Cost Escalation'!$E117,'BESS_Capital Costs'!$B$19:$B$48,0),MATCH('Capital Cost Escalation'!$C117,'BESS_Capital Costs'!$D$7:$G$7,0))*H$10*(1+$F117)^(H$4), 0),0)</f>
        <v>172710.90255928648</v>
      </c>
      <c r="I117" s="490">
        <f>IFERROR(IF(I$6&lt;=$E$10,INDEX('BESS_Capital Costs'!$D$19:$G$48,MATCH('Capital Cost Escalation'!$E117,'BESS_Capital Costs'!$B$19:$B$48,0),MATCH('Capital Cost Escalation'!$C117,'BESS_Capital Costs'!$D$7:$G$7,0))*I$10*(1+$F117)^(I$4), 0),0)</f>
        <v>4150180.7671350567</v>
      </c>
      <c r="J117" s="490">
        <f>IFERROR(IF(J$6&lt;=$E$10,INDEX('BESS_Capital Costs'!$D$19:$G$48,MATCH('Capital Cost Escalation'!$E117,'BESS_Capital Costs'!$B$19:$B$48,0),MATCH('Capital Cost Escalation'!$C117,'BESS_Capital Costs'!$D$7:$G$7,0))*J$10*(1+$F117)^(J$4), 0),0)</f>
        <v>198698.96340338889</v>
      </c>
      <c r="K117" s="490">
        <f>IFERROR(IF(K$6&lt;=$E$10,INDEX('BESS_Capital Costs'!$D$19:$G$48,MATCH('Capital Cost Escalation'!$E117,'BESS_Capital Costs'!$B$19:$B$48,0),MATCH('Capital Cost Escalation'!$C117,'BESS_Capital Costs'!$D$7:$G$7,0))*K$10*(1+$F117)^(K$4), 0),0)</f>
        <v>208098.43241205448</v>
      </c>
      <c r="L117" s="490">
        <f>IFERROR(IF(L$6&lt;=$E$10,INDEX('BESS_Capital Costs'!$D$19:$G$48,MATCH('Capital Cost Escalation'!$E117,'BESS_Capital Costs'!$B$19:$B$48,0),MATCH('Capital Cost Escalation'!$C117,'BESS_Capital Costs'!$D$7:$G$7,0))*L$10*(1+$F117)^(L$4), 0),0)</f>
        <v>237335.93325039314</v>
      </c>
      <c r="M117" s="490">
        <f>IFERROR(IF(M$6&lt;=$E$10,INDEX('BESS_Capital Costs'!$D$19:$G$48,MATCH('Capital Cost Escalation'!$E117,'BESS_Capital Costs'!$B$19:$B$48,0),MATCH('Capital Cost Escalation'!$C117,'BESS_Capital Costs'!$D$7:$G$7,0))*M$10*(1+$F117)^(M$4), 0),0)</f>
        <v>281344.81860523595</v>
      </c>
      <c r="N117" s="490">
        <f>IFERROR(IF(N$6&lt;=$E$10,INDEX('BESS_Capital Costs'!$D$19:$G$48,MATCH('Capital Cost Escalation'!$E117,'BESS_Capital Costs'!$B$19:$B$48,0),MATCH('Capital Cost Escalation'!$C117,'BESS_Capital Costs'!$D$7:$G$7,0))*N$10*(1+$F117)^(N$4), 0),0)</f>
        <v>324552.27219880372</v>
      </c>
      <c r="O117" s="490">
        <f>IFERROR(IF(O$6&lt;=$E$10,INDEX('BESS_Capital Costs'!$D$19:$G$48,MATCH('Capital Cost Escalation'!$E117,'BESS_Capital Costs'!$B$19:$B$48,0),MATCH('Capital Cost Escalation'!$C117,'BESS_Capital Costs'!$D$7:$G$7,0))*O$10*(1+$F117)^(O$4), 0),0)</f>
        <v>349800.27889668487</v>
      </c>
      <c r="P117" s="490">
        <f>IFERROR(IF(P$6&lt;=$E$10,INDEX('BESS_Capital Costs'!$D$19:$G$48,MATCH('Capital Cost Escalation'!$E117,'BESS_Capital Costs'!$B$19:$B$48,0),MATCH('Capital Cost Escalation'!$C117,'BESS_Capital Costs'!$D$7:$G$7,0))*P$10*(1+$F117)^(P$4), 0),0)</f>
        <v>344651.26716427598</v>
      </c>
      <c r="Q117" s="490">
        <f>IFERROR(IF(Q$6&lt;=$E$10,INDEX('BESS_Capital Costs'!$D$19:$G$48,MATCH('Capital Cost Escalation'!$E117,'BESS_Capital Costs'!$B$19:$B$48,0),MATCH('Capital Cost Escalation'!$C117,'BESS_Capital Costs'!$D$7:$G$7,0))*Q$10*(1+$F117)^(Q$4), 0),0)</f>
        <v>305183.18305008265</v>
      </c>
      <c r="R117" s="490">
        <f>IFERROR(IF(R$6&lt;=$E$10,INDEX('BESS_Capital Costs'!$D$19:$G$48,MATCH('Capital Cost Escalation'!$E117,'BESS_Capital Costs'!$B$19:$B$48,0),MATCH('Capital Cost Escalation'!$C117,'BESS_Capital Costs'!$D$7:$G$7,0))*R$10*(1+$F117)^(R$4), 0),0)</f>
        <v>3394736.5058344095</v>
      </c>
      <c r="S117" s="490">
        <f>IFERROR(IF(S$6&lt;=$E$10,INDEX('BESS_Capital Costs'!$D$19:$G$48,MATCH('Capital Cost Escalation'!$E117,'BESS_Capital Costs'!$B$19:$B$48,0),MATCH('Capital Cost Escalation'!$C117,'BESS_Capital Costs'!$D$7:$G$7,0))*S$10*(1+$F117)^(S$4), 0),0)</f>
        <v>155200.89907818282</v>
      </c>
      <c r="T117" s="490">
        <f>IFERROR(IF(T$6&lt;=$E$10,INDEX('BESS_Capital Costs'!$D$19:$G$48,MATCH('Capital Cost Escalation'!$E117,'BESS_Capital Costs'!$B$19:$B$48,0),MATCH('Capital Cost Escalation'!$C117,'BESS_Capital Costs'!$D$7:$G$7,0))*T$10*(1+$F117)^(T$4), 0),0)</f>
        <v>78363.321105432813</v>
      </c>
      <c r="U117" s="490">
        <f>IFERROR(IF(U$6&lt;=$E$10,INDEX('BESS_Capital Costs'!$D$19:$G$48,MATCH('Capital Cost Escalation'!$E117,'BESS_Capital Costs'!$B$19:$B$48,0),MATCH('Capital Cost Escalation'!$C117,'BESS_Capital Costs'!$D$7:$G$7,0))*U$10*(1+$F117)^(U$4), 0),0)</f>
        <v>24726.463143814824</v>
      </c>
      <c r="V117" s="490">
        <f>IFERROR(IF(V$6&lt;=$E$10,INDEX('BESS_Capital Costs'!$D$19:$G$48,MATCH('Capital Cost Escalation'!$E117,'BESS_Capital Costs'!$B$19:$B$48,0),MATCH('Capital Cost Escalation'!$C117,'BESS_Capital Costs'!$D$7:$G$7,0))*V$10*(1+$F117)^(V$4), 0),0)</f>
        <v>790986.41976587509</v>
      </c>
      <c r="W117" s="490">
        <f>IFERROR(IF(W$6&lt;=$E$10,INDEX('BESS_Capital Costs'!$D$19:$G$48,MATCH('Capital Cost Escalation'!$E117,'BESS_Capital Costs'!$B$19:$B$48,0),MATCH('Capital Cost Escalation'!$C117,'BESS_Capital Costs'!$D$7:$G$7,0))*W$10*(1+$F117)^(W$4), 0),0)</f>
        <v>0</v>
      </c>
      <c r="X117" s="490">
        <f>IFERROR(IF(X$6&lt;=$E$10,INDEX('BESS_Capital Costs'!$D$19:$G$48,MATCH('Capital Cost Escalation'!$E117,'BESS_Capital Costs'!$B$19:$B$48,0),MATCH('Capital Cost Escalation'!$C117,'BESS_Capital Costs'!$D$7:$G$7,0))*X$10*(1+$F117)^(X$4), 0),0)</f>
        <v>0</v>
      </c>
      <c r="Y117" s="490">
        <f>IFERROR(IF(Y$6&lt;=$E$10,INDEX('BESS_Capital Costs'!$D$19:$G$48,MATCH('Capital Cost Escalation'!$E117,'BESS_Capital Costs'!$B$19:$B$48,0),MATCH('Capital Cost Escalation'!$C117,'BESS_Capital Costs'!$D$7:$G$7,0))*Y$10*(1+$F117)^(Y$4), 0),0)</f>
        <v>0</v>
      </c>
      <c r="Z117" s="490">
        <f>IFERROR(IF(Z$6&lt;=$E$10,INDEX('BESS_Capital Costs'!$D$19:$G$48,MATCH('Capital Cost Escalation'!$E117,'BESS_Capital Costs'!$B$19:$B$48,0),MATCH('Capital Cost Escalation'!$C117,'BESS_Capital Costs'!$D$7:$G$7,0))*Z$10*(1+$F117)^(Z$4), 0),0)</f>
        <v>0</v>
      </c>
      <c r="AA117" s="490">
        <f>IFERROR(IF(AA$6&lt;=$E$10,INDEX('BESS_Capital Costs'!$D$19:$G$48,MATCH('Capital Cost Escalation'!$E117,'BESS_Capital Costs'!$B$19:$B$48,0),MATCH('Capital Cost Escalation'!$C117,'BESS_Capital Costs'!$D$7:$G$7,0))*AA$10*(1+$F117)^(AA$4), 0),0)</f>
        <v>0</v>
      </c>
      <c r="AB117" s="490">
        <f>IFERROR(IF(AB$6&lt;=$E$10,INDEX('BESS_Capital Costs'!$D$19:$G$48,MATCH('Capital Cost Escalation'!$E117,'BESS_Capital Costs'!$B$19:$B$48,0),MATCH('Capital Cost Escalation'!$C117,'BESS_Capital Costs'!$D$7:$G$7,0))*AB$10*(1+$F117)^(AB$4), 0),0)</f>
        <v>0</v>
      </c>
      <c r="AC117" s="490">
        <f>IFERROR(IF(AC$6&lt;=$E$10,INDEX('BESS_Capital Costs'!$D$19:$G$48,MATCH('Capital Cost Escalation'!$E117,'BESS_Capital Costs'!$B$19:$B$48,0),MATCH('Capital Cost Escalation'!$C117,'BESS_Capital Costs'!$D$7:$G$7,0))*AC$10*(1+$F117)^(AC$4), 0),0)</f>
        <v>0</v>
      </c>
      <c r="AD117" s="490">
        <f>IFERROR(IF(AD$6&lt;=$E$10,INDEX('BESS_Capital Costs'!$D$19:$G$48,MATCH('Capital Cost Escalation'!$E117,'BESS_Capital Costs'!$B$19:$B$48,0),MATCH('Capital Cost Escalation'!$C117,'BESS_Capital Costs'!$D$7:$G$7,0))*AD$10*(1+$F117)^(AD$4), 0),0)</f>
        <v>0</v>
      </c>
      <c r="AE117" s="490">
        <f>IFERROR(IF(AE$6&lt;=$E$10,INDEX('BESS_Capital Costs'!$D$19:$G$48,MATCH('Capital Cost Escalation'!$E117,'BESS_Capital Costs'!$B$19:$B$48,0),MATCH('Capital Cost Escalation'!$C117,'BESS_Capital Costs'!$D$7:$G$7,0))*AE$10*(1+$F117)^(AE$4), 0),0)</f>
        <v>0</v>
      </c>
      <c r="AF117" s="490">
        <f>IFERROR(IF(AF$6&lt;=$E$10,INDEX('BESS_Capital Costs'!$D$19:$G$48,MATCH('Capital Cost Escalation'!$E117,'BESS_Capital Costs'!$B$19:$B$48,0),MATCH('Capital Cost Escalation'!$C117,'BESS_Capital Costs'!$D$7:$G$7,0))*AF$10*(1+$F117)^(AF$4), 0),0)</f>
        <v>0</v>
      </c>
      <c r="AG117" s="490">
        <f>IFERROR(IF(AG$6&lt;=$E$10,INDEX('BESS_Capital Costs'!$D$19:$G$48,MATCH('Capital Cost Escalation'!$E117,'BESS_Capital Costs'!$B$19:$B$48,0),MATCH('Capital Cost Escalation'!$C117,'BESS_Capital Costs'!$D$7:$G$7,0))*AG$10*(1+$F117)^(AG$4), 0),0)</f>
        <v>0</v>
      </c>
      <c r="AH117" s="490">
        <f>IFERROR(IF(AH$6&lt;=$E$10,INDEX('BESS_Capital Costs'!$D$19:$G$48,MATCH('Capital Cost Escalation'!$E117,'BESS_Capital Costs'!$B$19:$B$48,0),MATCH('Capital Cost Escalation'!$C117,'BESS_Capital Costs'!$D$7:$G$7,0))*AH$10*(1+$F117)^(AH$4), 0),0)</f>
        <v>0</v>
      </c>
      <c r="AI117" s="490">
        <f>IFERROR(IF(AI$6&lt;=$E$10,INDEX('BESS_Capital Costs'!$D$19:$G$48,MATCH('Capital Cost Escalation'!$E117,'BESS_Capital Costs'!$B$19:$B$48,0),MATCH('Capital Cost Escalation'!$C117,'BESS_Capital Costs'!$D$7:$G$7,0))*AI$10*(1+$F117)^(AI$4), 0),0)</f>
        <v>0</v>
      </c>
      <c r="AJ117" s="490">
        <f>IFERROR(IF(AJ$6&lt;=$E$10,INDEX('BESS_Capital Costs'!$D$19:$G$48,MATCH('Capital Cost Escalation'!$E117,'BESS_Capital Costs'!$B$19:$B$48,0),MATCH('Capital Cost Escalation'!$C117,'BESS_Capital Costs'!$D$7:$G$7,0))*AJ$10*(1+$F117)^(AJ$4), 0),0)</f>
        <v>0</v>
      </c>
      <c r="AK117" s="490">
        <f>IFERROR(IF(AK$6&lt;=$E$10,INDEX('BESS_Capital Costs'!$D$19:$G$48,MATCH('Capital Cost Escalation'!$E117,'BESS_Capital Costs'!$B$19:$B$48,0),MATCH('Capital Cost Escalation'!$C117,'BESS_Capital Costs'!$D$7:$G$7,0))*AK$10*(1+$F117)^(AK$4), 0),0)</f>
        <v>0</v>
      </c>
      <c r="AL117" s="490">
        <f>IFERROR(IF(AL$6&lt;=$E$10,INDEX('BESS_Capital Costs'!$D$19:$G$48,MATCH('Capital Cost Escalation'!$E117,'BESS_Capital Costs'!$B$19:$B$48,0),MATCH('Capital Cost Escalation'!$C117,'BESS_Capital Costs'!$D$7:$G$7,0))*AL$10*(1+$F117)^(AL$4), 0),0)</f>
        <v>0</v>
      </c>
      <c r="AM117" s="490">
        <f>IFERROR(IF(AM$6&lt;=$E$10,INDEX('BESS_Capital Costs'!$D$19:$G$48,MATCH('Capital Cost Escalation'!$E117,'BESS_Capital Costs'!$B$19:$B$48,0),MATCH('Capital Cost Escalation'!$C117,'BESS_Capital Costs'!$D$7:$G$7,0))*AM$10*(1+$F117)^(AM$4), 0),0)</f>
        <v>0</v>
      </c>
      <c r="AN117" s="490">
        <f>IFERROR(IF(AN$6&lt;=$E$10,INDEX('BESS_Capital Costs'!$D$19:$G$48,MATCH('Capital Cost Escalation'!$E117,'BESS_Capital Costs'!$B$19:$B$48,0),MATCH('Capital Cost Escalation'!$C117,'BESS_Capital Costs'!$D$7:$G$7,0))*AN$10*(1+$F117)^(AN$4), 0),0)</f>
        <v>0</v>
      </c>
      <c r="AO117" s="490">
        <f>IFERROR(IF(AO$6&lt;=$E$10,INDEX('BESS_Capital Costs'!$D$19:$G$48,MATCH('Capital Cost Escalation'!$E117,'BESS_Capital Costs'!$B$19:$B$48,0),MATCH('Capital Cost Escalation'!$C117,'BESS_Capital Costs'!$D$7:$G$7,0))*AO$10*(1+$F117)^(AO$4), 0),0)</f>
        <v>0</v>
      </c>
      <c r="AP117" s="490">
        <f>IFERROR(IF(AP$6&lt;=$E$10,INDEX('BESS_Capital Costs'!$D$19:$G$48,MATCH('Capital Cost Escalation'!$E117,'BESS_Capital Costs'!$B$19:$B$48,0),MATCH('Capital Cost Escalation'!$C117,'BESS_Capital Costs'!$D$7:$G$7,0))*AP$10*(1+$F117)^(AP$4), 0),0)</f>
        <v>0</v>
      </c>
      <c r="AQ117" s="490">
        <f>IFERROR(IF(AQ$6&lt;=$E$10,INDEX('BESS_Capital Costs'!$D$19:$G$48,MATCH('Capital Cost Escalation'!$E117,'BESS_Capital Costs'!$B$19:$B$48,0),MATCH('Capital Cost Escalation'!$C117,'BESS_Capital Costs'!$D$7:$G$7,0))*AQ$10*(1+$F117)^(AQ$4), 0),0)</f>
        <v>0</v>
      </c>
      <c r="AR117" s="490">
        <f>IFERROR(IF(AR$6&lt;=$E$10,INDEX('BESS_Capital Costs'!$D$19:$G$48,MATCH('Capital Cost Escalation'!$E117,'BESS_Capital Costs'!$B$19:$B$48,0),MATCH('Capital Cost Escalation'!$C117,'BESS_Capital Costs'!$D$7:$G$7,0))*AR$10*(1+$F117)^(AR$4), 0),0)</f>
        <v>0</v>
      </c>
      <c r="AS117" s="490">
        <f>IFERROR(IF(AS$6&lt;=$E$10,INDEX('BESS_Capital Costs'!$D$19:$G$48,MATCH('Capital Cost Escalation'!$E117,'BESS_Capital Costs'!$B$19:$B$48,0),MATCH('Capital Cost Escalation'!$C117,'BESS_Capital Costs'!$D$7:$G$7,0))*AS$10*(1+$F117)^(AS$4), 0),0)</f>
        <v>0</v>
      </c>
      <c r="AT117" s="490">
        <f>IFERROR(IF(AT$6&lt;=$E$10,INDEX('BESS_Capital Costs'!$D$19:$G$48,MATCH('Capital Cost Escalation'!$E117,'BESS_Capital Costs'!$B$19:$B$48,0),MATCH('Capital Cost Escalation'!$C117,'BESS_Capital Costs'!$D$7:$G$7,0))*AT$10*(1+$F117)^(AT$4), 0),0)</f>
        <v>0</v>
      </c>
      <c r="AV117" s="827">
        <f t="shared" si="20"/>
        <v>11123546.763488587</v>
      </c>
      <c r="AW117" s="828">
        <f>INDEX('BESS_Capital Costs'!$D$19:$G$48,MATCH('Capital Cost Escalation'!$E117,'BESS_Capital Costs'!$B$19:$B$48,0),MATCH('Capital Cost Escalation'!$C117,'BESS_Capital Costs'!$D$7:$G$7,0))</f>
        <v>11274000</v>
      </c>
    </row>
    <row r="118" spans="1:49">
      <c r="A118" s="487"/>
      <c r="F118" s="1325"/>
    </row>
    <row r="119" spans="1:49">
      <c r="A119" s="487" t="str">
        <f t="shared" si="13"/>
        <v>BESS_WMAAC_Batteries and Enclosures</v>
      </c>
      <c r="B119" s="478" t="s">
        <v>700</v>
      </c>
      <c r="C119" s="488" t="s">
        <v>122</v>
      </c>
      <c r="E119" s="1478" t="s">
        <v>647</v>
      </c>
      <c r="F119" s="1325">
        <f>INDEX('BESS_Capital Costs_Nominal$'!$F:$F,MATCH('Capital Cost Escalation'!$E119,'BESS_Capital Costs_Nominal$'!$C:$C,0),1)</f>
        <v>-2.5895842177414696E-4</v>
      </c>
      <c r="G119" s="490">
        <f>IFERROR(IF(G$6&lt;=$E$10,INDEX('BESS_Capital Costs'!$D$19:$G$48,MATCH('Capital Cost Escalation'!$E119,'BESS_Capital Costs'!$B$19:$B$48,0),MATCH('Capital Cost Escalation'!$C119,'BESS_Capital Costs'!$D$7:$G$7,0))*G$10*(1+$F119)^(G$4), 0),0)</f>
        <v>1861064.6775252866</v>
      </c>
      <c r="H119" s="490">
        <f>IFERROR(IF(H$6&lt;=$E$10,INDEX('BESS_Capital Costs'!$D$19:$G$48,MATCH('Capital Cost Escalation'!$E119,'BESS_Capital Costs'!$B$19:$B$48,0),MATCH('Capital Cost Escalation'!$C119,'BESS_Capital Costs'!$D$7:$G$7,0))*H$10*(1+$F119)^(H$4), 0),0)</f>
        <v>3004647.3130310285</v>
      </c>
      <c r="I119" s="490">
        <f>IFERROR(IF(I$6&lt;=$E$10,INDEX('BESS_Capital Costs'!$D$19:$G$48,MATCH('Capital Cost Escalation'!$E119,'BESS_Capital Costs'!$B$19:$B$48,0),MATCH('Capital Cost Escalation'!$C119,'BESS_Capital Costs'!$D$7:$G$7,0))*I$10*(1+$F119)^(I$4), 0),0)</f>
        <v>72200592.468589991</v>
      </c>
      <c r="J119" s="490">
        <f>IFERROR(IF(J$6&lt;=$E$10,INDEX('BESS_Capital Costs'!$D$19:$G$48,MATCH('Capital Cost Escalation'!$E119,'BESS_Capital Costs'!$B$19:$B$48,0),MATCH('Capital Cost Escalation'!$C119,'BESS_Capital Costs'!$D$7:$G$7,0))*J$10*(1+$F119)^(J$4), 0),0)</f>
        <v>3456760.9667091165</v>
      </c>
      <c r="K119" s="490">
        <f>IFERROR(IF(K$6&lt;=$E$10,INDEX('BESS_Capital Costs'!$D$19:$G$48,MATCH('Capital Cost Escalation'!$E119,'BESS_Capital Costs'!$B$19:$B$48,0),MATCH('Capital Cost Escalation'!$C119,'BESS_Capital Costs'!$D$7:$G$7,0))*K$10*(1+$F119)^(K$4), 0),0)</f>
        <v>3620283.2972760056</v>
      </c>
      <c r="L119" s="490">
        <f>IFERROR(IF(L$6&lt;=$E$10,INDEX('BESS_Capital Costs'!$D$19:$G$48,MATCH('Capital Cost Escalation'!$E119,'BESS_Capital Costs'!$B$19:$B$48,0),MATCH('Capital Cost Escalation'!$C119,'BESS_Capital Costs'!$D$7:$G$7,0))*L$10*(1+$F119)^(L$4), 0),0)</f>
        <v>4128927.3784074844</v>
      </c>
      <c r="M119" s="490">
        <f>IFERROR(IF(M$6&lt;=$E$10,INDEX('BESS_Capital Costs'!$D$19:$G$48,MATCH('Capital Cost Escalation'!$E119,'BESS_Capital Costs'!$B$19:$B$48,0),MATCH('Capital Cost Escalation'!$C119,'BESS_Capital Costs'!$D$7:$G$7,0))*M$10*(1+$F119)^(M$4), 0),0)</f>
        <v>4894548.8717323095</v>
      </c>
      <c r="N119" s="490">
        <f>IFERROR(IF(N$6&lt;=$E$10,INDEX('BESS_Capital Costs'!$D$19:$G$48,MATCH('Capital Cost Escalation'!$E119,'BESS_Capital Costs'!$B$19:$B$48,0),MATCH('Capital Cost Escalation'!$C119,'BESS_Capital Costs'!$D$7:$G$7,0))*N$10*(1+$F119)^(N$4), 0),0)</f>
        <v>5646227.8764683409</v>
      </c>
      <c r="O119" s="490">
        <f>IFERROR(IF(O$6&lt;=$E$10,INDEX('BESS_Capital Costs'!$D$19:$G$48,MATCH('Capital Cost Escalation'!$E119,'BESS_Capital Costs'!$B$19:$B$48,0),MATCH('Capital Cost Escalation'!$C119,'BESS_Capital Costs'!$D$7:$G$7,0))*O$10*(1+$F119)^(O$4), 0),0)</f>
        <v>6085466.8264132468</v>
      </c>
      <c r="P119" s="490">
        <f>IFERROR(IF(P$6&lt;=$E$10,INDEX('BESS_Capital Costs'!$D$19:$G$48,MATCH('Capital Cost Escalation'!$E119,'BESS_Capital Costs'!$B$19:$B$48,0),MATCH('Capital Cost Escalation'!$C119,'BESS_Capital Costs'!$D$7:$G$7,0))*P$10*(1+$F119)^(P$4), 0),0)</f>
        <v>5995889.5962714674</v>
      </c>
      <c r="Q119" s="490">
        <f>IFERROR(IF(Q$6&lt;=$E$10,INDEX('BESS_Capital Costs'!$D$19:$G$48,MATCH('Capital Cost Escalation'!$E119,'BESS_Capital Costs'!$B$19:$B$48,0),MATCH('Capital Cost Escalation'!$C119,'BESS_Capital Costs'!$D$7:$G$7,0))*Q$10*(1+$F119)^(Q$4), 0),0)</f>
        <v>5309264.3101608474</v>
      </c>
      <c r="R119" s="490">
        <f>IFERROR(IF(R$6&lt;=$E$10,INDEX('BESS_Capital Costs'!$D$19:$G$48,MATCH('Capital Cost Escalation'!$E119,'BESS_Capital Costs'!$B$19:$B$48,0),MATCH('Capital Cost Escalation'!$C119,'BESS_Capital Costs'!$D$7:$G$7,0))*R$10*(1+$F119)^(R$4), 0),0)</f>
        <v>59058147.282869712</v>
      </c>
      <c r="S119" s="490">
        <f>IFERROR(IF(S$6&lt;=$E$10,INDEX('BESS_Capital Costs'!$D$19:$G$48,MATCH('Capital Cost Escalation'!$E119,'BESS_Capital Costs'!$B$19:$B$48,0),MATCH('Capital Cost Escalation'!$C119,'BESS_Capital Costs'!$D$7:$G$7,0))*S$10*(1+$F119)^(S$4), 0),0)</f>
        <v>2700026.2142407992</v>
      </c>
      <c r="T119" s="490">
        <f>IFERROR(IF(T$6&lt;=$E$10,INDEX('BESS_Capital Costs'!$D$19:$G$48,MATCH('Capital Cost Escalation'!$E119,'BESS_Capital Costs'!$B$19:$B$48,0),MATCH('Capital Cost Escalation'!$C119,'BESS_Capital Costs'!$D$7:$G$7,0))*T$10*(1+$F119)^(T$4), 0),0)</f>
        <v>1363284.7649487678</v>
      </c>
      <c r="U119" s="490">
        <f>IFERROR(IF(U$6&lt;=$E$10,INDEX('BESS_Capital Costs'!$D$19:$G$48,MATCH('Capital Cost Escalation'!$E119,'BESS_Capital Costs'!$B$19:$B$48,0),MATCH('Capital Cost Escalation'!$C119,'BESS_Capital Costs'!$D$7:$G$7,0))*U$10*(1+$F119)^(U$4), 0),0)</f>
        <v>430165.66959529941</v>
      </c>
      <c r="V119" s="490">
        <f>IFERROR(IF(V$6&lt;=$E$10,INDEX('BESS_Capital Costs'!$D$19:$G$48,MATCH('Capital Cost Escalation'!$E119,'BESS_Capital Costs'!$B$19:$B$48,0),MATCH('Capital Cost Escalation'!$C119,'BESS_Capital Costs'!$D$7:$G$7,0))*V$10*(1+$F119)^(V$4), 0),0)</f>
        <v>13760771.240123317</v>
      </c>
      <c r="W119" s="490">
        <f>IFERROR(IF(W$6&lt;=$E$10,INDEX('BESS_Capital Costs'!$D$19:$G$48,MATCH('Capital Cost Escalation'!$E119,'BESS_Capital Costs'!$B$19:$B$48,0),MATCH('Capital Cost Escalation'!$C119,'BESS_Capital Costs'!$D$7:$G$7,0))*W$10*(1+$F119)^(W$4), 0),0)</f>
        <v>0</v>
      </c>
      <c r="X119" s="490">
        <f>IFERROR(IF(X$6&lt;=$E$10,INDEX('BESS_Capital Costs'!$D$19:$G$48,MATCH('Capital Cost Escalation'!$E119,'BESS_Capital Costs'!$B$19:$B$48,0),MATCH('Capital Cost Escalation'!$C119,'BESS_Capital Costs'!$D$7:$G$7,0))*X$10*(1+$F119)^(X$4), 0),0)</f>
        <v>0</v>
      </c>
      <c r="Y119" s="490">
        <f>IFERROR(IF(Y$6&lt;=$E$10,INDEX('BESS_Capital Costs'!$D$19:$G$48,MATCH('Capital Cost Escalation'!$E119,'BESS_Capital Costs'!$B$19:$B$48,0),MATCH('Capital Cost Escalation'!$C119,'BESS_Capital Costs'!$D$7:$G$7,0))*Y$10*(1+$F119)^(Y$4), 0),0)</f>
        <v>0</v>
      </c>
      <c r="Z119" s="490">
        <f>IFERROR(IF(Z$6&lt;=$E$10,INDEX('BESS_Capital Costs'!$D$19:$G$48,MATCH('Capital Cost Escalation'!$E119,'BESS_Capital Costs'!$B$19:$B$48,0),MATCH('Capital Cost Escalation'!$C119,'BESS_Capital Costs'!$D$7:$G$7,0))*Z$10*(1+$F119)^(Z$4), 0),0)</f>
        <v>0</v>
      </c>
      <c r="AA119" s="490">
        <f>IFERROR(IF(AA$6&lt;=$E$10,INDEX('BESS_Capital Costs'!$D$19:$G$48,MATCH('Capital Cost Escalation'!$E119,'BESS_Capital Costs'!$B$19:$B$48,0),MATCH('Capital Cost Escalation'!$C119,'BESS_Capital Costs'!$D$7:$G$7,0))*AA$10*(1+$F119)^(AA$4), 0),0)</f>
        <v>0</v>
      </c>
      <c r="AB119" s="490">
        <f>IFERROR(IF(AB$6&lt;=$E$10,INDEX('BESS_Capital Costs'!$D$19:$G$48,MATCH('Capital Cost Escalation'!$E119,'BESS_Capital Costs'!$B$19:$B$48,0),MATCH('Capital Cost Escalation'!$C119,'BESS_Capital Costs'!$D$7:$G$7,0))*AB$10*(1+$F119)^(AB$4), 0),0)</f>
        <v>0</v>
      </c>
      <c r="AC119" s="490">
        <f>IFERROR(IF(AC$6&lt;=$E$10,INDEX('BESS_Capital Costs'!$D$19:$G$48,MATCH('Capital Cost Escalation'!$E119,'BESS_Capital Costs'!$B$19:$B$48,0),MATCH('Capital Cost Escalation'!$C119,'BESS_Capital Costs'!$D$7:$G$7,0))*AC$10*(1+$F119)^(AC$4), 0),0)</f>
        <v>0</v>
      </c>
      <c r="AD119" s="490">
        <f>IFERROR(IF(AD$6&lt;=$E$10,INDEX('BESS_Capital Costs'!$D$19:$G$48,MATCH('Capital Cost Escalation'!$E119,'BESS_Capital Costs'!$B$19:$B$48,0),MATCH('Capital Cost Escalation'!$C119,'BESS_Capital Costs'!$D$7:$G$7,0))*AD$10*(1+$F119)^(AD$4), 0),0)</f>
        <v>0</v>
      </c>
      <c r="AE119" s="490">
        <f>IFERROR(IF(AE$6&lt;=$E$10,INDEX('BESS_Capital Costs'!$D$19:$G$48,MATCH('Capital Cost Escalation'!$E119,'BESS_Capital Costs'!$B$19:$B$48,0),MATCH('Capital Cost Escalation'!$C119,'BESS_Capital Costs'!$D$7:$G$7,0))*AE$10*(1+$F119)^(AE$4), 0),0)</f>
        <v>0</v>
      </c>
      <c r="AF119" s="490">
        <f>IFERROR(IF(AF$6&lt;=$E$10,INDEX('BESS_Capital Costs'!$D$19:$G$48,MATCH('Capital Cost Escalation'!$E119,'BESS_Capital Costs'!$B$19:$B$48,0),MATCH('Capital Cost Escalation'!$C119,'BESS_Capital Costs'!$D$7:$G$7,0))*AF$10*(1+$F119)^(AF$4), 0),0)</f>
        <v>0</v>
      </c>
      <c r="AG119" s="490">
        <f>IFERROR(IF(AG$6&lt;=$E$10,INDEX('BESS_Capital Costs'!$D$19:$G$48,MATCH('Capital Cost Escalation'!$E119,'BESS_Capital Costs'!$B$19:$B$48,0),MATCH('Capital Cost Escalation'!$C119,'BESS_Capital Costs'!$D$7:$G$7,0))*AG$10*(1+$F119)^(AG$4), 0),0)</f>
        <v>0</v>
      </c>
      <c r="AH119" s="490">
        <f>IFERROR(IF(AH$6&lt;=$E$10,INDEX('BESS_Capital Costs'!$D$19:$G$48,MATCH('Capital Cost Escalation'!$E119,'BESS_Capital Costs'!$B$19:$B$48,0),MATCH('Capital Cost Escalation'!$C119,'BESS_Capital Costs'!$D$7:$G$7,0))*AH$10*(1+$F119)^(AH$4), 0),0)</f>
        <v>0</v>
      </c>
      <c r="AI119" s="490">
        <f>IFERROR(IF(AI$6&lt;=$E$10,INDEX('BESS_Capital Costs'!$D$19:$G$48,MATCH('Capital Cost Escalation'!$E119,'BESS_Capital Costs'!$B$19:$B$48,0),MATCH('Capital Cost Escalation'!$C119,'BESS_Capital Costs'!$D$7:$G$7,0))*AI$10*(1+$F119)^(AI$4), 0),0)</f>
        <v>0</v>
      </c>
      <c r="AJ119" s="490">
        <f>IFERROR(IF(AJ$6&lt;=$E$10,INDEX('BESS_Capital Costs'!$D$19:$G$48,MATCH('Capital Cost Escalation'!$E119,'BESS_Capital Costs'!$B$19:$B$48,0),MATCH('Capital Cost Escalation'!$C119,'BESS_Capital Costs'!$D$7:$G$7,0))*AJ$10*(1+$F119)^(AJ$4), 0),0)</f>
        <v>0</v>
      </c>
      <c r="AK119" s="490">
        <f>IFERROR(IF(AK$6&lt;=$E$10,INDEX('BESS_Capital Costs'!$D$19:$G$48,MATCH('Capital Cost Escalation'!$E119,'BESS_Capital Costs'!$B$19:$B$48,0),MATCH('Capital Cost Escalation'!$C119,'BESS_Capital Costs'!$D$7:$G$7,0))*AK$10*(1+$F119)^(AK$4), 0),0)</f>
        <v>0</v>
      </c>
      <c r="AL119" s="490">
        <f>IFERROR(IF(AL$6&lt;=$E$10,INDEX('BESS_Capital Costs'!$D$19:$G$48,MATCH('Capital Cost Escalation'!$E119,'BESS_Capital Costs'!$B$19:$B$48,0),MATCH('Capital Cost Escalation'!$C119,'BESS_Capital Costs'!$D$7:$G$7,0))*AL$10*(1+$F119)^(AL$4), 0),0)</f>
        <v>0</v>
      </c>
      <c r="AM119" s="490">
        <f>IFERROR(IF(AM$6&lt;=$E$10,INDEX('BESS_Capital Costs'!$D$19:$G$48,MATCH('Capital Cost Escalation'!$E119,'BESS_Capital Costs'!$B$19:$B$48,0),MATCH('Capital Cost Escalation'!$C119,'BESS_Capital Costs'!$D$7:$G$7,0))*AM$10*(1+$F119)^(AM$4), 0),0)</f>
        <v>0</v>
      </c>
      <c r="AN119" s="490">
        <f>IFERROR(IF(AN$6&lt;=$E$10,INDEX('BESS_Capital Costs'!$D$19:$G$48,MATCH('Capital Cost Escalation'!$E119,'BESS_Capital Costs'!$B$19:$B$48,0),MATCH('Capital Cost Escalation'!$C119,'BESS_Capital Costs'!$D$7:$G$7,0))*AN$10*(1+$F119)^(AN$4), 0),0)</f>
        <v>0</v>
      </c>
      <c r="AO119" s="490">
        <f>IFERROR(IF(AO$6&lt;=$E$10,INDEX('BESS_Capital Costs'!$D$19:$G$48,MATCH('Capital Cost Escalation'!$E119,'BESS_Capital Costs'!$B$19:$B$48,0),MATCH('Capital Cost Escalation'!$C119,'BESS_Capital Costs'!$D$7:$G$7,0))*AO$10*(1+$F119)^(AO$4), 0),0)</f>
        <v>0</v>
      </c>
      <c r="AP119" s="490">
        <f>IFERROR(IF(AP$6&lt;=$E$10,INDEX('BESS_Capital Costs'!$D$19:$G$48,MATCH('Capital Cost Escalation'!$E119,'BESS_Capital Costs'!$B$19:$B$48,0),MATCH('Capital Cost Escalation'!$C119,'BESS_Capital Costs'!$D$7:$G$7,0))*AP$10*(1+$F119)^(AP$4), 0),0)</f>
        <v>0</v>
      </c>
      <c r="AQ119" s="490">
        <f>IFERROR(IF(AQ$6&lt;=$E$10,INDEX('BESS_Capital Costs'!$D$19:$G$48,MATCH('Capital Cost Escalation'!$E119,'BESS_Capital Costs'!$B$19:$B$48,0),MATCH('Capital Cost Escalation'!$C119,'BESS_Capital Costs'!$D$7:$G$7,0))*AQ$10*(1+$F119)^(AQ$4), 0),0)</f>
        <v>0</v>
      </c>
      <c r="AR119" s="490">
        <f>IFERROR(IF(AR$6&lt;=$E$10,INDEX('BESS_Capital Costs'!$D$19:$G$48,MATCH('Capital Cost Escalation'!$E119,'BESS_Capital Costs'!$B$19:$B$48,0),MATCH('Capital Cost Escalation'!$C119,'BESS_Capital Costs'!$D$7:$G$7,0))*AR$10*(1+$F119)^(AR$4), 0),0)</f>
        <v>0</v>
      </c>
      <c r="AS119" s="490">
        <f>IFERROR(IF(AS$6&lt;=$E$10,INDEX('BESS_Capital Costs'!$D$19:$G$48,MATCH('Capital Cost Escalation'!$E119,'BESS_Capital Costs'!$B$19:$B$48,0),MATCH('Capital Cost Escalation'!$C119,'BESS_Capital Costs'!$D$7:$G$7,0))*AS$10*(1+$F119)^(AS$4), 0),0)</f>
        <v>0</v>
      </c>
      <c r="AT119" s="490">
        <f>IFERROR(IF(AT$6&lt;=$E$10,INDEX('BESS_Capital Costs'!$D$19:$G$48,MATCH('Capital Cost Escalation'!$E119,'BESS_Capital Costs'!$B$19:$B$48,0),MATCH('Capital Cost Escalation'!$C119,'BESS_Capital Costs'!$D$7:$G$7,0))*AT$10*(1+$F119)^(AT$4), 0),0)</f>
        <v>0</v>
      </c>
      <c r="AV119" s="827">
        <f t="shared" ref="AV119:AV121" si="21">SUM(G119:AT119)</f>
        <v>193516068.754363</v>
      </c>
      <c r="AW119" s="828">
        <f>INDEX('BESS_Capital Costs'!$D$19:$G$48,MATCH('Capital Cost Escalation'!$E119,'BESS_Capital Costs'!$B$19:$B$48,0),MATCH('Capital Cost Escalation'!$C119,'BESS_Capital Costs'!$D$7:$G$7,0))</f>
        <v>196133500</v>
      </c>
    </row>
    <row r="120" spans="1:49">
      <c r="A120" s="487" t="str">
        <f t="shared" si="13"/>
        <v>BESS_WMAAC_PCS and BOP Equipment</v>
      </c>
      <c r="B120" s="478" t="s">
        <v>700</v>
      </c>
      <c r="C120" s="488" t="s">
        <v>122</v>
      </c>
      <c r="E120" s="1478" t="s">
        <v>645</v>
      </c>
      <c r="F120" s="1325">
        <f>INDEX('BESS_Capital Costs_Nominal$'!$F:$F,MATCH('Capital Cost Escalation'!$E120,'BESS_Capital Costs_Nominal$'!$C:$C,0),1)</f>
        <v>-2.5895842177414696E-4</v>
      </c>
      <c r="G120" s="490">
        <f>IFERROR(IF(G$6&lt;=$E$10,INDEX('BESS_Capital Costs'!$D$19:$G$48,MATCH('Capital Cost Escalation'!$E120,'BESS_Capital Costs'!$B$19:$B$48,0),MATCH('Capital Cost Escalation'!$C120,'BESS_Capital Costs'!$D$7:$G$7,0))*G$10*(1+$F120)^(G$4), 0),0)</f>
        <v>278549.33682430105</v>
      </c>
      <c r="H120" s="490">
        <f>IFERROR(IF(H$6&lt;=$E$10,INDEX('BESS_Capital Costs'!$D$19:$G$48,MATCH('Capital Cost Escalation'!$E120,'BESS_Capital Costs'!$B$19:$B$48,0),MATCH('Capital Cost Escalation'!$C120,'BESS_Capital Costs'!$D$7:$G$7,0))*H$10*(1+$F120)^(H$4), 0),0)</f>
        <v>449711.67662405939</v>
      </c>
      <c r="I120" s="490">
        <f>IFERROR(IF(I$6&lt;=$E$10,INDEX('BESS_Capital Costs'!$D$19:$G$48,MATCH('Capital Cost Escalation'!$E120,'BESS_Capital Costs'!$B$19:$B$48,0),MATCH('Capital Cost Escalation'!$C120,'BESS_Capital Costs'!$D$7:$G$7,0))*I$10*(1+$F120)^(I$4), 0),0)</f>
        <v>10806409.574754884</v>
      </c>
      <c r="J120" s="490">
        <f>IFERROR(IF(J$6&lt;=$E$10,INDEX('BESS_Capital Costs'!$D$19:$G$48,MATCH('Capital Cost Escalation'!$E120,'BESS_Capital Costs'!$B$19:$B$48,0),MATCH('Capital Cost Escalation'!$C120,'BESS_Capital Costs'!$D$7:$G$7,0))*J$10*(1+$F120)^(J$4), 0),0)</f>
        <v>517380.44704460382</v>
      </c>
      <c r="K120" s="490">
        <f>IFERROR(IF(K$6&lt;=$E$10,INDEX('BESS_Capital Costs'!$D$19:$G$48,MATCH('Capital Cost Escalation'!$E120,'BESS_Capital Costs'!$B$19:$B$48,0),MATCH('Capital Cost Escalation'!$C120,'BESS_Capital Costs'!$D$7:$G$7,0))*K$10*(1+$F120)^(K$4), 0),0)</f>
        <v>541855.16696456878</v>
      </c>
      <c r="L120" s="490">
        <f>IFERROR(IF(L$6&lt;=$E$10,INDEX('BESS_Capital Costs'!$D$19:$G$48,MATCH('Capital Cost Escalation'!$E120,'BESS_Capital Costs'!$B$19:$B$48,0),MATCH('Capital Cost Escalation'!$C120,'BESS_Capital Costs'!$D$7:$G$7,0))*L$10*(1+$F120)^(L$4), 0),0)</f>
        <v>617984.96147938317</v>
      </c>
      <c r="M120" s="490">
        <f>IFERROR(IF(M$6&lt;=$E$10,INDEX('BESS_Capital Costs'!$D$19:$G$48,MATCH('Capital Cost Escalation'!$E120,'BESS_Capital Costs'!$B$19:$B$48,0),MATCH('Capital Cost Escalation'!$C120,'BESS_Capital Costs'!$D$7:$G$7,0))*M$10*(1+$F120)^(M$4), 0),0)</f>
        <v>732577.08812575194</v>
      </c>
      <c r="N120" s="490">
        <f>IFERROR(IF(N$6&lt;=$E$10,INDEX('BESS_Capital Costs'!$D$19:$G$48,MATCH('Capital Cost Escalation'!$E120,'BESS_Capital Costs'!$B$19:$B$48,0),MATCH('Capital Cost Escalation'!$C120,'BESS_Capital Costs'!$D$7:$G$7,0))*N$10*(1+$F120)^(N$4), 0),0)</f>
        <v>845082.41413752199</v>
      </c>
      <c r="O120" s="490">
        <f>IFERROR(IF(O$6&lt;=$E$10,INDEX('BESS_Capital Costs'!$D$19:$G$48,MATCH('Capital Cost Escalation'!$E120,'BESS_Capital Costs'!$B$19:$B$48,0),MATCH('Capital Cost Escalation'!$C120,'BESS_Capital Costs'!$D$7:$G$7,0))*O$10*(1+$F120)^(O$4), 0),0)</f>
        <v>910824.20145533211</v>
      </c>
      <c r="P120" s="490">
        <f>IFERROR(IF(P$6&lt;=$E$10,INDEX('BESS_Capital Costs'!$D$19:$G$48,MATCH('Capital Cost Escalation'!$E120,'BESS_Capital Costs'!$B$19:$B$48,0),MATCH('Capital Cost Escalation'!$C120,'BESS_Capital Costs'!$D$7:$G$7,0))*P$10*(1+$F120)^(P$4), 0),0)</f>
        <v>897416.99516536598</v>
      </c>
      <c r="Q120" s="490">
        <f>IFERROR(IF(Q$6&lt;=$E$10,INDEX('BESS_Capital Costs'!$D$19:$G$48,MATCH('Capital Cost Escalation'!$E120,'BESS_Capital Costs'!$B$19:$B$48,0),MATCH('Capital Cost Escalation'!$C120,'BESS_Capital Costs'!$D$7:$G$7,0))*Q$10*(1+$F120)^(Q$4), 0),0)</f>
        <v>794648.39157914778</v>
      </c>
      <c r="R120" s="490">
        <f>IFERROR(IF(R$6&lt;=$E$10,INDEX('BESS_Capital Costs'!$D$19:$G$48,MATCH('Capital Cost Escalation'!$E120,'BESS_Capital Costs'!$B$19:$B$48,0),MATCH('Capital Cost Escalation'!$C120,'BESS_Capital Costs'!$D$7:$G$7,0))*R$10*(1+$F120)^(R$4), 0),0)</f>
        <v>8839353.0640698224</v>
      </c>
      <c r="S120" s="490">
        <f>IFERROR(IF(S$6&lt;=$E$10,INDEX('BESS_Capital Costs'!$D$19:$G$48,MATCH('Capital Cost Escalation'!$E120,'BESS_Capital Costs'!$B$19:$B$48,0),MATCH('Capital Cost Escalation'!$C120,'BESS_Capital Costs'!$D$7:$G$7,0))*S$10*(1+$F120)^(S$4), 0),0)</f>
        <v>404118.41698327224</v>
      </c>
      <c r="T120" s="490">
        <f>IFERROR(IF(T$6&lt;=$E$10,INDEX('BESS_Capital Costs'!$D$19:$G$48,MATCH('Capital Cost Escalation'!$E120,'BESS_Capital Costs'!$B$19:$B$48,0),MATCH('Capital Cost Escalation'!$C120,'BESS_Capital Costs'!$D$7:$G$7,0))*T$10*(1+$F120)^(T$4), 0),0)</f>
        <v>204045.60452144351</v>
      </c>
      <c r="U120" s="490">
        <f>IFERROR(IF(U$6&lt;=$E$10,INDEX('BESS_Capital Costs'!$D$19:$G$48,MATCH('Capital Cost Escalation'!$E120,'BESS_Capital Costs'!$B$19:$B$48,0),MATCH('Capital Cost Escalation'!$C120,'BESS_Capital Costs'!$D$7:$G$7,0))*U$10*(1+$F120)^(U$4), 0),0)</f>
        <v>64383.770987305739</v>
      </c>
      <c r="V120" s="490">
        <f>IFERROR(IF(V$6&lt;=$E$10,INDEX('BESS_Capital Costs'!$D$19:$G$48,MATCH('Capital Cost Escalation'!$E120,'BESS_Capital Costs'!$B$19:$B$48,0),MATCH('Capital Cost Escalation'!$C120,'BESS_Capital Costs'!$D$7:$G$7,0))*V$10*(1+$F120)^(V$4), 0),0)</f>
        <v>2059602.6292993703</v>
      </c>
      <c r="W120" s="490">
        <f>IFERROR(IF(W$6&lt;=$E$10,INDEX('BESS_Capital Costs'!$D$19:$G$48,MATCH('Capital Cost Escalation'!$E120,'BESS_Capital Costs'!$B$19:$B$48,0),MATCH('Capital Cost Escalation'!$C120,'BESS_Capital Costs'!$D$7:$G$7,0))*W$10*(1+$F120)^(W$4), 0),0)</f>
        <v>0</v>
      </c>
      <c r="X120" s="490">
        <f>IFERROR(IF(X$6&lt;=$E$10,INDEX('BESS_Capital Costs'!$D$19:$G$48,MATCH('Capital Cost Escalation'!$E120,'BESS_Capital Costs'!$B$19:$B$48,0),MATCH('Capital Cost Escalation'!$C120,'BESS_Capital Costs'!$D$7:$G$7,0))*X$10*(1+$F120)^(X$4), 0),0)</f>
        <v>0</v>
      </c>
      <c r="Y120" s="490">
        <f>IFERROR(IF(Y$6&lt;=$E$10,INDEX('BESS_Capital Costs'!$D$19:$G$48,MATCH('Capital Cost Escalation'!$E120,'BESS_Capital Costs'!$B$19:$B$48,0),MATCH('Capital Cost Escalation'!$C120,'BESS_Capital Costs'!$D$7:$G$7,0))*Y$10*(1+$F120)^(Y$4), 0),0)</f>
        <v>0</v>
      </c>
      <c r="Z120" s="490">
        <f>IFERROR(IF(Z$6&lt;=$E$10,INDEX('BESS_Capital Costs'!$D$19:$G$48,MATCH('Capital Cost Escalation'!$E120,'BESS_Capital Costs'!$B$19:$B$48,0),MATCH('Capital Cost Escalation'!$C120,'BESS_Capital Costs'!$D$7:$G$7,0))*Z$10*(1+$F120)^(Z$4), 0),0)</f>
        <v>0</v>
      </c>
      <c r="AA120" s="490">
        <f>IFERROR(IF(AA$6&lt;=$E$10,INDEX('BESS_Capital Costs'!$D$19:$G$48,MATCH('Capital Cost Escalation'!$E120,'BESS_Capital Costs'!$B$19:$B$48,0),MATCH('Capital Cost Escalation'!$C120,'BESS_Capital Costs'!$D$7:$G$7,0))*AA$10*(1+$F120)^(AA$4), 0),0)</f>
        <v>0</v>
      </c>
      <c r="AB120" s="490">
        <f>IFERROR(IF(AB$6&lt;=$E$10,INDEX('BESS_Capital Costs'!$D$19:$G$48,MATCH('Capital Cost Escalation'!$E120,'BESS_Capital Costs'!$B$19:$B$48,0),MATCH('Capital Cost Escalation'!$C120,'BESS_Capital Costs'!$D$7:$G$7,0))*AB$10*(1+$F120)^(AB$4), 0),0)</f>
        <v>0</v>
      </c>
      <c r="AC120" s="490">
        <f>IFERROR(IF(AC$6&lt;=$E$10,INDEX('BESS_Capital Costs'!$D$19:$G$48,MATCH('Capital Cost Escalation'!$E120,'BESS_Capital Costs'!$B$19:$B$48,0),MATCH('Capital Cost Escalation'!$C120,'BESS_Capital Costs'!$D$7:$G$7,0))*AC$10*(1+$F120)^(AC$4), 0),0)</f>
        <v>0</v>
      </c>
      <c r="AD120" s="490">
        <f>IFERROR(IF(AD$6&lt;=$E$10,INDEX('BESS_Capital Costs'!$D$19:$G$48,MATCH('Capital Cost Escalation'!$E120,'BESS_Capital Costs'!$B$19:$B$48,0),MATCH('Capital Cost Escalation'!$C120,'BESS_Capital Costs'!$D$7:$G$7,0))*AD$10*(1+$F120)^(AD$4), 0),0)</f>
        <v>0</v>
      </c>
      <c r="AE120" s="490">
        <f>IFERROR(IF(AE$6&lt;=$E$10,INDEX('BESS_Capital Costs'!$D$19:$G$48,MATCH('Capital Cost Escalation'!$E120,'BESS_Capital Costs'!$B$19:$B$48,0),MATCH('Capital Cost Escalation'!$C120,'BESS_Capital Costs'!$D$7:$G$7,0))*AE$10*(1+$F120)^(AE$4), 0),0)</f>
        <v>0</v>
      </c>
      <c r="AF120" s="490">
        <f>IFERROR(IF(AF$6&lt;=$E$10,INDEX('BESS_Capital Costs'!$D$19:$G$48,MATCH('Capital Cost Escalation'!$E120,'BESS_Capital Costs'!$B$19:$B$48,0),MATCH('Capital Cost Escalation'!$C120,'BESS_Capital Costs'!$D$7:$G$7,0))*AF$10*(1+$F120)^(AF$4), 0),0)</f>
        <v>0</v>
      </c>
      <c r="AG120" s="490">
        <f>IFERROR(IF(AG$6&lt;=$E$10,INDEX('BESS_Capital Costs'!$D$19:$G$48,MATCH('Capital Cost Escalation'!$E120,'BESS_Capital Costs'!$B$19:$B$48,0),MATCH('Capital Cost Escalation'!$C120,'BESS_Capital Costs'!$D$7:$G$7,0))*AG$10*(1+$F120)^(AG$4), 0),0)</f>
        <v>0</v>
      </c>
      <c r="AH120" s="490">
        <f>IFERROR(IF(AH$6&lt;=$E$10,INDEX('BESS_Capital Costs'!$D$19:$G$48,MATCH('Capital Cost Escalation'!$E120,'BESS_Capital Costs'!$B$19:$B$48,0),MATCH('Capital Cost Escalation'!$C120,'BESS_Capital Costs'!$D$7:$G$7,0))*AH$10*(1+$F120)^(AH$4), 0),0)</f>
        <v>0</v>
      </c>
      <c r="AI120" s="490">
        <f>IFERROR(IF(AI$6&lt;=$E$10,INDEX('BESS_Capital Costs'!$D$19:$G$48,MATCH('Capital Cost Escalation'!$E120,'BESS_Capital Costs'!$B$19:$B$48,0),MATCH('Capital Cost Escalation'!$C120,'BESS_Capital Costs'!$D$7:$G$7,0))*AI$10*(1+$F120)^(AI$4), 0),0)</f>
        <v>0</v>
      </c>
      <c r="AJ120" s="490">
        <f>IFERROR(IF(AJ$6&lt;=$E$10,INDEX('BESS_Capital Costs'!$D$19:$G$48,MATCH('Capital Cost Escalation'!$E120,'BESS_Capital Costs'!$B$19:$B$48,0),MATCH('Capital Cost Escalation'!$C120,'BESS_Capital Costs'!$D$7:$G$7,0))*AJ$10*(1+$F120)^(AJ$4), 0),0)</f>
        <v>0</v>
      </c>
      <c r="AK120" s="490">
        <f>IFERROR(IF(AK$6&lt;=$E$10,INDEX('BESS_Capital Costs'!$D$19:$G$48,MATCH('Capital Cost Escalation'!$E120,'BESS_Capital Costs'!$B$19:$B$48,0),MATCH('Capital Cost Escalation'!$C120,'BESS_Capital Costs'!$D$7:$G$7,0))*AK$10*(1+$F120)^(AK$4), 0),0)</f>
        <v>0</v>
      </c>
      <c r="AL120" s="490">
        <f>IFERROR(IF(AL$6&lt;=$E$10,INDEX('BESS_Capital Costs'!$D$19:$G$48,MATCH('Capital Cost Escalation'!$E120,'BESS_Capital Costs'!$B$19:$B$48,0),MATCH('Capital Cost Escalation'!$C120,'BESS_Capital Costs'!$D$7:$G$7,0))*AL$10*(1+$F120)^(AL$4), 0),0)</f>
        <v>0</v>
      </c>
      <c r="AM120" s="490">
        <f>IFERROR(IF(AM$6&lt;=$E$10,INDEX('BESS_Capital Costs'!$D$19:$G$48,MATCH('Capital Cost Escalation'!$E120,'BESS_Capital Costs'!$B$19:$B$48,0),MATCH('Capital Cost Escalation'!$C120,'BESS_Capital Costs'!$D$7:$G$7,0))*AM$10*(1+$F120)^(AM$4), 0),0)</f>
        <v>0</v>
      </c>
      <c r="AN120" s="490">
        <f>IFERROR(IF(AN$6&lt;=$E$10,INDEX('BESS_Capital Costs'!$D$19:$G$48,MATCH('Capital Cost Escalation'!$E120,'BESS_Capital Costs'!$B$19:$B$48,0),MATCH('Capital Cost Escalation'!$C120,'BESS_Capital Costs'!$D$7:$G$7,0))*AN$10*(1+$F120)^(AN$4), 0),0)</f>
        <v>0</v>
      </c>
      <c r="AO120" s="490">
        <f>IFERROR(IF(AO$6&lt;=$E$10,INDEX('BESS_Capital Costs'!$D$19:$G$48,MATCH('Capital Cost Escalation'!$E120,'BESS_Capital Costs'!$B$19:$B$48,0),MATCH('Capital Cost Escalation'!$C120,'BESS_Capital Costs'!$D$7:$G$7,0))*AO$10*(1+$F120)^(AO$4), 0),0)</f>
        <v>0</v>
      </c>
      <c r="AP120" s="490">
        <f>IFERROR(IF(AP$6&lt;=$E$10,INDEX('BESS_Capital Costs'!$D$19:$G$48,MATCH('Capital Cost Escalation'!$E120,'BESS_Capital Costs'!$B$19:$B$48,0),MATCH('Capital Cost Escalation'!$C120,'BESS_Capital Costs'!$D$7:$G$7,0))*AP$10*(1+$F120)^(AP$4), 0),0)</f>
        <v>0</v>
      </c>
      <c r="AQ120" s="490">
        <f>IFERROR(IF(AQ$6&lt;=$E$10,INDEX('BESS_Capital Costs'!$D$19:$G$48,MATCH('Capital Cost Escalation'!$E120,'BESS_Capital Costs'!$B$19:$B$48,0),MATCH('Capital Cost Escalation'!$C120,'BESS_Capital Costs'!$D$7:$G$7,0))*AQ$10*(1+$F120)^(AQ$4), 0),0)</f>
        <v>0</v>
      </c>
      <c r="AR120" s="490">
        <f>IFERROR(IF(AR$6&lt;=$E$10,INDEX('BESS_Capital Costs'!$D$19:$G$48,MATCH('Capital Cost Escalation'!$E120,'BESS_Capital Costs'!$B$19:$B$48,0),MATCH('Capital Cost Escalation'!$C120,'BESS_Capital Costs'!$D$7:$G$7,0))*AR$10*(1+$F120)^(AR$4), 0),0)</f>
        <v>0</v>
      </c>
      <c r="AS120" s="490">
        <f>IFERROR(IF(AS$6&lt;=$E$10,INDEX('BESS_Capital Costs'!$D$19:$G$48,MATCH('Capital Cost Escalation'!$E120,'BESS_Capital Costs'!$B$19:$B$48,0),MATCH('Capital Cost Escalation'!$C120,'BESS_Capital Costs'!$D$7:$G$7,0))*AS$10*(1+$F120)^(AS$4), 0),0)</f>
        <v>0</v>
      </c>
      <c r="AT120" s="490">
        <f>IFERROR(IF(AT$6&lt;=$E$10,INDEX('BESS_Capital Costs'!$D$19:$G$48,MATCH('Capital Cost Escalation'!$E120,'BESS_Capital Costs'!$B$19:$B$48,0),MATCH('Capital Cost Escalation'!$C120,'BESS_Capital Costs'!$D$7:$G$7,0))*AT$10*(1+$F120)^(AT$4), 0),0)</f>
        <v>0</v>
      </c>
      <c r="AV120" s="827">
        <f t="shared" si="21"/>
        <v>28963943.740016133</v>
      </c>
      <c r="AW120" s="828">
        <f>INDEX('BESS_Capital Costs'!$D$19:$G$48,MATCH('Capital Cost Escalation'!$E120,'BESS_Capital Costs'!$B$19:$B$48,0),MATCH('Capital Cost Escalation'!$C120,'BESS_Capital Costs'!$D$7:$G$7,0))</f>
        <v>29355700</v>
      </c>
    </row>
    <row r="121" spans="1:49">
      <c r="A121" s="487" t="str">
        <f t="shared" si="13"/>
        <v>BESS_WMAAC_Project Management</v>
      </c>
      <c r="B121" s="478" t="s">
        <v>700</v>
      </c>
      <c r="C121" s="488" t="s">
        <v>122</v>
      </c>
      <c r="E121" s="1478" t="s">
        <v>642</v>
      </c>
      <c r="F121" s="1325">
        <f>INDEX('BESS_Capital Costs_Nominal$'!$F:$F,MATCH('Capital Cost Escalation'!$E121,'BESS_Capital Costs_Nominal$'!$C:$C,0),1)</f>
        <v>-2.5895842177414696E-4</v>
      </c>
      <c r="G121" s="490">
        <f>IFERROR(IF(G$6&lt;=$E$10,INDEX('BESS_Capital Costs'!$D$19:$G$48,MATCH('Capital Cost Escalation'!$E121,'BESS_Capital Costs'!$B$19:$B$48,0),MATCH('Capital Cost Escalation'!$C121,'BESS_Capital Costs'!$D$7:$G$7,0))*G$10*(1+$F121)^(G$4), 0),0)</f>
        <v>103561.32938523368</v>
      </c>
      <c r="H121" s="490">
        <f>IFERROR(IF(H$6&lt;=$E$10,INDEX('BESS_Capital Costs'!$D$19:$G$48,MATCH('Capital Cost Escalation'!$E121,'BESS_Capital Costs'!$B$19:$B$48,0),MATCH('Capital Cost Escalation'!$C121,'BESS_Capital Costs'!$D$7:$G$7,0))*H$10*(1+$F121)^(H$4), 0),0)</f>
        <v>167197.4509155853</v>
      </c>
      <c r="I121" s="490">
        <f>IFERROR(IF(I$6&lt;=$E$10,INDEX('BESS_Capital Costs'!$D$19:$G$48,MATCH('Capital Cost Escalation'!$E121,'BESS_Capital Costs'!$B$19:$B$48,0),MATCH('Capital Cost Escalation'!$C121,'BESS_Capital Costs'!$D$7:$G$7,0))*I$10*(1+$F121)^(I$4), 0),0)</f>
        <v>4017694.5104300794</v>
      </c>
      <c r="J121" s="490">
        <f>IFERROR(IF(J$6&lt;=$E$10,INDEX('BESS_Capital Costs'!$D$19:$G$48,MATCH('Capital Cost Escalation'!$E121,'BESS_Capital Costs'!$B$19:$B$48,0),MATCH('Capital Cost Escalation'!$C121,'BESS_Capital Costs'!$D$7:$G$7,0))*J$10*(1+$F121)^(J$4), 0),0)</f>
        <v>192355.89466745846</v>
      </c>
      <c r="K121" s="490">
        <f>IFERROR(IF(K$6&lt;=$E$10,INDEX('BESS_Capital Costs'!$D$19:$G$48,MATCH('Capital Cost Escalation'!$E121,'BESS_Capital Costs'!$B$19:$B$48,0),MATCH('Capital Cost Escalation'!$C121,'BESS_Capital Costs'!$D$7:$G$7,0))*K$10*(1+$F121)^(K$4), 0),0)</f>
        <v>201455.3043452549</v>
      </c>
      <c r="L121" s="490">
        <f>IFERROR(IF(L$6&lt;=$E$10,INDEX('BESS_Capital Costs'!$D$19:$G$48,MATCH('Capital Cost Escalation'!$E121,'BESS_Capital Costs'!$B$19:$B$48,0),MATCH('Capital Cost Escalation'!$C121,'BESS_Capital Costs'!$D$7:$G$7,0))*L$10*(1+$F121)^(L$4), 0),0)</f>
        <v>229759.45619018233</v>
      </c>
      <c r="M121" s="490">
        <f>IFERROR(IF(M$6&lt;=$E$10,INDEX('BESS_Capital Costs'!$D$19:$G$48,MATCH('Capital Cost Escalation'!$E121,'BESS_Capital Costs'!$B$19:$B$48,0),MATCH('Capital Cost Escalation'!$C121,'BESS_Capital Costs'!$D$7:$G$7,0))*M$10*(1+$F121)^(M$4), 0),0)</f>
        <v>272363.44551529235</v>
      </c>
      <c r="N121" s="490">
        <f>IFERROR(IF(N$6&lt;=$E$10,INDEX('BESS_Capital Costs'!$D$19:$G$48,MATCH('Capital Cost Escalation'!$E121,'BESS_Capital Costs'!$B$19:$B$48,0),MATCH('Capital Cost Escalation'!$C121,'BESS_Capital Costs'!$D$7:$G$7,0))*N$10*(1+$F121)^(N$4), 0),0)</f>
        <v>314191.58719220897</v>
      </c>
      <c r="O121" s="490">
        <f>IFERROR(IF(O$6&lt;=$E$10,INDEX('BESS_Capital Costs'!$D$19:$G$48,MATCH('Capital Cost Escalation'!$E121,'BESS_Capital Costs'!$B$19:$B$48,0),MATCH('Capital Cost Escalation'!$C121,'BESS_Capital Costs'!$D$7:$G$7,0))*O$10*(1+$F121)^(O$4), 0),0)</f>
        <v>338633.60155280371</v>
      </c>
      <c r="P121" s="490">
        <f>IFERROR(IF(P$6&lt;=$E$10,INDEX('BESS_Capital Costs'!$D$19:$G$48,MATCH('Capital Cost Escalation'!$E121,'BESS_Capital Costs'!$B$19:$B$48,0),MATCH('Capital Cost Escalation'!$C121,'BESS_Capital Costs'!$D$7:$G$7,0))*P$10*(1+$F121)^(P$4), 0),0)</f>
        <v>333648.96176668658</v>
      </c>
      <c r="Q121" s="490">
        <f>IFERROR(IF(Q$6&lt;=$E$10,INDEX('BESS_Capital Costs'!$D$19:$G$48,MATCH('Capital Cost Escalation'!$E121,'BESS_Capital Costs'!$B$19:$B$48,0),MATCH('Capital Cost Escalation'!$C121,'BESS_Capital Costs'!$D$7:$G$7,0))*Q$10*(1+$F121)^(Q$4), 0),0)</f>
        <v>295440.81764474965</v>
      </c>
      <c r="R121" s="490">
        <f>IFERROR(IF(R$6&lt;=$E$10,INDEX('BESS_Capital Costs'!$D$19:$G$48,MATCH('Capital Cost Escalation'!$E121,'BESS_Capital Costs'!$B$19:$B$48,0),MATCH('Capital Cost Escalation'!$C121,'BESS_Capital Costs'!$D$7:$G$7,0))*R$10*(1+$F121)^(R$4), 0),0)</f>
        <v>3286366.3028496834</v>
      </c>
      <c r="S121" s="490">
        <f>IFERROR(IF(S$6&lt;=$E$10,INDEX('BESS_Capital Costs'!$D$19:$G$48,MATCH('Capital Cost Escalation'!$E121,'BESS_Capital Costs'!$B$19:$B$48,0),MATCH('Capital Cost Escalation'!$C121,'BESS_Capital Costs'!$D$7:$G$7,0))*S$10*(1+$F121)^(S$4), 0),0)</f>
        <v>150246.41942781577</v>
      </c>
      <c r="T121" s="490">
        <f>IFERROR(IF(T$6&lt;=$E$10,INDEX('BESS_Capital Costs'!$D$19:$G$48,MATCH('Capital Cost Escalation'!$E121,'BESS_Capital Costs'!$B$19:$B$48,0),MATCH('Capital Cost Escalation'!$C121,'BESS_Capital Costs'!$D$7:$G$7,0))*T$10*(1+$F121)^(T$4), 0),0)</f>
        <v>75861.728124605666</v>
      </c>
      <c r="U121" s="490">
        <f>IFERROR(IF(U$6&lt;=$E$10,INDEX('BESS_Capital Costs'!$D$19:$G$48,MATCH('Capital Cost Escalation'!$E121,'BESS_Capital Costs'!$B$19:$B$48,0),MATCH('Capital Cost Escalation'!$C121,'BESS_Capital Costs'!$D$7:$G$7,0))*U$10*(1+$F121)^(U$4), 0),0)</f>
        <v>23937.120045938391</v>
      </c>
      <c r="V121" s="490">
        <f>IFERROR(IF(V$6&lt;=$E$10,INDEX('BESS_Capital Costs'!$D$19:$G$48,MATCH('Capital Cost Escalation'!$E121,'BESS_Capital Costs'!$B$19:$B$48,0),MATCH('Capital Cost Escalation'!$C121,'BESS_Capital Costs'!$D$7:$G$7,0))*V$10*(1+$F121)^(V$4), 0),0)</f>
        <v>765735.75341198663</v>
      </c>
      <c r="W121" s="490">
        <f>IFERROR(IF(W$6&lt;=$E$10,INDEX('BESS_Capital Costs'!$D$19:$G$48,MATCH('Capital Cost Escalation'!$E121,'BESS_Capital Costs'!$B$19:$B$48,0),MATCH('Capital Cost Escalation'!$C121,'BESS_Capital Costs'!$D$7:$G$7,0))*W$10*(1+$F121)^(W$4), 0),0)</f>
        <v>0</v>
      </c>
      <c r="X121" s="490">
        <f>IFERROR(IF(X$6&lt;=$E$10,INDEX('BESS_Capital Costs'!$D$19:$G$48,MATCH('Capital Cost Escalation'!$E121,'BESS_Capital Costs'!$B$19:$B$48,0),MATCH('Capital Cost Escalation'!$C121,'BESS_Capital Costs'!$D$7:$G$7,0))*X$10*(1+$F121)^(X$4), 0),0)</f>
        <v>0</v>
      </c>
      <c r="Y121" s="490">
        <f>IFERROR(IF(Y$6&lt;=$E$10,INDEX('BESS_Capital Costs'!$D$19:$G$48,MATCH('Capital Cost Escalation'!$E121,'BESS_Capital Costs'!$B$19:$B$48,0),MATCH('Capital Cost Escalation'!$C121,'BESS_Capital Costs'!$D$7:$G$7,0))*Y$10*(1+$F121)^(Y$4), 0),0)</f>
        <v>0</v>
      </c>
      <c r="Z121" s="490">
        <f>IFERROR(IF(Z$6&lt;=$E$10,INDEX('BESS_Capital Costs'!$D$19:$G$48,MATCH('Capital Cost Escalation'!$E121,'BESS_Capital Costs'!$B$19:$B$48,0),MATCH('Capital Cost Escalation'!$C121,'BESS_Capital Costs'!$D$7:$G$7,0))*Z$10*(1+$F121)^(Z$4), 0),0)</f>
        <v>0</v>
      </c>
      <c r="AA121" s="490">
        <f>IFERROR(IF(AA$6&lt;=$E$10,INDEX('BESS_Capital Costs'!$D$19:$G$48,MATCH('Capital Cost Escalation'!$E121,'BESS_Capital Costs'!$B$19:$B$48,0),MATCH('Capital Cost Escalation'!$C121,'BESS_Capital Costs'!$D$7:$G$7,0))*AA$10*(1+$F121)^(AA$4), 0),0)</f>
        <v>0</v>
      </c>
      <c r="AB121" s="490">
        <f>IFERROR(IF(AB$6&lt;=$E$10,INDEX('BESS_Capital Costs'!$D$19:$G$48,MATCH('Capital Cost Escalation'!$E121,'BESS_Capital Costs'!$B$19:$B$48,0),MATCH('Capital Cost Escalation'!$C121,'BESS_Capital Costs'!$D$7:$G$7,0))*AB$10*(1+$F121)^(AB$4), 0),0)</f>
        <v>0</v>
      </c>
      <c r="AC121" s="490">
        <f>IFERROR(IF(AC$6&lt;=$E$10,INDEX('BESS_Capital Costs'!$D$19:$G$48,MATCH('Capital Cost Escalation'!$E121,'BESS_Capital Costs'!$B$19:$B$48,0),MATCH('Capital Cost Escalation'!$C121,'BESS_Capital Costs'!$D$7:$G$7,0))*AC$10*(1+$F121)^(AC$4), 0),0)</f>
        <v>0</v>
      </c>
      <c r="AD121" s="490">
        <f>IFERROR(IF(AD$6&lt;=$E$10,INDEX('BESS_Capital Costs'!$D$19:$G$48,MATCH('Capital Cost Escalation'!$E121,'BESS_Capital Costs'!$B$19:$B$48,0),MATCH('Capital Cost Escalation'!$C121,'BESS_Capital Costs'!$D$7:$G$7,0))*AD$10*(1+$F121)^(AD$4), 0),0)</f>
        <v>0</v>
      </c>
      <c r="AE121" s="490">
        <f>IFERROR(IF(AE$6&lt;=$E$10,INDEX('BESS_Capital Costs'!$D$19:$G$48,MATCH('Capital Cost Escalation'!$E121,'BESS_Capital Costs'!$B$19:$B$48,0),MATCH('Capital Cost Escalation'!$C121,'BESS_Capital Costs'!$D$7:$G$7,0))*AE$10*(1+$F121)^(AE$4), 0),0)</f>
        <v>0</v>
      </c>
      <c r="AF121" s="490">
        <f>IFERROR(IF(AF$6&lt;=$E$10,INDEX('BESS_Capital Costs'!$D$19:$G$48,MATCH('Capital Cost Escalation'!$E121,'BESS_Capital Costs'!$B$19:$B$48,0),MATCH('Capital Cost Escalation'!$C121,'BESS_Capital Costs'!$D$7:$G$7,0))*AF$10*(1+$F121)^(AF$4), 0),0)</f>
        <v>0</v>
      </c>
      <c r="AG121" s="490">
        <f>IFERROR(IF(AG$6&lt;=$E$10,INDEX('BESS_Capital Costs'!$D$19:$G$48,MATCH('Capital Cost Escalation'!$E121,'BESS_Capital Costs'!$B$19:$B$48,0),MATCH('Capital Cost Escalation'!$C121,'BESS_Capital Costs'!$D$7:$G$7,0))*AG$10*(1+$F121)^(AG$4), 0),0)</f>
        <v>0</v>
      </c>
      <c r="AH121" s="490">
        <f>IFERROR(IF(AH$6&lt;=$E$10,INDEX('BESS_Capital Costs'!$D$19:$G$48,MATCH('Capital Cost Escalation'!$E121,'BESS_Capital Costs'!$B$19:$B$48,0),MATCH('Capital Cost Escalation'!$C121,'BESS_Capital Costs'!$D$7:$G$7,0))*AH$10*(1+$F121)^(AH$4), 0),0)</f>
        <v>0</v>
      </c>
      <c r="AI121" s="490">
        <f>IFERROR(IF(AI$6&lt;=$E$10,INDEX('BESS_Capital Costs'!$D$19:$G$48,MATCH('Capital Cost Escalation'!$E121,'BESS_Capital Costs'!$B$19:$B$48,0),MATCH('Capital Cost Escalation'!$C121,'BESS_Capital Costs'!$D$7:$G$7,0))*AI$10*(1+$F121)^(AI$4), 0),0)</f>
        <v>0</v>
      </c>
      <c r="AJ121" s="490">
        <f>IFERROR(IF(AJ$6&lt;=$E$10,INDEX('BESS_Capital Costs'!$D$19:$G$48,MATCH('Capital Cost Escalation'!$E121,'BESS_Capital Costs'!$B$19:$B$48,0),MATCH('Capital Cost Escalation'!$C121,'BESS_Capital Costs'!$D$7:$G$7,0))*AJ$10*(1+$F121)^(AJ$4), 0),0)</f>
        <v>0</v>
      </c>
      <c r="AK121" s="490">
        <f>IFERROR(IF(AK$6&lt;=$E$10,INDEX('BESS_Capital Costs'!$D$19:$G$48,MATCH('Capital Cost Escalation'!$E121,'BESS_Capital Costs'!$B$19:$B$48,0),MATCH('Capital Cost Escalation'!$C121,'BESS_Capital Costs'!$D$7:$G$7,0))*AK$10*(1+$F121)^(AK$4), 0),0)</f>
        <v>0</v>
      </c>
      <c r="AL121" s="490">
        <f>IFERROR(IF(AL$6&lt;=$E$10,INDEX('BESS_Capital Costs'!$D$19:$G$48,MATCH('Capital Cost Escalation'!$E121,'BESS_Capital Costs'!$B$19:$B$48,0),MATCH('Capital Cost Escalation'!$C121,'BESS_Capital Costs'!$D$7:$G$7,0))*AL$10*(1+$F121)^(AL$4), 0),0)</f>
        <v>0</v>
      </c>
      <c r="AM121" s="490">
        <f>IFERROR(IF(AM$6&lt;=$E$10,INDEX('BESS_Capital Costs'!$D$19:$G$48,MATCH('Capital Cost Escalation'!$E121,'BESS_Capital Costs'!$B$19:$B$48,0),MATCH('Capital Cost Escalation'!$C121,'BESS_Capital Costs'!$D$7:$G$7,0))*AM$10*(1+$F121)^(AM$4), 0),0)</f>
        <v>0</v>
      </c>
      <c r="AN121" s="490">
        <f>IFERROR(IF(AN$6&lt;=$E$10,INDEX('BESS_Capital Costs'!$D$19:$G$48,MATCH('Capital Cost Escalation'!$E121,'BESS_Capital Costs'!$B$19:$B$48,0),MATCH('Capital Cost Escalation'!$C121,'BESS_Capital Costs'!$D$7:$G$7,0))*AN$10*(1+$F121)^(AN$4), 0),0)</f>
        <v>0</v>
      </c>
      <c r="AO121" s="490">
        <f>IFERROR(IF(AO$6&lt;=$E$10,INDEX('BESS_Capital Costs'!$D$19:$G$48,MATCH('Capital Cost Escalation'!$E121,'BESS_Capital Costs'!$B$19:$B$48,0),MATCH('Capital Cost Escalation'!$C121,'BESS_Capital Costs'!$D$7:$G$7,0))*AO$10*(1+$F121)^(AO$4), 0),0)</f>
        <v>0</v>
      </c>
      <c r="AP121" s="490">
        <f>IFERROR(IF(AP$6&lt;=$E$10,INDEX('BESS_Capital Costs'!$D$19:$G$48,MATCH('Capital Cost Escalation'!$E121,'BESS_Capital Costs'!$B$19:$B$48,0),MATCH('Capital Cost Escalation'!$C121,'BESS_Capital Costs'!$D$7:$G$7,0))*AP$10*(1+$F121)^(AP$4), 0),0)</f>
        <v>0</v>
      </c>
      <c r="AQ121" s="490">
        <f>IFERROR(IF(AQ$6&lt;=$E$10,INDEX('BESS_Capital Costs'!$D$19:$G$48,MATCH('Capital Cost Escalation'!$E121,'BESS_Capital Costs'!$B$19:$B$48,0),MATCH('Capital Cost Escalation'!$C121,'BESS_Capital Costs'!$D$7:$G$7,0))*AQ$10*(1+$F121)^(AQ$4), 0),0)</f>
        <v>0</v>
      </c>
      <c r="AR121" s="490">
        <f>IFERROR(IF(AR$6&lt;=$E$10,INDEX('BESS_Capital Costs'!$D$19:$G$48,MATCH('Capital Cost Escalation'!$E121,'BESS_Capital Costs'!$B$19:$B$48,0),MATCH('Capital Cost Escalation'!$C121,'BESS_Capital Costs'!$D$7:$G$7,0))*AR$10*(1+$F121)^(AR$4), 0),0)</f>
        <v>0</v>
      </c>
      <c r="AS121" s="490">
        <f>IFERROR(IF(AS$6&lt;=$E$10,INDEX('BESS_Capital Costs'!$D$19:$G$48,MATCH('Capital Cost Escalation'!$E121,'BESS_Capital Costs'!$B$19:$B$48,0),MATCH('Capital Cost Escalation'!$C121,'BESS_Capital Costs'!$D$7:$G$7,0))*AS$10*(1+$F121)^(AS$4), 0),0)</f>
        <v>0</v>
      </c>
      <c r="AT121" s="490">
        <f>IFERROR(IF(AT$6&lt;=$E$10,INDEX('BESS_Capital Costs'!$D$19:$G$48,MATCH('Capital Cost Escalation'!$E121,'BESS_Capital Costs'!$B$19:$B$48,0),MATCH('Capital Cost Escalation'!$C121,'BESS_Capital Costs'!$D$7:$G$7,0))*AT$10*(1+$F121)^(AT$4), 0),0)</f>
        <v>0</v>
      </c>
      <c r="AV121" s="827">
        <f t="shared" si="21"/>
        <v>10768449.683465565</v>
      </c>
      <c r="AW121" s="828">
        <f>INDEX('BESS_Capital Costs'!$D$19:$G$48,MATCH('Capital Cost Escalation'!$E121,'BESS_Capital Costs'!$B$19:$B$48,0),MATCH('Capital Cost Escalation'!$C121,'BESS_Capital Costs'!$D$7:$G$7,0))</f>
        <v>10914100</v>
      </c>
    </row>
    <row r="122" spans="1:49">
      <c r="A122" s="487" t="str">
        <f t="shared" si="13"/>
        <v>BESS_WMAAC_Construction &amp; Materials</v>
      </c>
      <c r="B122" s="478" t="s">
        <v>700</v>
      </c>
      <c r="C122" s="488" t="s">
        <v>122</v>
      </c>
      <c r="E122" s="1478" t="s">
        <v>640</v>
      </c>
      <c r="F122" s="1325">
        <f>INDEX('BESS_Capital Costs_Nominal$'!$F:$F,MATCH('Capital Cost Escalation'!$E122,'BESS_Capital Costs_Nominal$'!$C:$C,0),1)</f>
        <v>-2.5895842177414696E-4</v>
      </c>
      <c r="G122" s="490">
        <f>IFERROR(IF(G$6&lt;=$E$10,INDEX('BESS_Capital Costs'!$D$19:$G$48,MATCH('Capital Cost Escalation'!$E122,'BESS_Capital Costs'!$B$19:$B$48,0),MATCH('Capital Cost Escalation'!$C122,'BESS_Capital Costs'!$D$7:$G$7,0))*G$10*(1+$F122)^(G$4), 0),0)</f>
        <v>515758.9714530342</v>
      </c>
      <c r="H122" s="490">
        <f>IFERROR(IF(H$6&lt;=$E$10,INDEX('BESS_Capital Costs'!$D$19:$G$48,MATCH('Capital Cost Escalation'!$E122,'BESS_Capital Costs'!$B$19:$B$48,0),MATCH('Capital Cost Escalation'!$C122,'BESS_Capital Costs'!$D$7:$G$7,0))*H$10*(1+$F122)^(H$4), 0),0)</f>
        <v>832681.32830754376</v>
      </c>
      <c r="I122" s="490">
        <f>IFERROR(IF(I$6&lt;=$E$10,INDEX('BESS_Capital Costs'!$D$19:$G$48,MATCH('Capital Cost Escalation'!$E122,'BESS_Capital Costs'!$B$19:$B$48,0),MATCH('Capital Cost Escalation'!$C122,'BESS_Capital Costs'!$D$7:$G$7,0))*I$10*(1+$F122)^(I$4), 0),0)</f>
        <v>20009032.334876336</v>
      </c>
      <c r="J122" s="490">
        <f>IFERROR(IF(J$6&lt;=$E$10,INDEX('BESS_Capital Costs'!$D$19:$G$48,MATCH('Capital Cost Escalation'!$E122,'BESS_Capital Costs'!$B$19:$B$48,0),MATCH('Capital Cost Escalation'!$C122,'BESS_Capital Costs'!$D$7:$G$7,0))*J$10*(1+$F122)^(J$4), 0),0)</f>
        <v>957976.09953008534</v>
      </c>
      <c r="K122" s="490">
        <f>IFERROR(IF(K$6&lt;=$E$10,INDEX('BESS_Capital Costs'!$D$19:$G$48,MATCH('Capital Cost Escalation'!$E122,'BESS_Capital Costs'!$B$19:$B$48,0),MATCH('Capital Cost Escalation'!$C122,'BESS_Capital Costs'!$D$7:$G$7,0))*K$10*(1+$F122)^(K$4), 0),0)</f>
        <v>1003293.2290427088</v>
      </c>
      <c r="L122" s="490">
        <f>IFERROR(IF(L$6&lt;=$E$10,INDEX('BESS_Capital Costs'!$D$19:$G$48,MATCH('Capital Cost Escalation'!$E122,'BESS_Capital Costs'!$B$19:$B$48,0),MATCH('Capital Cost Escalation'!$C122,'BESS_Capital Costs'!$D$7:$G$7,0))*L$10*(1+$F122)^(L$4), 0),0)</f>
        <v>1144254.3419412049</v>
      </c>
      <c r="M122" s="490">
        <f>IFERROR(IF(M$6&lt;=$E$10,INDEX('BESS_Capital Costs'!$D$19:$G$48,MATCH('Capital Cost Escalation'!$E122,'BESS_Capital Costs'!$B$19:$B$48,0),MATCH('Capital Cost Escalation'!$C122,'BESS_Capital Costs'!$D$7:$G$7,0))*M$10*(1+$F122)^(M$4), 0),0)</f>
        <v>1356431.897449177</v>
      </c>
      <c r="N122" s="490">
        <f>IFERROR(IF(N$6&lt;=$E$10,INDEX('BESS_Capital Costs'!$D$19:$G$48,MATCH('Capital Cost Escalation'!$E122,'BESS_Capital Costs'!$B$19:$B$48,0),MATCH('Capital Cost Escalation'!$C122,'BESS_Capital Costs'!$D$7:$G$7,0))*N$10*(1+$F122)^(N$4), 0),0)</f>
        <v>1564745.555231889</v>
      </c>
      <c r="O122" s="490">
        <f>IFERROR(IF(O$6&lt;=$E$10,INDEX('BESS_Capital Costs'!$D$19:$G$48,MATCH('Capital Cost Escalation'!$E122,'BESS_Capital Costs'!$B$19:$B$48,0),MATCH('Capital Cost Escalation'!$C122,'BESS_Capital Costs'!$D$7:$G$7,0))*O$10*(1+$F122)^(O$4), 0),0)</f>
        <v>1686472.3451610466</v>
      </c>
      <c r="P122" s="490">
        <f>IFERROR(IF(P$6&lt;=$E$10,INDEX('BESS_Capital Costs'!$D$19:$G$48,MATCH('Capital Cost Escalation'!$E122,'BESS_Capital Costs'!$B$19:$B$48,0),MATCH('Capital Cost Escalation'!$C122,'BESS_Capital Costs'!$D$7:$G$7,0))*P$10*(1+$F122)^(P$4), 0),0)</f>
        <v>1661647.7054580513</v>
      </c>
      <c r="Q122" s="490">
        <f>IFERROR(IF(Q$6&lt;=$E$10,INDEX('BESS_Capital Costs'!$D$19:$G$48,MATCH('Capital Cost Escalation'!$E122,'BESS_Capital Costs'!$B$19:$B$48,0),MATCH('Capital Cost Escalation'!$C122,'BESS_Capital Costs'!$D$7:$G$7,0))*Q$10*(1+$F122)^(Q$4), 0),0)</f>
        <v>1471362.4587309144</v>
      </c>
      <c r="R122" s="490">
        <f>IFERROR(IF(R$6&lt;=$E$10,INDEX('BESS_Capital Costs'!$D$19:$G$48,MATCH('Capital Cost Escalation'!$E122,'BESS_Capital Costs'!$B$19:$B$48,0),MATCH('Capital Cost Escalation'!$C122,'BESS_Capital Costs'!$D$7:$G$7,0))*R$10*(1+$F122)^(R$4), 0),0)</f>
        <v>16366851.548135318</v>
      </c>
      <c r="S122" s="490">
        <f>IFERROR(IF(S$6&lt;=$E$10,INDEX('BESS_Capital Costs'!$D$19:$G$48,MATCH('Capital Cost Escalation'!$E122,'BESS_Capital Costs'!$B$19:$B$48,0),MATCH('Capital Cost Escalation'!$C122,'BESS_Capital Costs'!$D$7:$G$7,0))*S$10*(1+$F122)^(S$4), 0),0)</f>
        <v>748261.33662629966</v>
      </c>
      <c r="T122" s="490">
        <f>IFERROR(IF(T$6&lt;=$E$10,INDEX('BESS_Capital Costs'!$D$19:$G$48,MATCH('Capital Cost Escalation'!$E122,'BESS_Capital Costs'!$B$19:$B$48,0),MATCH('Capital Cost Escalation'!$C122,'BESS_Capital Costs'!$D$7:$G$7,0))*T$10*(1+$F122)^(T$4), 0),0)</f>
        <v>377808.6579465557</v>
      </c>
      <c r="U122" s="490">
        <f>IFERROR(IF(U$6&lt;=$E$10,INDEX('BESS_Capital Costs'!$D$19:$G$48,MATCH('Capital Cost Escalation'!$E122,'BESS_Capital Costs'!$B$19:$B$48,0),MATCH('Capital Cost Escalation'!$C122,'BESS_Capital Costs'!$D$7:$G$7,0))*U$10*(1+$F122)^(U$4), 0),0)</f>
        <v>119212.30142301861</v>
      </c>
      <c r="V122" s="490">
        <f>IFERROR(IF(V$6&lt;=$E$10,INDEX('BESS_Capital Costs'!$D$19:$G$48,MATCH('Capital Cost Escalation'!$E122,'BESS_Capital Costs'!$B$19:$B$48,0),MATCH('Capital Cost Escalation'!$C122,'BESS_Capital Costs'!$D$7:$G$7,0))*V$10*(1+$F122)^(V$4), 0),0)</f>
        <v>3813538.1896796357</v>
      </c>
      <c r="W122" s="490">
        <f>IFERROR(IF(W$6&lt;=$E$10,INDEX('BESS_Capital Costs'!$D$19:$G$48,MATCH('Capital Cost Escalation'!$E122,'BESS_Capital Costs'!$B$19:$B$48,0),MATCH('Capital Cost Escalation'!$C122,'BESS_Capital Costs'!$D$7:$G$7,0))*W$10*(1+$F122)^(W$4), 0),0)</f>
        <v>0</v>
      </c>
      <c r="X122" s="490">
        <f>IFERROR(IF(X$6&lt;=$E$10,INDEX('BESS_Capital Costs'!$D$19:$G$48,MATCH('Capital Cost Escalation'!$E122,'BESS_Capital Costs'!$B$19:$B$48,0),MATCH('Capital Cost Escalation'!$C122,'BESS_Capital Costs'!$D$7:$G$7,0))*X$10*(1+$F122)^(X$4), 0),0)</f>
        <v>0</v>
      </c>
      <c r="Y122" s="490">
        <f>IFERROR(IF(Y$6&lt;=$E$10,INDEX('BESS_Capital Costs'!$D$19:$G$48,MATCH('Capital Cost Escalation'!$E122,'BESS_Capital Costs'!$B$19:$B$48,0),MATCH('Capital Cost Escalation'!$C122,'BESS_Capital Costs'!$D$7:$G$7,0))*Y$10*(1+$F122)^(Y$4), 0),0)</f>
        <v>0</v>
      </c>
      <c r="Z122" s="490">
        <f>IFERROR(IF(Z$6&lt;=$E$10,INDEX('BESS_Capital Costs'!$D$19:$G$48,MATCH('Capital Cost Escalation'!$E122,'BESS_Capital Costs'!$B$19:$B$48,0),MATCH('Capital Cost Escalation'!$C122,'BESS_Capital Costs'!$D$7:$G$7,0))*Z$10*(1+$F122)^(Z$4), 0),0)</f>
        <v>0</v>
      </c>
      <c r="AA122" s="490">
        <f>IFERROR(IF(AA$6&lt;=$E$10,INDEX('BESS_Capital Costs'!$D$19:$G$48,MATCH('Capital Cost Escalation'!$E122,'BESS_Capital Costs'!$B$19:$B$48,0),MATCH('Capital Cost Escalation'!$C122,'BESS_Capital Costs'!$D$7:$G$7,0))*AA$10*(1+$F122)^(AA$4), 0),0)</f>
        <v>0</v>
      </c>
      <c r="AB122" s="490">
        <f>IFERROR(IF(AB$6&lt;=$E$10,INDEX('BESS_Capital Costs'!$D$19:$G$48,MATCH('Capital Cost Escalation'!$E122,'BESS_Capital Costs'!$B$19:$B$48,0),MATCH('Capital Cost Escalation'!$C122,'BESS_Capital Costs'!$D$7:$G$7,0))*AB$10*(1+$F122)^(AB$4), 0),0)</f>
        <v>0</v>
      </c>
      <c r="AC122" s="490">
        <f>IFERROR(IF(AC$6&lt;=$E$10,INDEX('BESS_Capital Costs'!$D$19:$G$48,MATCH('Capital Cost Escalation'!$E122,'BESS_Capital Costs'!$B$19:$B$48,0),MATCH('Capital Cost Escalation'!$C122,'BESS_Capital Costs'!$D$7:$G$7,0))*AC$10*(1+$F122)^(AC$4), 0),0)</f>
        <v>0</v>
      </c>
      <c r="AD122" s="490">
        <f>IFERROR(IF(AD$6&lt;=$E$10,INDEX('BESS_Capital Costs'!$D$19:$G$48,MATCH('Capital Cost Escalation'!$E122,'BESS_Capital Costs'!$B$19:$B$48,0),MATCH('Capital Cost Escalation'!$C122,'BESS_Capital Costs'!$D$7:$G$7,0))*AD$10*(1+$F122)^(AD$4), 0),0)</f>
        <v>0</v>
      </c>
      <c r="AE122" s="490">
        <f>IFERROR(IF(AE$6&lt;=$E$10,INDEX('BESS_Capital Costs'!$D$19:$G$48,MATCH('Capital Cost Escalation'!$E122,'BESS_Capital Costs'!$B$19:$B$48,0),MATCH('Capital Cost Escalation'!$C122,'BESS_Capital Costs'!$D$7:$G$7,0))*AE$10*(1+$F122)^(AE$4), 0),0)</f>
        <v>0</v>
      </c>
      <c r="AF122" s="490">
        <f>IFERROR(IF(AF$6&lt;=$E$10,INDEX('BESS_Capital Costs'!$D$19:$G$48,MATCH('Capital Cost Escalation'!$E122,'BESS_Capital Costs'!$B$19:$B$48,0),MATCH('Capital Cost Escalation'!$C122,'BESS_Capital Costs'!$D$7:$G$7,0))*AF$10*(1+$F122)^(AF$4), 0),0)</f>
        <v>0</v>
      </c>
      <c r="AG122" s="490">
        <f>IFERROR(IF(AG$6&lt;=$E$10,INDEX('BESS_Capital Costs'!$D$19:$G$48,MATCH('Capital Cost Escalation'!$E122,'BESS_Capital Costs'!$B$19:$B$48,0),MATCH('Capital Cost Escalation'!$C122,'BESS_Capital Costs'!$D$7:$G$7,0))*AG$10*(1+$F122)^(AG$4), 0),0)</f>
        <v>0</v>
      </c>
      <c r="AH122" s="490">
        <f>IFERROR(IF(AH$6&lt;=$E$10,INDEX('BESS_Capital Costs'!$D$19:$G$48,MATCH('Capital Cost Escalation'!$E122,'BESS_Capital Costs'!$B$19:$B$48,0),MATCH('Capital Cost Escalation'!$C122,'BESS_Capital Costs'!$D$7:$G$7,0))*AH$10*(1+$F122)^(AH$4), 0),0)</f>
        <v>0</v>
      </c>
      <c r="AI122" s="490">
        <f>IFERROR(IF(AI$6&lt;=$E$10,INDEX('BESS_Capital Costs'!$D$19:$G$48,MATCH('Capital Cost Escalation'!$E122,'BESS_Capital Costs'!$B$19:$B$48,0),MATCH('Capital Cost Escalation'!$C122,'BESS_Capital Costs'!$D$7:$G$7,0))*AI$10*(1+$F122)^(AI$4), 0),0)</f>
        <v>0</v>
      </c>
      <c r="AJ122" s="490">
        <f>IFERROR(IF(AJ$6&lt;=$E$10,INDEX('BESS_Capital Costs'!$D$19:$G$48,MATCH('Capital Cost Escalation'!$E122,'BESS_Capital Costs'!$B$19:$B$48,0),MATCH('Capital Cost Escalation'!$C122,'BESS_Capital Costs'!$D$7:$G$7,0))*AJ$10*(1+$F122)^(AJ$4), 0),0)</f>
        <v>0</v>
      </c>
      <c r="AK122" s="490">
        <f>IFERROR(IF(AK$6&lt;=$E$10,INDEX('BESS_Capital Costs'!$D$19:$G$48,MATCH('Capital Cost Escalation'!$E122,'BESS_Capital Costs'!$B$19:$B$48,0),MATCH('Capital Cost Escalation'!$C122,'BESS_Capital Costs'!$D$7:$G$7,0))*AK$10*(1+$F122)^(AK$4), 0),0)</f>
        <v>0</v>
      </c>
      <c r="AL122" s="490">
        <f>IFERROR(IF(AL$6&lt;=$E$10,INDEX('BESS_Capital Costs'!$D$19:$G$48,MATCH('Capital Cost Escalation'!$E122,'BESS_Capital Costs'!$B$19:$B$48,0),MATCH('Capital Cost Escalation'!$C122,'BESS_Capital Costs'!$D$7:$G$7,0))*AL$10*(1+$F122)^(AL$4), 0),0)</f>
        <v>0</v>
      </c>
      <c r="AM122" s="490">
        <f>IFERROR(IF(AM$6&lt;=$E$10,INDEX('BESS_Capital Costs'!$D$19:$G$48,MATCH('Capital Cost Escalation'!$E122,'BESS_Capital Costs'!$B$19:$B$48,0),MATCH('Capital Cost Escalation'!$C122,'BESS_Capital Costs'!$D$7:$G$7,0))*AM$10*(1+$F122)^(AM$4), 0),0)</f>
        <v>0</v>
      </c>
      <c r="AN122" s="490">
        <f>IFERROR(IF(AN$6&lt;=$E$10,INDEX('BESS_Capital Costs'!$D$19:$G$48,MATCH('Capital Cost Escalation'!$E122,'BESS_Capital Costs'!$B$19:$B$48,0),MATCH('Capital Cost Escalation'!$C122,'BESS_Capital Costs'!$D$7:$G$7,0))*AN$10*(1+$F122)^(AN$4), 0),0)</f>
        <v>0</v>
      </c>
      <c r="AO122" s="490">
        <f>IFERROR(IF(AO$6&lt;=$E$10,INDEX('BESS_Capital Costs'!$D$19:$G$48,MATCH('Capital Cost Escalation'!$E122,'BESS_Capital Costs'!$B$19:$B$48,0),MATCH('Capital Cost Escalation'!$C122,'BESS_Capital Costs'!$D$7:$G$7,0))*AO$10*(1+$F122)^(AO$4), 0),0)</f>
        <v>0</v>
      </c>
      <c r="AP122" s="490">
        <f>IFERROR(IF(AP$6&lt;=$E$10,INDEX('BESS_Capital Costs'!$D$19:$G$48,MATCH('Capital Cost Escalation'!$E122,'BESS_Capital Costs'!$B$19:$B$48,0),MATCH('Capital Cost Escalation'!$C122,'BESS_Capital Costs'!$D$7:$G$7,0))*AP$10*(1+$F122)^(AP$4), 0),0)</f>
        <v>0</v>
      </c>
      <c r="AQ122" s="490">
        <f>IFERROR(IF(AQ$6&lt;=$E$10,INDEX('BESS_Capital Costs'!$D$19:$G$48,MATCH('Capital Cost Escalation'!$E122,'BESS_Capital Costs'!$B$19:$B$48,0),MATCH('Capital Cost Escalation'!$C122,'BESS_Capital Costs'!$D$7:$G$7,0))*AQ$10*(1+$F122)^(AQ$4), 0),0)</f>
        <v>0</v>
      </c>
      <c r="AR122" s="490">
        <f>IFERROR(IF(AR$6&lt;=$E$10,INDEX('BESS_Capital Costs'!$D$19:$G$48,MATCH('Capital Cost Escalation'!$E122,'BESS_Capital Costs'!$B$19:$B$48,0),MATCH('Capital Cost Escalation'!$C122,'BESS_Capital Costs'!$D$7:$G$7,0))*AR$10*(1+$F122)^(AR$4), 0),0)</f>
        <v>0</v>
      </c>
      <c r="AS122" s="490">
        <f>IFERROR(IF(AS$6&lt;=$E$10,INDEX('BESS_Capital Costs'!$D$19:$G$48,MATCH('Capital Cost Escalation'!$E122,'BESS_Capital Costs'!$B$19:$B$48,0),MATCH('Capital Cost Escalation'!$C122,'BESS_Capital Costs'!$D$7:$G$7,0))*AS$10*(1+$F122)^(AS$4), 0),0)</f>
        <v>0</v>
      </c>
      <c r="AT122" s="490">
        <f>IFERROR(IF(AT$6&lt;=$E$10,INDEX('BESS_Capital Costs'!$D$19:$G$48,MATCH('Capital Cost Escalation'!$E122,'BESS_Capital Costs'!$B$19:$B$48,0),MATCH('Capital Cost Escalation'!$C122,'BESS_Capital Costs'!$D$7:$G$7,0))*AT$10*(1+$F122)^(AT$4), 0),0)</f>
        <v>0</v>
      </c>
      <c r="AV122" s="827">
        <f>SUM(G122:AT122)</f>
        <v>53629328.300992817</v>
      </c>
      <c r="AW122" s="828">
        <f>INDEX('BESS_Capital Costs'!$D$19:$G$48,MATCH('Capital Cost Escalation'!$E122,'BESS_Capital Costs'!$B$19:$B$48,0),MATCH('Capital Cost Escalation'!$C122,'BESS_Capital Costs'!$D$7:$G$7,0))</f>
        <v>54354700</v>
      </c>
    </row>
    <row r="123" spans="1:49">
      <c r="A123" s="487" t="str">
        <f t="shared" si="13"/>
        <v>BESS_WMAAC_Optional Augmentation to Maintain Nameplate over 15 Years</v>
      </c>
      <c r="B123" s="478" t="s">
        <v>700</v>
      </c>
      <c r="C123" s="488" t="s">
        <v>122</v>
      </c>
      <c r="E123" s="1478" t="s">
        <v>636</v>
      </c>
      <c r="F123" s="1325">
        <f>INDEX('BESS_Capital Costs_Nominal$'!$F:$F,MATCH('Capital Cost Escalation'!$E123,'BESS_Capital Costs_Nominal$'!$C:$C,0),1)</f>
        <v>-2.5895842177414696E-4</v>
      </c>
      <c r="G123" s="490">
        <f>IFERROR(IF(G$6&lt;=$E$10,INDEX('BESS_Capital Costs'!$D$19:$G$48,MATCH('Capital Cost Escalation'!$E123,'BESS_Capital Costs'!$B$19:$B$48,0),MATCH('Capital Cost Escalation'!$C123,'BESS_Capital Costs'!$D$7:$G$7,0))*G$10*(1+$F123)^(G$4), 0),0)</f>
        <v>0</v>
      </c>
      <c r="H123" s="490">
        <f>IFERROR(IF(H$6&lt;=$E$10,INDEX('BESS_Capital Costs'!$D$19:$G$48,MATCH('Capital Cost Escalation'!$E123,'BESS_Capital Costs'!$B$19:$B$48,0),MATCH('Capital Cost Escalation'!$C123,'BESS_Capital Costs'!$D$7:$G$7,0))*H$10*(1+$F123)^(H$4), 0),0)</f>
        <v>0</v>
      </c>
      <c r="I123" s="490">
        <f>IFERROR(IF(I$6&lt;=$E$10,INDEX('BESS_Capital Costs'!$D$19:$G$48,MATCH('Capital Cost Escalation'!$E123,'BESS_Capital Costs'!$B$19:$B$48,0),MATCH('Capital Cost Escalation'!$C123,'BESS_Capital Costs'!$D$7:$G$7,0))*I$10*(1+$F123)^(I$4), 0),0)</f>
        <v>0</v>
      </c>
      <c r="J123" s="490">
        <f>IFERROR(IF(J$6&lt;=$E$10,INDEX('BESS_Capital Costs'!$D$19:$G$48,MATCH('Capital Cost Escalation'!$E123,'BESS_Capital Costs'!$B$19:$B$48,0),MATCH('Capital Cost Escalation'!$C123,'BESS_Capital Costs'!$D$7:$G$7,0))*J$10*(1+$F123)^(J$4), 0),0)</f>
        <v>0</v>
      </c>
      <c r="K123" s="490">
        <f>IFERROR(IF(K$6&lt;=$E$10,INDEX('BESS_Capital Costs'!$D$19:$G$48,MATCH('Capital Cost Escalation'!$E123,'BESS_Capital Costs'!$B$19:$B$48,0),MATCH('Capital Cost Escalation'!$C123,'BESS_Capital Costs'!$D$7:$G$7,0))*K$10*(1+$F123)^(K$4), 0),0)</f>
        <v>0</v>
      </c>
      <c r="L123" s="490">
        <f>IFERROR(IF(L$6&lt;=$E$10,INDEX('BESS_Capital Costs'!$D$19:$G$48,MATCH('Capital Cost Escalation'!$E123,'BESS_Capital Costs'!$B$19:$B$48,0),MATCH('Capital Cost Escalation'!$C123,'BESS_Capital Costs'!$D$7:$G$7,0))*L$10*(1+$F123)^(L$4), 0),0)</f>
        <v>0</v>
      </c>
      <c r="M123" s="490">
        <f>IFERROR(IF(M$6&lt;=$E$10,INDEX('BESS_Capital Costs'!$D$19:$G$48,MATCH('Capital Cost Escalation'!$E123,'BESS_Capital Costs'!$B$19:$B$48,0),MATCH('Capital Cost Escalation'!$C123,'BESS_Capital Costs'!$D$7:$G$7,0))*M$10*(1+$F123)^(M$4), 0),0)</f>
        <v>0</v>
      </c>
      <c r="N123" s="490">
        <f>IFERROR(IF(N$6&lt;=$E$10,INDEX('BESS_Capital Costs'!$D$19:$G$48,MATCH('Capital Cost Escalation'!$E123,'BESS_Capital Costs'!$B$19:$B$48,0),MATCH('Capital Cost Escalation'!$C123,'BESS_Capital Costs'!$D$7:$G$7,0))*N$10*(1+$F123)^(N$4), 0),0)</f>
        <v>0</v>
      </c>
      <c r="O123" s="490">
        <f>IFERROR(IF(O$6&lt;=$E$10,INDEX('BESS_Capital Costs'!$D$19:$G$48,MATCH('Capital Cost Escalation'!$E123,'BESS_Capital Costs'!$B$19:$B$48,0),MATCH('Capital Cost Escalation'!$C123,'BESS_Capital Costs'!$D$7:$G$7,0))*O$10*(1+$F123)^(O$4), 0),0)</f>
        <v>0</v>
      </c>
      <c r="P123" s="490">
        <f>IFERROR(IF(P$6&lt;=$E$10,INDEX('BESS_Capital Costs'!$D$19:$G$48,MATCH('Capital Cost Escalation'!$E123,'BESS_Capital Costs'!$B$19:$B$48,0),MATCH('Capital Cost Escalation'!$C123,'BESS_Capital Costs'!$D$7:$G$7,0))*P$10*(1+$F123)^(P$4), 0),0)</f>
        <v>0</v>
      </c>
      <c r="Q123" s="490">
        <f>IFERROR(IF(Q$6&lt;=$E$10,INDEX('BESS_Capital Costs'!$D$19:$G$48,MATCH('Capital Cost Escalation'!$E123,'BESS_Capital Costs'!$B$19:$B$48,0),MATCH('Capital Cost Escalation'!$C123,'BESS_Capital Costs'!$D$7:$G$7,0))*Q$10*(1+$F123)^(Q$4), 0),0)</f>
        <v>0</v>
      </c>
      <c r="R123" s="490">
        <f>IFERROR(IF(R$6&lt;=$E$10,INDEX('BESS_Capital Costs'!$D$19:$G$48,MATCH('Capital Cost Escalation'!$E123,'BESS_Capital Costs'!$B$19:$B$48,0),MATCH('Capital Cost Escalation'!$C123,'BESS_Capital Costs'!$D$7:$G$7,0))*R$10*(1+$F123)^(R$4), 0),0)</f>
        <v>0</v>
      </c>
      <c r="S123" s="490">
        <f>IFERROR(IF(S$6&lt;=$E$10,INDEX('BESS_Capital Costs'!$D$19:$G$48,MATCH('Capital Cost Escalation'!$E123,'BESS_Capital Costs'!$B$19:$B$48,0),MATCH('Capital Cost Escalation'!$C123,'BESS_Capital Costs'!$D$7:$G$7,0))*S$10*(1+$F123)^(S$4), 0),0)</f>
        <v>0</v>
      </c>
      <c r="T123" s="490">
        <f>IFERROR(IF(T$6&lt;=$E$10,INDEX('BESS_Capital Costs'!$D$19:$G$48,MATCH('Capital Cost Escalation'!$E123,'BESS_Capital Costs'!$B$19:$B$48,0),MATCH('Capital Cost Escalation'!$C123,'BESS_Capital Costs'!$D$7:$G$7,0))*T$10*(1+$F123)^(T$4), 0),0)</f>
        <v>0</v>
      </c>
      <c r="U123" s="490">
        <f>IFERROR(IF(U$6&lt;=$E$10,INDEX('BESS_Capital Costs'!$D$19:$G$48,MATCH('Capital Cost Escalation'!$E123,'BESS_Capital Costs'!$B$19:$B$48,0),MATCH('Capital Cost Escalation'!$C123,'BESS_Capital Costs'!$D$7:$G$7,0))*U$10*(1+$F123)^(U$4), 0),0)</f>
        <v>0</v>
      </c>
      <c r="V123" s="490">
        <f>IFERROR(IF(V$6&lt;=$E$10,INDEX('BESS_Capital Costs'!$D$19:$G$48,MATCH('Capital Cost Escalation'!$E123,'BESS_Capital Costs'!$B$19:$B$48,0),MATCH('Capital Cost Escalation'!$C123,'BESS_Capital Costs'!$D$7:$G$7,0))*V$10*(1+$F123)^(V$4), 0),0)</f>
        <v>0</v>
      </c>
      <c r="W123" s="490">
        <f>IFERROR(IF(W$6&lt;=$E$10,INDEX('BESS_Capital Costs'!$D$19:$G$48,MATCH('Capital Cost Escalation'!$E123,'BESS_Capital Costs'!$B$19:$B$48,0),MATCH('Capital Cost Escalation'!$C123,'BESS_Capital Costs'!$D$7:$G$7,0))*W$10*(1+$F123)^(W$4), 0),0)</f>
        <v>0</v>
      </c>
      <c r="X123" s="490">
        <f>IFERROR(IF(X$6&lt;=$E$10,INDEX('BESS_Capital Costs'!$D$19:$G$48,MATCH('Capital Cost Escalation'!$E123,'BESS_Capital Costs'!$B$19:$B$48,0),MATCH('Capital Cost Escalation'!$C123,'BESS_Capital Costs'!$D$7:$G$7,0))*X$10*(1+$F123)^(X$4), 0),0)</f>
        <v>0</v>
      </c>
      <c r="Y123" s="490">
        <f>IFERROR(IF(Y$6&lt;=$E$10,INDEX('BESS_Capital Costs'!$D$19:$G$48,MATCH('Capital Cost Escalation'!$E123,'BESS_Capital Costs'!$B$19:$B$48,0),MATCH('Capital Cost Escalation'!$C123,'BESS_Capital Costs'!$D$7:$G$7,0))*Y$10*(1+$F123)^(Y$4), 0),0)</f>
        <v>0</v>
      </c>
      <c r="Z123" s="490">
        <f>IFERROR(IF(Z$6&lt;=$E$10,INDEX('BESS_Capital Costs'!$D$19:$G$48,MATCH('Capital Cost Escalation'!$E123,'BESS_Capital Costs'!$B$19:$B$48,0),MATCH('Capital Cost Escalation'!$C123,'BESS_Capital Costs'!$D$7:$G$7,0))*Z$10*(1+$F123)^(Z$4), 0),0)</f>
        <v>0</v>
      </c>
      <c r="AA123" s="490">
        <f>IFERROR(IF(AA$6&lt;=$E$10,INDEX('BESS_Capital Costs'!$D$19:$G$48,MATCH('Capital Cost Escalation'!$E123,'BESS_Capital Costs'!$B$19:$B$48,0),MATCH('Capital Cost Escalation'!$C123,'BESS_Capital Costs'!$D$7:$G$7,0))*AA$10*(1+$F123)^(AA$4), 0),0)</f>
        <v>0</v>
      </c>
      <c r="AB123" s="490">
        <f>IFERROR(IF(AB$6&lt;=$E$10,INDEX('BESS_Capital Costs'!$D$19:$G$48,MATCH('Capital Cost Escalation'!$E123,'BESS_Capital Costs'!$B$19:$B$48,0),MATCH('Capital Cost Escalation'!$C123,'BESS_Capital Costs'!$D$7:$G$7,0))*AB$10*(1+$F123)^(AB$4), 0),0)</f>
        <v>0</v>
      </c>
      <c r="AC123" s="490">
        <f>IFERROR(IF(AC$6&lt;=$E$10,INDEX('BESS_Capital Costs'!$D$19:$G$48,MATCH('Capital Cost Escalation'!$E123,'BESS_Capital Costs'!$B$19:$B$48,0),MATCH('Capital Cost Escalation'!$C123,'BESS_Capital Costs'!$D$7:$G$7,0))*AC$10*(1+$F123)^(AC$4), 0),0)</f>
        <v>0</v>
      </c>
      <c r="AD123" s="490">
        <f>IFERROR(IF(AD$6&lt;=$E$10,INDEX('BESS_Capital Costs'!$D$19:$G$48,MATCH('Capital Cost Escalation'!$E123,'BESS_Capital Costs'!$B$19:$B$48,0),MATCH('Capital Cost Escalation'!$C123,'BESS_Capital Costs'!$D$7:$G$7,0))*AD$10*(1+$F123)^(AD$4), 0),0)</f>
        <v>0</v>
      </c>
      <c r="AE123" s="490">
        <f>IFERROR(IF(AE$6&lt;=$E$10,INDEX('BESS_Capital Costs'!$D$19:$G$48,MATCH('Capital Cost Escalation'!$E123,'BESS_Capital Costs'!$B$19:$B$48,0),MATCH('Capital Cost Escalation'!$C123,'BESS_Capital Costs'!$D$7:$G$7,0))*AE$10*(1+$F123)^(AE$4), 0),0)</f>
        <v>0</v>
      </c>
      <c r="AF123" s="490">
        <f>IFERROR(IF(AF$6&lt;=$E$10,INDEX('BESS_Capital Costs'!$D$19:$G$48,MATCH('Capital Cost Escalation'!$E123,'BESS_Capital Costs'!$B$19:$B$48,0),MATCH('Capital Cost Escalation'!$C123,'BESS_Capital Costs'!$D$7:$G$7,0))*AF$10*(1+$F123)^(AF$4), 0),0)</f>
        <v>0</v>
      </c>
      <c r="AG123" s="490">
        <f>IFERROR(IF(AG$6&lt;=$E$10,INDEX('BESS_Capital Costs'!$D$19:$G$48,MATCH('Capital Cost Escalation'!$E123,'BESS_Capital Costs'!$B$19:$B$48,0),MATCH('Capital Cost Escalation'!$C123,'BESS_Capital Costs'!$D$7:$G$7,0))*AG$10*(1+$F123)^(AG$4), 0),0)</f>
        <v>0</v>
      </c>
      <c r="AH123" s="490">
        <f>IFERROR(IF(AH$6&lt;=$E$10,INDEX('BESS_Capital Costs'!$D$19:$G$48,MATCH('Capital Cost Escalation'!$E123,'BESS_Capital Costs'!$B$19:$B$48,0),MATCH('Capital Cost Escalation'!$C123,'BESS_Capital Costs'!$D$7:$G$7,0))*AH$10*(1+$F123)^(AH$4), 0),0)</f>
        <v>0</v>
      </c>
      <c r="AI123" s="490">
        <f>IFERROR(IF(AI$6&lt;=$E$10,INDEX('BESS_Capital Costs'!$D$19:$G$48,MATCH('Capital Cost Escalation'!$E123,'BESS_Capital Costs'!$B$19:$B$48,0),MATCH('Capital Cost Escalation'!$C123,'BESS_Capital Costs'!$D$7:$G$7,0))*AI$10*(1+$F123)^(AI$4), 0),0)</f>
        <v>0</v>
      </c>
      <c r="AJ123" s="490">
        <f>IFERROR(IF(AJ$6&lt;=$E$10,INDEX('BESS_Capital Costs'!$D$19:$G$48,MATCH('Capital Cost Escalation'!$E123,'BESS_Capital Costs'!$B$19:$B$48,0),MATCH('Capital Cost Escalation'!$C123,'BESS_Capital Costs'!$D$7:$G$7,0))*AJ$10*(1+$F123)^(AJ$4), 0),0)</f>
        <v>0</v>
      </c>
      <c r="AK123" s="490">
        <f>IFERROR(IF(AK$6&lt;=$E$10,INDEX('BESS_Capital Costs'!$D$19:$G$48,MATCH('Capital Cost Escalation'!$E123,'BESS_Capital Costs'!$B$19:$B$48,0),MATCH('Capital Cost Escalation'!$C123,'BESS_Capital Costs'!$D$7:$G$7,0))*AK$10*(1+$F123)^(AK$4), 0),0)</f>
        <v>0</v>
      </c>
      <c r="AL123" s="490">
        <f>IFERROR(IF(AL$6&lt;=$E$10,INDEX('BESS_Capital Costs'!$D$19:$G$48,MATCH('Capital Cost Escalation'!$E123,'BESS_Capital Costs'!$B$19:$B$48,0),MATCH('Capital Cost Escalation'!$C123,'BESS_Capital Costs'!$D$7:$G$7,0))*AL$10*(1+$F123)^(AL$4), 0),0)</f>
        <v>0</v>
      </c>
      <c r="AM123" s="490">
        <f>IFERROR(IF(AM$6&lt;=$E$10,INDEX('BESS_Capital Costs'!$D$19:$G$48,MATCH('Capital Cost Escalation'!$E123,'BESS_Capital Costs'!$B$19:$B$48,0),MATCH('Capital Cost Escalation'!$C123,'BESS_Capital Costs'!$D$7:$G$7,0))*AM$10*(1+$F123)^(AM$4), 0),0)</f>
        <v>0</v>
      </c>
      <c r="AN123" s="490">
        <f>IFERROR(IF(AN$6&lt;=$E$10,INDEX('BESS_Capital Costs'!$D$19:$G$48,MATCH('Capital Cost Escalation'!$E123,'BESS_Capital Costs'!$B$19:$B$48,0),MATCH('Capital Cost Escalation'!$C123,'BESS_Capital Costs'!$D$7:$G$7,0))*AN$10*(1+$F123)^(AN$4), 0),0)</f>
        <v>0</v>
      </c>
      <c r="AO123" s="490">
        <f>IFERROR(IF(AO$6&lt;=$E$10,INDEX('BESS_Capital Costs'!$D$19:$G$48,MATCH('Capital Cost Escalation'!$E123,'BESS_Capital Costs'!$B$19:$B$48,0),MATCH('Capital Cost Escalation'!$C123,'BESS_Capital Costs'!$D$7:$G$7,0))*AO$10*(1+$F123)^(AO$4), 0),0)</f>
        <v>0</v>
      </c>
      <c r="AP123" s="490">
        <f>IFERROR(IF(AP$6&lt;=$E$10,INDEX('BESS_Capital Costs'!$D$19:$G$48,MATCH('Capital Cost Escalation'!$E123,'BESS_Capital Costs'!$B$19:$B$48,0),MATCH('Capital Cost Escalation'!$C123,'BESS_Capital Costs'!$D$7:$G$7,0))*AP$10*(1+$F123)^(AP$4), 0),0)</f>
        <v>0</v>
      </c>
      <c r="AQ123" s="490">
        <f>IFERROR(IF(AQ$6&lt;=$E$10,INDEX('BESS_Capital Costs'!$D$19:$G$48,MATCH('Capital Cost Escalation'!$E123,'BESS_Capital Costs'!$B$19:$B$48,0),MATCH('Capital Cost Escalation'!$C123,'BESS_Capital Costs'!$D$7:$G$7,0))*AQ$10*(1+$F123)^(AQ$4), 0),0)</f>
        <v>0</v>
      </c>
      <c r="AR123" s="490">
        <f>IFERROR(IF(AR$6&lt;=$E$10,INDEX('BESS_Capital Costs'!$D$19:$G$48,MATCH('Capital Cost Escalation'!$E123,'BESS_Capital Costs'!$B$19:$B$48,0),MATCH('Capital Cost Escalation'!$C123,'BESS_Capital Costs'!$D$7:$G$7,0))*AR$10*(1+$F123)^(AR$4), 0),0)</f>
        <v>0</v>
      </c>
      <c r="AS123" s="490">
        <f>IFERROR(IF(AS$6&lt;=$E$10,INDEX('BESS_Capital Costs'!$D$19:$G$48,MATCH('Capital Cost Escalation'!$E123,'BESS_Capital Costs'!$B$19:$B$48,0),MATCH('Capital Cost Escalation'!$C123,'BESS_Capital Costs'!$D$7:$G$7,0))*AS$10*(1+$F123)^(AS$4), 0),0)</f>
        <v>0</v>
      </c>
      <c r="AT123" s="490">
        <f>IFERROR(IF(AT$6&lt;=$E$10,INDEX('BESS_Capital Costs'!$D$19:$G$48,MATCH('Capital Cost Escalation'!$E123,'BESS_Capital Costs'!$B$19:$B$48,0),MATCH('Capital Cost Escalation'!$C123,'BESS_Capital Costs'!$D$7:$G$7,0))*AT$10*(1+$F123)^(AT$4), 0),0)</f>
        <v>0</v>
      </c>
      <c r="AV123" s="827">
        <f t="shared" ref="AV123:AV126" si="22">SUM(G123:AT123)</f>
        <v>0</v>
      </c>
      <c r="AW123" s="828">
        <f>INDEX('BESS_Capital Costs'!$D$19:$G$48,MATCH('Capital Cost Escalation'!$E123,'BESS_Capital Costs'!$B$19:$B$48,0),MATCH('Capital Cost Escalation'!$C123,'BESS_Capital Costs'!$D$7:$G$7,0))</f>
        <v>0</v>
      </c>
    </row>
    <row r="124" spans="1:49">
      <c r="A124" s="487" t="str">
        <f t="shared" si="13"/>
        <v>BESS_WMAAC_Project Development</v>
      </c>
      <c r="B124" s="478" t="s">
        <v>700</v>
      </c>
      <c r="C124" s="488" t="s">
        <v>122</v>
      </c>
      <c r="E124" s="1478" t="s">
        <v>146</v>
      </c>
      <c r="F124" s="1325">
        <f>INDEX('BESS_Capital Costs_Nominal$'!$F:$F,MATCH('Capital Cost Escalation'!$E124,'BESS_Capital Costs_Nominal$'!$C:$C,0),1)</f>
        <v>-2.5895842177414696E-4</v>
      </c>
      <c r="G124" s="490">
        <f>IFERROR(IF(G$6&lt;=$E$10,INDEX('BESS_Capital Costs'!$D$19:$G$48,MATCH('Capital Cost Escalation'!$E124,'BESS_Capital Costs'!$B$19:$B$48,0),MATCH('Capital Cost Escalation'!$C124,'BESS_Capital Costs'!$D$7:$G$7,0))*G$10*(1+$F124)^(G$4), 0),0)</f>
        <v>137947.66463588635</v>
      </c>
      <c r="H124" s="490">
        <f>IFERROR(IF(H$6&lt;=$E$10,INDEX('BESS_Capital Costs'!$D$19:$G$48,MATCH('Capital Cost Escalation'!$E124,'BESS_Capital Costs'!$B$19:$B$48,0),MATCH('Capital Cost Escalation'!$C124,'BESS_Capital Costs'!$D$7:$G$7,0))*H$10*(1+$F124)^(H$4), 0),0)</f>
        <v>222713.42038379519</v>
      </c>
      <c r="I124" s="490">
        <f>IFERROR(IF(I$6&lt;=$E$10,INDEX('BESS_Capital Costs'!$D$19:$G$48,MATCH('Capital Cost Escalation'!$E124,'BESS_Capital Costs'!$B$19:$B$48,0),MATCH('Capital Cost Escalation'!$C124,'BESS_Capital Costs'!$D$7:$G$7,0))*I$10*(1+$F124)^(I$4), 0),0)</f>
        <v>5351723.2563960832</v>
      </c>
      <c r="J124" s="490">
        <f>IFERROR(IF(J$6&lt;=$E$10,INDEX('BESS_Capital Costs'!$D$19:$G$48,MATCH('Capital Cost Escalation'!$E124,'BESS_Capital Costs'!$B$19:$B$48,0),MATCH('Capital Cost Escalation'!$C124,'BESS_Capital Costs'!$D$7:$G$7,0))*J$10*(1+$F124)^(J$4), 0),0)</f>
        <v>256225.43285067126</v>
      </c>
      <c r="K124" s="490">
        <f>IFERROR(IF(K$6&lt;=$E$10,INDEX('BESS_Capital Costs'!$D$19:$G$48,MATCH('Capital Cost Escalation'!$E124,'BESS_Capital Costs'!$B$19:$B$48,0),MATCH('Capital Cost Escalation'!$C124,'BESS_Capital Costs'!$D$7:$G$7,0))*K$10*(1+$F124)^(K$4), 0),0)</f>
        <v>268346.19570750825</v>
      </c>
      <c r="L124" s="490">
        <f>IFERROR(IF(L$6&lt;=$E$10,INDEX('BESS_Capital Costs'!$D$19:$G$48,MATCH('Capital Cost Escalation'!$E124,'BESS_Capital Costs'!$B$19:$B$48,0),MATCH('Capital Cost Escalation'!$C124,'BESS_Capital Costs'!$D$7:$G$7,0))*L$10*(1+$F124)^(L$4), 0),0)</f>
        <v>306048.41206264106</v>
      </c>
      <c r="M124" s="490">
        <f>IFERROR(IF(M$6&lt;=$E$10,INDEX('BESS_Capital Costs'!$D$19:$G$48,MATCH('Capital Cost Escalation'!$E124,'BESS_Capital Costs'!$B$19:$B$48,0),MATCH('Capital Cost Escalation'!$C124,'BESS_Capital Costs'!$D$7:$G$7,0))*M$10*(1+$F124)^(M$4), 0),0)</f>
        <v>362798.56066018459</v>
      </c>
      <c r="N124" s="490">
        <f>IFERROR(IF(N$6&lt;=$E$10,INDEX('BESS_Capital Costs'!$D$19:$G$48,MATCH('Capital Cost Escalation'!$E124,'BESS_Capital Costs'!$B$19:$B$48,0),MATCH('Capital Cost Escalation'!$C124,'BESS_Capital Costs'!$D$7:$G$7,0))*N$10*(1+$F124)^(N$4), 0),0)</f>
        <v>418515.25041921309</v>
      </c>
      <c r="O124" s="490">
        <f>IFERROR(IF(O$6&lt;=$E$10,INDEX('BESS_Capital Costs'!$D$19:$G$48,MATCH('Capital Cost Escalation'!$E124,'BESS_Capital Costs'!$B$19:$B$48,0),MATCH('Capital Cost Escalation'!$C124,'BESS_Capital Costs'!$D$7:$G$7,0))*O$10*(1+$F124)^(O$4), 0),0)</f>
        <v>451072.95144580497</v>
      </c>
      <c r="P124" s="490">
        <f>IFERROR(IF(P$6&lt;=$E$10,INDEX('BESS_Capital Costs'!$D$19:$G$48,MATCH('Capital Cost Escalation'!$E124,'BESS_Capital Costs'!$B$19:$B$48,0),MATCH('Capital Cost Escalation'!$C124,'BESS_Capital Costs'!$D$7:$G$7,0))*P$10*(1+$F124)^(P$4), 0),0)</f>
        <v>444433.21997820149</v>
      </c>
      <c r="Q124" s="490">
        <f>IFERROR(IF(Q$6&lt;=$E$10,INDEX('BESS_Capital Costs'!$D$19:$G$48,MATCH('Capital Cost Escalation'!$E124,'BESS_Capital Costs'!$B$19:$B$48,0),MATCH('Capital Cost Escalation'!$C124,'BESS_Capital Costs'!$D$7:$G$7,0))*Q$10*(1+$F124)^(Q$4), 0),0)</f>
        <v>393538.50587033015</v>
      </c>
      <c r="R124" s="490">
        <f>IFERROR(IF(R$6&lt;=$E$10,INDEX('BESS_Capital Costs'!$D$19:$G$48,MATCH('Capital Cost Escalation'!$E124,'BESS_Capital Costs'!$B$19:$B$48,0),MATCH('Capital Cost Escalation'!$C124,'BESS_Capital Costs'!$D$7:$G$7,0))*R$10*(1+$F124)^(R$4), 0),0)</f>
        <v>4377566.0210946109</v>
      </c>
      <c r="S124" s="490">
        <f>IFERROR(IF(S$6&lt;=$E$10,INDEX('BESS_Capital Costs'!$D$19:$G$48,MATCH('Capital Cost Escalation'!$E124,'BESS_Capital Costs'!$B$19:$B$48,0),MATCH('Capital Cost Escalation'!$C124,'BESS_Capital Costs'!$D$7:$G$7,0))*S$10*(1+$F124)^(S$4), 0),0)</f>
        <v>200133.99599065297</v>
      </c>
      <c r="T124" s="490">
        <f>IFERROR(IF(T$6&lt;=$E$10,INDEX('BESS_Capital Costs'!$D$19:$G$48,MATCH('Capital Cost Escalation'!$E124,'BESS_Capital Costs'!$B$19:$B$48,0),MATCH('Capital Cost Escalation'!$C124,'BESS_Capital Costs'!$D$7:$G$7,0))*T$10*(1+$F124)^(T$4), 0),0)</f>
        <v>101050.73285708553</v>
      </c>
      <c r="U124" s="490">
        <f>IFERROR(IF(U$6&lt;=$E$10,INDEX('BESS_Capital Costs'!$D$19:$G$48,MATCH('Capital Cost Escalation'!$E124,'BESS_Capital Costs'!$B$19:$B$48,0),MATCH('Capital Cost Escalation'!$C124,'BESS_Capital Costs'!$D$7:$G$7,0))*U$10*(1+$F124)^(U$4), 0),0)</f>
        <v>31885.162425472765</v>
      </c>
      <c r="V124" s="490">
        <f>IFERROR(IF(V$6&lt;=$E$10,INDEX('BESS_Capital Costs'!$D$19:$G$48,MATCH('Capital Cost Escalation'!$E124,'BESS_Capital Costs'!$B$19:$B$48,0),MATCH('Capital Cost Escalation'!$C124,'BESS_Capital Costs'!$D$7:$G$7,0))*V$10*(1+$F124)^(V$4), 0),0)</f>
        <v>1019989.4066485979</v>
      </c>
      <c r="W124" s="490">
        <f>IFERROR(IF(W$6&lt;=$E$10,INDEX('BESS_Capital Costs'!$D$19:$G$48,MATCH('Capital Cost Escalation'!$E124,'BESS_Capital Costs'!$B$19:$B$48,0),MATCH('Capital Cost Escalation'!$C124,'BESS_Capital Costs'!$D$7:$G$7,0))*W$10*(1+$F124)^(W$4), 0),0)</f>
        <v>0</v>
      </c>
      <c r="X124" s="490">
        <f>IFERROR(IF(X$6&lt;=$E$10,INDEX('BESS_Capital Costs'!$D$19:$G$48,MATCH('Capital Cost Escalation'!$E124,'BESS_Capital Costs'!$B$19:$B$48,0),MATCH('Capital Cost Escalation'!$C124,'BESS_Capital Costs'!$D$7:$G$7,0))*X$10*(1+$F124)^(X$4), 0),0)</f>
        <v>0</v>
      </c>
      <c r="Y124" s="490">
        <f>IFERROR(IF(Y$6&lt;=$E$10,INDEX('BESS_Capital Costs'!$D$19:$G$48,MATCH('Capital Cost Escalation'!$E124,'BESS_Capital Costs'!$B$19:$B$48,0),MATCH('Capital Cost Escalation'!$C124,'BESS_Capital Costs'!$D$7:$G$7,0))*Y$10*(1+$F124)^(Y$4), 0),0)</f>
        <v>0</v>
      </c>
      <c r="Z124" s="490">
        <f>IFERROR(IF(Z$6&lt;=$E$10,INDEX('BESS_Capital Costs'!$D$19:$G$48,MATCH('Capital Cost Escalation'!$E124,'BESS_Capital Costs'!$B$19:$B$48,0),MATCH('Capital Cost Escalation'!$C124,'BESS_Capital Costs'!$D$7:$G$7,0))*Z$10*(1+$F124)^(Z$4), 0),0)</f>
        <v>0</v>
      </c>
      <c r="AA124" s="490">
        <f>IFERROR(IF(AA$6&lt;=$E$10,INDEX('BESS_Capital Costs'!$D$19:$G$48,MATCH('Capital Cost Escalation'!$E124,'BESS_Capital Costs'!$B$19:$B$48,0),MATCH('Capital Cost Escalation'!$C124,'BESS_Capital Costs'!$D$7:$G$7,0))*AA$10*(1+$F124)^(AA$4), 0),0)</f>
        <v>0</v>
      </c>
      <c r="AB124" s="490">
        <f>IFERROR(IF(AB$6&lt;=$E$10,INDEX('BESS_Capital Costs'!$D$19:$G$48,MATCH('Capital Cost Escalation'!$E124,'BESS_Capital Costs'!$B$19:$B$48,0),MATCH('Capital Cost Escalation'!$C124,'BESS_Capital Costs'!$D$7:$G$7,0))*AB$10*(1+$F124)^(AB$4), 0),0)</f>
        <v>0</v>
      </c>
      <c r="AC124" s="490">
        <f>IFERROR(IF(AC$6&lt;=$E$10,INDEX('BESS_Capital Costs'!$D$19:$G$48,MATCH('Capital Cost Escalation'!$E124,'BESS_Capital Costs'!$B$19:$B$48,0),MATCH('Capital Cost Escalation'!$C124,'BESS_Capital Costs'!$D$7:$G$7,0))*AC$10*(1+$F124)^(AC$4), 0),0)</f>
        <v>0</v>
      </c>
      <c r="AD124" s="490">
        <f>IFERROR(IF(AD$6&lt;=$E$10,INDEX('BESS_Capital Costs'!$D$19:$G$48,MATCH('Capital Cost Escalation'!$E124,'BESS_Capital Costs'!$B$19:$B$48,0),MATCH('Capital Cost Escalation'!$C124,'BESS_Capital Costs'!$D$7:$G$7,0))*AD$10*(1+$F124)^(AD$4), 0),0)</f>
        <v>0</v>
      </c>
      <c r="AE124" s="490">
        <f>IFERROR(IF(AE$6&lt;=$E$10,INDEX('BESS_Capital Costs'!$D$19:$G$48,MATCH('Capital Cost Escalation'!$E124,'BESS_Capital Costs'!$B$19:$B$48,0),MATCH('Capital Cost Escalation'!$C124,'BESS_Capital Costs'!$D$7:$G$7,0))*AE$10*(1+$F124)^(AE$4), 0),0)</f>
        <v>0</v>
      </c>
      <c r="AF124" s="490">
        <f>IFERROR(IF(AF$6&lt;=$E$10,INDEX('BESS_Capital Costs'!$D$19:$G$48,MATCH('Capital Cost Escalation'!$E124,'BESS_Capital Costs'!$B$19:$B$48,0),MATCH('Capital Cost Escalation'!$C124,'BESS_Capital Costs'!$D$7:$G$7,0))*AF$10*(1+$F124)^(AF$4), 0),0)</f>
        <v>0</v>
      </c>
      <c r="AG124" s="490">
        <f>IFERROR(IF(AG$6&lt;=$E$10,INDEX('BESS_Capital Costs'!$D$19:$G$48,MATCH('Capital Cost Escalation'!$E124,'BESS_Capital Costs'!$B$19:$B$48,0),MATCH('Capital Cost Escalation'!$C124,'BESS_Capital Costs'!$D$7:$G$7,0))*AG$10*(1+$F124)^(AG$4), 0),0)</f>
        <v>0</v>
      </c>
      <c r="AH124" s="490">
        <f>IFERROR(IF(AH$6&lt;=$E$10,INDEX('BESS_Capital Costs'!$D$19:$G$48,MATCH('Capital Cost Escalation'!$E124,'BESS_Capital Costs'!$B$19:$B$48,0),MATCH('Capital Cost Escalation'!$C124,'BESS_Capital Costs'!$D$7:$G$7,0))*AH$10*(1+$F124)^(AH$4), 0),0)</f>
        <v>0</v>
      </c>
      <c r="AI124" s="490">
        <f>IFERROR(IF(AI$6&lt;=$E$10,INDEX('BESS_Capital Costs'!$D$19:$G$48,MATCH('Capital Cost Escalation'!$E124,'BESS_Capital Costs'!$B$19:$B$48,0),MATCH('Capital Cost Escalation'!$C124,'BESS_Capital Costs'!$D$7:$G$7,0))*AI$10*(1+$F124)^(AI$4), 0),0)</f>
        <v>0</v>
      </c>
      <c r="AJ124" s="490">
        <f>IFERROR(IF(AJ$6&lt;=$E$10,INDEX('BESS_Capital Costs'!$D$19:$G$48,MATCH('Capital Cost Escalation'!$E124,'BESS_Capital Costs'!$B$19:$B$48,0),MATCH('Capital Cost Escalation'!$C124,'BESS_Capital Costs'!$D$7:$G$7,0))*AJ$10*(1+$F124)^(AJ$4), 0),0)</f>
        <v>0</v>
      </c>
      <c r="AK124" s="490">
        <f>IFERROR(IF(AK$6&lt;=$E$10,INDEX('BESS_Capital Costs'!$D$19:$G$48,MATCH('Capital Cost Escalation'!$E124,'BESS_Capital Costs'!$B$19:$B$48,0),MATCH('Capital Cost Escalation'!$C124,'BESS_Capital Costs'!$D$7:$G$7,0))*AK$10*(1+$F124)^(AK$4), 0),0)</f>
        <v>0</v>
      </c>
      <c r="AL124" s="490">
        <f>IFERROR(IF(AL$6&lt;=$E$10,INDEX('BESS_Capital Costs'!$D$19:$G$48,MATCH('Capital Cost Escalation'!$E124,'BESS_Capital Costs'!$B$19:$B$48,0),MATCH('Capital Cost Escalation'!$C124,'BESS_Capital Costs'!$D$7:$G$7,0))*AL$10*(1+$F124)^(AL$4), 0),0)</f>
        <v>0</v>
      </c>
      <c r="AM124" s="490">
        <f>IFERROR(IF(AM$6&lt;=$E$10,INDEX('BESS_Capital Costs'!$D$19:$G$48,MATCH('Capital Cost Escalation'!$E124,'BESS_Capital Costs'!$B$19:$B$48,0),MATCH('Capital Cost Escalation'!$C124,'BESS_Capital Costs'!$D$7:$G$7,0))*AM$10*(1+$F124)^(AM$4), 0),0)</f>
        <v>0</v>
      </c>
      <c r="AN124" s="490">
        <f>IFERROR(IF(AN$6&lt;=$E$10,INDEX('BESS_Capital Costs'!$D$19:$G$48,MATCH('Capital Cost Escalation'!$E124,'BESS_Capital Costs'!$B$19:$B$48,0),MATCH('Capital Cost Escalation'!$C124,'BESS_Capital Costs'!$D$7:$G$7,0))*AN$10*(1+$F124)^(AN$4), 0),0)</f>
        <v>0</v>
      </c>
      <c r="AO124" s="490">
        <f>IFERROR(IF(AO$6&lt;=$E$10,INDEX('BESS_Capital Costs'!$D$19:$G$48,MATCH('Capital Cost Escalation'!$E124,'BESS_Capital Costs'!$B$19:$B$48,0),MATCH('Capital Cost Escalation'!$C124,'BESS_Capital Costs'!$D$7:$G$7,0))*AO$10*(1+$F124)^(AO$4), 0),0)</f>
        <v>0</v>
      </c>
      <c r="AP124" s="490">
        <f>IFERROR(IF(AP$6&lt;=$E$10,INDEX('BESS_Capital Costs'!$D$19:$G$48,MATCH('Capital Cost Escalation'!$E124,'BESS_Capital Costs'!$B$19:$B$48,0),MATCH('Capital Cost Escalation'!$C124,'BESS_Capital Costs'!$D$7:$G$7,0))*AP$10*(1+$F124)^(AP$4), 0),0)</f>
        <v>0</v>
      </c>
      <c r="AQ124" s="490">
        <f>IFERROR(IF(AQ$6&lt;=$E$10,INDEX('BESS_Capital Costs'!$D$19:$G$48,MATCH('Capital Cost Escalation'!$E124,'BESS_Capital Costs'!$B$19:$B$48,0),MATCH('Capital Cost Escalation'!$C124,'BESS_Capital Costs'!$D$7:$G$7,0))*AQ$10*(1+$F124)^(AQ$4), 0),0)</f>
        <v>0</v>
      </c>
      <c r="AR124" s="490">
        <f>IFERROR(IF(AR$6&lt;=$E$10,INDEX('BESS_Capital Costs'!$D$19:$G$48,MATCH('Capital Cost Escalation'!$E124,'BESS_Capital Costs'!$B$19:$B$48,0),MATCH('Capital Cost Escalation'!$C124,'BESS_Capital Costs'!$D$7:$G$7,0))*AR$10*(1+$F124)^(AR$4), 0),0)</f>
        <v>0</v>
      </c>
      <c r="AS124" s="490">
        <f>IFERROR(IF(AS$6&lt;=$E$10,INDEX('BESS_Capital Costs'!$D$19:$G$48,MATCH('Capital Cost Escalation'!$E124,'BESS_Capital Costs'!$B$19:$B$48,0),MATCH('Capital Cost Escalation'!$C124,'BESS_Capital Costs'!$D$7:$G$7,0))*AS$10*(1+$F124)^(AS$4), 0),0)</f>
        <v>0</v>
      </c>
      <c r="AT124" s="490">
        <f>IFERROR(IF(AT$6&lt;=$E$10,INDEX('BESS_Capital Costs'!$D$19:$G$48,MATCH('Capital Cost Escalation'!$E124,'BESS_Capital Costs'!$B$19:$B$48,0),MATCH('Capital Cost Escalation'!$C124,'BESS_Capital Costs'!$D$7:$G$7,0))*AT$10*(1+$F124)^(AT$4), 0),0)</f>
        <v>0</v>
      </c>
      <c r="AV124" s="827">
        <f t="shared" si="22"/>
        <v>14343988.189426741</v>
      </c>
      <c r="AW124" s="828">
        <f>INDEX('BESS_Capital Costs'!$D$19:$G$48,MATCH('Capital Cost Escalation'!$E124,'BESS_Capital Costs'!$B$19:$B$48,0),MATCH('Capital Cost Escalation'!$C124,'BESS_Capital Costs'!$D$7:$G$7,0))</f>
        <v>14538000</v>
      </c>
    </row>
    <row r="125" spans="1:49">
      <c r="A125" s="487" t="str">
        <f t="shared" si="13"/>
        <v>BESS_WMAAC_Mobilization and Start-Up</v>
      </c>
      <c r="B125" s="478" t="s">
        <v>700</v>
      </c>
      <c r="C125" s="488" t="s">
        <v>122</v>
      </c>
      <c r="E125" s="1478" t="s">
        <v>147</v>
      </c>
      <c r="F125" s="1325">
        <f>INDEX('BESS_Capital Costs_Nominal$'!$F:$F,MATCH('Capital Cost Escalation'!$E125,'BESS_Capital Costs_Nominal$'!$C:$C,0),1)</f>
        <v>-2.5895842177414696E-4</v>
      </c>
      <c r="G125" s="490">
        <f>IFERROR(IF(G$6&lt;=$E$10,INDEX('BESS_Capital Costs'!$D$19:$G$48,MATCH('Capital Cost Escalation'!$E125,'BESS_Capital Costs'!$B$19:$B$48,0),MATCH('Capital Cost Escalation'!$C125,'BESS_Capital Costs'!$D$7:$G$7,0))*G$10*(1+$F125)^(G$4), 0),0)</f>
        <v>27593.328433151572</v>
      </c>
      <c r="H125" s="490">
        <f>IFERROR(IF(H$6&lt;=$E$10,INDEX('BESS_Capital Costs'!$D$19:$G$48,MATCH('Capital Cost Escalation'!$E125,'BESS_Capital Costs'!$B$19:$B$48,0),MATCH('Capital Cost Escalation'!$C125,'BESS_Capital Costs'!$D$7:$G$7,0))*H$10*(1+$F125)^(H$4), 0),0)</f>
        <v>44548.811836296351</v>
      </c>
      <c r="I125" s="490">
        <f>IFERROR(IF(I$6&lt;=$E$10,INDEX('BESS_Capital Costs'!$D$19:$G$48,MATCH('Capital Cost Escalation'!$E125,'BESS_Capital Costs'!$B$19:$B$48,0),MATCH('Capital Cost Escalation'!$C125,'BESS_Capital Costs'!$D$7:$G$7,0))*I$10*(1+$F125)^(I$4), 0),0)</f>
        <v>1070491.8991332927</v>
      </c>
      <c r="J125" s="490">
        <f>IFERROR(IF(J$6&lt;=$E$10,INDEX('BESS_Capital Costs'!$D$19:$G$48,MATCH('Capital Cost Escalation'!$E125,'BESS_Capital Costs'!$B$19:$B$48,0),MATCH('Capital Cost Escalation'!$C125,'BESS_Capital Costs'!$D$7:$G$7,0))*J$10*(1+$F125)^(J$4), 0),0)</f>
        <v>51252.136382566518</v>
      </c>
      <c r="K125" s="490">
        <f>IFERROR(IF(K$6&lt;=$E$10,INDEX('BESS_Capital Costs'!$D$19:$G$48,MATCH('Capital Cost Escalation'!$E125,'BESS_Capital Costs'!$B$19:$B$48,0),MATCH('Capital Cost Escalation'!$C125,'BESS_Capital Costs'!$D$7:$G$7,0))*K$10*(1+$F125)^(K$4), 0),0)</f>
        <v>53676.622445827074</v>
      </c>
      <c r="L125" s="490">
        <f>IFERROR(IF(L$6&lt;=$E$10,INDEX('BESS_Capital Costs'!$D$19:$G$48,MATCH('Capital Cost Escalation'!$E125,'BESS_Capital Costs'!$B$19:$B$48,0),MATCH('Capital Cost Escalation'!$C125,'BESS_Capital Costs'!$D$7:$G$7,0))*L$10*(1+$F125)^(L$4), 0),0)</f>
        <v>61218.103059441477</v>
      </c>
      <c r="M125" s="490">
        <f>IFERROR(IF(M$6&lt;=$E$10,INDEX('BESS_Capital Costs'!$D$19:$G$48,MATCH('Capital Cost Escalation'!$E125,'BESS_Capital Costs'!$B$19:$B$48,0),MATCH('Capital Cost Escalation'!$C125,'BESS_Capital Costs'!$D$7:$G$7,0))*M$10*(1+$F125)^(M$4), 0),0)</f>
        <v>72569.694208269138</v>
      </c>
      <c r="N125" s="490">
        <f>IFERROR(IF(N$6&lt;=$E$10,INDEX('BESS_Capital Costs'!$D$19:$G$48,MATCH('Capital Cost Escalation'!$E125,'BESS_Capital Costs'!$B$19:$B$48,0),MATCH('Capital Cost Escalation'!$C125,'BESS_Capital Costs'!$D$7:$G$7,0))*N$10*(1+$F125)^(N$4), 0),0)</f>
        <v>83714.56515470297</v>
      </c>
      <c r="O125" s="490">
        <f>IFERROR(IF(O$6&lt;=$E$10,INDEX('BESS_Capital Costs'!$D$19:$G$48,MATCH('Capital Cost Escalation'!$E125,'BESS_Capital Costs'!$B$19:$B$48,0),MATCH('Capital Cost Escalation'!$C125,'BESS_Capital Costs'!$D$7:$G$7,0))*O$10*(1+$F125)^(O$4), 0),0)</f>
        <v>90227.001155894963</v>
      </c>
      <c r="P125" s="490">
        <f>IFERROR(IF(P$6&lt;=$E$10,INDEX('BESS_Capital Costs'!$D$19:$G$48,MATCH('Capital Cost Escalation'!$E125,'BESS_Capital Costs'!$B$19:$B$48,0),MATCH('Capital Cost Escalation'!$C125,'BESS_Capital Costs'!$D$7:$G$7,0))*P$10*(1+$F125)^(P$4), 0),0)</f>
        <v>88898.872176132194</v>
      </c>
      <c r="Q125" s="490">
        <f>IFERROR(IF(Q$6&lt;=$E$10,INDEX('BESS_Capital Costs'!$D$19:$G$48,MATCH('Capital Cost Escalation'!$E125,'BESS_Capital Costs'!$B$19:$B$48,0),MATCH('Capital Cost Escalation'!$C125,'BESS_Capital Costs'!$D$7:$G$7,0))*Q$10*(1+$F125)^(Q$4), 0),0)</f>
        <v>78718.529032254781</v>
      </c>
      <c r="R125" s="490">
        <f>IFERROR(IF(R$6&lt;=$E$10,INDEX('BESS_Capital Costs'!$D$19:$G$48,MATCH('Capital Cost Escalation'!$E125,'BESS_Capital Costs'!$B$19:$B$48,0),MATCH('Capital Cost Escalation'!$C125,'BESS_Capital Costs'!$D$7:$G$7,0))*R$10*(1+$F125)^(R$4), 0),0)</f>
        <v>875633.64901245898</v>
      </c>
      <c r="S125" s="490">
        <f>IFERROR(IF(S$6&lt;=$E$10,INDEX('BESS_Capital Costs'!$D$19:$G$48,MATCH('Capital Cost Escalation'!$E125,'BESS_Capital Costs'!$B$19:$B$48,0),MATCH('Capital Cost Escalation'!$C125,'BESS_Capital Costs'!$D$7:$G$7,0))*S$10*(1+$F125)^(S$4), 0),0)</f>
        <v>40032.305705105166</v>
      </c>
      <c r="T125" s="490">
        <f>IFERROR(IF(T$6&lt;=$E$10,INDEX('BESS_Capital Costs'!$D$19:$G$48,MATCH('Capital Cost Escalation'!$E125,'BESS_Capital Costs'!$B$19:$B$48,0),MATCH('Capital Cost Escalation'!$C125,'BESS_Capital Costs'!$D$7:$G$7,0))*T$10*(1+$F125)^(T$4), 0),0)</f>
        <v>20212.926891484709</v>
      </c>
      <c r="U125" s="490">
        <f>IFERROR(IF(U$6&lt;=$E$10,INDEX('BESS_Capital Costs'!$D$19:$G$48,MATCH('Capital Cost Escalation'!$E125,'BESS_Capital Costs'!$B$19:$B$48,0),MATCH('Capital Cost Escalation'!$C125,'BESS_Capital Costs'!$D$7:$G$7,0))*U$10*(1+$F125)^(U$4), 0),0)</f>
        <v>6377.9097766731875</v>
      </c>
      <c r="V125" s="490">
        <f>IFERROR(IF(V$6&lt;=$E$10,INDEX('BESS_Capital Costs'!$D$19:$G$48,MATCH('Capital Cost Escalation'!$E125,'BESS_Capital Costs'!$B$19:$B$48,0),MATCH('Capital Cost Escalation'!$C125,'BESS_Capital Costs'!$D$7:$G$7,0))*V$10*(1+$F125)^(V$4), 0),0)</f>
        <v>204025.94542124934</v>
      </c>
      <c r="W125" s="490">
        <f>IFERROR(IF(W$6&lt;=$E$10,INDEX('BESS_Capital Costs'!$D$19:$G$48,MATCH('Capital Cost Escalation'!$E125,'BESS_Capital Costs'!$B$19:$B$48,0),MATCH('Capital Cost Escalation'!$C125,'BESS_Capital Costs'!$D$7:$G$7,0))*W$10*(1+$F125)^(W$4), 0),0)</f>
        <v>0</v>
      </c>
      <c r="X125" s="490">
        <f>IFERROR(IF(X$6&lt;=$E$10,INDEX('BESS_Capital Costs'!$D$19:$G$48,MATCH('Capital Cost Escalation'!$E125,'BESS_Capital Costs'!$B$19:$B$48,0),MATCH('Capital Cost Escalation'!$C125,'BESS_Capital Costs'!$D$7:$G$7,0))*X$10*(1+$F125)^(X$4), 0),0)</f>
        <v>0</v>
      </c>
      <c r="Y125" s="490">
        <f>IFERROR(IF(Y$6&lt;=$E$10,INDEX('BESS_Capital Costs'!$D$19:$G$48,MATCH('Capital Cost Escalation'!$E125,'BESS_Capital Costs'!$B$19:$B$48,0),MATCH('Capital Cost Escalation'!$C125,'BESS_Capital Costs'!$D$7:$G$7,0))*Y$10*(1+$F125)^(Y$4), 0),0)</f>
        <v>0</v>
      </c>
      <c r="Z125" s="490">
        <f>IFERROR(IF(Z$6&lt;=$E$10,INDEX('BESS_Capital Costs'!$D$19:$G$48,MATCH('Capital Cost Escalation'!$E125,'BESS_Capital Costs'!$B$19:$B$48,0),MATCH('Capital Cost Escalation'!$C125,'BESS_Capital Costs'!$D$7:$G$7,0))*Z$10*(1+$F125)^(Z$4), 0),0)</f>
        <v>0</v>
      </c>
      <c r="AA125" s="490">
        <f>IFERROR(IF(AA$6&lt;=$E$10,INDEX('BESS_Capital Costs'!$D$19:$G$48,MATCH('Capital Cost Escalation'!$E125,'BESS_Capital Costs'!$B$19:$B$48,0),MATCH('Capital Cost Escalation'!$C125,'BESS_Capital Costs'!$D$7:$G$7,0))*AA$10*(1+$F125)^(AA$4), 0),0)</f>
        <v>0</v>
      </c>
      <c r="AB125" s="490">
        <f>IFERROR(IF(AB$6&lt;=$E$10,INDEX('BESS_Capital Costs'!$D$19:$G$48,MATCH('Capital Cost Escalation'!$E125,'BESS_Capital Costs'!$B$19:$B$48,0),MATCH('Capital Cost Escalation'!$C125,'BESS_Capital Costs'!$D$7:$G$7,0))*AB$10*(1+$F125)^(AB$4), 0),0)</f>
        <v>0</v>
      </c>
      <c r="AC125" s="490">
        <f>IFERROR(IF(AC$6&lt;=$E$10,INDEX('BESS_Capital Costs'!$D$19:$G$48,MATCH('Capital Cost Escalation'!$E125,'BESS_Capital Costs'!$B$19:$B$48,0),MATCH('Capital Cost Escalation'!$C125,'BESS_Capital Costs'!$D$7:$G$7,0))*AC$10*(1+$F125)^(AC$4), 0),0)</f>
        <v>0</v>
      </c>
      <c r="AD125" s="490">
        <f>IFERROR(IF(AD$6&lt;=$E$10,INDEX('BESS_Capital Costs'!$D$19:$G$48,MATCH('Capital Cost Escalation'!$E125,'BESS_Capital Costs'!$B$19:$B$48,0),MATCH('Capital Cost Escalation'!$C125,'BESS_Capital Costs'!$D$7:$G$7,0))*AD$10*(1+$F125)^(AD$4), 0),0)</f>
        <v>0</v>
      </c>
      <c r="AE125" s="490">
        <f>IFERROR(IF(AE$6&lt;=$E$10,INDEX('BESS_Capital Costs'!$D$19:$G$48,MATCH('Capital Cost Escalation'!$E125,'BESS_Capital Costs'!$B$19:$B$48,0),MATCH('Capital Cost Escalation'!$C125,'BESS_Capital Costs'!$D$7:$G$7,0))*AE$10*(1+$F125)^(AE$4), 0),0)</f>
        <v>0</v>
      </c>
      <c r="AF125" s="490">
        <f>IFERROR(IF(AF$6&lt;=$E$10,INDEX('BESS_Capital Costs'!$D$19:$G$48,MATCH('Capital Cost Escalation'!$E125,'BESS_Capital Costs'!$B$19:$B$48,0),MATCH('Capital Cost Escalation'!$C125,'BESS_Capital Costs'!$D$7:$G$7,0))*AF$10*(1+$F125)^(AF$4), 0),0)</f>
        <v>0</v>
      </c>
      <c r="AG125" s="490">
        <f>IFERROR(IF(AG$6&lt;=$E$10,INDEX('BESS_Capital Costs'!$D$19:$G$48,MATCH('Capital Cost Escalation'!$E125,'BESS_Capital Costs'!$B$19:$B$48,0),MATCH('Capital Cost Escalation'!$C125,'BESS_Capital Costs'!$D$7:$G$7,0))*AG$10*(1+$F125)^(AG$4), 0),0)</f>
        <v>0</v>
      </c>
      <c r="AH125" s="490">
        <f>IFERROR(IF(AH$6&lt;=$E$10,INDEX('BESS_Capital Costs'!$D$19:$G$48,MATCH('Capital Cost Escalation'!$E125,'BESS_Capital Costs'!$B$19:$B$48,0),MATCH('Capital Cost Escalation'!$C125,'BESS_Capital Costs'!$D$7:$G$7,0))*AH$10*(1+$F125)^(AH$4), 0),0)</f>
        <v>0</v>
      </c>
      <c r="AI125" s="490">
        <f>IFERROR(IF(AI$6&lt;=$E$10,INDEX('BESS_Capital Costs'!$D$19:$G$48,MATCH('Capital Cost Escalation'!$E125,'BESS_Capital Costs'!$B$19:$B$48,0),MATCH('Capital Cost Escalation'!$C125,'BESS_Capital Costs'!$D$7:$G$7,0))*AI$10*(1+$F125)^(AI$4), 0),0)</f>
        <v>0</v>
      </c>
      <c r="AJ125" s="490">
        <f>IFERROR(IF(AJ$6&lt;=$E$10,INDEX('BESS_Capital Costs'!$D$19:$G$48,MATCH('Capital Cost Escalation'!$E125,'BESS_Capital Costs'!$B$19:$B$48,0),MATCH('Capital Cost Escalation'!$C125,'BESS_Capital Costs'!$D$7:$G$7,0))*AJ$10*(1+$F125)^(AJ$4), 0),0)</f>
        <v>0</v>
      </c>
      <c r="AK125" s="490">
        <f>IFERROR(IF(AK$6&lt;=$E$10,INDEX('BESS_Capital Costs'!$D$19:$G$48,MATCH('Capital Cost Escalation'!$E125,'BESS_Capital Costs'!$B$19:$B$48,0),MATCH('Capital Cost Escalation'!$C125,'BESS_Capital Costs'!$D$7:$G$7,0))*AK$10*(1+$F125)^(AK$4), 0),0)</f>
        <v>0</v>
      </c>
      <c r="AL125" s="490">
        <f>IFERROR(IF(AL$6&lt;=$E$10,INDEX('BESS_Capital Costs'!$D$19:$G$48,MATCH('Capital Cost Escalation'!$E125,'BESS_Capital Costs'!$B$19:$B$48,0),MATCH('Capital Cost Escalation'!$C125,'BESS_Capital Costs'!$D$7:$G$7,0))*AL$10*(1+$F125)^(AL$4), 0),0)</f>
        <v>0</v>
      </c>
      <c r="AM125" s="490">
        <f>IFERROR(IF(AM$6&lt;=$E$10,INDEX('BESS_Capital Costs'!$D$19:$G$48,MATCH('Capital Cost Escalation'!$E125,'BESS_Capital Costs'!$B$19:$B$48,0),MATCH('Capital Cost Escalation'!$C125,'BESS_Capital Costs'!$D$7:$G$7,0))*AM$10*(1+$F125)^(AM$4), 0),0)</f>
        <v>0</v>
      </c>
      <c r="AN125" s="490">
        <f>IFERROR(IF(AN$6&lt;=$E$10,INDEX('BESS_Capital Costs'!$D$19:$G$48,MATCH('Capital Cost Escalation'!$E125,'BESS_Capital Costs'!$B$19:$B$48,0),MATCH('Capital Cost Escalation'!$C125,'BESS_Capital Costs'!$D$7:$G$7,0))*AN$10*(1+$F125)^(AN$4), 0),0)</f>
        <v>0</v>
      </c>
      <c r="AO125" s="490">
        <f>IFERROR(IF(AO$6&lt;=$E$10,INDEX('BESS_Capital Costs'!$D$19:$G$48,MATCH('Capital Cost Escalation'!$E125,'BESS_Capital Costs'!$B$19:$B$48,0),MATCH('Capital Cost Escalation'!$C125,'BESS_Capital Costs'!$D$7:$G$7,0))*AO$10*(1+$F125)^(AO$4), 0),0)</f>
        <v>0</v>
      </c>
      <c r="AP125" s="490">
        <f>IFERROR(IF(AP$6&lt;=$E$10,INDEX('BESS_Capital Costs'!$D$19:$G$48,MATCH('Capital Cost Escalation'!$E125,'BESS_Capital Costs'!$B$19:$B$48,0),MATCH('Capital Cost Escalation'!$C125,'BESS_Capital Costs'!$D$7:$G$7,0))*AP$10*(1+$F125)^(AP$4), 0),0)</f>
        <v>0</v>
      </c>
      <c r="AQ125" s="490">
        <f>IFERROR(IF(AQ$6&lt;=$E$10,INDEX('BESS_Capital Costs'!$D$19:$G$48,MATCH('Capital Cost Escalation'!$E125,'BESS_Capital Costs'!$B$19:$B$48,0),MATCH('Capital Cost Escalation'!$C125,'BESS_Capital Costs'!$D$7:$G$7,0))*AQ$10*(1+$F125)^(AQ$4), 0),0)</f>
        <v>0</v>
      </c>
      <c r="AR125" s="490">
        <f>IFERROR(IF(AR$6&lt;=$E$10,INDEX('BESS_Capital Costs'!$D$19:$G$48,MATCH('Capital Cost Escalation'!$E125,'BESS_Capital Costs'!$B$19:$B$48,0),MATCH('Capital Cost Escalation'!$C125,'BESS_Capital Costs'!$D$7:$G$7,0))*AR$10*(1+$F125)^(AR$4), 0),0)</f>
        <v>0</v>
      </c>
      <c r="AS125" s="490">
        <f>IFERROR(IF(AS$6&lt;=$E$10,INDEX('BESS_Capital Costs'!$D$19:$G$48,MATCH('Capital Cost Escalation'!$E125,'BESS_Capital Costs'!$B$19:$B$48,0),MATCH('Capital Cost Escalation'!$C125,'BESS_Capital Costs'!$D$7:$G$7,0))*AS$10*(1+$F125)^(AS$4), 0),0)</f>
        <v>0</v>
      </c>
      <c r="AT125" s="490">
        <f>IFERROR(IF(AT$6&lt;=$E$10,INDEX('BESS_Capital Costs'!$D$19:$G$48,MATCH('Capital Cost Escalation'!$E125,'BESS_Capital Costs'!$B$19:$B$48,0),MATCH('Capital Cost Escalation'!$C125,'BESS_Capital Costs'!$D$7:$G$7,0))*AT$10*(1+$F125)^(AT$4), 0),0)</f>
        <v>0</v>
      </c>
      <c r="AV125" s="827">
        <f t="shared" si="22"/>
        <v>2869192.2998248008</v>
      </c>
      <c r="AW125" s="828">
        <f>INDEX('BESS_Capital Costs'!$D$19:$G$48,MATCH('Capital Cost Escalation'!$E125,'BESS_Capital Costs'!$B$19:$B$48,0),MATCH('Capital Cost Escalation'!$C125,'BESS_Capital Costs'!$D$7:$G$7,0))</f>
        <v>2908000</v>
      </c>
    </row>
    <row r="126" spans="1:49">
      <c r="A126" s="487" t="str">
        <f t="shared" si="13"/>
        <v>BESS_WMAAC_Owner's Contingency</v>
      </c>
      <c r="B126" s="478" t="s">
        <v>700</v>
      </c>
      <c r="C126" s="488" t="s">
        <v>122</v>
      </c>
      <c r="E126" s="1478" t="s">
        <v>114</v>
      </c>
      <c r="F126" s="1325">
        <f>INDEX('BESS_Capital Costs_Nominal$'!$F:$F,MATCH('Capital Cost Escalation'!$E126,'BESS_Capital Costs_Nominal$'!$C:$C,0),1)</f>
        <v>-2.5895842177414696E-4</v>
      </c>
      <c r="G126" s="490">
        <f>IFERROR(IF(G$6&lt;=$E$10,INDEX('BESS_Capital Costs'!$D$19:$G$48,MATCH('Capital Cost Escalation'!$E126,'BESS_Capital Costs'!$B$19:$B$48,0),MATCH('Capital Cost Escalation'!$C126,'BESS_Capital Costs'!$D$7:$G$7,0))*G$10*(1+$F126)^(G$4), 0),0)</f>
        <v>106976.33588560895</v>
      </c>
      <c r="H126" s="490">
        <f>IFERROR(IF(H$6&lt;=$E$10,INDEX('BESS_Capital Costs'!$D$19:$G$48,MATCH('Capital Cost Escalation'!$E126,'BESS_Capital Costs'!$B$19:$B$48,0),MATCH('Capital Cost Escalation'!$C126,'BESS_Capital Costs'!$D$7:$G$7,0))*H$10*(1+$F126)^(H$4), 0),0)</f>
        <v>172710.90255928648</v>
      </c>
      <c r="I126" s="490">
        <f>IFERROR(IF(I$6&lt;=$E$10,INDEX('BESS_Capital Costs'!$D$19:$G$48,MATCH('Capital Cost Escalation'!$E126,'BESS_Capital Costs'!$B$19:$B$48,0),MATCH('Capital Cost Escalation'!$C126,'BESS_Capital Costs'!$D$7:$G$7,0))*I$10*(1+$F126)^(I$4), 0),0)</f>
        <v>4150180.7671350567</v>
      </c>
      <c r="J126" s="490">
        <f>IFERROR(IF(J$6&lt;=$E$10,INDEX('BESS_Capital Costs'!$D$19:$G$48,MATCH('Capital Cost Escalation'!$E126,'BESS_Capital Costs'!$B$19:$B$48,0),MATCH('Capital Cost Escalation'!$C126,'BESS_Capital Costs'!$D$7:$G$7,0))*J$10*(1+$F126)^(J$4), 0),0)</f>
        <v>198698.96340338889</v>
      </c>
      <c r="K126" s="490">
        <f>IFERROR(IF(K$6&lt;=$E$10,INDEX('BESS_Capital Costs'!$D$19:$G$48,MATCH('Capital Cost Escalation'!$E126,'BESS_Capital Costs'!$B$19:$B$48,0),MATCH('Capital Cost Escalation'!$C126,'BESS_Capital Costs'!$D$7:$G$7,0))*K$10*(1+$F126)^(K$4), 0),0)</f>
        <v>208098.43241205448</v>
      </c>
      <c r="L126" s="490">
        <f>IFERROR(IF(L$6&lt;=$E$10,INDEX('BESS_Capital Costs'!$D$19:$G$48,MATCH('Capital Cost Escalation'!$E126,'BESS_Capital Costs'!$B$19:$B$48,0),MATCH('Capital Cost Escalation'!$C126,'BESS_Capital Costs'!$D$7:$G$7,0))*L$10*(1+$F126)^(L$4), 0),0)</f>
        <v>237335.93325039314</v>
      </c>
      <c r="M126" s="490">
        <f>IFERROR(IF(M$6&lt;=$E$10,INDEX('BESS_Capital Costs'!$D$19:$G$48,MATCH('Capital Cost Escalation'!$E126,'BESS_Capital Costs'!$B$19:$B$48,0),MATCH('Capital Cost Escalation'!$C126,'BESS_Capital Costs'!$D$7:$G$7,0))*M$10*(1+$F126)^(M$4), 0),0)</f>
        <v>281344.81860523595</v>
      </c>
      <c r="N126" s="490">
        <f>IFERROR(IF(N$6&lt;=$E$10,INDEX('BESS_Capital Costs'!$D$19:$G$48,MATCH('Capital Cost Escalation'!$E126,'BESS_Capital Costs'!$B$19:$B$48,0),MATCH('Capital Cost Escalation'!$C126,'BESS_Capital Costs'!$D$7:$G$7,0))*N$10*(1+$F126)^(N$4), 0),0)</f>
        <v>324552.27219880372</v>
      </c>
      <c r="O126" s="490">
        <f>IFERROR(IF(O$6&lt;=$E$10,INDEX('BESS_Capital Costs'!$D$19:$G$48,MATCH('Capital Cost Escalation'!$E126,'BESS_Capital Costs'!$B$19:$B$48,0),MATCH('Capital Cost Escalation'!$C126,'BESS_Capital Costs'!$D$7:$G$7,0))*O$10*(1+$F126)^(O$4), 0),0)</f>
        <v>349800.27889668487</v>
      </c>
      <c r="P126" s="490">
        <f>IFERROR(IF(P$6&lt;=$E$10,INDEX('BESS_Capital Costs'!$D$19:$G$48,MATCH('Capital Cost Escalation'!$E126,'BESS_Capital Costs'!$B$19:$B$48,0),MATCH('Capital Cost Escalation'!$C126,'BESS_Capital Costs'!$D$7:$G$7,0))*P$10*(1+$F126)^(P$4), 0),0)</f>
        <v>344651.26716427598</v>
      </c>
      <c r="Q126" s="490">
        <f>IFERROR(IF(Q$6&lt;=$E$10,INDEX('BESS_Capital Costs'!$D$19:$G$48,MATCH('Capital Cost Escalation'!$E126,'BESS_Capital Costs'!$B$19:$B$48,0),MATCH('Capital Cost Escalation'!$C126,'BESS_Capital Costs'!$D$7:$G$7,0))*Q$10*(1+$F126)^(Q$4), 0),0)</f>
        <v>305183.18305008265</v>
      </c>
      <c r="R126" s="490">
        <f>IFERROR(IF(R$6&lt;=$E$10,INDEX('BESS_Capital Costs'!$D$19:$G$48,MATCH('Capital Cost Escalation'!$E126,'BESS_Capital Costs'!$B$19:$B$48,0),MATCH('Capital Cost Escalation'!$C126,'BESS_Capital Costs'!$D$7:$G$7,0))*R$10*(1+$F126)^(R$4), 0),0)</f>
        <v>3394736.5058344095</v>
      </c>
      <c r="S126" s="490">
        <f>IFERROR(IF(S$6&lt;=$E$10,INDEX('BESS_Capital Costs'!$D$19:$G$48,MATCH('Capital Cost Escalation'!$E126,'BESS_Capital Costs'!$B$19:$B$48,0),MATCH('Capital Cost Escalation'!$C126,'BESS_Capital Costs'!$D$7:$G$7,0))*S$10*(1+$F126)^(S$4), 0),0)</f>
        <v>155200.89907818282</v>
      </c>
      <c r="T126" s="490">
        <f>IFERROR(IF(T$6&lt;=$E$10,INDEX('BESS_Capital Costs'!$D$19:$G$48,MATCH('Capital Cost Escalation'!$E126,'BESS_Capital Costs'!$B$19:$B$48,0),MATCH('Capital Cost Escalation'!$C126,'BESS_Capital Costs'!$D$7:$G$7,0))*T$10*(1+$F126)^(T$4), 0),0)</f>
        <v>78363.321105432813</v>
      </c>
      <c r="U126" s="490">
        <f>IFERROR(IF(U$6&lt;=$E$10,INDEX('BESS_Capital Costs'!$D$19:$G$48,MATCH('Capital Cost Escalation'!$E126,'BESS_Capital Costs'!$B$19:$B$48,0),MATCH('Capital Cost Escalation'!$C126,'BESS_Capital Costs'!$D$7:$G$7,0))*U$10*(1+$F126)^(U$4), 0),0)</f>
        <v>24726.463143814824</v>
      </c>
      <c r="V126" s="490">
        <f>IFERROR(IF(V$6&lt;=$E$10,INDEX('BESS_Capital Costs'!$D$19:$G$48,MATCH('Capital Cost Escalation'!$E126,'BESS_Capital Costs'!$B$19:$B$48,0),MATCH('Capital Cost Escalation'!$C126,'BESS_Capital Costs'!$D$7:$G$7,0))*V$10*(1+$F126)^(V$4), 0),0)</f>
        <v>790986.41976587509</v>
      </c>
      <c r="W126" s="490">
        <f>IFERROR(IF(W$6&lt;=$E$10,INDEX('BESS_Capital Costs'!$D$19:$G$48,MATCH('Capital Cost Escalation'!$E126,'BESS_Capital Costs'!$B$19:$B$48,0),MATCH('Capital Cost Escalation'!$C126,'BESS_Capital Costs'!$D$7:$G$7,0))*W$10*(1+$F126)^(W$4), 0),0)</f>
        <v>0</v>
      </c>
      <c r="X126" s="490">
        <f>IFERROR(IF(X$6&lt;=$E$10,INDEX('BESS_Capital Costs'!$D$19:$G$48,MATCH('Capital Cost Escalation'!$E126,'BESS_Capital Costs'!$B$19:$B$48,0),MATCH('Capital Cost Escalation'!$C126,'BESS_Capital Costs'!$D$7:$G$7,0))*X$10*(1+$F126)^(X$4), 0),0)</f>
        <v>0</v>
      </c>
      <c r="Y126" s="490">
        <f>IFERROR(IF(Y$6&lt;=$E$10,INDEX('BESS_Capital Costs'!$D$19:$G$48,MATCH('Capital Cost Escalation'!$E126,'BESS_Capital Costs'!$B$19:$B$48,0),MATCH('Capital Cost Escalation'!$C126,'BESS_Capital Costs'!$D$7:$G$7,0))*Y$10*(1+$F126)^(Y$4), 0),0)</f>
        <v>0</v>
      </c>
      <c r="Z126" s="490">
        <f>IFERROR(IF(Z$6&lt;=$E$10,INDEX('BESS_Capital Costs'!$D$19:$G$48,MATCH('Capital Cost Escalation'!$E126,'BESS_Capital Costs'!$B$19:$B$48,0),MATCH('Capital Cost Escalation'!$C126,'BESS_Capital Costs'!$D$7:$G$7,0))*Z$10*(1+$F126)^(Z$4), 0),0)</f>
        <v>0</v>
      </c>
      <c r="AA126" s="490">
        <f>IFERROR(IF(AA$6&lt;=$E$10,INDEX('BESS_Capital Costs'!$D$19:$G$48,MATCH('Capital Cost Escalation'!$E126,'BESS_Capital Costs'!$B$19:$B$48,0),MATCH('Capital Cost Escalation'!$C126,'BESS_Capital Costs'!$D$7:$G$7,0))*AA$10*(1+$F126)^(AA$4), 0),0)</f>
        <v>0</v>
      </c>
      <c r="AB126" s="490">
        <f>IFERROR(IF(AB$6&lt;=$E$10,INDEX('BESS_Capital Costs'!$D$19:$G$48,MATCH('Capital Cost Escalation'!$E126,'BESS_Capital Costs'!$B$19:$B$48,0),MATCH('Capital Cost Escalation'!$C126,'BESS_Capital Costs'!$D$7:$G$7,0))*AB$10*(1+$F126)^(AB$4), 0),0)</f>
        <v>0</v>
      </c>
      <c r="AC126" s="490">
        <f>IFERROR(IF(AC$6&lt;=$E$10,INDEX('BESS_Capital Costs'!$D$19:$G$48,MATCH('Capital Cost Escalation'!$E126,'BESS_Capital Costs'!$B$19:$B$48,0),MATCH('Capital Cost Escalation'!$C126,'BESS_Capital Costs'!$D$7:$G$7,0))*AC$10*(1+$F126)^(AC$4), 0),0)</f>
        <v>0</v>
      </c>
      <c r="AD126" s="490">
        <f>IFERROR(IF(AD$6&lt;=$E$10,INDEX('BESS_Capital Costs'!$D$19:$G$48,MATCH('Capital Cost Escalation'!$E126,'BESS_Capital Costs'!$B$19:$B$48,0),MATCH('Capital Cost Escalation'!$C126,'BESS_Capital Costs'!$D$7:$G$7,0))*AD$10*(1+$F126)^(AD$4), 0),0)</f>
        <v>0</v>
      </c>
      <c r="AE126" s="490">
        <f>IFERROR(IF(AE$6&lt;=$E$10,INDEX('BESS_Capital Costs'!$D$19:$G$48,MATCH('Capital Cost Escalation'!$E126,'BESS_Capital Costs'!$B$19:$B$48,0),MATCH('Capital Cost Escalation'!$C126,'BESS_Capital Costs'!$D$7:$G$7,0))*AE$10*(1+$F126)^(AE$4), 0),0)</f>
        <v>0</v>
      </c>
      <c r="AF126" s="490">
        <f>IFERROR(IF(AF$6&lt;=$E$10,INDEX('BESS_Capital Costs'!$D$19:$G$48,MATCH('Capital Cost Escalation'!$E126,'BESS_Capital Costs'!$B$19:$B$48,0),MATCH('Capital Cost Escalation'!$C126,'BESS_Capital Costs'!$D$7:$G$7,0))*AF$10*(1+$F126)^(AF$4), 0),0)</f>
        <v>0</v>
      </c>
      <c r="AG126" s="490">
        <f>IFERROR(IF(AG$6&lt;=$E$10,INDEX('BESS_Capital Costs'!$D$19:$G$48,MATCH('Capital Cost Escalation'!$E126,'BESS_Capital Costs'!$B$19:$B$48,0),MATCH('Capital Cost Escalation'!$C126,'BESS_Capital Costs'!$D$7:$G$7,0))*AG$10*(1+$F126)^(AG$4), 0),0)</f>
        <v>0</v>
      </c>
      <c r="AH126" s="490">
        <f>IFERROR(IF(AH$6&lt;=$E$10,INDEX('BESS_Capital Costs'!$D$19:$G$48,MATCH('Capital Cost Escalation'!$E126,'BESS_Capital Costs'!$B$19:$B$48,0),MATCH('Capital Cost Escalation'!$C126,'BESS_Capital Costs'!$D$7:$G$7,0))*AH$10*(1+$F126)^(AH$4), 0),0)</f>
        <v>0</v>
      </c>
      <c r="AI126" s="490">
        <f>IFERROR(IF(AI$6&lt;=$E$10,INDEX('BESS_Capital Costs'!$D$19:$G$48,MATCH('Capital Cost Escalation'!$E126,'BESS_Capital Costs'!$B$19:$B$48,0),MATCH('Capital Cost Escalation'!$C126,'BESS_Capital Costs'!$D$7:$G$7,0))*AI$10*(1+$F126)^(AI$4), 0),0)</f>
        <v>0</v>
      </c>
      <c r="AJ126" s="490">
        <f>IFERROR(IF(AJ$6&lt;=$E$10,INDEX('BESS_Capital Costs'!$D$19:$G$48,MATCH('Capital Cost Escalation'!$E126,'BESS_Capital Costs'!$B$19:$B$48,0),MATCH('Capital Cost Escalation'!$C126,'BESS_Capital Costs'!$D$7:$G$7,0))*AJ$10*(1+$F126)^(AJ$4), 0),0)</f>
        <v>0</v>
      </c>
      <c r="AK126" s="490">
        <f>IFERROR(IF(AK$6&lt;=$E$10,INDEX('BESS_Capital Costs'!$D$19:$G$48,MATCH('Capital Cost Escalation'!$E126,'BESS_Capital Costs'!$B$19:$B$48,0),MATCH('Capital Cost Escalation'!$C126,'BESS_Capital Costs'!$D$7:$G$7,0))*AK$10*(1+$F126)^(AK$4), 0),0)</f>
        <v>0</v>
      </c>
      <c r="AL126" s="490">
        <f>IFERROR(IF(AL$6&lt;=$E$10,INDEX('BESS_Capital Costs'!$D$19:$G$48,MATCH('Capital Cost Escalation'!$E126,'BESS_Capital Costs'!$B$19:$B$48,0),MATCH('Capital Cost Escalation'!$C126,'BESS_Capital Costs'!$D$7:$G$7,0))*AL$10*(1+$F126)^(AL$4), 0),0)</f>
        <v>0</v>
      </c>
      <c r="AM126" s="490">
        <f>IFERROR(IF(AM$6&lt;=$E$10,INDEX('BESS_Capital Costs'!$D$19:$G$48,MATCH('Capital Cost Escalation'!$E126,'BESS_Capital Costs'!$B$19:$B$48,0),MATCH('Capital Cost Escalation'!$C126,'BESS_Capital Costs'!$D$7:$G$7,0))*AM$10*(1+$F126)^(AM$4), 0),0)</f>
        <v>0</v>
      </c>
      <c r="AN126" s="490">
        <f>IFERROR(IF(AN$6&lt;=$E$10,INDEX('BESS_Capital Costs'!$D$19:$G$48,MATCH('Capital Cost Escalation'!$E126,'BESS_Capital Costs'!$B$19:$B$48,0),MATCH('Capital Cost Escalation'!$C126,'BESS_Capital Costs'!$D$7:$G$7,0))*AN$10*(1+$F126)^(AN$4), 0),0)</f>
        <v>0</v>
      </c>
      <c r="AO126" s="490">
        <f>IFERROR(IF(AO$6&lt;=$E$10,INDEX('BESS_Capital Costs'!$D$19:$G$48,MATCH('Capital Cost Escalation'!$E126,'BESS_Capital Costs'!$B$19:$B$48,0),MATCH('Capital Cost Escalation'!$C126,'BESS_Capital Costs'!$D$7:$G$7,0))*AO$10*(1+$F126)^(AO$4), 0),0)</f>
        <v>0</v>
      </c>
      <c r="AP126" s="490">
        <f>IFERROR(IF(AP$6&lt;=$E$10,INDEX('BESS_Capital Costs'!$D$19:$G$48,MATCH('Capital Cost Escalation'!$E126,'BESS_Capital Costs'!$B$19:$B$48,0),MATCH('Capital Cost Escalation'!$C126,'BESS_Capital Costs'!$D$7:$G$7,0))*AP$10*(1+$F126)^(AP$4), 0),0)</f>
        <v>0</v>
      </c>
      <c r="AQ126" s="490">
        <f>IFERROR(IF(AQ$6&lt;=$E$10,INDEX('BESS_Capital Costs'!$D$19:$G$48,MATCH('Capital Cost Escalation'!$E126,'BESS_Capital Costs'!$B$19:$B$48,0),MATCH('Capital Cost Escalation'!$C126,'BESS_Capital Costs'!$D$7:$G$7,0))*AQ$10*(1+$F126)^(AQ$4), 0),0)</f>
        <v>0</v>
      </c>
      <c r="AR126" s="490">
        <f>IFERROR(IF(AR$6&lt;=$E$10,INDEX('BESS_Capital Costs'!$D$19:$G$48,MATCH('Capital Cost Escalation'!$E126,'BESS_Capital Costs'!$B$19:$B$48,0),MATCH('Capital Cost Escalation'!$C126,'BESS_Capital Costs'!$D$7:$G$7,0))*AR$10*(1+$F126)^(AR$4), 0),0)</f>
        <v>0</v>
      </c>
      <c r="AS126" s="490">
        <f>IFERROR(IF(AS$6&lt;=$E$10,INDEX('BESS_Capital Costs'!$D$19:$G$48,MATCH('Capital Cost Escalation'!$E126,'BESS_Capital Costs'!$B$19:$B$48,0),MATCH('Capital Cost Escalation'!$C126,'BESS_Capital Costs'!$D$7:$G$7,0))*AS$10*(1+$F126)^(AS$4), 0),0)</f>
        <v>0</v>
      </c>
      <c r="AT126" s="490">
        <f>IFERROR(IF(AT$6&lt;=$E$10,INDEX('BESS_Capital Costs'!$D$19:$G$48,MATCH('Capital Cost Escalation'!$E126,'BESS_Capital Costs'!$B$19:$B$48,0),MATCH('Capital Cost Escalation'!$C126,'BESS_Capital Costs'!$D$7:$G$7,0))*AT$10*(1+$F126)^(AT$4), 0),0)</f>
        <v>0</v>
      </c>
      <c r="AV126" s="827">
        <f t="shared" si="22"/>
        <v>11123546.763488587</v>
      </c>
      <c r="AW126" s="828">
        <f>INDEX('BESS_Capital Costs'!$D$19:$G$48,MATCH('Capital Cost Escalation'!$E126,'BESS_Capital Costs'!$B$19:$B$48,0),MATCH('Capital Cost Escalation'!$C126,'BESS_Capital Costs'!$D$7:$G$7,0))</f>
        <v>11274000</v>
      </c>
    </row>
    <row r="129" spans="1:3">
      <c r="A129" s="478" t="s">
        <v>647</v>
      </c>
      <c r="C129" s="1477">
        <v>-1.4999999999999999E-2</v>
      </c>
    </row>
    <row r="130" spans="1:3">
      <c r="A130" s="478" t="s">
        <v>645</v>
      </c>
      <c r="C130" s="1477">
        <v>-1.4999999999999999E-2</v>
      </c>
    </row>
    <row r="131" spans="1:3">
      <c r="A131" s="478" t="s">
        <v>642</v>
      </c>
      <c r="C131" s="1477">
        <v>-1.4999999999999999E-2</v>
      </c>
    </row>
    <row r="132" spans="1:3">
      <c r="A132" s="478" t="s">
        <v>640</v>
      </c>
      <c r="C132" s="1477">
        <v>-1.4999999999999999E-2</v>
      </c>
    </row>
    <row r="133" spans="1:3">
      <c r="A133" s="478" t="s">
        <v>636</v>
      </c>
      <c r="C133" s="1477">
        <v>-1.4999999999999999E-2</v>
      </c>
    </row>
    <row r="134" spans="1:3">
      <c r="A134" s="478" t="s">
        <v>146</v>
      </c>
      <c r="C134" s="1477">
        <v>-1.4999999999999999E-2</v>
      </c>
    </row>
    <row r="135" spans="1:3">
      <c r="A135" s="478" t="s">
        <v>147</v>
      </c>
      <c r="C135" s="1477">
        <v>-1.4999999999999999E-2</v>
      </c>
    </row>
    <row r="136" spans="1:3">
      <c r="A136" s="478" t="s">
        <v>114</v>
      </c>
      <c r="C136" s="1477">
        <v>-1.4999999999999999E-2</v>
      </c>
    </row>
    <row r="137" spans="1:3">
      <c r="C137" s="1477"/>
    </row>
    <row r="138" spans="1:3">
      <c r="A138" s="219"/>
      <c r="B138" s="219"/>
      <c r="C138" s="219"/>
    </row>
    <row r="139" spans="1:3">
      <c r="A139" s="219"/>
      <c r="B139" s="219"/>
      <c r="C139" s="219"/>
    </row>
    <row r="140" spans="1:3">
      <c r="A140" s="219"/>
      <c r="B140" s="219"/>
      <c r="C140" s="219"/>
    </row>
    <row r="141" spans="1:3">
      <c r="A141" s="219"/>
      <c r="B141" s="219"/>
      <c r="C141" s="219"/>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B1:L63"/>
  <sheetViews>
    <sheetView topLeftCell="A16" zoomScaleNormal="100" workbookViewId="0">
      <selection activeCell="B16" sqref="B16"/>
    </sheetView>
  </sheetViews>
  <sheetFormatPr defaultColWidth="9.140625" defaultRowHeight="15" outlineLevelRow="1"/>
  <cols>
    <col min="1" max="1" width="5.5703125" style="256" customWidth="1"/>
    <col min="2" max="2" width="37.42578125" style="256" customWidth="1"/>
    <col min="3" max="3" width="1.7109375" style="256" customWidth="1"/>
    <col min="4" max="7" width="19.5703125" style="257" customWidth="1"/>
    <col min="8" max="11" width="18.85546875" style="257" bestFit="1" customWidth="1"/>
    <col min="12" max="16384" width="9.140625" style="256"/>
  </cols>
  <sheetData>
    <row r="1" spans="2:12" s="255" customFormat="1" hidden="1" outlineLevel="1">
      <c r="H1" s="255">
        <v>2021</v>
      </c>
    </row>
    <row r="2" spans="2:12" s="255" customFormat="1" hidden="1" outlineLevel="1"/>
    <row r="3" spans="2:12" collapsed="1">
      <c r="H3" s="261"/>
    </row>
    <row r="4" spans="2:12" ht="6" customHeight="1" thickBot="1">
      <c r="B4" s="262"/>
      <c r="C4" s="262"/>
      <c r="D4" s="263"/>
      <c r="E4" s="263"/>
      <c r="F4" s="263"/>
      <c r="G4" s="263"/>
      <c r="H4" s="263"/>
      <c r="I4" s="263"/>
      <c r="J4" s="263"/>
      <c r="K4" s="263"/>
    </row>
    <row r="5" spans="2:12" ht="6" customHeight="1" thickTop="1">
      <c r="B5" s="265"/>
      <c r="C5" s="265"/>
      <c r="D5" s="266"/>
      <c r="E5" s="267"/>
      <c r="F5" s="267"/>
      <c r="G5" s="267"/>
      <c r="H5" s="575"/>
      <c r="I5" s="575"/>
      <c r="J5" s="575"/>
      <c r="K5" s="269"/>
    </row>
    <row r="6" spans="2:12" ht="12.75" customHeight="1">
      <c r="B6" s="270" t="s">
        <v>125</v>
      </c>
      <c r="C6" s="271"/>
      <c r="D6" s="1906" t="str">
        <f>"Reference Year Overnight Costs ("&amp;$H$1&amp;"$)"</f>
        <v>Reference Year Overnight Costs (2021$)</v>
      </c>
      <c r="E6" s="1907"/>
      <c r="F6" s="1907"/>
      <c r="G6" s="1907"/>
      <c r="H6" s="1908" t="str">
        <f>"Reference Year Overnight Costs ("&amp;$H$1&amp;"$)"</f>
        <v>Reference Year Overnight Costs (2021$)</v>
      </c>
      <c r="I6" s="1907"/>
      <c r="J6" s="1907"/>
      <c r="K6" s="1909"/>
      <c r="L6" s="759"/>
    </row>
    <row r="7" spans="2:12">
      <c r="B7" s="270" t="s">
        <v>119</v>
      </c>
      <c r="C7" s="271"/>
      <c r="D7" s="274" t="str">
        <f>'Capital Costs Data'!E6</f>
        <v>EMAAC</v>
      </c>
      <c r="E7" s="954" t="str">
        <f>'Capital Costs Data'!F6</f>
        <v>SWMAAC</v>
      </c>
      <c r="F7" s="954" t="str">
        <f>'Capital Costs Data'!G6</f>
        <v>Rest of RTO</v>
      </c>
      <c r="G7" s="954" t="str">
        <f>'Capital Costs Data'!H6</f>
        <v>WMAAC</v>
      </c>
      <c r="H7" s="274" t="str">
        <f>'Capital Costs Data'!I6</f>
        <v>EMAAC</v>
      </c>
      <c r="I7" s="954" t="str">
        <f>'Capital Costs Data'!J6</f>
        <v>SWMAAC</v>
      </c>
      <c r="J7" s="954" t="str">
        <f>'Capital Costs Data'!K6</f>
        <v>Rest of RTO</v>
      </c>
      <c r="K7" s="777" t="str">
        <f>'Capital Costs Data'!L6</f>
        <v>WMAAC</v>
      </c>
      <c r="L7" s="759"/>
    </row>
    <row r="8" spans="2:12" ht="30">
      <c r="B8" s="270" t="s">
        <v>99</v>
      </c>
      <c r="C8" s="270"/>
      <c r="D8" s="275" t="str">
        <f>'Capital Costs_Nominal$'!H14</f>
        <v>Frame-Type 
Combustion Turbine</v>
      </c>
      <c r="E8" s="955" t="str">
        <f>'Capital Costs_Nominal$'!I14</f>
        <v>Frame-Type 
Combustion Turbine</v>
      </c>
      <c r="F8" s="955" t="str">
        <f>'Capital Costs_Nominal$'!J14</f>
        <v>Frame-Type 
Combustion Turbine</v>
      </c>
      <c r="G8" s="955" t="str">
        <f>'Capital Costs_Nominal$'!K14</f>
        <v>Frame-Type 
Combustion Turbine</v>
      </c>
      <c r="H8" s="956" t="str">
        <f>'Capital Costs_Nominal$'!L14</f>
        <v>Combined Cycle Dry ACC</v>
      </c>
      <c r="I8" s="955" t="str">
        <f>'Capital Costs_Nominal$'!M14</f>
        <v>Combined Cycle Dry ACC</v>
      </c>
      <c r="J8" s="955" t="str">
        <f>'Capital Costs_Nominal$'!N14</f>
        <v>Combined Cycle Dry ACC</v>
      </c>
      <c r="K8" s="460" t="str">
        <f>'Capital Costs_Nominal$'!O14</f>
        <v>Combined Cycle Dry ACC</v>
      </c>
      <c r="L8" s="759"/>
    </row>
    <row r="9" spans="2:12">
      <c r="B9" s="270" t="s">
        <v>65</v>
      </c>
      <c r="C9" s="278"/>
      <c r="D9" s="280">
        <f>'Capital Costs Data'!E8</f>
        <v>360.589</v>
      </c>
      <c r="E9" s="279">
        <f>'Capital Costs Data'!F8</f>
        <v>362.83800000000002</v>
      </c>
      <c r="F9" s="279">
        <f>'Capital Costs Data'!G8</f>
        <v>352.92700000000002</v>
      </c>
      <c r="G9" s="279">
        <f>'Capital Costs Data'!H8</f>
        <v>349.94</v>
      </c>
      <c r="H9" s="280">
        <f>'Capital Costs Data'!I8</f>
        <v>1170.73</v>
      </c>
      <c r="I9" s="279">
        <f>'Capital Costs Data'!J8</f>
        <v>1173.6579999999999</v>
      </c>
      <c r="J9" s="279">
        <f>'Capital Costs Data'!K8</f>
        <v>1144.0940000000001</v>
      </c>
      <c r="K9" s="279">
        <f>'Capital Costs Data'!L8</f>
        <v>1133.424</v>
      </c>
      <c r="L9" s="759"/>
    </row>
    <row r="10" spans="2:12" ht="6" customHeight="1">
      <c r="B10" s="282"/>
      <c r="C10" s="282"/>
      <c r="D10" s="283"/>
      <c r="E10" s="284"/>
      <c r="F10" s="284"/>
      <c r="G10" s="284"/>
      <c r="H10" s="776"/>
      <c r="I10" s="284"/>
      <c r="J10" s="284"/>
      <c r="K10" s="285"/>
      <c r="L10" s="759"/>
    </row>
    <row r="11" spans="2:12" ht="6" customHeight="1">
      <c r="B11" s="278"/>
      <c r="C11" s="278"/>
      <c r="D11" s="287"/>
      <c r="E11" s="272"/>
      <c r="F11" s="272"/>
      <c r="G11" s="272"/>
      <c r="H11" s="287"/>
      <c r="I11" s="272"/>
      <c r="J11" s="272"/>
      <c r="K11" s="288"/>
      <c r="L11" s="759"/>
    </row>
    <row r="12" spans="2:12">
      <c r="B12" s="289" t="s">
        <v>127</v>
      </c>
      <c r="C12" s="290"/>
      <c r="D12" s="291"/>
      <c r="E12" s="292"/>
      <c r="F12" s="292"/>
      <c r="G12" s="292"/>
      <c r="H12" s="294"/>
      <c r="I12" s="295"/>
      <c r="J12" s="295"/>
      <c r="K12" s="296"/>
      <c r="L12" s="759"/>
    </row>
    <row r="13" spans="2:12">
      <c r="B13" s="289"/>
      <c r="C13" s="290"/>
      <c r="D13" s="291"/>
      <c r="E13" s="292"/>
      <c r="F13" s="292"/>
      <c r="G13" s="292"/>
      <c r="H13" s="294"/>
      <c r="I13" s="295"/>
      <c r="J13" s="295"/>
      <c r="K13" s="296"/>
      <c r="L13" s="759"/>
    </row>
    <row r="14" spans="2:12">
      <c r="B14" s="289" t="s">
        <v>128</v>
      </c>
      <c r="C14" s="261"/>
      <c r="D14" s="297"/>
      <c r="E14" s="298"/>
      <c r="F14" s="298"/>
      <c r="G14" s="298"/>
      <c r="H14" s="297"/>
      <c r="I14" s="298"/>
      <c r="J14" s="298"/>
      <c r="K14" s="299"/>
      <c r="L14" s="759"/>
    </row>
    <row r="15" spans="2:12">
      <c r="B15" s="300" t="s">
        <v>129</v>
      </c>
      <c r="C15" s="300"/>
      <c r="D15" s="778">
        <f>'Capital Costs Data'!E14</f>
        <v>69250000</v>
      </c>
      <c r="E15" s="779">
        <f>'Capital Costs Data'!F14</f>
        <v>69250000</v>
      </c>
      <c r="F15" s="779">
        <f>'Capital Costs Data'!G14</f>
        <v>69250000</v>
      </c>
      <c r="G15" s="779">
        <f>'Capital Costs Data'!H14</f>
        <v>69250000</v>
      </c>
      <c r="H15" s="778">
        <f>'Capital Costs Data'!I14</f>
        <v>138500000</v>
      </c>
      <c r="I15" s="779">
        <f>'Capital Costs Data'!J14</f>
        <v>138500000</v>
      </c>
      <c r="J15" s="779">
        <f>'Capital Costs Data'!K14</f>
        <v>138500000</v>
      </c>
      <c r="K15" s="779">
        <f>'Capital Costs Data'!L14</f>
        <v>138500000</v>
      </c>
      <c r="L15" s="759"/>
    </row>
    <row r="16" spans="2:12">
      <c r="B16" s="300" t="s">
        <v>130</v>
      </c>
      <c r="C16" s="300"/>
      <c r="D16" s="778">
        <f>'Capital Costs Data'!E15</f>
        <v>29558900</v>
      </c>
      <c r="E16" s="779">
        <f>'Capital Costs Data'!F15</f>
        <v>29558900</v>
      </c>
      <c r="F16" s="779">
        <f>'Capital Costs Data'!G15</f>
        <v>29558900</v>
      </c>
      <c r="G16" s="779">
        <f>'Capital Costs Data'!H15</f>
        <v>29558900</v>
      </c>
      <c r="H16" s="778">
        <f>'Capital Costs Data'!I15</f>
        <v>72000000</v>
      </c>
      <c r="I16" s="779">
        <f>'Capital Costs Data'!J15</f>
        <v>72000000</v>
      </c>
      <c r="J16" s="779">
        <f>'Capital Costs Data'!K15</f>
        <v>72000000</v>
      </c>
      <c r="K16" s="779">
        <f>'Capital Costs Data'!L15</f>
        <v>72000000</v>
      </c>
      <c r="L16" s="759"/>
    </row>
    <row r="17" spans="2:12">
      <c r="B17" s="300" t="s">
        <v>135</v>
      </c>
      <c r="C17" s="300"/>
      <c r="D17" s="778">
        <f>'Capital Costs Data'!E16</f>
        <v>0</v>
      </c>
      <c r="E17" s="779">
        <f>'Capital Costs Data'!F16</f>
        <v>0</v>
      </c>
      <c r="F17" s="779">
        <f>'Capital Costs Data'!G16</f>
        <v>0</v>
      </c>
      <c r="G17" s="779">
        <f>'Capital Costs Data'!H16</f>
        <v>0</v>
      </c>
      <c r="H17" s="778">
        <f>'Capital Costs Data'!I16</f>
        <v>75600000</v>
      </c>
      <c r="I17" s="779">
        <f>'Capital Costs Data'!J16</f>
        <v>75600000</v>
      </c>
      <c r="J17" s="779">
        <f>'Capital Costs Data'!K16</f>
        <v>75600000</v>
      </c>
      <c r="K17" s="779">
        <f>'Capital Costs Data'!L16</f>
        <v>75600000</v>
      </c>
      <c r="L17" s="759"/>
    </row>
    <row r="18" spans="2:12">
      <c r="B18" s="300" t="s">
        <v>131</v>
      </c>
      <c r="C18" s="300"/>
      <c r="D18" s="783">
        <f>ROUND(SUM(D15:D16)*'Cost Assumptions'!D$52,-3)</f>
        <v>0</v>
      </c>
      <c r="E18" s="784">
        <f>ROUND(SUM(E15:E16)*'Cost Assumptions'!E$52,-3)</f>
        <v>0</v>
      </c>
      <c r="F18" s="784">
        <f>ROUND(SUM(F15:F16)*'Cost Assumptions'!F$52,-3)</f>
        <v>0</v>
      </c>
      <c r="G18" s="784">
        <f>ROUND(SUM(G15:G16)*'Cost Assumptions'!G$52,-3)</f>
        <v>0</v>
      </c>
      <c r="H18" s="783">
        <f>ROUND(SUM(H15:H16)*'Cost Assumptions'!H$52,-3)</f>
        <v>0</v>
      </c>
      <c r="I18" s="784">
        <f>ROUND(SUM(I15:I16)*'Cost Assumptions'!I$52,-3)</f>
        <v>0</v>
      </c>
      <c r="J18" s="784">
        <f>ROUND(SUM(J15:J16)*'Cost Assumptions'!J$52,-3)</f>
        <v>0</v>
      </c>
      <c r="K18" s="784">
        <f>ROUND(SUM(K15:K16)*'Cost Assumptions'!K$52,-3)</f>
        <v>0</v>
      </c>
      <c r="L18" s="759"/>
    </row>
    <row r="19" spans="2:12">
      <c r="B19" s="289" t="s">
        <v>132</v>
      </c>
      <c r="C19" s="300"/>
      <c r="D19" s="780">
        <f>SUM(D15:D18)</f>
        <v>98808900</v>
      </c>
      <c r="E19" s="781">
        <f t="shared" ref="E19:K19" si="0">SUM(E15:E18)</f>
        <v>98808900</v>
      </c>
      <c r="F19" s="781">
        <f t="shared" si="0"/>
        <v>98808900</v>
      </c>
      <c r="G19" s="781">
        <f t="shared" si="0"/>
        <v>98808900</v>
      </c>
      <c r="H19" s="780">
        <f t="shared" si="0"/>
        <v>286100000</v>
      </c>
      <c r="I19" s="781">
        <f t="shared" si="0"/>
        <v>286100000</v>
      </c>
      <c r="J19" s="781">
        <f t="shared" si="0"/>
        <v>286100000</v>
      </c>
      <c r="K19" s="781">
        <f t="shared" si="0"/>
        <v>286100000</v>
      </c>
      <c r="L19" s="759"/>
    </row>
    <row r="20" spans="2:12">
      <c r="B20" s="300"/>
      <c r="C20" s="300"/>
      <c r="D20" s="778"/>
      <c r="E20" s="779"/>
      <c r="F20" s="779"/>
      <c r="G20" s="779"/>
      <c r="H20" s="778"/>
      <c r="I20" s="779"/>
      <c r="J20" s="779"/>
      <c r="K20" s="779"/>
      <c r="L20" s="759"/>
    </row>
    <row r="21" spans="2:12">
      <c r="B21" s="289" t="s">
        <v>104</v>
      </c>
      <c r="C21" s="300"/>
      <c r="D21" s="778"/>
      <c r="E21" s="779"/>
      <c r="F21" s="779"/>
      <c r="G21" s="779"/>
      <c r="H21" s="778"/>
      <c r="I21" s="779"/>
      <c r="J21" s="779"/>
      <c r="K21" s="779"/>
      <c r="L21" s="759"/>
    </row>
    <row r="22" spans="2:12">
      <c r="B22" s="261" t="s">
        <v>133</v>
      </c>
      <c r="C22" s="300"/>
      <c r="D22" s="778"/>
      <c r="E22" s="779"/>
      <c r="F22" s="779"/>
      <c r="G22" s="779"/>
      <c r="H22" s="778"/>
      <c r="I22" s="779"/>
      <c r="J22" s="779"/>
      <c r="K22" s="779"/>
      <c r="L22" s="759"/>
    </row>
    <row r="23" spans="2:12">
      <c r="B23" s="300" t="s">
        <v>134</v>
      </c>
      <c r="C23" s="300"/>
      <c r="D23" s="778">
        <f>'Capital Costs Data'!E22</f>
        <v>0</v>
      </c>
      <c r="E23" s="779">
        <f>'Capital Costs Data'!F22</f>
        <v>0</v>
      </c>
      <c r="F23" s="779">
        <f>'Capital Costs Data'!G22</f>
        <v>0</v>
      </c>
      <c r="G23" s="779">
        <f>'Capital Costs Data'!H22</f>
        <v>0</v>
      </c>
      <c r="H23" s="778">
        <f>'Capital Costs Data'!I22</f>
        <v>55000000</v>
      </c>
      <c r="I23" s="779">
        <f>'Capital Costs Data'!J22</f>
        <v>55000000</v>
      </c>
      <c r="J23" s="779">
        <f>'Capital Costs Data'!K22</f>
        <v>55000000</v>
      </c>
      <c r="K23" s="779">
        <f>'Capital Costs Data'!L22</f>
        <v>55000000</v>
      </c>
      <c r="L23" s="759"/>
    </row>
    <row r="24" spans="2:12">
      <c r="B24" s="300" t="s">
        <v>136</v>
      </c>
      <c r="C24" s="303"/>
      <c r="D24" s="778">
        <f>'Capital Costs Data'!E23</f>
        <v>21281700</v>
      </c>
      <c r="E24" s="779">
        <f>'Capital Costs Data'!F23</f>
        <v>21281700</v>
      </c>
      <c r="F24" s="779">
        <f>'Capital Costs Data'!G23</f>
        <v>21281700</v>
      </c>
      <c r="G24" s="779">
        <f>'Capital Costs Data'!H23</f>
        <v>21281700</v>
      </c>
      <c r="H24" s="778">
        <f>'Capital Costs Data'!I23</f>
        <v>77014000</v>
      </c>
      <c r="I24" s="779">
        <f>'Capital Costs Data'!J23</f>
        <v>77014000</v>
      </c>
      <c r="J24" s="779">
        <f>'Capital Costs Data'!K23</f>
        <v>77014000</v>
      </c>
      <c r="K24" s="779">
        <f>'Capital Costs Data'!L23</f>
        <v>77014000</v>
      </c>
      <c r="L24" s="759"/>
    </row>
    <row r="25" spans="2:12">
      <c r="B25" s="304" t="s">
        <v>137</v>
      </c>
      <c r="C25" s="303"/>
      <c r="D25" s="301">
        <f t="shared" ref="D25:K25" si="1">SUM(D23:D24)</f>
        <v>21281700</v>
      </c>
      <c r="E25" s="302">
        <f t="shared" si="1"/>
        <v>21281700</v>
      </c>
      <c r="F25" s="302">
        <f t="shared" si="1"/>
        <v>21281700</v>
      </c>
      <c r="G25" s="302">
        <f t="shared" si="1"/>
        <v>21281700</v>
      </c>
      <c r="H25" s="301">
        <f t="shared" si="1"/>
        <v>132014000</v>
      </c>
      <c r="I25" s="302">
        <f t="shared" si="1"/>
        <v>132014000</v>
      </c>
      <c r="J25" s="302">
        <f t="shared" si="1"/>
        <v>132014000</v>
      </c>
      <c r="K25" s="302">
        <f t="shared" si="1"/>
        <v>132014000</v>
      </c>
      <c r="L25" s="759"/>
    </row>
    <row r="26" spans="2:12">
      <c r="B26" s="261" t="s">
        <v>138</v>
      </c>
      <c r="C26" s="303"/>
      <c r="D26" s="778">
        <f>'Capital Costs Data'!E25</f>
        <v>41657600</v>
      </c>
      <c r="E26" s="779">
        <f>'Capital Costs Data'!F25</f>
        <v>31178500</v>
      </c>
      <c r="F26" s="779">
        <f>'Capital Costs Data'!G25</f>
        <v>33466500</v>
      </c>
      <c r="G26" s="779">
        <f>'Capital Costs Data'!H25</f>
        <v>37051400</v>
      </c>
      <c r="H26" s="778">
        <f>'Capital Costs Data'!I25</f>
        <v>306589500</v>
      </c>
      <c r="I26" s="779">
        <f>'Capital Costs Data'!J25</f>
        <v>237598100</v>
      </c>
      <c r="J26" s="779">
        <f>'Capital Costs Data'!K25</f>
        <v>249164300</v>
      </c>
      <c r="K26" s="779">
        <f>'Capital Costs Data'!L25</f>
        <v>277181900</v>
      </c>
      <c r="L26" s="759"/>
    </row>
    <row r="27" spans="2:12" ht="12.75" customHeight="1">
      <c r="B27" s="306" t="s">
        <v>139</v>
      </c>
      <c r="C27" s="303"/>
      <c r="D27" s="778">
        <f>'Capital Costs Data'!E26</f>
        <v>13511600</v>
      </c>
      <c r="E27" s="779">
        <f>'Capital Costs Data'!F26</f>
        <v>12673300</v>
      </c>
      <c r="F27" s="779">
        <f>'Capital Costs Data'!G26</f>
        <v>12856400</v>
      </c>
      <c r="G27" s="779">
        <f>'Capital Costs Data'!H26</f>
        <v>13143200</v>
      </c>
      <c r="H27" s="778">
        <f>'Capital Costs Data'!I26</f>
        <v>63361100</v>
      </c>
      <c r="I27" s="779">
        <f>'Capital Costs Data'!J26</f>
        <v>57841800</v>
      </c>
      <c r="J27" s="779">
        <f>'Capital Costs Data'!K26</f>
        <v>58767100</v>
      </c>
      <c r="K27" s="779">
        <f>'Capital Costs Data'!L26</f>
        <v>61008500</v>
      </c>
      <c r="L27" s="759"/>
    </row>
    <row r="28" spans="2:12">
      <c r="B28" s="261" t="s">
        <v>140</v>
      </c>
      <c r="C28" s="303"/>
      <c r="D28" s="778">
        <f>'Capital Costs Data'!E27</f>
        <v>7146800</v>
      </c>
      <c r="E28" s="779">
        <f>'Capital Costs Data'!F27</f>
        <v>7146800</v>
      </c>
      <c r="F28" s="779">
        <f>'Capital Costs Data'!G27</f>
        <v>7146800</v>
      </c>
      <c r="G28" s="779">
        <f>'Capital Costs Data'!H27</f>
        <v>7146800</v>
      </c>
      <c r="H28" s="778">
        <f>'Capital Costs Data'!I27</f>
        <v>67310200</v>
      </c>
      <c r="I28" s="779">
        <f>'Capital Costs Data'!J27</f>
        <v>67310200</v>
      </c>
      <c r="J28" s="779">
        <f>'Capital Costs Data'!K27</f>
        <v>67310200</v>
      </c>
      <c r="K28" s="779">
        <f>'Capital Costs Data'!L27</f>
        <v>67310200</v>
      </c>
      <c r="L28" s="759"/>
    </row>
    <row r="29" spans="2:12">
      <c r="B29" s="261" t="s">
        <v>131</v>
      </c>
      <c r="C29" s="303"/>
      <c r="D29" s="783">
        <f>ROUND((D25+D28)*'Cost Assumptions'!D$52,-3)</f>
        <v>0</v>
      </c>
      <c r="E29" s="784">
        <f>ROUND((E25+E28)*'Cost Assumptions'!E$52,-3)</f>
        <v>0</v>
      </c>
      <c r="F29" s="784">
        <f>ROUND((F25+F28)*'Cost Assumptions'!F$52,-3)</f>
        <v>0</v>
      </c>
      <c r="G29" s="784">
        <f>ROUND((G25+G28)*'Cost Assumptions'!G$52,-3)</f>
        <v>0</v>
      </c>
      <c r="H29" s="783">
        <f>ROUND((H25+H28)*'Cost Assumptions'!D$52,-3)</f>
        <v>0</v>
      </c>
      <c r="I29" s="784">
        <f>ROUND((I25+I28)*'Cost Assumptions'!E$52,-3)</f>
        <v>0</v>
      </c>
      <c r="J29" s="784">
        <f>ROUND((J25+J28)*'Cost Assumptions'!F$52,-3)</f>
        <v>0</v>
      </c>
      <c r="K29" s="784">
        <f>ROUND((K25+K28)*'Cost Assumptions'!G$52,-3)</f>
        <v>0</v>
      </c>
      <c r="L29" s="759"/>
    </row>
    <row r="30" spans="2:12">
      <c r="B30" s="261" t="s">
        <v>141</v>
      </c>
      <c r="C30" s="303"/>
      <c r="D30" s="783">
        <f>ROUND((D19+SUM(D25:D29))*'Cost Assumptions'!D$34,-3)</f>
        <v>18241000</v>
      </c>
      <c r="E30" s="784">
        <f>ROUND((E19+SUM(E25:E29))*'Cost Assumptions'!E$34,-3)</f>
        <v>17109000</v>
      </c>
      <c r="F30" s="784">
        <f>ROUND((F19+SUM(F25:F29))*'Cost Assumptions'!F$34,-3)</f>
        <v>17356000</v>
      </c>
      <c r="G30" s="784">
        <f>ROUND((G19+SUM(G25:G29))*'Cost Assumptions'!G$34,-3)</f>
        <v>17743000</v>
      </c>
      <c r="H30" s="783">
        <f>ROUND((H19+SUM(H25:H29))*'Cost Assumptions'!H$34,-3)</f>
        <v>85537000</v>
      </c>
      <c r="I30" s="784">
        <f>ROUND((I19+SUM(I25:I29))*'Cost Assumptions'!I$34,-3)</f>
        <v>78086000</v>
      </c>
      <c r="J30" s="784">
        <f>ROUND((J19+SUM(J25:J29))*'Cost Assumptions'!J$34,-3)</f>
        <v>79336000</v>
      </c>
      <c r="K30" s="784">
        <f>ROUND((K19+SUM(K25:K29))*'Cost Assumptions'!K$34,-3)</f>
        <v>82361000</v>
      </c>
      <c r="L30" s="759"/>
    </row>
    <row r="31" spans="2:12">
      <c r="B31" s="261" t="s">
        <v>142</v>
      </c>
      <c r="C31" s="303"/>
      <c r="D31" s="783">
        <f>ROUND((D19+SUM(D$25:D$30))*'Cost Assumptions'!D$35,-3)</f>
        <v>20065000</v>
      </c>
      <c r="E31" s="784">
        <f>ROUND((E19+SUM(E$25:E$30))*'Cost Assumptions'!E$35,-3)</f>
        <v>18820000</v>
      </c>
      <c r="F31" s="784">
        <f>ROUND((F19+SUM(F$25:F$30))*'Cost Assumptions'!F$35,-3)</f>
        <v>19092000</v>
      </c>
      <c r="G31" s="784">
        <f>ROUND((G19+SUM(G$25:G$30))*'Cost Assumptions'!G$35,-3)</f>
        <v>19518000</v>
      </c>
      <c r="H31" s="783">
        <f>ROUND((H19+SUM(H$25:H$30))*'Cost Assumptions'!H$35,-3)</f>
        <v>94091000</v>
      </c>
      <c r="I31" s="784">
        <f>ROUND((I19+SUM(I$25:I$30))*'Cost Assumptions'!I$35,-3)</f>
        <v>85895000</v>
      </c>
      <c r="J31" s="784">
        <f>ROUND((J19+SUM(J$25:J$30))*'Cost Assumptions'!J$35,-3)</f>
        <v>87269000</v>
      </c>
      <c r="K31" s="784">
        <f>ROUND((K19+SUM(K$25:K$30))*'Cost Assumptions'!K$35,-3)</f>
        <v>90598000</v>
      </c>
      <c r="L31" s="759"/>
    </row>
    <row r="32" spans="2:12">
      <c r="B32" s="289" t="s">
        <v>143</v>
      </c>
      <c r="C32" s="303"/>
      <c r="D32" s="957">
        <f>ROUND(SUM(D25:D31),-3)</f>
        <v>121904000</v>
      </c>
      <c r="E32" s="958">
        <f t="shared" ref="E32:K32" si="2">ROUND(SUM(E25:E31),-3)</f>
        <v>108209000</v>
      </c>
      <c r="F32" s="958">
        <f t="shared" si="2"/>
        <v>111199000</v>
      </c>
      <c r="G32" s="958">
        <f t="shared" si="2"/>
        <v>115884000</v>
      </c>
      <c r="H32" s="957">
        <f t="shared" si="2"/>
        <v>748903000</v>
      </c>
      <c r="I32" s="958">
        <f t="shared" si="2"/>
        <v>658745000</v>
      </c>
      <c r="J32" s="958">
        <f t="shared" si="2"/>
        <v>673861000</v>
      </c>
      <c r="K32" s="958">
        <f t="shared" si="2"/>
        <v>710474000</v>
      </c>
      <c r="L32" s="759"/>
    </row>
    <row r="33" spans="2:12">
      <c r="B33" s="261"/>
      <c r="C33" s="303"/>
      <c r="D33" s="297"/>
      <c r="E33" s="298"/>
      <c r="F33" s="298"/>
      <c r="G33" s="298"/>
      <c r="H33" s="297"/>
      <c r="I33" s="298"/>
      <c r="J33" s="298"/>
      <c r="K33" s="299"/>
      <c r="L33" s="759"/>
    </row>
    <row r="34" spans="2:12" s="260" customFormat="1">
      <c r="B34" s="289" t="s">
        <v>144</v>
      </c>
      <c r="C34" s="307"/>
      <c r="D34" s="957">
        <f t="shared" ref="D34:K34" si="3">D32+D19</f>
        <v>220712900</v>
      </c>
      <c r="E34" s="958">
        <f t="shared" si="3"/>
        <v>207017900</v>
      </c>
      <c r="F34" s="958">
        <f t="shared" si="3"/>
        <v>210007900</v>
      </c>
      <c r="G34" s="958">
        <f t="shared" si="3"/>
        <v>214692900</v>
      </c>
      <c r="H34" s="957">
        <f t="shared" si="3"/>
        <v>1035003000</v>
      </c>
      <c r="I34" s="958">
        <f t="shared" si="3"/>
        <v>944845000</v>
      </c>
      <c r="J34" s="958">
        <f t="shared" si="3"/>
        <v>959961000</v>
      </c>
      <c r="K34" s="958">
        <f t="shared" si="3"/>
        <v>996574000</v>
      </c>
      <c r="L34" s="843"/>
    </row>
    <row r="35" spans="2:12" ht="6" customHeight="1">
      <c r="B35" s="309"/>
      <c r="C35" s="309"/>
      <c r="D35" s="310"/>
      <c r="E35" s="311"/>
      <c r="F35" s="311"/>
      <c r="G35" s="311"/>
      <c r="H35" s="310"/>
      <c r="I35" s="311"/>
      <c r="J35" s="311"/>
      <c r="K35" s="312"/>
      <c r="L35" s="759"/>
    </row>
    <row r="36" spans="2:12" ht="6" customHeight="1">
      <c r="B36" s="292"/>
      <c r="C36" s="292"/>
      <c r="D36" s="314"/>
      <c r="E36" s="305"/>
      <c r="F36" s="305"/>
      <c r="G36" s="305"/>
      <c r="H36" s="314"/>
      <c r="I36" s="305"/>
      <c r="J36" s="305"/>
      <c r="K36" s="315"/>
      <c r="L36" s="759"/>
    </row>
    <row r="37" spans="2:12">
      <c r="B37" s="289" t="s">
        <v>145</v>
      </c>
      <c r="C37" s="289"/>
      <c r="D37" s="314"/>
      <c r="E37" s="305"/>
      <c r="F37" s="305"/>
      <c r="G37" s="305"/>
      <c r="H37" s="314"/>
      <c r="I37" s="305"/>
      <c r="J37" s="305"/>
      <c r="K37" s="315"/>
      <c r="L37" s="759"/>
    </row>
    <row r="38" spans="2:12">
      <c r="B38" s="261" t="s">
        <v>146</v>
      </c>
      <c r="C38" s="303"/>
      <c r="D38" s="783">
        <f>ROUND('Cost Assumptions'!D$36*'Capital Costs'!D$34,-3)</f>
        <v>11036000</v>
      </c>
      <c r="E38" s="784">
        <f>ROUND('Cost Assumptions'!E$36*'Capital Costs'!E$34,-3)</f>
        <v>10351000</v>
      </c>
      <c r="F38" s="784">
        <f>ROUND('Cost Assumptions'!F$36*'Capital Costs'!F$34,-3)</f>
        <v>10500000</v>
      </c>
      <c r="G38" s="784">
        <f>ROUND('Cost Assumptions'!G$36*'Capital Costs'!G$34,-3)</f>
        <v>10735000</v>
      </c>
      <c r="H38" s="783">
        <f>ROUND('Cost Assumptions'!H$36*'Capital Costs'!H$34,-3)</f>
        <v>51750000</v>
      </c>
      <c r="I38" s="784">
        <f>ROUND('Cost Assumptions'!I$36*'Capital Costs'!I$34,-3)</f>
        <v>47242000</v>
      </c>
      <c r="J38" s="784">
        <f>ROUND('Cost Assumptions'!J$36*'Capital Costs'!J$34,-3)</f>
        <v>47998000</v>
      </c>
      <c r="K38" s="784">
        <f>ROUND('Cost Assumptions'!K$36*'Capital Costs'!K$34,-3)</f>
        <v>49829000</v>
      </c>
      <c r="L38" s="759"/>
    </row>
    <row r="39" spans="2:12">
      <c r="B39" s="261" t="s">
        <v>147</v>
      </c>
      <c r="C39" s="303"/>
      <c r="D39" s="783">
        <f>ROUND(D$34*'Cost Assumptions'!D$37,-3)</f>
        <v>2207000</v>
      </c>
      <c r="E39" s="784">
        <f>ROUND(E$34*'Cost Assumptions'!E$37,-3)</f>
        <v>2070000</v>
      </c>
      <c r="F39" s="784">
        <f>ROUND(F$34*'Cost Assumptions'!F$37,-3)</f>
        <v>2100000</v>
      </c>
      <c r="G39" s="784">
        <f>ROUND(G$34*'Cost Assumptions'!G$37,-3)</f>
        <v>2147000</v>
      </c>
      <c r="H39" s="783">
        <f>ROUND(H$34*'Cost Assumptions'!H$37,-3)</f>
        <v>10350000</v>
      </c>
      <c r="I39" s="784">
        <f>ROUND(I$34*'Cost Assumptions'!I$37,-3)</f>
        <v>9448000</v>
      </c>
      <c r="J39" s="784">
        <f>ROUND(J$34*'Cost Assumptions'!J$37,-3)</f>
        <v>9600000</v>
      </c>
      <c r="K39" s="784">
        <f>ROUND(K$34*'Cost Assumptions'!K$37,-3)</f>
        <v>9966000</v>
      </c>
      <c r="L39" s="759"/>
    </row>
    <row r="40" spans="2:12" s="257" customFormat="1">
      <c r="B40" s="261" t="s">
        <v>148</v>
      </c>
      <c r="C40" s="303"/>
      <c r="D40" s="778">
        <f>ROUND('Capital Costs Data'!E42,-3)</f>
        <v>-551000</v>
      </c>
      <c r="E40" s="779">
        <f>ROUND('Capital Costs Data'!F42,-3)</f>
        <v>-555000</v>
      </c>
      <c r="F40" s="779">
        <f>ROUND('Capital Costs Data'!G42,-3)</f>
        <v>123000</v>
      </c>
      <c r="G40" s="779">
        <f>ROUND('Capital Costs Data'!H42,-3)</f>
        <v>-532000</v>
      </c>
      <c r="H40" s="778">
        <f>ROUND('Capital Costs Data'!I42,-3)</f>
        <v>-13918000</v>
      </c>
      <c r="I40" s="779">
        <f>ROUND('Capital Costs Data'!J42,-3)</f>
        <v>-13994000</v>
      </c>
      <c r="J40" s="779">
        <f>ROUND('Capital Costs Data'!K42,-3)</f>
        <v>-9784000</v>
      </c>
      <c r="K40" s="779">
        <f>ROUND('Capital Costs Data'!L42,-3)</f>
        <v>-13490000</v>
      </c>
      <c r="L40" s="844"/>
    </row>
    <row r="41" spans="2:12">
      <c r="B41" s="261" t="s">
        <v>149</v>
      </c>
      <c r="C41" s="303"/>
      <c r="D41" s="778">
        <f>ROUND('Capital Costs Data'!E43,-3)</f>
        <v>6807000</v>
      </c>
      <c r="E41" s="779">
        <f>ROUND('Capital Costs Data'!F43,-3)</f>
        <v>6850000</v>
      </c>
      <c r="F41" s="779">
        <f>ROUND('Capital Costs Data'!G43,-3)</f>
        <v>6663000</v>
      </c>
      <c r="G41" s="779">
        <f>ROUND('Capital Costs Data'!H43,-3)</f>
        <v>6606000</v>
      </c>
      <c r="H41" s="778">
        <f>ROUND('Capital Costs Data'!I43,-3)</f>
        <v>22102000</v>
      </c>
      <c r="I41" s="779">
        <f>ROUND('Capital Costs Data'!J43,-3)</f>
        <v>22157000</v>
      </c>
      <c r="J41" s="779">
        <f>ROUND('Capital Costs Data'!K43,-3)</f>
        <v>21599000</v>
      </c>
      <c r="K41" s="779">
        <f>ROUND('Capital Costs Data'!L43,-3)</f>
        <v>21398000</v>
      </c>
      <c r="L41" s="759"/>
    </row>
    <row r="42" spans="2:12">
      <c r="B42" s="261" t="s">
        <v>98</v>
      </c>
      <c r="C42" s="303"/>
      <c r="D42" s="778">
        <f>ROUND('Capital Costs Data'!E44,-3)</f>
        <v>29552000</v>
      </c>
      <c r="E42" s="779">
        <f>ROUND('Capital Costs Data'!F44,-3)</f>
        <v>29552000</v>
      </c>
      <c r="F42" s="779">
        <f>ROUND('Capital Costs Data'!G44,-3)</f>
        <v>29552000</v>
      </c>
      <c r="G42" s="779">
        <f>ROUND('Capital Costs Data'!H44,-3)</f>
        <v>29552000</v>
      </c>
      <c r="H42" s="778">
        <f>ROUND('Capital Costs Data'!I44,-3)</f>
        <v>29552000</v>
      </c>
      <c r="I42" s="779">
        <f>ROUND('Capital Costs Data'!J44,-3)</f>
        <v>29552000</v>
      </c>
      <c r="J42" s="779">
        <f>ROUND('Capital Costs Data'!K44,-3)</f>
        <v>29552000</v>
      </c>
      <c r="K42" s="779">
        <f>ROUND('Capital Costs Data'!L44,-3)</f>
        <v>29552000</v>
      </c>
      <c r="L42" s="759"/>
    </row>
    <row r="43" spans="2:12">
      <c r="B43" s="261" t="s">
        <v>150</v>
      </c>
      <c r="C43" s="303"/>
      <c r="D43" s="778">
        <f>ROUND('Capital Costs Data'!E45,-3)</f>
        <v>366000</v>
      </c>
      <c r="E43" s="779">
        <f>ROUND('Capital Costs Data'!F45,-3)</f>
        <v>295000</v>
      </c>
      <c r="F43" s="779">
        <f>ROUND('Capital Costs Data'!G45,-3)</f>
        <v>164000</v>
      </c>
      <c r="G43" s="779">
        <f>ROUND('Capital Costs Data'!H45,-3)</f>
        <v>306000</v>
      </c>
      <c r="H43" s="778">
        <f>ROUND('Capital Costs Data'!I45,-3)</f>
        <v>2196000</v>
      </c>
      <c r="I43" s="779">
        <f>ROUND('Capital Costs Data'!J45,-3)</f>
        <v>1770000</v>
      </c>
      <c r="J43" s="779">
        <f>ROUND('Capital Costs Data'!K45,-3)</f>
        <v>984000</v>
      </c>
      <c r="K43" s="779">
        <f>ROUND('Capital Costs Data'!L45,-3)</f>
        <v>1836000</v>
      </c>
      <c r="L43" s="759"/>
    </row>
    <row r="44" spans="2:12">
      <c r="B44" s="261" t="s">
        <v>151</v>
      </c>
      <c r="C44" s="303"/>
      <c r="D44" s="778">
        <f>ROUND('Capital Costs Data'!E46,-3)</f>
        <v>0</v>
      </c>
      <c r="E44" s="779">
        <f>ROUND('Capital Costs Data'!F46,-3)</f>
        <v>0</v>
      </c>
      <c r="F44" s="779">
        <f>ROUND('Capital Costs Data'!G46,-3)</f>
        <v>0</v>
      </c>
      <c r="G44" s="779">
        <f>ROUND('Capital Costs Data'!H46,-3)</f>
        <v>0</v>
      </c>
      <c r="H44" s="778">
        <f>ROUND('Capital Costs Data'!I46,-3)</f>
        <v>0</v>
      </c>
      <c r="I44" s="779">
        <f>ROUND('Capital Costs Data'!J46,-3)</f>
        <v>0</v>
      </c>
      <c r="J44" s="779">
        <f>ROUND('Capital Costs Data'!K46,-3)</f>
        <v>0</v>
      </c>
      <c r="K44" s="779">
        <f>ROUND('Capital Costs Data'!L46,-3)</f>
        <v>0</v>
      </c>
      <c r="L44" s="759"/>
    </row>
    <row r="45" spans="2:12">
      <c r="B45" s="261" t="s">
        <v>152</v>
      </c>
      <c r="C45" s="303"/>
      <c r="D45" s="783">
        <f>ROUND(D$34*'Cost Assumptions'!D$38,-3)</f>
        <v>1104000</v>
      </c>
      <c r="E45" s="784">
        <f>ROUND(E$34*'Cost Assumptions'!E$38,-3)</f>
        <v>1035000</v>
      </c>
      <c r="F45" s="784">
        <f>ROUND(F$34*'Cost Assumptions'!F$38,-3)</f>
        <v>1050000</v>
      </c>
      <c r="G45" s="784">
        <f>ROUND(G$34*'Cost Assumptions'!G$38,-3)</f>
        <v>1073000</v>
      </c>
      <c r="H45" s="783">
        <f>ROUND(H$34*'Cost Assumptions'!H$38,-3)</f>
        <v>5175000</v>
      </c>
      <c r="I45" s="784">
        <f>ROUND(I$34*'Cost Assumptions'!I$38,-3)</f>
        <v>4724000</v>
      </c>
      <c r="J45" s="784">
        <f>ROUND(J$34*'Cost Assumptions'!J$38,-3)</f>
        <v>4800000</v>
      </c>
      <c r="K45" s="784">
        <f>ROUND(K$34*'Cost Assumptions'!K$38,-3)</f>
        <v>4983000</v>
      </c>
      <c r="L45" s="759"/>
    </row>
    <row r="46" spans="2:12">
      <c r="B46" s="261" t="s">
        <v>114</v>
      </c>
      <c r="C46" s="303"/>
      <c r="D46" s="783">
        <f>ROUND(SUM(D$38:D$45)*'Cost Assumptions'!D$39,-3)</f>
        <v>4042000</v>
      </c>
      <c r="E46" s="784">
        <f>ROUND(SUM(E$38:E$45)*'Cost Assumptions'!E$39,-3)</f>
        <v>3968000</v>
      </c>
      <c r="F46" s="784">
        <f>ROUND(SUM(F$38:F$45)*'Cost Assumptions'!F$39,-3)</f>
        <v>4012000</v>
      </c>
      <c r="G46" s="784">
        <f>ROUND(SUM(G$38:G$45)*'Cost Assumptions'!G$39,-3)</f>
        <v>3991000</v>
      </c>
      <c r="H46" s="783">
        <f>ROUND(SUM(H$38:H$45)*'Cost Assumptions'!H$39,-3)</f>
        <v>8577000</v>
      </c>
      <c r="I46" s="784">
        <f>ROUND(SUM(I$38:I$45)*'Cost Assumptions'!I$39,-3)</f>
        <v>8072000</v>
      </c>
      <c r="J46" s="784">
        <f>ROUND(SUM(J$38:J$45)*'Cost Assumptions'!J$39,-3)</f>
        <v>8380000</v>
      </c>
      <c r="K46" s="784">
        <f>ROUND(SUM(K$38:K$45)*'Cost Assumptions'!K$39,-3)</f>
        <v>8326000</v>
      </c>
      <c r="L46" s="759"/>
    </row>
    <row r="47" spans="2:12">
      <c r="B47" s="261" t="s">
        <v>490</v>
      </c>
      <c r="C47" s="303"/>
      <c r="D47" s="783">
        <f>'Capital Costs Data'!E47</f>
        <v>0</v>
      </c>
      <c r="E47" s="784">
        <f>'Capital Costs Data'!F47</f>
        <v>0</v>
      </c>
      <c r="F47" s="784">
        <f>'Capital Costs Data'!G47</f>
        <v>0</v>
      </c>
      <c r="G47" s="784">
        <f>'Capital Costs Data'!H47</f>
        <v>0</v>
      </c>
      <c r="H47" s="783">
        <f>'Capital Costs Data'!I47</f>
        <v>2000000</v>
      </c>
      <c r="I47" s="784">
        <f>'Capital Costs Data'!J47</f>
        <v>2000000</v>
      </c>
      <c r="J47" s="784">
        <f>'Capital Costs Data'!K47</f>
        <v>2000000</v>
      </c>
      <c r="K47" s="784">
        <f>'Capital Costs Data'!L47</f>
        <v>2000000</v>
      </c>
      <c r="L47" s="759"/>
    </row>
    <row r="48" spans="2:12">
      <c r="B48" s="261"/>
      <c r="C48" s="303"/>
      <c r="D48" s="1696">
        <f>(D31+D46)/(D54-D31-D46)</f>
        <v>9.5522863554106704E-2</v>
      </c>
      <c r="E48" s="1743">
        <f t="shared" ref="E48:K48" si="4">(E31+E46)/(E54-E31-E46)</f>
        <v>9.5357693873682439E-2</v>
      </c>
      <c r="F48" s="1743">
        <f t="shared" si="4"/>
        <v>9.5368651601028476E-2</v>
      </c>
      <c r="G48" s="1743">
        <f t="shared" si="4"/>
        <v>9.5469222150613875E-2</v>
      </c>
      <c r="H48" s="1696">
        <f t="shared" si="4"/>
        <v>9.7527334213601088E-2</v>
      </c>
      <c r="I48" s="1743">
        <f t="shared" si="4"/>
        <v>9.7446826162254099E-2</v>
      </c>
      <c r="J48" s="1743">
        <f t="shared" si="4"/>
        <v>9.7404819272200696E-2</v>
      </c>
      <c r="K48" s="1743">
        <f t="shared" si="4"/>
        <v>9.7503664124695563E-2</v>
      </c>
      <c r="L48" s="759"/>
    </row>
    <row r="49" spans="2:12">
      <c r="B49" s="317" t="s">
        <v>154</v>
      </c>
      <c r="C49" s="303"/>
      <c r="D49" s="783">
        <f>SUM(D$38:D$47)</f>
        <v>54563000</v>
      </c>
      <c r="E49" s="784">
        <f t="shared" ref="E49:K49" si="5">SUM(E$38:E$47)</f>
        <v>53566000</v>
      </c>
      <c r="F49" s="784">
        <f t="shared" si="5"/>
        <v>54164000</v>
      </c>
      <c r="G49" s="784">
        <f t="shared" si="5"/>
        <v>53878000</v>
      </c>
      <c r="H49" s="783">
        <f>SUM(H$38:H$47)</f>
        <v>117784000</v>
      </c>
      <c r="I49" s="784">
        <f t="shared" si="5"/>
        <v>110971000</v>
      </c>
      <c r="J49" s="784">
        <f t="shared" si="5"/>
        <v>115129000</v>
      </c>
      <c r="K49" s="784">
        <f t="shared" si="5"/>
        <v>114400000</v>
      </c>
      <c r="L49" s="759"/>
    </row>
    <row r="50" spans="2:12">
      <c r="B50" s="261" t="s">
        <v>115</v>
      </c>
      <c r="C50" s="303"/>
      <c r="D50" s="783">
        <f>ROUND(D$49*'Cost Assumptions'!D$40*'Cost Assumptions'!D$42,-3)</f>
        <v>1200000</v>
      </c>
      <c r="E50" s="784">
        <f>ROUND(E$49*'Cost Assumptions'!E$40*'Cost Assumptions'!E$42,-3)</f>
        <v>1178000</v>
      </c>
      <c r="F50" s="784">
        <f>ROUND(F$49*'Cost Assumptions'!F$40*'Cost Assumptions'!F$42,-3)</f>
        <v>1192000</v>
      </c>
      <c r="G50" s="784">
        <f>ROUND(G$49*'Cost Assumptions'!G$40*'Cost Assumptions'!G$42,-3)</f>
        <v>1185000</v>
      </c>
      <c r="H50" s="783">
        <f>ROUND(H$49*'Cost Assumptions'!H$40*'Cost Assumptions'!H$42,-3)</f>
        <v>2591000</v>
      </c>
      <c r="I50" s="784">
        <f>ROUND(I$49*'Cost Assumptions'!I$40*'Cost Assumptions'!I$42,-3)</f>
        <v>2441000</v>
      </c>
      <c r="J50" s="784">
        <f>ROUND(J$49*'Cost Assumptions'!J$40*'Cost Assumptions'!J$42,-3)</f>
        <v>2533000</v>
      </c>
      <c r="K50" s="784">
        <f>ROUND(K$49*'Cost Assumptions'!K$40*'Cost Assumptions'!K$42,-3)</f>
        <v>2517000</v>
      </c>
      <c r="L50" s="759"/>
    </row>
    <row r="51" spans="2:12" s="260" customFormat="1">
      <c r="B51" s="289" t="s">
        <v>155</v>
      </c>
      <c r="C51" s="307"/>
      <c r="D51" s="957">
        <f t="shared" ref="D51:K51" si="6">SUM(D49:D50)</f>
        <v>55763000</v>
      </c>
      <c r="E51" s="958">
        <f t="shared" si="6"/>
        <v>54744000</v>
      </c>
      <c r="F51" s="958">
        <f t="shared" si="6"/>
        <v>55356000</v>
      </c>
      <c r="G51" s="958">
        <f t="shared" si="6"/>
        <v>55063000</v>
      </c>
      <c r="H51" s="957">
        <f t="shared" si="6"/>
        <v>120375000</v>
      </c>
      <c r="I51" s="958">
        <f t="shared" si="6"/>
        <v>113412000</v>
      </c>
      <c r="J51" s="958">
        <f t="shared" si="6"/>
        <v>117662000</v>
      </c>
      <c r="K51" s="958">
        <f t="shared" si="6"/>
        <v>116917000</v>
      </c>
      <c r="L51" s="843"/>
    </row>
    <row r="52" spans="2:12" ht="6" customHeight="1">
      <c r="B52" s="319"/>
      <c r="C52" s="319"/>
      <c r="D52" s="959"/>
      <c r="E52" s="960"/>
      <c r="F52" s="960"/>
      <c r="G52" s="960"/>
      <c r="H52" s="959"/>
      <c r="I52" s="960"/>
      <c r="J52" s="960"/>
      <c r="K52" s="961"/>
      <c r="L52" s="759"/>
    </row>
    <row r="53" spans="2:12" ht="6" customHeight="1">
      <c r="B53" s="320"/>
      <c r="C53" s="320"/>
      <c r="D53" s="780"/>
      <c r="E53" s="781"/>
      <c r="F53" s="781"/>
      <c r="G53" s="781"/>
      <c r="H53" s="962"/>
      <c r="I53" s="781"/>
      <c r="J53" s="781"/>
      <c r="K53" s="963"/>
      <c r="L53" s="759"/>
    </row>
    <row r="54" spans="2:12" s="260" customFormat="1">
      <c r="B54" s="290" t="s">
        <v>156</v>
      </c>
      <c r="C54" s="321"/>
      <c r="D54" s="957">
        <f>D$34+D$51</f>
        <v>276475900</v>
      </c>
      <c r="E54" s="958">
        <f t="shared" ref="E54:K54" si="7">E$34+E$51</f>
        <v>261761900</v>
      </c>
      <c r="F54" s="958">
        <f t="shared" si="7"/>
        <v>265363900</v>
      </c>
      <c r="G54" s="958">
        <f t="shared" si="7"/>
        <v>269755900</v>
      </c>
      <c r="H54" s="957">
        <f>H$34+H$51</f>
        <v>1155378000</v>
      </c>
      <c r="I54" s="958">
        <f t="shared" si="7"/>
        <v>1058257000</v>
      </c>
      <c r="J54" s="958">
        <f t="shared" si="7"/>
        <v>1077623000</v>
      </c>
      <c r="K54" s="958">
        <f t="shared" si="7"/>
        <v>1113491000</v>
      </c>
      <c r="L54" s="843"/>
    </row>
    <row r="55" spans="2:12">
      <c r="B55" s="290" t="s">
        <v>157</v>
      </c>
      <c r="C55" s="290"/>
      <c r="D55" s="780">
        <f>D$54/('Cost Assumptions'!D13*10^3)</f>
        <v>766.73414885090779</v>
      </c>
      <c r="E55" s="781">
        <f>E$54/('Cost Assumptions'!E13*10^3)</f>
        <v>721.42912263875337</v>
      </c>
      <c r="F55" s="781">
        <f>F$54/('Cost Assumptions'!F13*10^3)</f>
        <v>751.89458443247474</v>
      </c>
      <c r="G55" s="781">
        <f>G$54/('Cost Assumptions'!G13*10^3)</f>
        <v>770.86329084985994</v>
      </c>
      <c r="H55" s="780">
        <f>H$54/('Cost Assumptions'!H17*10^3)</f>
        <v>986.88681420993737</v>
      </c>
      <c r="I55" s="781">
        <f>I$54/('Cost Assumptions'!I17*10^3)</f>
        <v>901.67408222838344</v>
      </c>
      <c r="J55" s="781">
        <f>J$54/('Cost Assumptions'!J17*10^3)</f>
        <v>941.90075291016296</v>
      </c>
      <c r="K55" s="781">
        <f>K$54/('Cost Assumptions'!K17*10^3)</f>
        <v>982.41346574626971</v>
      </c>
      <c r="L55" s="759"/>
    </row>
    <row r="56" spans="2:12" ht="6" customHeight="1" thickBot="1">
      <c r="B56" s="322"/>
      <c r="C56" s="322"/>
      <c r="D56" s="323"/>
      <c r="E56" s="324"/>
      <c r="F56" s="324"/>
      <c r="G56" s="324"/>
      <c r="H56" s="323"/>
      <c r="I56" s="324"/>
      <c r="J56" s="324"/>
      <c r="K56" s="325"/>
    </row>
    <row r="57" spans="2:12" ht="6" customHeight="1" thickTop="1">
      <c r="B57" s="290" t="s">
        <v>123</v>
      </c>
      <c r="C57" s="290"/>
      <c r="D57" s="327"/>
      <c r="E57" s="327"/>
      <c r="F57" s="327"/>
      <c r="G57" s="327"/>
      <c r="H57" s="327"/>
      <c r="I57" s="327"/>
      <c r="J57" s="327"/>
      <c r="K57" s="327"/>
    </row>
    <row r="58" spans="2:12">
      <c r="B58" s="328"/>
      <c r="C58" s="328"/>
      <c r="D58" s="329"/>
      <c r="E58" s="329"/>
      <c r="F58" s="329"/>
      <c r="G58" s="329"/>
      <c r="H58" s="329"/>
      <c r="I58" s="329"/>
      <c r="J58" s="329"/>
      <c r="K58" s="329"/>
    </row>
    <row r="59" spans="2:12">
      <c r="B59" s="328"/>
      <c r="C59" s="328"/>
      <c r="D59" s="1722"/>
      <c r="E59" s="1722"/>
      <c r="F59" s="1722"/>
      <c r="G59" s="1722"/>
      <c r="H59" s="1722"/>
      <c r="I59" s="1722"/>
      <c r="J59" s="1722"/>
      <c r="K59" s="1722"/>
    </row>
    <row r="60" spans="2:12">
      <c r="B60" s="329"/>
      <c r="C60" s="328"/>
      <c r="D60" s="329"/>
      <c r="F60" s="329"/>
      <c r="G60" s="329"/>
      <c r="H60" s="329"/>
      <c r="I60" s="329"/>
      <c r="J60" s="329"/>
      <c r="K60" s="329"/>
    </row>
    <row r="61" spans="2:12">
      <c r="B61" s="329"/>
      <c r="C61" s="328"/>
      <c r="D61" s="329"/>
      <c r="F61" s="329"/>
      <c r="G61" s="329"/>
      <c r="H61" s="329"/>
      <c r="I61" s="329"/>
      <c r="J61" s="329"/>
      <c r="K61" s="329"/>
    </row>
    <row r="62" spans="2:12">
      <c r="B62" s="328"/>
      <c r="C62" s="328"/>
      <c r="D62" s="329"/>
      <c r="E62" s="329"/>
      <c r="F62" s="329"/>
      <c r="G62" s="329"/>
      <c r="H62" s="329"/>
      <c r="I62" s="329"/>
      <c r="J62" s="329"/>
      <c r="K62" s="329"/>
    </row>
    <row r="63" spans="2:12">
      <c r="D63" s="331"/>
      <c r="E63" s="331"/>
      <c r="H63" s="331"/>
      <c r="I63" s="331"/>
      <c r="J63" s="331"/>
      <c r="K63" s="331"/>
    </row>
  </sheetData>
  <mergeCells count="2">
    <mergeCell ref="D6:G6"/>
    <mergeCell ref="H6:K6"/>
  </mergeCells>
  <pageMargins left="0.7" right="0.7" top="0.75" bottom="0.75" header="0.3" footer="0.3"/>
  <pageSetup orientation="portrait"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B1:I56"/>
  <sheetViews>
    <sheetView topLeftCell="A3" zoomScaleNormal="100" workbookViewId="0">
      <selection activeCell="I8" sqref="I8"/>
    </sheetView>
  </sheetViews>
  <sheetFormatPr defaultColWidth="9.140625" defaultRowHeight="15" outlineLevelRow="1"/>
  <cols>
    <col min="1" max="1" width="5.5703125" style="256" customWidth="1"/>
    <col min="2" max="2" width="55.85546875" style="256" bestFit="1" customWidth="1"/>
    <col min="3" max="3" width="1.7109375" style="256" customWidth="1"/>
    <col min="4" max="7" width="19.5703125" style="257" customWidth="1"/>
    <col min="8" max="8" width="9.140625" style="256"/>
    <col min="9" max="9" width="10.42578125" style="256" bestFit="1" customWidth="1"/>
    <col min="10" max="16384" width="9.140625" style="256"/>
  </cols>
  <sheetData>
    <row r="1" spans="2:8" s="255" customFormat="1" hidden="1" outlineLevel="1">
      <c r="D1" s="255">
        <v>2021</v>
      </c>
    </row>
    <row r="2" spans="2:8" s="255" customFormat="1" hidden="1" outlineLevel="1"/>
    <row r="3" spans="2:8" collapsed="1"/>
    <row r="4" spans="2:8" ht="6" customHeight="1" thickBot="1">
      <c r="B4" s="262"/>
      <c r="C4" s="262"/>
      <c r="D4" s="263"/>
      <c r="E4" s="263"/>
      <c r="F4" s="263"/>
      <c r="G4" s="263"/>
    </row>
    <row r="5" spans="2:8" ht="6" customHeight="1" thickTop="1">
      <c r="B5" s="265"/>
      <c r="C5" s="265"/>
      <c r="D5" s="266"/>
      <c r="E5" s="267"/>
      <c r="F5" s="267"/>
      <c r="G5" s="268"/>
    </row>
    <row r="6" spans="2:8" ht="12.75" customHeight="1">
      <c r="B6" s="270" t="s">
        <v>125</v>
      </c>
      <c r="C6" s="271"/>
      <c r="D6" s="1908" t="str">
        <f>"Reference Year Overnight Costs ("&amp;$D$1&amp;"$)"</f>
        <v>Reference Year Overnight Costs (2021$)</v>
      </c>
      <c r="E6" s="1907"/>
      <c r="F6" s="1907"/>
      <c r="G6" s="1907"/>
      <c r="H6" s="759"/>
    </row>
    <row r="7" spans="2:8">
      <c r="B7" s="270" t="s">
        <v>119</v>
      </c>
      <c r="C7" s="271"/>
      <c r="D7" s="274" t="str">
        <f>'Capital Costs Data BESS'!E6</f>
        <v>EMAAC</v>
      </c>
      <c r="E7" s="777" t="str">
        <f>'Capital Costs Data BESS'!F6</f>
        <v>SWMAAC</v>
      </c>
      <c r="F7" s="777" t="str">
        <f>'Capital Costs Data BESS'!G6</f>
        <v>Rest of RTO</v>
      </c>
      <c r="G7" s="1746" t="str">
        <f>'Capital Costs Data BESS'!H6</f>
        <v>WMAAC</v>
      </c>
      <c r="H7" s="759"/>
    </row>
    <row r="8" spans="2:8" ht="30">
      <c r="B8" s="270" t="s">
        <v>99</v>
      </c>
      <c r="C8" s="270"/>
      <c r="D8" s="275" t="str">
        <f>'Capital Costs Data BESS'!E7</f>
        <v>Lithium-Ion 4-hour Batteries</v>
      </c>
      <c r="E8" s="460" t="str">
        <f>'Capital Costs Data BESS'!F7</f>
        <v>Lithium-Ion 4-hour Batteries</v>
      </c>
      <c r="F8" s="460" t="str">
        <f>'Capital Costs Data BESS'!G7</f>
        <v>Lithium-Ion 4-hour Batteries</v>
      </c>
      <c r="G8" s="460" t="str">
        <f>'Capital Costs Data BESS'!H7</f>
        <v>Lithium-Ion 4-hour Batteries</v>
      </c>
      <c r="H8" s="759"/>
    </row>
    <row r="9" spans="2:8">
      <c r="B9" s="270" t="s">
        <v>652</v>
      </c>
      <c r="C9" s="278"/>
      <c r="D9" s="280">
        <f>'Capital Costs Data BESS'!E8</f>
        <v>200</v>
      </c>
      <c r="E9" s="279">
        <f>'Capital Costs Data BESS'!F8</f>
        <v>200</v>
      </c>
      <c r="F9" s="279">
        <f>'Capital Costs Data BESS'!G8</f>
        <v>200</v>
      </c>
      <c r="G9" s="279">
        <f>'Capital Costs Data BESS'!H8</f>
        <v>200</v>
      </c>
      <c r="H9" s="759"/>
    </row>
    <row r="10" spans="2:8">
      <c r="B10" s="270" t="s">
        <v>651</v>
      </c>
      <c r="C10" s="278"/>
      <c r="D10" s="280">
        <f>'Capital Costs Data BESS'!E9</f>
        <v>4</v>
      </c>
      <c r="E10" s="279">
        <f>'Capital Costs Data BESS'!F9</f>
        <v>4</v>
      </c>
      <c r="F10" s="279">
        <f>'Capital Costs Data BESS'!G9</f>
        <v>4</v>
      </c>
      <c r="G10" s="279">
        <f>'Capital Costs Data BESS'!H9</f>
        <v>4</v>
      </c>
      <c r="H10" s="759"/>
    </row>
    <row r="11" spans="2:8">
      <c r="B11" s="270" t="s">
        <v>650</v>
      </c>
      <c r="C11" s="278"/>
      <c r="D11" s="1452">
        <f>'Capital Costs Data BESS'!E10</f>
        <v>0.22328119999999996</v>
      </c>
      <c r="E11" s="1744">
        <f>'Capital Costs Data BESS'!F10</f>
        <v>0.22328119999999996</v>
      </c>
      <c r="F11" s="1744">
        <f>'Capital Costs Data BESS'!G10</f>
        <v>0.22328119999999996</v>
      </c>
      <c r="G11" s="1744">
        <f>'Capital Costs Data BESS'!H10</f>
        <v>0.22328119999999996</v>
      </c>
      <c r="H11" s="759"/>
    </row>
    <row r="12" spans="2:8">
      <c r="B12" s="270" t="s">
        <v>649</v>
      </c>
      <c r="C12" s="278"/>
      <c r="D12" s="1453">
        <f>'Capital Costs Data BESS'!E11</f>
        <v>1029.9737820173787</v>
      </c>
      <c r="E12" s="1745">
        <f>'Capital Costs Data BESS'!F11</f>
        <v>1029.9737820173787</v>
      </c>
      <c r="F12" s="1745">
        <f>'Capital Costs Data BESS'!G11</f>
        <v>1029.9737820173787</v>
      </c>
      <c r="G12" s="1745">
        <f>'Capital Costs Data BESS'!H11</f>
        <v>1029.9737820173787</v>
      </c>
      <c r="H12" s="759"/>
    </row>
    <row r="13" spans="2:8">
      <c r="B13" s="270" t="s">
        <v>648</v>
      </c>
      <c r="C13" s="278"/>
      <c r="D13" s="1453">
        <f>'Capital Costs Data BESS'!E12</f>
        <v>914.82271318783569</v>
      </c>
      <c r="E13" s="1745">
        <f>'Capital Costs Data BESS'!F12</f>
        <v>914.82271318783569</v>
      </c>
      <c r="F13" s="1745">
        <f>'Capital Costs Data BESS'!G12</f>
        <v>914.82271318783569</v>
      </c>
      <c r="G13" s="1745">
        <f>'Capital Costs Data BESS'!H12</f>
        <v>914.82271318783569</v>
      </c>
      <c r="H13" s="759"/>
    </row>
    <row r="14" spans="2:8" ht="6" customHeight="1">
      <c r="B14" s="282"/>
      <c r="C14" s="282"/>
      <c r="D14" s="1332"/>
      <c r="E14" s="284"/>
      <c r="F14" s="284"/>
      <c r="G14" s="284"/>
      <c r="H14" s="759"/>
    </row>
    <row r="15" spans="2:8" ht="6" customHeight="1">
      <c r="B15" s="278"/>
      <c r="C15" s="278"/>
      <c r="D15" s="287"/>
      <c r="E15" s="272"/>
      <c r="F15" s="272"/>
      <c r="G15" s="272"/>
      <c r="H15" s="759"/>
    </row>
    <row r="16" spans="2:8">
      <c r="B16" s="289" t="s">
        <v>127</v>
      </c>
      <c r="C16" s="290"/>
      <c r="D16" s="1454"/>
      <c r="E16" s="292"/>
      <c r="F16" s="292"/>
      <c r="G16" s="292"/>
      <c r="H16" s="759"/>
    </row>
    <row r="17" spans="2:8">
      <c r="B17" s="289"/>
      <c r="C17" s="290"/>
      <c r="D17" s="291"/>
      <c r="E17" s="292"/>
      <c r="F17" s="292"/>
      <c r="G17" s="292"/>
      <c r="H17" s="759"/>
    </row>
    <row r="18" spans="2:8">
      <c r="B18" s="289" t="s">
        <v>104</v>
      </c>
      <c r="C18" s="300"/>
      <c r="D18" s="1455"/>
      <c r="E18" s="779"/>
      <c r="F18" s="779"/>
      <c r="G18" s="779"/>
      <c r="H18" s="759"/>
    </row>
    <row r="19" spans="2:8">
      <c r="B19" s="300" t="s">
        <v>647</v>
      </c>
      <c r="C19" s="300"/>
      <c r="D19" s="778">
        <f>'Capital Costs Data BESS'!E18</f>
        <v>196133500</v>
      </c>
      <c r="E19" s="779">
        <f>'Capital Costs Data BESS'!F18</f>
        <v>196133500</v>
      </c>
      <c r="F19" s="779">
        <f>'Capital Costs Data BESS'!G18</f>
        <v>196133500</v>
      </c>
      <c r="G19" s="779">
        <f>'Capital Costs Data BESS'!H18</f>
        <v>196133500</v>
      </c>
      <c r="H19" s="759"/>
    </row>
    <row r="20" spans="2:8">
      <c r="B20" s="300" t="s">
        <v>645</v>
      </c>
      <c r="C20" s="300"/>
      <c r="D20" s="778">
        <f>'Capital Costs Data BESS'!E19</f>
        <v>29355700</v>
      </c>
      <c r="E20" s="779">
        <f>'Capital Costs Data BESS'!F19</f>
        <v>29355700</v>
      </c>
      <c r="F20" s="779">
        <f>'Capital Costs Data BESS'!G19</f>
        <v>29355700</v>
      </c>
      <c r="G20" s="779">
        <f>'Capital Costs Data BESS'!H19</f>
        <v>29355700</v>
      </c>
      <c r="H20" s="759"/>
    </row>
    <row r="21" spans="2:8">
      <c r="B21" s="304" t="s">
        <v>643</v>
      </c>
      <c r="C21" s="303"/>
      <c r="D21" s="301">
        <f>SUM(D19:D20)</f>
        <v>225489200</v>
      </c>
      <c r="E21" s="302">
        <f t="shared" ref="E21:G21" si="0">SUM(E19:E20)</f>
        <v>225489200</v>
      </c>
      <c r="F21" s="302">
        <f t="shared" si="0"/>
        <v>225489200</v>
      </c>
      <c r="G21" s="302">
        <f t="shared" si="0"/>
        <v>225489200</v>
      </c>
      <c r="H21" s="759"/>
    </row>
    <row r="22" spans="2:8">
      <c r="B22" s="261" t="s">
        <v>642</v>
      </c>
      <c r="C22" s="303"/>
      <c r="D22" s="778">
        <f>'Capital Costs Data BESS'!E21</f>
        <v>11953900</v>
      </c>
      <c r="E22" s="779">
        <f>'Capital Costs Data BESS'!F21</f>
        <v>9539300</v>
      </c>
      <c r="F22" s="779">
        <f>'Capital Costs Data BESS'!G21</f>
        <v>10090400</v>
      </c>
      <c r="G22" s="779">
        <f>'Capital Costs Data BESS'!H21</f>
        <v>10914100</v>
      </c>
      <c r="H22" s="759"/>
    </row>
    <row r="23" spans="2:8" ht="12.75" customHeight="1">
      <c r="B23" s="306" t="s">
        <v>640</v>
      </c>
      <c r="C23" s="303"/>
      <c r="D23" s="778">
        <f>'Capital Costs Data BESS'!E22</f>
        <v>59533400</v>
      </c>
      <c r="E23" s="779">
        <f>'Capital Costs Data BESS'!F22</f>
        <v>47508200</v>
      </c>
      <c r="F23" s="779">
        <f>'Capital Costs Data BESS'!G22</f>
        <v>50252600</v>
      </c>
      <c r="G23" s="779">
        <f>'Capital Costs Data BESS'!H22</f>
        <v>54354700</v>
      </c>
      <c r="H23" s="759"/>
    </row>
    <row r="24" spans="2:8">
      <c r="B24" s="261" t="s">
        <v>131</v>
      </c>
      <c r="C24" s="303"/>
      <c r="D24" s="783">
        <f>ROUND((D21+D23)*'Cost Assumptions'!D$52,-3)</f>
        <v>0</v>
      </c>
      <c r="E24" s="784">
        <f>ROUND((E21+E23)*'Cost Assumptions'!E$52,-3)</f>
        <v>0</v>
      </c>
      <c r="F24" s="784">
        <f>ROUND((F21+F23)*'Cost Assumptions'!F$52,-3)</f>
        <v>0</v>
      </c>
      <c r="G24" s="784">
        <f>ROUND((G21+G23)*'Cost Assumptions'!G$52,-3)</f>
        <v>0</v>
      </c>
      <c r="H24" s="759"/>
    </row>
    <row r="25" spans="2:8">
      <c r="B25" s="261" t="s">
        <v>141</v>
      </c>
      <c r="C25" s="303"/>
      <c r="D25" s="783" t="str">
        <f>'Capital Costs Data BESS'!E24</f>
        <v>Included</v>
      </c>
      <c r="E25" s="784" t="str">
        <f>'Capital Costs Data BESS'!F24</f>
        <v>Included</v>
      </c>
      <c r="F25" s="784" t="str">
        <f>'Capital Costs Data BESS'!G24</f>
        <v>Included</v>
      </c>
      <c r="G25" s="784" t="str">
        <f>'Capital Costs Data BESS'!H24</f>
        <v>Included</v>
      </c>
      <c r="H25" s="759"/>
    </row>
    <row r="26" spans="2:8">
      <c r="B26" s="261" t="s">
        <v>142</v>
      </c>
      <c r="C26" s="303"/>
      <c r="D26" s="783" t="str">
        <f>'Capital Costs Data BESS'!E25</f>
        <v>Included</v>
      </c>
      <c r="E26" s="784" t="str">
        <f>'Capital Costs Data BESS'!F25</f>
        <v>Included</v>
      </c>
      <c r="F26" s="784" t="str">
        <f>'Capital Costs Data BESS'!G25</f>
        <v>Included</v>
      </c>
      <c r="G26" s="784" t="str">
        <f>'Capital Costs Data BESS'!H25</f>
        <v>Included</v>
      </c>
      <c r="H26" s="759"/>
    </row>
    <row r="27" spans="2:8">
      <c r="B27" s="317" t="s">
        <v>726</v>
      </c>
      <c r="C27" s="303"/>
      <c r="D27" s="957">
        <f>ROUND(SUM(D21:D26),-3)</f>
        <v>296977000</v>
      </c>
      <c r="E27" s="958">
        <f>ROUND(SUM(E21:E26),-3)</f>
        <v>282537000</v>
      </c>
      <c r="F27" s="958">
        <f>ROUND(SUM(F21:F26),-3)</f>
        <v>285832000</v>
      </c>
      <c r="G27" s="958">
        <f>ROUND(SUM(G21:G26),-3)</f>
        <v>290758000</v>
      </c>
      <c r="H27" s="759"/>
    </row>
    <row r="28" spans="2:8">
      <c r="B28" s="261" t="s">
        <v>636</v>
      </c>
      <c r="C28" s="303"/>
      <c r="D28" s="783">
        <v>0</v>
      </c>
      <c r="E28" s="784">
        <v>0</v>
      </c>
      <c r="F28" s="784">
        <v>0</v>
      </c>
      <c r="G28" s="784">
        <v>0</v>
      </c>
      <c r="H28" s="759"/>
    </row>
    <row r="29" spans="2:8">
      <c r="B29" s="289" t="s">
        <v>143</v>
      </c>
      <c r="C29" s="303"/>
      <c r="D29" s="957">
        <f>SUM(D27:D28)</f>
        <v>296977000</v>
      </c>
      <c r="E29" s="958">
        <f t="shared" ref="E29:G29" si="1">SUM(E27:E28)</f>
        <v>282537000</v>
      </c>
      <c r="F29" s="958">
        <f t="shared" si="1"/>
        <v>285832000</v>
      </c>
      <c r="G29" s="958">
        <f t="shared" si="1"/>
        <v>290758000</v>
      </c>
      <c r="H29" s="759"/>
    </row>
    <row r="30" spans="2:8" ht="6" customHeight="1">
      <c r="B30" s="309"/>
      <c r="C30" s="309"/>
      <c r="D30" s="310"/>
      <c r="E30" s="311"/>
      <c r="F30" s="311"/>
      <c r="G30" s="311"/>
      <c r="H30" s="759"/>
    </row>
    <row r="31" spans="2:8" ht="6" customHeight="1">
      <c r="B31" s="292"/>
      <c r="C31" s="292"/>
      <c r="D31" s="314"/>
      <c r="E31" s="305"/>
      <c r="F31" s="305"/>
      <c r="G31" s="305"/>
      <c r="H31" s="759"/>
    </row>
    <row r="32" spans="2:8">
      <c r="B32" s="289" t="s">
        <v>145</v>
      </c>
      <c r="C32" s="1747"/>
      <c r="D32" s="305"/>
      <c r="E32" s="305"/>
      <c r="F32" s="305"/>
      <c r="G32" s="315"/>
      <c r="H32" s="463"/>
    </row>
    <row r="33" spans="2:9">
      <c r="B33" s="261" t="s">
        <v>146</v>
      </c>
      <c r="C33" s="1748"/>
      <c r="D33" s="784">
        <f>ROUND('Cost Assumptions BESS'!D$47*D29,-3)</f>
        <v>14849000</v>
      </c>
      <c r="E33" s="784">
        <f>ROUND('Cost Assumptions BESS'!E$47*E29,-3)</f>
        <v>14127000</v>
      </c>
      <c r="F33" s="784">
        <f>ROUND('Cost Assumptions BESS'!F$47*F29,-3)</f>
        <v>14292000</v>
      </c>
      <c r="G33" s="1750">
        <f>ROUND('Cost Assumptions BESS'!G$47*G29,-3)</f>
        <v>14538000</v>
      </c>
      <c r="H33" s="784"/>
      <c r="I33" s="1475"/>
    </row>
    <row r="34" spans="2:9">
      <c r="B34" s="261" t="s">
        <v>147</v>
      </c>
      <c r="C34" s="1748"/>
      <c r="D34" s="784">
        <f>ROUND('BESS_Capital Costs'!D29*'Cost Assumptions BESS'!D$48,-3)</f>
        <v>2970000</v>
      </c>
      <c r="E34" s="784">
        <f>ROUND('BESS_Capital Costs'!E29*'Cost Assumptions BESS'!E$48,-3)</f>
        <v>2825000</v>
      </c>
      <c r="F34" s="784">
        <f>ROUND('BESS_Capital Costs'!F29*'Cost Assumptions BESS'!F$48,-3)</f>
        <v>2858000</v>
      </c>
      <c r="G34" s="1750">
        <f>ROUND('BESS_Capital Costs'!G29*'Cost Assumptions BESS'!G$48,-3)</f>
        <v>2908000</v>
      </c>
      <c r="H34" s="463"/>
      <c r="I34" s="1475"/>
    </row>
    <row r="35" spans="2:9">
      <c r="B35" s="261" t="s">
        <v>114</v>
      </c>
      <c r="C35" s="1748"/>
      <c r="D35" s="784">
        <f>ROUND(D21*'Cost Assumptions BESS'!D50,-3)</f>
        <v>11274000</v>
      </c>
      <c r="E35" s="784">
        <f>ROUND(E21*'Cost Assumptions BESS'!E50,-3)</f>
        <v>11274000</v>
      </c>
      <c r="F35" s="784">
        <f>ROUND(F21*'Cost Assumptions BESS'!F50,-3)</f>
        <v>11274000</v>
      </c>
      <c r="G35" s="1750">
        <f>ROUND(G21*'Cost Assumptions BESS'!G50,-3)</f>
        <v>11274000</v>
      </c>
      <c r="H35" s="463"/>
      <c r="I35" s="1475"/>
    </row>
    <row r="36" spans="2:9">
      <c r="B36" s="261" t="s">
        <v>717</v>
      </c>
      <c r="C36" s="1748"/>
      <c r="D36" s="779" t="str">
        <f>'Capital Costs Data BESS'!E35</f>
        <v>Included</v>
      </c>
      <c r="E36" s="779" t="str">
        <f>'Capital Costs Data BESS'!F35</f>
        <v>Included</v>
      </c>
      <c r="F36" s="779" t="str">
        <f>'Capital Costs Data BESS'!G35</f>
        <v>Included</v>
      </c>
      <c r="G36" s="1751" t="str">
        <f>'Capital Costs Data BESS'!H35</f>
        <v>Included</v>
      </c>
      <c r="H36" s="463"/>
    </row>
    <row r="37" spans="2:9">
      <c r="B37" s="261" t="s">
        <v>149</v>
      </c>
      <c r="C37" s="1748"/>
      <c r="D37" s="779">
        <f>ROUND('Capital Costs Data BESS'!E36,-3)</f>
        <v>3776000</v>
      </c>
      <c r="E37" s="779">
        <f>ROUND('Capital Costs Data BESS'!F36,-3)</f>
        <v>3776000</v>
      </c>
      <c r="F37" s="779">
        <f>ROUND('Capital Costs Data BESS'!G36,-3)</f>
        <v>3776000</v>
      </c>
      <c r="G37" s="1751">
        <f>ROUND('Capital Costs Data BESS'!H36,-3)</f>
        <v>3776000</v>
      </c>
      <c r="H37" s="463"/>
    </row>
    <row r="38" spans="2:9">
      <c r="B38" s="261" t="s">
        <v>150</v>
      </c>
      <c r="C38" s="1748"/>
      <c r="D38" s="779">
        <f>ROUND('Capital Costs Data BESS'!E37,-3)</f>
        <v>420000</v>
      </c>
      <c r="E38" s="779">
        <f>ROUND('Capital Costs Data BESS'!F37,-3)</f>
        <v>338000</v>
      </c>
      <c r="F38" s="779">
        <f>ROUND('Capital Costs Data BESS'!G37,-3)</f>
        <v>187000</v>
      </c>
      <c r="G38" s="1751">
        <f>ROUND('Capital Costs Data BESS'!H37,-3)</f>
        <v>352000</v>
      </c>
      <c r="H38" s="463"/>
    </row>
    <row r="39" spans="2:9">
      <c r="B39" s="261" t="s">
        <v>153</v>
      </c>
      <c r="C39" s="1748"/>
      <c r="D39" s="779">
        <f>ROUND(INDEX('Capital Costs Data BESS'!$38:$38, MATCH('BESS_Capital Costs'!D$7, 'Capital Costs Data BESS'!$6:$6, 0)),-3)</f>
        <v>36000</v>
      </c>
      <c r="E39" s="779">
        <f>ROUND(INDEX('Capital Costs Data BESS'!$38:$38, MATCH('BESS_Capital Costs'!E$7, 'Capital Costs Data BESS'!$6:$6, 0)),-3)</f>
        <v>34000</v>
      </c>
      <c r="F39" s="779">
        <f>ROUND(INDEX('Capital Costs Data BESS'!$38:$38, MATCH('BESS_Capital Costs'!F$7, 'Capital Costs Data BESS'!$6:$6, 0)),-3)</f>
        <v>35000</v>
      </c>
      <c r="G39" s="1751">
        <f>ROUND(INDEX('Capital Costs Data BESS'!$38:$38, MATCH('BESS_Capital Costs'!G$7, 'Capital Costs Data BESS'!$6:$6, 0)),-3)</f>
        <v>35000</v>
      </c>
      <c r="H39" s="463"/>
    </row>
    <row r="40" spans="2:9">
      <c r="C40" s="694"/>
      <c r="E40" s="550"/>
      <c r="F40" s="550"/>
      <c r="G40" s="1752"/>
      <c r="I40" s="1475"/>
    </row>
    <row r="41" spans="2:9">
      <c r="B41" s="317" t="s">
        <v>154</v>
      </c>
      <c r="C41" s="1748"/>
      <c r="D41" s="784">
        <f>SUM(D$33:D$39)</f>
        <v>33325000</v>
      </c>
      <c r="E41" s="784">
        <f>SUM(E$33:E$39)</f>
        <v>32374000</v>
      </c>
      <c r="F41" s="784">
        <f>SUM(F$33:F$39)</f>
        <v>32422000</v>
      </c>
      <c r="G41" s="1750">
        <f>SUM(G$33:G$39)</f>
        <v>32883000</v>
      </c>
      <c r="H41" s="463"/>
    </row>
    <row r="42" spans="2:9">
      <c r="B42" s="261" t="s">
        <v>115</v>
      </c>
      <c r="C42" s="1748"/>
      <c r="D42" s="784">
        <f>ROUND(D$41*'Cost Assumptions BESS'!D51,-3)</f>
        <v>1333000</v>
      </c>
      <c r="E42" s="784">
        <f>ROUND(E$41*'Cost Assumptions BESS'!E51,-3)</f>
        <v>1295000</v>
      </c>
      <c r="F42" s="784">
        <f>ROUND(F$41*'Cost Assumptions BESS'!F51,-3)</f>
        <v>1297000</v>
      </c>
      <c r="G42" s="1750">
        <f>ROUND(G$41*'Cost Assumptions BESS'!G51,-3)</f>
        <v>1315000</v>
      </c>
      <c r="H42" s="463"/>
    </row>
    <row r="43" spans="2:9" s="260" customFormat="1">
      <c r="B43" s="289" t="s">
        <v>155</v>
      </c>
      <c r="C43" s="1749"/>
      <c r="D43" s="958">
        <f t="shared" ref="D43:G43" si="2">SUM(D41:D42)</f>
        <v>34658000</v>
      </c>
      <c r="E43" s="958">
        <f t="shared" si="2"/>
        <v>33669000</v>
      </c>
      <c r="F43" s="958">
        <f t="shared" si="2"/>
        <v>33719000</v>
      </c>
      <c r="G43" s="1753">
        <f t="shared" si="2"/>
        <v>34198000</v>
      </c>
      <c r="H43" s="474"/>
    </row>
    <row r="44" spans="2:9" ht="6" customHeight="1">
      <c r="B44" s="319"/>
      <c r="C44" s="319"/>
      <c r="D44" s="959"/>
      <c r="E44" s="960"/>
      <c r="F44" s="960"/>
      <c r="G44" s="960"/>
      <c r="H44" s="759"/>
    </row>
    <row r="45" spans="2:9" ht="6" customHeight="1">
      <c r="B45" s="320"/>
      <c r="C45" s="320"/>
      <c r="D45" s="780"/>
      <c r="E45" s="781"/>
      <c r="F45" s="781"/>
      <c r="G45" s="1754"/>
      <c r="H45" s="463"/>
    </row>
    <row r="46" spans="2:9" s="260" customFormat="1">
      <c r="B46" s="290" t="s">
        <v>156</v>
      </c>
      <c r="C46" s="321"/>
      <c r="D46" s="957">
        <f>D29+D$43</f>
        <v>331635000</v>
      </c>
      <c r="E46" s="958">
        <f t="shared" ref="E46:G46" si="3">E29+E$43</f>
        <v>316206000</v>
      </c>
      <c r="F46" s="958">
        <f t="shared" si="3"/>
        <v>319551000</v>
      </c>
      <c r="G46" s="1753">
        <f t="shared" si="3"/>
        <v>324956000</v>
      </c>
      <c r="H46" s="474"/>
    </row>
    <row r="47" spans="2:9" s="260" customFormat="1">
      <c r="B47" s="290" t="s">
        <v>632</v>
      </c>
      <c r="C47" s="321"/>
      <c r="D47" s="957">
        <f>D46/(D9*D10*10^3)</f>
        <v>414.54374999999999</v>
      </c>
      <c r="E47" s="958">
        <f t="shared" ref="E47:G47" si="4">E46/(E9*E10*10^3)</f>
        <v>395.25749999999999</v>
      </c>
      <c r="F47" s="958">
        <f t="shared" si="4"/>
        <v>399.43875000000003</v>
      </c>
      <c r="G47" s="1753">
        <f t="shared" si="4"/>
        <v>406.19499999999999</v>
      </c>
      <c r="H47" s="474"/>
    </row>
    <row r="48" spans="2:9">
      <c r="B48" s="290" t="s">
        <v>631</v>
      </c>
      <c r="C48" s="290"/>
      <c r="D48" s="957">
        <f>D46/(D9*10^3)</f>
        <v>1658.175</v>
      </c>
      <c r="E48" s="958">
        <f t="shared" ref="E48:G48" si="5">E46/(E9*10^3)</f>
        <v>1581.03</v>
      </c>
      <c r="F48" s="958">
        <f t="shared" si="5"/>
        <v>1597.7550000000001</v>
      </c>
      <c r="G48" s="1753">
        <f t="shared" si="5"/>
        <v>1624.78</v>
      </c>
      <c r="H48" s="463"/>
    </row>
    <row r="49" spans="2:7" ht="6" customHeight="1" thickBot="1">
      <c r="B49" s="322"/>
      <c r="C49" s="322"/>
      <c r="D49" s="323"/>
      <c r="E49" s="324"/>
      <c r="F49" s="324"/>
      <c r="G49" s="325"/>
    </row>
    <row r="50" spans="2:7" ht="6" customHeight="1" thickTop="1">
      <c r="B50" s="290" t="s">
        <v>123</v>
      </c>
      <c r="C50" s="290"/>
      <c r="D50" s="327"/>
      <c r="E50" s="327"/>
      <c r="F50" s="327"/>
      <c r="G50" s="327"/>
    </row>
    <row r="51" spans="2:7">
      <c r="B51" s="328"/>
      <c r="C51" s="328"/>
      <c r="D51" s="329"/>
      <c r="E51" s="329"/>
      <c r="F51" s="329"/>
      <c r="G51" s="329"/>
    </row>
    <row r="52" spans="2:7">
      <c r="B52" s="328"/>
      <c r="C52" s="328"/>
      <c r="D52" s="329"/>
      <c r="E52" s="329"/>
      <c r="F52" s="329"/>
      <c r="G52" s="329"/>
    </row>
    <row r="53" spans="2:7">
      <c r="B53" s="329"/>
      <c r="C53" s="328"/>
      <c r="D53" s="329"/>
      <c r="F53" s="329"/>
      <c r="G53" s="329"/>
    </row>
    <row r="54" spans="2:7">
      <c r="B54" s="329"/>
      <c r="C54" s="328"/>
      <c r="D54" s="329"/>
      <c r="F54" s="329"/>
      <c r="G54" s="329"/>
    </row>
    <row r="55" spans="2:7">
      <c r="B55" s="328"/>
      <c r="C55" s="328"/>
      <c r="D55" s="329"/>
      <c r="E55" s="329"/>
      <c r="F55" s="329"/>
      <c r="G55" s="329"/>
    </row>
    <row r="56" spans="2:7">
      <c r="D56" s="331"/>
      <c r="E56" s="331"/>
      <c r="F56" s="331"/>
      <c r="G56" s="331"/>
    </row>
  </sheetData>
  <mergeCells count="1">
    <mergeCell ref="D6:G6"/>
  </mergeCells>
  <pageMargins left="0.7" right="0.7" top="0.75" bottom="0.75" header="0.3" footer="0.3"/>
  <pageSetup orientation="portrait"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BW101"/>
  <sheetViews>
    <sheetView topLeftCell="A6" zoomScale="110" zoomScaleNormal="110" workbookViewId="0">
      <selection activeCell="O27" sqref="O27"/>
    </sheetView>
  </sheetViews>
  <sheetFormatPr defaultRowHeight="15" outlineLevelRow="1" outlineLevelCol="1"/>
  <cols>
    <col min="1" max="1" width="7.42578125" style="494" customWidth="1"/>
    <col min="2" max="2" width="33.42578125" style="494" customWidth="1"/>
    <col min="3" max="3" width="1.7109375" style="494" hidden="1" customWidth="1" outlineLevel="1"/>
    <col min="4" max="4" width="9.28515625" style="494" hidden="1" customWidth="1" outlineLevel="1"/>
    <col min="5" max="5" width="19.140625" style="494" hidden="1" customWidth="1" outlineLevel="1"/>
    <col min="6" max="6" width="1.7109375" style="494" customWidth="1" collapsed="1"/>
    <col min="7" max="7" width="18" style="493" customWidth="1" outlineLevel="1" collapsed="1"/>
    <col min="8" max="10" width="15.28515625" style="493" customWidth="1" outlineLevel="1"/>
    <col min="11" max="14" width="13.7109375" style="493" bestFit="1" customWidth="1"/>
    <col min="15" max="237" width="9.140625" style="494"/>
    <col min="238" max="238" width="35" style="494" customWidth="1"/>
    <col min="239" max="242" width="14.42578125" style="494" customWidth="1"/>
    <col min="243" max="243" width="2.42578125" style="494" customWidth="1"/>
    <col min="244" max="247" width="14.42578125" style="494" customWidth="1"/>
    <col min="248" max="248" width="2.42578125" style="494" customWidth="1"/>
    <col min="249" max="249" width="52.140625" style="494" customWidth="1"/>
    <col min="250" max="493" width="9.140625" style="494"/>
    <col min="494" max="494" width="35" style="494" customWidth="1"/>
    <col min="495" max="498" width="14.42578125" style="494" customWidth="1"/>
    <col min="499" max="499" width="2.42578125" style="494" customWidth="1"/>
    <col min="500" max="503" width="14.42578125" style="494" customWidth="1"/>
    <col min="504" max="504" width="2.42578125" style="494" customWidth="1"/>
    <col min="505" max="505" width="52.140625" style="494" customWidth="1"/>
    <col min="506" max="749" width="9.140625" style="494"/>
    <col min="750" max="750" width="35" style="494" customWidth="1"/>
    <col min="751" max="754" width="14.42578125" style="494" customWidth="1"/>
    <col min="755" max="755" width="2.42578125" style="494" customWidth="1"/>
    <col min="756" max="759" width="14.42578125" style="494" customWidth="1"/>
    <col min="760" max="760" width="2.42578125" style="494" customWidth="1"/>
    <col min="761" max="761" width="52.140625" style="494" customWidth="1"/>
    <col min="762" max="1005" width="9.140625" style="494"/>
    <col min="1006" max="1006" width="35" style="494" customWidth="1"/>
    <col min="1007" max="1010" width="14.42578125" style="494" customWidth="1"/>
    <col min="1011" max="1011" width="2.42578125" style="494" customWidth="1"/>
    <col min="1012" max="1015" width="14.42578125" style="494" customWidth="1"/>
    <col min="1016" max="1016" width="2.42578125" style="494" customWidth="1"/>
    <col min="1017" max="1017" width="52.140625" style="494" customWidth="1"/>
    <col min="1018" max="1261" width="9.140625" style="494"/>
    <col min="1262" max="1262" width="35" style="494" customWidth="1"/>
    <col min="1263" max="1266" width="14.42578125" style="494" customWidth="1"/>
    <col min="1267" max="1267" width="2.42578125" style="494" customWidth="1"/>
    <col min="1268" max="1271" width="14.42578125" style="494" customWidth="1"/>
    <col min="1272" max="1272" width="2.42578125" style="494" customWidth="1"/>
    <col min="1273" max="1273" width="52.140625" style="494" customWidth="1"/>
    <col min="1274" max="1517" width="9.140625" style="494"/>
    <col min="1518" max="1518" width="35" style="494" customWidth="1"/>
    <col min="1519" max="1522" width="14.42578125" style="494" customWidth="1"/>
    <col min="1523" max="1523" width="2.42578125" style="494" customWidth="1"/>
    <col min="1524" max="1527" width="14.42578125" style="494" customWidth="1"/>
    <col min="1528" max="1528" width="2.42578125" style="494" customWidth="1"/>
    <col min="1529" max="1529" width="52.140625" style="494" customWidth="1"/>
    <col min="1530" max="1773" width="9.140625" style="494"/>
    <col min="1774" max="1774" width="35" style="494" customWidth="1"/>
    <col min="1775" max="1778" width="14.42578125" style="494" customWidth="1"/>
    <col min="1779" max="1779" width="2.42578125" style="494" customWidth="1"/>
    <col min="1780" max="1783" width="14.42578125" style="494" customWidth="1"/>
    <col min="1784" max="1784" width="2.42578125" style="494" customWidth="1"/>
    <col min="1785" max="1785" width="52.140625" style="494" customWidth="1"/>
    <col min="1786" max="2029" width="9.140625" style="494"/>
    <col min="2030" max="2030" width="35" style="494" customWidth="1"/>
    <col min="2031" max="2034" width="14.42578125" style="494" customWidth="1"/>
    <col min="2035" max="2035" width="2.42578125" style="494" customWidth="1"/>
    <col min="2036" max="2039" width="14.42578125" style="494" customWidth="1"/>
    <col min="2040" max="2040" width="2.42578125" style="494" customWidth="1"/>
    <col min="2041" max="2041" width="52.140625" style="494" customWidth="1"/>
    <col min="2042" max="2285" width="9.140625" style="494"/>
    <col min="2286" max="2286" width="35" style="494" customWidth="1"/>
    <col min="2287" max="2290" width="14.42578125" style="494" customWidth="1"/>
    <col min="2291" max="2291" width="2.42578125" style="494" customWidth="1"/>
    <col min="2292" max="2295" width="14.42578125" style="494" customWidth="1"/>
    <col min="2296" max="2296" width="2.42578125" style="494" customWidth="1"/>
    <col min="2297" max="2297" width="52.140625" style="494" customWidth="1"/>
    <col min="2298" max="2541" width="9.140625" style="494"/>
    <col min="2542" max="2542" width="35" style="494" customWidth="1"/>
    <col min="2543" max="2546" width="14.42578125" style="494" customWidth="1"/>
    <col min="2547" max="2547" width="2.42578125" style="494" customWidth="1"/>
    <col min="2548" max="2551" width="14.42578125" style="494" customWidth="1"/>
    <col min="2552" max="2552" width="2.42578125" style="494" customWidth="1"/>
    <col min="2553" max="2553" width="52.140625" style="494" customWidth="1"/>
    <col min="2554" max="2797" width="9.140625" style="494"/>
    <col min="2798" max="2798" width="35" style="494" customWidth="1"/>
    <col min="2799" max="2802" width="14.42578125" style="494" customWidth="1"/>
    <col min="2803" max="2803" width="2.42578125" style="494" customWidth="1"/>
    <col min="2804" max="2807" width="14.42578125" style="494" customWidth="1"/>
    <col min="2808" max="2808" width="2.42578125" style="494" customWidth="1"/>
    <col min="2809" max="2809" width="52.140625" style="494" customWidth="1"/>
    <col min="2810" max="3053" width="9.140625" style="494"/>
    <col min="3054" max="3054" width="35" style="494" customWidth="1"/>
    <col min="3055" max="3058" width="14.42578125" style="494" customWidth="1"/>
    <col min="3059" max="3059" width="2.42578125" style="494" customWidth="1"/>
    <col min="3060" max="3063" width="14.42578125" style="494" customWidth="1"/>
    <col min="3064" max="3064" width="2.42578125" style="494" customWidth="1"/>
    <col min="3065" max="3065" width="52.140625" style="494" customWidth="1"/>
    <col min="3066" max="3309" width="9.140625" style="494"/>
    <col min="3310" max="3310" width="35" style="494" customWidth="1"/>
    <col min="3311" max="3314" width="14.42578125" style="494" customWidth="1"/>
    <col min="3315" max="3315" width="2.42578125" style="494" customWidth="1"/>
    <col min="3316" max="3319" width="14.42578125" style="494" customWidth="1"/>
    <col min="3320" max="3320" width="2.42578125" style="494" customWidth="1"/>
    <col min="3321" max="3321" width="52.140625" style="494" customWidth="1"/>
    <col min="3322" max="3565" width="9.140625" style="494"/>
    <col min="3566" max="3566" width="35" style="494" customWidth="1"/>
    <col min="3567" max="3570" width="14.42578125" style="494" customWidth="1"/>
    <col min="3571" max="3571" width="2.42578125" style="494" customWidth="1"/>
    <col min="3572" max="3575" width="14.42578125" style="494" customWidth="1"/>
    <col min="3576" max="3576" width="2.42578125" style="494" customWidth="1"/>
    <col min="3577" max="3577" width="52.140625" style="494" customWidth="1"/>
    <col min="3578" max="3821" width="9.140625" style="494"/>
    <col min="3822" max="3822" width="35" style="494" customWidth="1"/>
    <col min="3823" max="3826" width="14.42578125" style="494" customWidth="1"/>
    <col min="3827" max="3827" width="2.42578125" style="494" customWidth="1"/>
    <col min="3828" max="3831" width="14.42578125" style="494" customWidth="1"/>
    <col min="3832" max="3832" width="2.42578125" style="494" customWidth="1"/>
    <col min="3833" max="3833" width="52.140625" style="494" customWidth="1"/>
    <col min="3834" max="4077" width="9.140625" style="494"/>
    <col min="4078" max="4078" width="35" style="494" customWidth="1"/>
    <col min="4079" max="4082" width="14.42578125" style="494" customWidth="1"/>
    <col min="4083" max="4083" width="2.42578125" style="494" customWidth="1"/>
    <col min="4084" max="4087" width="14.42578125" style="494" customWidth="1"/>
    <col min="4088" max="4088" width="2.42578125" style="494" customWidth="1"/>
    <col min="4089" max="4089" width="52.140625" style="494" customWidth="1"/>
    <col min="4090" max="4333" width="9.140625" style="494"/>
    <col min="4334" max="4334" width="35" style="494" customWidth="1"/>
    <col min="4335" max="4338" width="14.42578125" style="494" customWidth="1"/>
    <col min="4339" max="4339" width="2.42578125" style="494" customWidth="1"/>
    <col min="4340" max="4343" width="14.42578125" style="494" customWidth="1"/>
    <col min="4344" max="4344" width="2.42578125" style="494" customWidth="1"/>
    <col min="4345" max="4345" width="52.140625" style="494" customWidth="1"/>
    <col min="4346" max="4589" width="9.140625" style="494"/>
    <col min="4590" max="4590" width="35" style="494" customWidth="1"/>
    <col min="4591" max="4594" width="14.42578125" style="494" customWidth="1"/>
    <col min="4595" max="4595" width="2.42578125" style="494" customWidth="1"/>
    <col min="4596" max="4599" width="14.42578125" style="494" customWidth="1"/>
    <col min="4600" max="4600" width="2.42578125" style="494" customWidth="1"/>
    <col min="4601" max="4601" width="52.140625" style="494" customWidth="1"/>
    <col min="4602" max="4845" width="9.140625" style="494"/>
    <col min="4846" max="4846" width="35" style="494" customWidth="1"/>
    <col min="4847" max="4850" width="14.42578125" style="494" customWidth="1"/>
    <col min="4851" max="4851" width="2.42578125" style="494" customWidth="1"/>
    <col min="4852" max="4855" width="14.42578125" style="494" customWidth="1"/>
    <col min="4856" max="4856" width="2.42578125" style="494" customWidth="1"/>
    <col min="4857" max="4857" width="52.140625" style="494" customWidth="1"/>
    <col min="4858" max="5101" width="9.140625" style="494"/>
    <col min="5102" max="5102" width="35" style="494" customWidth="1"/>
    <col min="5103" max="5106" width="14.42578125" style="494" customWidth="1"/>
    <col min="5107" max="5107" width="2.42578125" style="494" customWidth="1"/>
    <col min="5108" max="5111" width="14.42578125" style="494" customWidth="1"/>
    <col min="5112" max="5112" width="2.42578125" style="494" customWidth="1"/>
    <col min="5113" max="5113" width="52.140625" style="494" customWidth="1"/>
    <col min="5114" max="5357" width="9.140625" style="494"/>
    <col min="5358" max="5358" width="35" style="494" customWidth="1"/>
    <col min="5359" max="5362" width="14.42578125" style="494" customWidth="1"/>
    <col min="5363" max="5363" width="2.42578125" style="494" customWidth="1"/>
    <col min="5364" max="5367" width="14.42578125" style="494" customWidth="1"/>
    <col min="5368" max="5368" width="2.42578125" style="494" customWidth="1"/>
    <col min="5369" max="5369" width="52.140625" style="494" customWidth="1"/>
    <col min="5370" max="5613" width="9.140625" style="494"/>
    <col min="5614" max="5614" width="35" style="494" customWidth="1"/>
    <col min="5615" max="5618" width="14.42578125" style="494" customWidth="1"/>
    <col min="5619" max="5619" width="2.42578125" style="494" customWidth="1"/>
    <col min="5620" max="5623" width="14.42578125" style="494" customWidth="1"/>
    <col min="5624" max="5624" width="2.42578125" style="494" customWidth="1"/>
    <col min="5625" max="5625" width="52.140625" style="494" customWidth="1"/>
    <col min="5626" max="5869" width="9.140625" style="494"/>
    <col min="5870" max="5870" width="35" style="494" customWidth="1"/>
    <col min="5871" max="5874" width="14.42578125" style="494" customWidth="1"/>
    <col min="5875" max="5875" width="2.42578125" style="494" customWidth="1"/>
    <col min="5876" max="5879" width="14.42578125" style="494" customWidth="1"/>
    <col min="5880" max="5880" width="2.42578125" style="494" customWidth="1"/>
    <col min="5881" max="5881" width="52.140625" style="494" customWidth="1"/>
    <col min="5882" max="6125" width="9.140625" style="494"/>
    <col min="6126" max="6126" width="35" style="494" customWidth="1"/>
    <col min="6127" max="6130" width="14.42578125" style="494" customWidth="1"/>
    <col min="6131" max="6131" width="2.42578125" style="494" customWidth="1"/>
    <col min="6132" max="6135" width="14.42578125" style="494" customWidth="1"/>
    <col min="6136" max="6136" width="2.42578125" style="494" customWidth="1"/>
    <col min="6137" max="6137" width="52.140625" style="494" customWidth="1"/>
    <col min="6138" max="6381" width="9.140625" style="494"/>
    <col min="6382" max="6382" width="35" style="494" customWidth="1"/>
    <col min="6383" max="6386" width="14.42578125" style="494" customWidth="1"/>
    <col min="6387" max="6387" width="2.42578125" style="494" customWidth="1"/>
    <col min="6388" max="6391" width="14.42578125" style="494" customWidth="1"/>
    <col min="6392" max="6392" width="2.42578125" style="494" customWidth="1"/>
    <col min="6393" max="6393" width="52.140625" style="494" customWidth="1"/>
    <col min="6394" max="6637" width="9.140625" style="494"/>
    <col min="6638" max="6638" width="35" style="494" customWidth="1"/>
    <col min="6639" max="6642" width="14.42578125" style="494" customWidth="1"/>
    <col min="6643" max="6643" width="2.42578125" style="494" customWidth="1"/>
    <col min="6644" max="6647" width="14.42578125" style="494" customWidth="1"/>
    <col min="6648" max="6648" width="2.42578125" style="494" customWidth="1"/>
    <col min="6649" max="6649" width="52.140625" style="494" customWidth="1"/>
    <col min="6650" max="6893" width="9.140625" style="494"/>
    <col min="6894" max="6894" width="35" style="494" customWidth="1"/>
    <col min="6895" max="6898" width="14.42578125" style="494" customWidth="1"/>
    <col min="6899" max="6899" width="2.42578125" style="494" customWidth="1"/>
    <col min="6900" max="6903" width="14.42578125" style="494" customWidth="1"/>
    <col min="6904" max="6904" width="2.42578125" style="494" customWidth="1"/>
    <col min="6905" max="6905" width="52.140625" style="494" customWidth="1"/>
    <col min="6906" max="7149" width="9.140625" style="494"/>
    <col min="7150" max="7150" width="35" style="494" customWidth="1"/>
    <col min="7151" max="7154" width="14.42578125" style="494" customWidth="1"/>
    <col min="7155" max="7155" width="2.42578125" style="494" customWidth="1"/>
    <col min="7156" max="7159" width="14.42578125" style="494" customWidth="1"/>
    <col min="7160" max="7160" width="2.42578125" style="494" customWidth="1"/>
    <col min="7161" max="7161" width="52.140625" style="494" customWidth="1"/>
    <col min="7162" max="7405" width="9.140625" style="494"/>
    <col min="7406" max="7406" width="35" style="494" customWidth="1"/>
    <col min="7407" max="7410" width="14.42578125" style="494" customWidth="1"/>
    <col min="7411" max="7411" width="2.42578125" style="494" customWidth="1"/>
    <col min="7412" max="7415" width="14.42578125" style="494" customWidth="1"/>
    <col min="7416" max="7416" width="2.42578125" style="494" customWidth="1"/>
    <col min="7417" max="7417" width="52.140625" style="494" customWidth="1"/>
    <col min="7418" max="7661" width="9.140625" style="494"/>
    <col min="7662" max="7662" width="35" style="494" customWidth="1"/>
    <col min="7663" max="7666" width="14.42578125" style="494" customWidth="1"/>
    <col min="7667" max="7667" width="2.42578125" style="494" customWidth="1"/>
    <col min="7668" max="7671" width="14.42578125" style="494" customWidth="1"/>
    <col min="7672" max="7672" width="2.42578125" style="494" customWidth="1"/>
    <col min="7673" max="7673" width="52.140625" style="494" customWidth="1"/>
    <col min="7674" max="7917" width="9.140625" style="494"/>
    <col min="7918" max="7918" width="35" style="494" customWidth="1"/>
    <col min="7919" max="7922" width="14.42578125" style="494" customWidth="1"/>
    <col min="7923" max="7923" width="2.42578125" style="494" customWidth="1"/>
    <col min="7924" max="7927" width="14.42578125" style="494" customWidth="1"/>
    <col min="7928" max="7928" width="2.42578125" style="494" customWidth="1"/>
    <col min="7929" max="7929" width="52.140625" style="494" customWidth="1"/>
    <col min="7930" max="8173" width="9.140625" style="494"/>
    <col min="8174" max="8174" width="35" style="494" customWidth="1"/>
    <col min="8175" max="8178" width="14.42578125" style="494" customWidth="1"/>
    <col min="8179" max="8179" width="2.42578125" style="494" customWidth="1"/>
    <col min="8180" max="8183" width="14.42578125" style="494" customWidth="1"/>
    <col min="8184" max="8184" width="2.42578125" style="494" customWidth="1"/>
    <col min="8185" max="8185" width="52.140625" style="494" customWidth="1"/>
    <col min="8186" max="8429" width="9.140625" style="494"/>
    <col min="8430" max="8430" width="35" style="494" customWidth="1"/>
    <col min="8431" max="8434" width="14.42578125" style="494" customWidth="1"/>
    <col min="8435" max="8435" width="2.42578125" style="494" customWidth="1"/>
    <col min="8436" max="8439" width="14.42578125" style="494" customWidth="1"/>
    <col min="8440" max="8440" width="2.42578125" style="494" customWidth="1"/>
    <col min="8441" max="8441" width="52.140625" style="494" customWidth="1"/>
    <col min="8442" max="8685" width="9.140625" style="494"/>
    <col min="8686" max="8686" width="35" style="494" customWidth="1"/>
    <col min="8687" max="8690" width="14.42578125" style="494" customWidth="1"/>
    <col min="8691" max="8691" width="2.42578125" style="494" customWidth="1"/>
    <col min="8692" max="8695" width="14.42578125" style="494" customWidth="1"/>
    <col min="8696" max="8696" width="2.42578125" style="494" customWidth="1"/>
    <col min="8697" max="8697" width="52.140625" style="494" customWidth="1"/>
    <col min="8698" max="8941" width="9.140625" style="494"/>
    <col min="8942" max="8942" width="35" style="494" customWidth="1"/>
    <col min="8943" max="8946" width="14.42578125" style="494" customWidth="1"/>
    <col min="8947" max="8947" width="2.42578125" style="494" customWidth="1"/>
    <col min="8948" max="8951" width="14.42578125" style="494" customWidth="1"/>
    <col min="8952" max="8952" width="2.42578125" style="494" customWidth="1"/>
    <col min="8953" max="8953" width="52.140625" style="494" customWidth="1"/>
    <col min="8954" max="9197" width="9.140625" style="494"/>
    <col min="9198" max="9198" width="35" style="494" customWidth="1"/>
    <col min="9199" max="9202" width="14.42578125" style="494" customWidth="1"/>
    <col min="9203" max="9203" width="2.42578125" style="494" customWidth="1"/>
    <col min="9204" max="9207" width="14.42578125" style="494" customWidth="1"/>
    <col min="9208" max="9208" width="2.42578125" style="494" customWidth="1"/>
    <col min="9209" max="9209" width="52.140625" style="494" customWidth="1"/>
    <col min="9210" max="9453" width="9.140625" style="494"/>
    <col min="9454" max="9454" width="35" style="494" customWidth="1"/>
    <col min="9455" max="9458" width="14.42578125" style="494" customWidth="1"/>
    <col min="9459" max="9459" width="2.42578125" style="494" customWidth="1"/>
    <col min="9460" max="9463" width="14.42578125" style="494" customWidth="1"/>
    <col min="9464" max="9464" width="2.42578125" style="494" customWidth="1"/>
    <col min="9465" max="9465" width="52.140625" style="494" customWidth="1"/>
    <col min="9466" max="9709" width="9.140625" style="494"/>
    <col min="9710" max="9710" width="35" style="494" customWidth="1"/>
    <col min="9711" max="9714" width="14.42578125" style="494" customWidth="1"/>
    <col min="9715" max="9715" width="2.42578125" style="494" customWidth="1"/>
    <col min="9716" max="9719" width="14.42578125" style="494" customWidth="1"/>
    <col min="9720" max="9720" width="2.42578125" style="494" customWidth="1"/>
    <col min="9721" max="9721" width="52.140625" style="494" customWidth="1"/>
    <col min="9722" max="9965" width="9.140625" style="494"/>
    <col min="9966" max="9966" width="35" style="494" customWidth="1"/>
    <col min="9967" max="9970" width="14.42578125" style="494" customWidth="1"/>
    <col min="9971" max="9971" width="2.42578125" style="494" customWidth="1"/>
    <col min="9972" max="9975" width="14.42578125" style="494" customWidth="1"/>
    <col min="9976" max="9976" width="2.42578125" style="494" customWidth="1"/>
    <col min="9977" max="9977" width="52.140625" style="494" customWidth="1"/>
    <col min="9978" max="10221" width="9.140625" style="494"/>
    <col min="10222" max="10222" width="35" style="494" customWidth="1"/>
    <col min="10223" max="10226" width="14.42578125" style="494" customWidth="1"/>
    <col min="10227" max="10227" width="2.42578125" style="494" customWidth="1"/>
    <col min="10228" max="10231" width="14.42578125" style="494" customWidth="1"/>
    <col min="10232" max="10232" width="2.42578125" style="494" customWidth="1"/>
    <col min="10233" max="10233" width="52.140625" style="494" customWidth="1"/>
    <col min="10234" max="10477" width="9.140625" style="494"/>
    <col min="10478" max="10478" width="35" style="494" customWidth="1"/>
    <col min="10479" max="10482" width="14.42578125" style="494" customWidth="1"/>
    <col min="10483" max="10483" width="2.42578125" style="494" customWidth="1"/>
    <col min="10484" max="10487" width="14.42578125" style="494" customWidth="1"/>
    <col min="10488" max="10488" width="2.42578125" style="494" customWidth="1"/>
    <col min="10489" max="10489" width="52.140625" style="494" customWidth="1"/>
    <col min="10490" max="10733" width="9.140625" style="494"/>
    <col min="10734" max="10734" width="35" style="494" customWidth="1"/>
    <col min="10735" max="10738" width="14.42578125" style="494" customWidth="1"/>
    <col min="10739" max="10739" width="2.42578125" style="494" customWidth="1"/>
    <col min="10740" max="10743" width="14.42578125" style="494" customWidth="1"/>
    <col min="10744" max="10744" width="2.42578125" style="494" customWidth="1"/>
    <col min="10745" max="10745" width="52.140625" style="494" customWidth="1"/>
    <col min="10746" max="10989" width="9.140625" style="494"/>
    <col min="10990" max="10990" width="35" style="494" customWidth="1"/>
    <col min="10991" max="10994" width="14.42578125" style="494" customWidth="1"/>
    <col min="10995" max="10995" width="2.42578125" style="494" customWidth="1"/>
    <col min="10996" max="10999" width="14.42578125" style="494" customWidth="1"/>
    <col min="11000" max="11000" width="2.42578125" style="494" customWidth="1"/>
    <col min="11001" max="11001" width="52.140625" style="494" customWidth="1"/>
    <col min="11002" max="11245" width="9.140625" style="494"/>
    <col min="11246" max="11246" width="35" style="494" customWidth="1"/>
    <col min="11247" max="11250" width="14.42578125" style="494" customWidth="1"/>
    <col min="11251" max="11251" width="2.42578125" style="494" customWidth="1"/>
    <col min="11252" max="11255" width="14.42578125" style="494" customWidth="1"/>
    <col min="11256" max="11256" width="2.42578125" style="494" customWidth="1"/>
    <col min="11257" max="11257" width="52.140625" style="494" customWidth="1"/>
    <col min="11258" max="11501" width="9.140625" style="494"/>
    <col min="11502" max="11502" width="35" style="494" customWidth="1"/>
    <col min="11503" max="11506" width="14.42578125" style="494" customWidth="1"/>
    <col min="11507" max="11507" width="2.42578125" style="494" customWidth="1"/>
    <col min="11508" max="11511" width="14.42578125" style="494" customWidth="1"/>
    <col min="11512" max="11512" width="2.42578125" style="494" customWidth="1"/>
    <col min="11513" max="11513" width="52.140625" style="494" customWidth="1"/>
    <col min="11514" max="11757" width="9.140625" style="494"/>
    <col min="11758" max="11758" width="35" style="494" customWidth="1"/>
    <col min="11759" max="11762" width="14.42578125" style="494" customWidth="1"/>
    <col min="11763" max="11763" width="2.42578125" style="494" customWidth="1"/>
    <col min="11764" max="11767" width="14.42578125" style="494" customWidth="1"/>
    <col min="11768" max="11768" width="2.42578125" style="494" customWidth="1"/>
    <col min="11769" max="11769" width="52.140625" style="494" customWidth="1"/>
    <col min="11770" max="12013" width="9.140625" style="494"/>
    <col min="12014" max="12014" width="35" style="494" customWidth="1"/>
    <col min="12015" max="12018" width="14.42578125" style="494" customWidth="1"/>
    <col min="12019" max="12019" width="2.42578125" style="494" customWidth="1"/>
    <col min="12020" max="12023" width="14.42578125" style="494" customWidth="1"/>
    <col min="12024" max="12024" width="2.42578125" style="494" customWidth="1"/>
    <col min="12025" max="12025" width="52.140625" style="494" customWidth="1"/>
    <col min="12026" max="12269" width="9.140625" style="494"/>
    <col min="12270" max="12270" width="35" style="494" customWidth="1"/>
    <col min="12271" max="12274" width="14.42578125" style="494" customWidth="1"/>
    <col min="12275" max="12275" width="2.42578125" style="494" customWidth="1"/>
    <col min="12276" max="12279" width="14.42578125" style="494" customWidth="1"/>
    <col min="12280" max="12280" width="2.42578125" style="494" customWidth="1"/>
    <col min="12281" max="12281" width="52.140625" style="494" customWidth="1"/>
    <col min="12282" max="12525" width="9.140625" style="494"/>
    <col min="12526" max="12526" width="35" style="494" customWidth="1"/>
    <col min="12527" max="12530" width="14.42578125" style="494" customWidth="1"/>
    <col min="12531" max="12531" width="2.42578125" style="494" customWidth="1"/>
    <col min="12532" max="12535" width="14.42578125" style="494" customWidth="1"/>
    <col min="12536" max="12536" width="2.42578125" style="494" customWidth="1"/>
    <col min="12537" max="12537" width="52.140625" style="494" customWidth="1"/>
    <col min="12538" max="12781" width="9.140625" style="494"/>
    <col min="12782" max="12782" width="35" style="494" customWidth="1"/>
    <col min="12783" max="12786" width="14.42578125" style="494" customWidth="1"/>
    <col min="12787" max="12787" width="2.42578125" style="494" customWidth="1"/>
    <col min="12788" max="12791" width="14.42578125" style="494" customWidth="1"/>
    <col min="12792" max="12792" width="2.42578125" style="494" customWidth="1"/>
    <col min="12793" max="12793" width="52.140625" style="494" customWidth="1"/>
    <col min="12794" max="13037" width="9.140625" style="494"/>
    <col min="13038" max="13038" width="35" style="494" customWidth="1"/>
    <col min="13039" max="13042" width="14.42578125" style="494" customWidth="1"/>
    <col min="13043" max="13043" width="2.42578125" style="494" customWidth="1"/>
    <col min="13044" max="13047" width="14.42578125" style="494" customWidth="1"/>
    <col min="13048" max="13048" width="2.42578125" style="494" customWidth="1"/>
    <col min="13049" max="13049" width="52.140625" style="494" customWidth="1"/>
    <col min="13050" max="13293" width="9.140625" style="494"/>
    <col min="13294" max="13294" width="35" style="494" customWidth="1"/>
    <col min="13295" max="13298" width="14.42578125" style="494" customWidth="1"/>
    <col min="13299" max="13299" width="2.42578125" style="494" customWidth="1"/>
    <col min="13300" max="13303" width="14.42578125" style="494" customWidth="1"/>
    <col min="13304" max="13304" width="2.42578125" style="494" customWidth="1"/>
    <col min="13305" max="13305" width="52.140625" style="494" customWidth="1"/>
    <col min="13306" max="13549" width="9.140625" style="494"/>
    <col min="13550" max="13550" width="35" style="494" customWidth="1"/>
    <col min="13551" max="13554" width="14.42578125" style="494" customWidth="1"/>
    <col min="13555" max="13555" width="2.42578125" style="494" customWidth="1"/>
    <col min="13556" max="13559" width="14.42578125" style="494" customWidth="1"/>
    <col min="13560" max="13560" width="2.42578125" style="494" customWidth="1"/>
    <col min="13561" max="13561" width="52.140625" style="494" customWidth="1"/>
    <col min="13562" max="13805" width="9.140625" style="494"/>
    <col min="13806" max="13806" width="35" style="494" customWidth="1"/>
    <col min="13807" max="13810" width="14.42578125" style="494" customWidth="1"/>
    <col min="13811" max="13811" width="2.42578125" style="494" customWidth="1"/>
    <col min="13812" max="13815" width="14.42578125" style="494" customWidth="1"/>
    <col min="13816" max="13816" width="2.42578125" style="494" customWidth="1"/>
    <col min="13817" max="13817" width="52.140625" style="494" customWidth="1"/>
    <col min="13818" max="14061" width="9.140625" style="494"/>
    <col min="14062" max="14062" width="35" style="494" customWidth="1"/>
    <col min="14063" max="14066" width="14.42578125" style="494" customWidth="1"/>
    <col min="14067" max="14067" width="2.42578125" style="494" customWidth="1"/>
    <col min="14068" max="14071" width="14.42578125" style="494" customWidth="1"/>
    <col min="14072" max="14072" width="2.42578125" style="494" customWidth="1"/>
    <col min="14073" max="14073" width="52.140625" style="494" customWidth="1"/>
    <col min="14074" max="14317" width="9.140625" style="494"/>
    <col min="14318" max="14318" width="35" style="494" customWidth="1"/>
    <col min="14319" max="14322" width="14.42578125" style="494" customWidth="1"/>
    <col min="14323" max="14323" width="2.42578125" style="494" customWidth="1"/>
    <col min="14324" max="14327" width="14.42578125" style="494" customWidth="1"/>
    <col min="14328" max="14328" width="2.42578125" style="494" customWidth="1"/>
    <col min="14329" max="14329" width="52.140625" style="494" customWidth="1"/>
    <col min="14330" max="14573" width="9.140625" style="494"/>
    <col min="14574" max="14574" width="35" style="494" customWidth="1"/>
    <col min="14575" max="14578" width="14.42578125" style="494" customWidth="1"/>
    <col min="14579" max="14579" width="2.42578125" style="494" customWidth="1"/>
    <col min="14580" max="14583" width="14.42578125" style="494" customWidth="1"/>
    <col min="14584" max="14584" width="2.42578125" style="494" customWidth="1"/>
    <col min="14585" max="14585" width="52.140625" style="494" customWidth="1"/>
    <col min="14586" max="14829" width="9.140625" style="494"/>
    <col min="14830" max="14830" width="35" style="494" customWidth="1"/>
    <col min="14831" max="14834" width="14.42578125" style="494" customWidth="1"/>
    <col min="14835" max="14835" width="2.42578125" style="494" customWidth="1"/>
    <col min="14836" max="14839" width="14.42578125" style="494" customWidth="1"/>
    <col min="14840" max="14840" width="2.42578125" style="494" customWidth="1"/>
    <col min="14841" max="14841" width="52.140625" style="494" customWidth="1"/>
    <col min="14842" max="15085" width="9.140625" style="494"/>
    <col min="15086" max="15086" width="35" style="494" customWidth="1"/>
    <col min="15087" max="15090" width="14.42578125" style="494" customWidth="1"/>
    <col min="15091" max="15091" width="2.42578125" style="494" customWidth="1"/>
    <col min="15092" max="15095" width="14.42578125" style="494" customWidth="1"/>
    <col min="15096" max="15096" width="2.42578125" style="494" customWidth="1"/>
    <col min="15097" max="15097" width="52.140625" style="494" customWidth="1"/>
    <col min="15098" max="15341" width="9.140625" style="494"/>
    <col min="15342" max="15342" width="35" style="494" customWidth="1"/>
    <col min="15343" max="15346" width="14.42578125" style="494" customWidth="1"/>
    <col min="15347" max="15347" width="2.42578125" style="494" customWidth="1"/>
    <col min="15348" max="15351" width="14.42578125" style="494" customWidth="1"/>
    <col min="15352" max="15352" width="2.42578125" style="494" customWidth="1"/>
    <col min="15353" max="15353" width="52.140625" style="494" customWidth="1"/>
    <col min="15354" max="15597" width="9.140625" style="494"/>
    <col min="15598" max="15598" width="35" style="494" customWidth="1"/>
    <col min="15599" max="15602" width="14.42578125" style="494" customWidth="1"/>
    <col min="15603" max="15603" width="2.42578125" style="494" customWidth="1"/>
    <col min="15604" max="15607" width="14.42578125" style="494" customWidth="1"/>
    <col min="15608" max="15608" width="2.42578125" style="494" customWidth="1"/>
    <col min="15609" max="15609" width="52.140625" style="494" customWidth="1"/>
    <col min="15610" max="15853" width="9.140625" style="494"/>
    <col min="15854" max="15854" width="35" style="494" customWidth="1"/>
    <col min="15855" max="15858" width="14.42578125" style="494" customWidth="1"/>
    <col min="15859" max="15859" width="2.42578125" style="494" customWidth="1"/>
    <col min="15860" max="15863" width="14.42578125" style="494" customWidth="1"/>
    <col min="15864" max="15864" width="2.42578125" style="494" customWidth="1"/>
    <col min="15865" max="15865" width="52.140625" style="494" customWidth="1"/>
    <col min="15866" max="16109" width="9.140625" style="494"/>
    <col min="16110" max="16110" width="35" style="494" customWidth="1"/>
    <col min="16111" max="16114" width="14.42578125" style="494" customWidth="1"/>
    <col min="16115" max="16115" width="2.42578125" style="494" customWidth="1"/>
    <col min="16116" max="16119" width="14.42578125" style="494" customWidth="1"/>
    <col min="16120" max="16120" width="2.42578125" style="494" customWidth="1"/>
    <col min="16121" max="16121" width="52.140625" style="494" customWidth="1"/>
    <col min="16122" max="16384" width="9.140625" style="494"/>
  </cols>
  <sheetData>
    <row r="1" spans="1:19" s="492" customFormat="1" hidden="1" outlineLevel="1">
      <c r="A1" s="492" t="s">
        <v>544</v>
      </c>
      <c r="B1" s="969">
        <v>2026</v>
      </c>
      <c r="G1" s="438" t="str">
        <f t="shared" ref="G1:N1" si="0">G2&amp;"_"&amp;G3</f>
        <v>1_CT</v>
      </c>
      <c r="H1" s="438" t="str">
        <f t="shared" si="0"/>
        <v>2_CT</v>
      </c>
      <c r="I1" s="438" t="str">
        <f t="shared" si="0"/>
        <v>3_CT</v>
      </c>
      <c r="J1" s="438" t="str">
        <f t="shared" si="0"/>
        <v>4_CT</v>
      </c>
      <c r="K1" s="438" t="str">
        <f t="shared" si="0"/>
        <v>1_CC</v>
      </c>
      <c r="L1" s="438" t="str">
        <f t="shared" si="0"/>
        <v>2_CC</v>
      </c>
      <c r="M1" s="438" t="str">
        <f t="shared" si="0"/>
        <v>3_CC</v>
      </c>
      <c r="N1" s="438" t="str">
        <f t="shared" si="0"/>
        <v>4_CC</v>
      </c>
    </row>
    <row r="2" spans="1:19" s="492" customFormat="1" hidden="1" outlineLevel="1">
      <c r="B2" s="492" t="s">
        <v>519</v>
      </c>
      <c r="D2" s="1088">
        <f>365*24</f>
        <v>8760</v>
      </c>
      <c r="E2" s="1091" t="s">
        <v>522</v>
      </c>
      <c r="G2" s="438">
        <v>1</v>
      </c>
      <c r="H2" s="438">
        <v>2</v>
      </c>
      <c r="I2" s="438">
        <v>3</v>
      </c>
      <c r="J2" s="438">
        <v>4</v>
      </c>
      <c r="K2" s="438">
        <v>1</v>
      </c>
      <c r="L2" s="438">
        <v>2</v>
      </c>
      <c r="M2" s="438">
        <v>3</v>
      </c>
      <c r="N2" s="438">
        <v>4</v>
      </c>
    </row>
    <row r="3" spans="1:19" s="492" customFormat="1" hidden="1" outlineLevel="1">
      <c r="B3" s="492" t="s">
        <v>520</v>
      </c>
      <c r="D3" s="1089">
        <f>0.75</f>
        <v>0.75</v>
      </c>
      <c r="E3" s="1091" t="s">
        <v>525</v>
      </c>
      <c r="G3" s="438" t="s">
        <v>76</v>
      </c>
      <c r="H3" s="438" t="s">
        <v>76</v>
      </c>
      <c r="I3" s="438" t="s">
        <v>76</v>
      </c>
      <c r="J3" s="438" t="s">
        <v>76</v>
      </c>
      <c r="K3" s="438" t="s">
        <v>77</v>
      </c>
      <c r="L3" s="438" t="s">
        <v>77</v>
      </c>
      <c r="M3" s="438" t="s">
        <v>77</v>
      </c>
      <c r="N3" s="438" t="s">
        <v>77</v>
      </c>
    </row>
    <row r="4" spans="1:19" s="492" customFormat="1" hidden="1" outlineLevel="1">
      <c r="D4" s="1090">
        <v>240</v>
      </c>
      <c r="E4" s="1091" t="s">
        <v>524</v>
      </c>
      <c r="G4" s="438"/>
      <c r="H4" s="438"/>
      <c r="I4" s="438"/>
      <c r="J4" s="438"/>
      <c r="K4" s="438"/>
      <c r="L4" s="438"/>
      <c r="M4" s="438"/>
      <c r="N4" s="438"/>
    </row>
    <row r="5" spans="1:19" s="492" customFormat="1" hidden="1" outlineLevel="1">
      <c r="D5" s="944"/>
      <c r="G5" s="438"/>
      <c r="H5" s="1087"/>
      <c r="I5" s="1087"/>
      <c r="J5" s="1087" t="s">
        <v>555</v>
      </c>
      <c r="K5" s="1321">
        <v>1.2505124096212512</v>
      </c>
      <c r="L5" s="1321">
        <v>1.2420369145336843</v>
      </c>
      <c r="M5" s="1321">
        <v>1.2764766777363197</v>
      </c>
      <c r="N5" s="1321">
        <v>1.2877316302140613</v>
      </c>
      <c r="O5" s="1088" t="s">
        <v>563</v>
      </c>
      <c r="P5" s="1100"/>
      <c r="Q5" s="1100"/>
      <c r="R5" s="1100"/>
      <c r="S5" s="1100"/>
    </row>
    <row r="6" spans="1:19" collapsed="1">
      <c r="A6" s="256"/>
      <c r="B6" s="256"/>
      <c r="C6" s="256"/>
      <c r="D6" s="940"/>
      <c r="E6" s="256"/>
      <c r="F6" s="256"/>
    </row>
    <row r="7" spans="1:19">
      <c r="A7" s="256"/>
      <c r="B7" s="259"/>
      <c r="C7" s="259"/>
      <c r="D7" s="259"/>
      <c r="E7" s="259"/>
      <c r="F7" s="259"/>
      <c r="G7" s="495"/>
    </row>
    <row r="8" spans="1:19">
      <c r="A8" s="256"/>
      <c r="B8" s="839" t="s">
        <v>521</v>
      </c>
      <c r="C8" s="260"/>
      <c r="D8" s="260"/>
      <c r="E8" s="1001"/>
      <c r="F8" s="260"/>
    </row>
    <row r="9" spans="1:19">
      <c r="B9" s="935" t="str">
        <f>CONE_Calculations!I15</f>
        <v>VOM</v>
      </c>
      <c r="G9" s="496"/>
    </row>
    <row r="10" spans="1:19" ht="6" customHeight="1" thickBot="1">
      <c r="B10" s="497"/>
      <c r="C10" s="497"/>
      <c r="D10" s="497"/>
      <c r="E10" s="497"/>
      <c r="F10" s="497"/>
      <c r="G10" s="498"/>
      <c r="H10" s="498"/>
      <c r="I10" s="498"/>
      <c r="J10" s="498"/>
      <c r="K10" s="498"/>
      <c r="L10" s="498"/>
      <c r="M10" s="498"/>
      <c r="N10" s="498"/>
    </row>
    <row r="11" spans="1:19" ht="6" customHeight="1" thickTop="1">
      <c r="G11" s="499"/>
      <c r="H11" s="499"/>
      <c r="I11" s="499"/>
      <c r="J11" s="499"/>
      <c r="K11" s="642"/>
      <c r="L11" s="499"/>
      <c r="M11" s="499"/>
      <c r="N11" s="499"/>
      <c r="O11" s="964"/>
      <c r="P11" s="508"/>
      <c r="Q11" s="508"/>
      <c r="R11" s="508"/>
      <c r="S11" s="508"/>
    </row>
    <row r="12" spans="1:19" ht="12.75" customHeight="1" outlineLevel="1">
      <c r="B12" s="500"/>
      <c r="C12" s="500"/>
      <c r="D12" s="500"/>
      <c r="E12" s="500"/>
      <c r="F12" s="500"/>
      <c r="G12" s="501" t="str">
        <f>"Reference Year Costs ("&amp;B1&amp;"$)"</f>
        <v>Reference Year Costs (2026$)</v>
      </c>
      <c r="H12" s="502"/>
      <c r="I12" s="502"/>
      <c r="J12" s="502"/>
      <c r="K12" s="936" t="str">
        <f>"Reference Year Costs ("&amp;B1&amp;"$)"</f>
        <v>Reference Year Costs (2026$)</v>
      </c>
      <c r="L12" s="502"/>
      <c r="M12" s="502"/>
      <c r="N12" s="502"/>
      <c r="O12" s="964"/>
      <c r="P12" s="508"/>
      <c r="Q12" s="508"/>
      <c r="R12" s="508"/>
      <c r="S12" s="508"/>
    </row>
    <row r="13" spans="1:19" ht="12.75" customHeight="1">
      <c r="B13" s="500"/>
      <c r="C13" s="500"/>
      <c r="D13" s="500"/>
      <c r="E13" s="500"/>
      <c r="F13" s="500"/>
      <c r="G13" s="453" t="s">
        <v>189</v>
      </c>
      <c r="H13" s="453"/>
      <c r="I13" s="453"/>
      <c r="J13" s="453"/>
      <c r="K13" s="831" t="s">
        <v>189</v>
      </c>
      <c r="L13" s="453"/>
      <c r="M13" s="453"/>
      <c r="N13" s="453"/>
      <c r="O13" s="964"/>
      <c r="P13" s="508"/>
      <c r="Q13" s="508"/>
      <c r="R13" s="508"/>
      <c r="S13" s="508"/>
    </row>
    <row r="14" spans="1:19" ht="12.75" customHeight="1">
      <c r="B14" s="500"/>
      <c r="C14" s="500"/>
      <c r="D14" s="500"/>
      <c r="E14" s="500"/>
      <c r="F14" s="500"/>
      <c r="G14" s="455">
        <v>1</v>
      </c>
      <c r="H14" s="455">
        <v>2</v>
      </c>
      <c r="I14" s="455">
        <v>3</v>
      </c>
      <c r="J14" s="455">
        <v>4</v>
      </c>
      <c r="K14" s="832">
        <v>1</v>
      </c>
      <c r="L14" s="455">
        <v>2</v>
      </c>
      <c r="M14" s="455">
        <v>3</v>
      </c>
      <c r="N14" s="455">
        <v>4</v>
      </c>
      <c r="O14" s="964"/>
      <c r="P14" s="508"/>
      <c r="Q14" s="508"/>
      <c r="R14" s="508"/>
      <c r="S14" s="508"/>
    </row>
    <row r="15" spans="1:19" ht="12.75" customHeight="1">
      <c r="B15" s="500" t="s">
        <v>158</v>
      </c>
      <c r="C15" s="500"/>
      <c r="D15" s="500"/>
      <c r="E15" s="500"/>
      <c r="F15" s="500"/>
      <c r="G15" s="272" t="str">
        <f>'Cost Assumptions'!D7</f>
        <v>EMAAC</v>
      </c>
      <c r="H15" s="272" t="str">
        <f>'Cost Assumptions'!E7</f>
        <v>SWMAAC</v>
      </c>
      <c r="I15" s="272" t="str">
        <f>'Cost Assumptions'!F7</f>
        <v>Rest of RTO</v>
      </c>
      <c r="J15" s="272" t="str">
        <f>'Cost Assumptions'!G7</f>
        <v>WMAAC</v>
      </c>
      <c r="K15" s="287" t="str">
        <f>'Cost Assumptions'!H7</f>
        <v>EMAAC</v>
      </c>
      <c r="L15" s="272" t="str">
        <f>'Cost Assumptions'!I7</f>
        <v>SWMAAC</v>
      </c>
      <c r="M15" s="272" t="str">
        <f>'Cost Assumptions'!J7</f>
        <v>Rest of RTO</v>
      </c>
      <c r="N15" s="272" t="str">
        <f>'Cost Assumptions'!K7</f>
        <v>WMAAC</v>
      </c>
      <c r="O15" s="964"/>
      <c r="P15" s="508"/>
      <c r="Q15" s="508"/>
      <c r="R15" s="508"/>
      <c r="S15" s="508"/>
    </row>
    <row r="16" spans="1:19" ht="45" outlineLevel="1">
      <c r="B16" s="503"/>
      <c r="C16" s="503"/>
      <c r="D16" s="504" t="s">
        <v>166</v>
      </c>
      <c r="E16" s="504"/>
      <c r="F16" s="503"/>
      <c r="G16" s="505" t="str">
        <f>'Cost Assumptions'!D8</f>
        <v>Frame-Type 
Combustion Turbine</v>
      </c>
      <c r="H16" s="505" t="str">
        <f>'Cost Assumptions'!E8</f>
        <v>Frame-Type 
Combustion Turbine</v>
      </c>
      <c r="I16" s="505" t="str">
        <f>'Cost Assumptions'!F8</f>
        <v>Frame-Type 
Combustion Turbine</v>
      </c>
      <c r="J16" s="505" t="str">
        <f>'Cost Assumptions'!G8</f>
        <v>Frame-Type 
Combustion Turbine</v>
      </c>
      <c r="K16" s="647" t="str">
        <f>'Cost Assumptions'!H8</f>
        <v>Combined Cycle Dry ACC</v>
      </c>
      <c r="L16" s="505" t="str">
        <f>'Cost Assumptions'!I8</f>
        <v>Combined Cycle Dry ACC</v>
      </c>
      <c r="M16" s="505" t="str">
        <f>'Cost Assumptions'!J8</f>
        <v>Combined Cycle Dry ACC</v>
      </c>
      <c r="N16" s="505" t="str">
        <f>'Cost Assumptions'!K8</f>
        <v>Combined Cycle Dry ACC</v>
      </c>
      <c r="O16" s="964"/>
      <c r="P16" s="508"/>
      <c r="Q16" s="508"/>
      <c r="R16" s="508"/>
      <c r="S16" s="508"/>
    </row>
    <row r="17" spans="1:75" ht="15" customHeight="1" outlineLevel="1">
      <c r="B17" s="503"/>
      <c r="C17" s="503"/>
      <c r="D17" s="504"/>
      <c r="E17" s="504" t="s">
        <v>523</v>
      </c>
      <c r="F17" s="503"/>
      <c r="G17" s="1886">
        <f>'Cost Assumptions'!D14</f>
        <v>371.10399999999998</v>
      </c>
      <c r="H17" s="1886">
        <f>'Cost Assumptions'!E14</f>
        <v>373.52</v>
      </c>
      <c r="I17" s="1886">
        <f>'Cost Assumptions'!F14</f>
        <v>362.31900000000002</v>
      </c>
      <c r="J17" s="1886">
        <f>'Cost Assumptions'!G14</f>
        <v>359.55099999999999</v>
      </c>
      <c r="K17" s="1887">
        <f>'Capital Costs Data'!I8</f>
        <v>1170.73</v>
      </c>
      <c r="L17" s="1886">
        <f>'Capital Costs Data'!J8</f>
        <v>1173.6579999999999</v>
      </c>
      <c r="M17" s="1886">
        <f>'Capital Costs Data'!K8</f>
        <v>1144.0940000000001</v>
      </c>
      <c r="N17" s="1886">
        <f>'Capital Costs Data'!L8</f>
        <v>1133.424</v>
      </c>
      <c r="O17" s="964"/>
      <c r="P17" s="508"/>
      <c r="Q17" s="508"/>
      <c r="R17" s="508"/>
      <c r="S17" s="508"/>
    </row>
    <row r="18" spans="1:75" ht="6" customHeight="1">
      <c r="B18" s="506"/>
      <c r="C18" s="506"/>
      <c r="D18" s="506"/>
      <c r="E18" s="506"/>
      <c r="F18" s="506"/>
      <c r="G18" s="507"/>
      <c r="H18" s="507"/>
      <c r="I18" s="507"/>
      <c r="J18" s="507"/>
      <c r="K18" s="649"/>
      <c r="L18" s="507"/>
      <c r="M18" s="507"/>
      <c r="N18" s="507"/>
      <c r="O18" s="964"/>
      <c r="P18" s="508"/>
      <c r="Q18" s="508"/>
      <c r="R18" s="508"/>
      <c r="S18" s="508"/>
    </row>
    <row r="19" spans="1:75" ht="6" customHeight="1">
      <c r="B19" s="508"/>
      <c r="C19" s="508"/>
      <c r="D19" s="508"/>
      <c r="E19" s="508"/>
      <c r="F19" s="508"/>
      <c r="G19" s="509"/>
      <c r="H19" s="509"/>
      <c r="I19" s="509"/>
      <c r="J19" s="509"/>
      <c r="K19" s="654"/>
      <c r="L19" s="510"/>
      <c r="M19" s="510"/>
      <c r="N19" s="510"/>
      <c r="O19" s="964"/>
      <c r="P19" s="508"/>
      <c r="Q19" s="508"/>
      <c r="R19" s="508"/>
      <c r="S19" s="508"/>
      <c r="T19" s="508"/>
      <c r="U19" s="508"/>
      <c r="V19" s="508"/>
      <c r="W19" s="508"/>
      <c r="X19" s="508"/>
      <c r="Y19" s="508"/>
      <c r="Z19" s="508"/>
      <c r="AA19" s="508"/>
      <c r="AB19" s="508"/>
      <c r="AC19" s="508"/>
      <c r="AD19" s="508"/>
      <c r="AE19" s="508"/>
      <c r="AF19" s="508"/>
      <c r="AG19" s="508"/>
      <c r="AH19" s="508"/>
      <c r="AI19" s="508"/>
      <c r="AJ19" s="508"/>
      <c r="AK19" s="508"/>
      <c r="AL19" s="508"/>
      <c r="AM19" s="508"/>
      <c r="AN19" s="508"/>
      <c r="AO19" s="508"/>
      <c r="AP19" s="508"/>
      <c r="AQ19" s="508"/>
      <c r="AR19" s="508"/>
      <c r="AS19" s="508"/>
      <c r="AT19" s="508"/>
      <c r="AU19" s="508"/>
      <c r="AV19" s="508"/>
      <c r="AW19" s="508"/>
      <c r="AX19" s="508"/>
      <c r="AY19" s="508"/>
      <c r="AZ19" s="508"/>
      <c r="BA19" s="508"/>
      <c r="BB19" s="508"/>
      <c r="BC19" s="508"/>
      <c r="BD19" s="508"/>
      <c r="BE19" s="508"/>
      <c r="BF19" s="508"/>
      <c r="BG19" s="508"/>
      <c r="BH19" s="508"/>
      <c r="BI19" s="508"/>
      <c r="BJ19" s="508"/>
      <c r="BK19" s="508"/>
      <c r="BL19" s="508"/>
      <c r="BM19" s="508"/>
      <c r="BN19" s="508"/>
      <c r="BO19" s="508"/>
      <c r="BP19" s="508"/>
      <c r="BQ19" s="508"/>
      <c r="BR19" s="508"/>
      <c r="BS19" s="508"/>
      <c r="BT19" s="508"/>
      <c r="BU19" s="508"/>
      <c r="BV19" s="508"/>
      <c r="BW19" s="508"/>
    </row>
    <row r="20" spans="1:75">
      <c r="B20" s="511" t="s">
        <v>617</v>
      </c>
      <c r="C20" s="511"/>
      <c r="D20" s="511"/>
      <c r="E20" s="511"/>
      <c r="F20" s="511"/>
      <c r="G20" s="512"/>
      <c r="H20" s="512"/>
      <c r="I20" s="512"/>
      <c r="J20" s="512"/>
      <c r="K20" s="937"/>
      <c r="L20" s="513"/>
      <c r="M20" s="513"/>
      <c r="N20" s="513"/>
      <c r="O20" s="964"/>
    </row>
    <row r="21" spans="1:75">
      <c r="B21" s="514" t="s">
        <v>204</v>
      </c>
      <c r="C21" s="511"/>
      <c r="D21" s="515">
        <f>'Capital Costs_Nominal$'!$E$32+CONE_Calculations!Inflation</f>
        <v>2.9115258555406198E-2</v>
      </c>
      <c r="E21" s="516"/>
      <c r="F21" s="511"/>
      <c r="G21" s="517">
        <f>ROUND('O&amp;M Costs'!D11*(1+'O&amp;M Costs_2026$'!$D21)^('O&amp;M Costs_2026$'!$B$1-'O&amp;M Costs'!$I$1),-3) + IF($B$9=$B$2,$D$4*G38,0)</f>
        <v>346000</v>
      </c>
      <c r="H21" s="517">
        <f>ROUND('O&amp;M Costs'!E11*(1+'O&amp;M Costs_2026$'!$D21)^('O&amp;M Costs_2026$'!$B$1-'O&amp;M Costs'!$I$1),-3) + IF($B$9=$B$2,$D$4*H38,0)</f>
        <v>346000</v>
      </c>
      <c r="I21" s="517">
        <f>ROUND('O&amp;M Costs'!F11*(1+'O&amp;M Costs_2026$'!$D21)^('O&amp;M Costs_2026$'!$B$1-'O&amp;M Costs'!$I$1),-3) + IF($B$9=$B$2,$D$4*I38,0)</f>
        <v>346000</v>
      </c>
      <c r="J21" s="517">
        <f>ROUND('O&amp;M Costs'!G11*(1+'O&amp;M Costs_2026$'!$D21)^('O&amp;M Costs_2026$'!$B$1-'O&amp;M Costs'!$I$1),-3) + IF($B$9=$B$2,$D$4*J38,0)</f>
        <v>346000</v>
      </c>
      <c r="K21" s="938">
        <f>IF($B$9=$B$2,$D$2*$D$3*K$17*$K$5,0)+ROUND('O&amp;M Costs'!H11*(1+'O&amp;M Costs_2026$'!$D21)^('O&amp;M Costs_2026$'!$B$1-'O&amp;M Costs'!$I$1),-3)</f>
        <v>824000</v>
      </c>
      <c r="L21" s="517">
        <f>IF($B$9=$B$2,$D$2*$D$3*L$17*L$5,0)+ROUND('O&amp;M Costs'!I11*(1+'O&amp;M Costs_2026$'!$D21)^('O&amp;M Costs_2026$'!$B$1-'O&amp;M Costs'!$I$1),-3)</f>
        <v>824000</v>
      </c>
      <c r="M21" s="517">
        <f>IF($B$9=$B$2,$D$2*$D$3*M$17*M$5,0)+ROUND('O&amp;M Costs'!J11*(1+'O&amp;M Costs_2026$'!$D21)^('O&amp;M Costs_2026$'!$B$1-'O&amp;M Costs'!$I$1),-3)</f>
        <v>824000</v>
      </c>
      <c r="N21" s="517">
        <f>IF($B$9=$B$2,$D$2*$D$3*N$17*N$5,0)+ROUND('O&amp;M Costs'!K11*(1+'O&amp;M Costs_2026$'!$D21)^('O&amp;M Costs_2026$'!$B$1-'O&amp;M Costs'!$I$1),-3)</f>
        <v>824000</v>
      </c>
      <c r="O21" s="964"/>
    </row>
    <row r="22" spans="1:75" ht="15" customHeight="1">
      <c r="B22" s="514" t="s">
        <v>205</v>
      </c>
      <c r="C22" s="518"/>
      <c r="D22" s="846">
        <f>'Capital Costs_Nominal$'!$E$30+CONE_Calculations!Inflation</f>
        <v>4.5115258555406199E-2</v>
      </c>
      <c r="E22" s="516"/>
      <c r="F22" s="518"/>
      <c r="G22" s="517">
        <f>ROUND('O&amp;M Costs'!D12*(1+'O&amp;M Costs_2026$'!$D22)^('O&amp;M Costs_2026$'!$B$1-'O&amp;M Costs'!$I$1),-3)</f>
        <v>1156000</v>
      </c>
      <c r="H22" s="517">
        <f>ROUND('O&amp;M Costs'!E12*(1+'O&amp;M Costs_2026$'!$D22)^('O&amp;M Costs_2026$'!$B$1-'O&amp;M Costs'!$I$1),-3)</f>
        <v>1241000</v>
      </c>
      <c r="I22" s="517">
        <f>ROUND('O&amp;M Costs'!F12*(1+'O&amp;M Costs_2026$'!$D22)^('O&amp;M Costs_2026$'!$B$1-'O&amp;M Costs'!$I$1),-3)</f>
        <v>883000</v>
      </c>
      <c r="J22" s="517">
        <f>ROUND('O&amp;M Costs'!G12*(1+'O&amp;M Costs_2026$'!$D22)^('O&amp;M Costs_2026$'!$B$1-'O&amp;M Costs'!$I$1),-3)</f>
        <v>910000</v>
      </c>
      <c r="K22" s="938">
        <f>ROUND('O&amp;M Costs'!H12*(1+'O&amp;M Costs_2026$'!$D22)^('O&amp;M Costs_2026$'!$B$1-'O&amp;M Costs'!$I$1),-3)</f>
        <v>5202000</v>
      </c>
      <c r="L22" s="517">
        <f>ROUND('O&amp;M Costs'!I12*(1+'O&amp;M Costs_2026$'!$D22)^('O&amp;M Costs_2026$'!$B$1-'O&amp;M Costs'!$I$1),-3)</f>
        <v>5581000</v>
      </c>
      <c r="M22" s="517">
        <f>ROUND('O&amp;M Costs'!J12*(1+'O&amp;M Costs_2026$'!$D22)^('O&amp;M Costs_2026$'!$B$1-'O&amp;M Costs'!$I$1),-3)</f>
        <v>3974000</v>
      </c>
      <c r="N22" s="517">
        <f>ROUND('O&amp;M Costs'!K12*(1+'O&amp;M Costs_2026$'!$D22)^('O&amp;M Costs_2026$'!$B$1-'O&amp;M Costs'!$I$1),-3)</f>
        <v>4095000</v>
      </c>
      <c r="O22" s="964"/>
    </row>
    <row r="23" spans="1:75" ht="15" customHeight="1">
      <c r="B23" s="514" t="s">
        <v>207</v>
      </c>
      <c r="C23" s="518"/>
      <c r="D23" s="515">
        <f>'Capital Costs_Nominal$'!$E$32+CONE_Calculations!Inflation</f>
        <v>2.9115258555406198E-2</v>
      </c>
      <c r="E23" s="516"/>
      <c r="F23" s="518"/>
      <c r="G23" s="517">
        <f>ROUND('O&amp;M Costs'!D14*(1+'O&amp;M Costs_2026$'!$D23)^('O&amp;M Costs_2026$'!$B$1-'O&amp;M Costs'!$I$1),-3)</f>
        <v>530000</v>
      </c>
      <c r="H23" s="517">
        <f>ROUND('O&amp;M Costs'!E14*(1+'O&amp;M Costs_2026$'!$D23)^('O&amp;M Costs_2026$'!$B$1-'O&amp;M Costs'!$I$1),-3)</f>
        <v>543000</v>
      </c>
      <c r="I23" s="517">
        <f>ROUND('O&amp;M Costs'!F14*(1+'O&amp;M Costs_2026$'!$D23)^('O&amp;M Costs_2026$'!$B$1-'O&amp;M Costs'!$I$1),-3)</f>
        <v>485000</v>
      </c>
      <c r="J23" s="517">
        <f>ROUND('O&amp;M Costs'!G14*(1+'O&amp;M Costs_2026$'!$D23)^('O&amp;M Costs_2026$'!$B$1-'O&amp;M Costs'!$I$1),-3)</f>
        <v>489000</v>
      </c>
      <c r="K23" s="938">
        <f>ROUND('O&amp;M Costs'!H14*(1+'O&amp;M Costs_2026$'!$D23)^('O&amp;M Costs_2026$'!$B$1-'O&amp;M Costs'!$I$1),-3)</f>
        <v>6561000</v>
      </c>
      <c r="L23" s="517">
        <f>ROUND('O&amp;M Costs'!I14*(1+'O&amp;M Costs_2026$'!$D23)^('O&amp;M Costs_2026$'!$B$1-'O&amp;M Costs'!$I$1),-3)</f>
        <v>6717000</v>
      </c>
      <c r="M23" s="517">
        <f>ROUND('O&amp;M Costs'!J14*(1+'O&amp;M Costs_2026$'!$D23)^('O&amp;M Costs_2026$'!$B$1-'O&amp;M Costs'!$I$1),-3)</f>
        <v>5998000</v>
      </c>
      <c r="N23" s="517">
        <f>ROUND('O&amp;M Costs'!K14*(1+'O&amp;M Costs_2026$'!$D23)^('O&amp;M Costs_2026$'!$B$1-'O&amp;M Costs'!$I$1),-3)</f>
        <v>6058000</v>
      </c>
      <c r="O23" s="964"/>
    </row>
    <row r="24" spans="1:75" s="508" customFormat="1" ht="15" customHeight="1">
      <c r="B24" s="514" t="s">
        <v>208</v>
      </c>
      <c r="C24" s="518"/>
      <c r="D24" s="515">
        <f>'Capital Costs_Nominal$'!$E$32+CONE_Calculations!Inflation</f>
        <v>2.9115258555406198E-2</v>
      </c>
      <c r="E24" s="516"/>
      <c r="F24" s="518"/>
      <c r="G24" s="517">
        <f>ROUND('O&amp;M Costs'!D15*(1+'O&amp;M Costs_2026$'!$D24)^('O&amp;M Costs_2026$'!$B$1-'O&amp;M Costs'!$I$1),-3)</f>
        <v>249000</v>
      </c>
      <c r="H24" s="517">
        <f>ROUND('O&amp;M Costs'!E15*(1+'O&amp;M Costs_2026$'!$D24)^('O&amp;M Costs_2026$'!$B$1-'O&amp;M Costs'!$I$1),-3)</f>
        <v>263000</v>
      </c>
      <c r="I24" s="517">
        <f>ROUND('O&amp;M Costs'!F15*(1+'O&amp;M Costs_2026$'!$D24)^('O&amp;M Costs_2026$'!$B$1-'O&amp;M Costs'!$I$1),-3)</f>
        <v>205000</v>
      </c>
      <c r="J24" s="517">
        <f>ROUND('O&amp;M Costs'!G15*(1+'O&amp;M Costs_2026$'!$D24)^('O&amp;M Costs_2026$'!$B$1-'O&amp;M Costs'!$I$1),-3)</f>
        <v>210000</v>
      </c>
      <c r="K24" s="938">
        <f>ROUND('O&amp;M Costs'!H15*(1+'O&amp;M Costs_2026$'!$D24)^('O&amp;M Costs_2026$'!$B$1-'O&amp;M Costs'!$I$1),-3)</f>
        <v>1378000</v>
      </c>
      <c r="L24" s="517">
        <f>ROUND('O&amp;M Costs'!I15*(1+'O&amp;M Costs_2026$'!$D24)^('O&amp;M Costs_2026$'!$B$1-'O&amp;M Costs'!$I$1),-3)</f>
        <v>1441000</v>
      </c>
      <c r="M24" s="517">
        <f>ROUND('O&amp;M Costs'!J15*(1+'O&amp;M Costs_2026$'!$D24)^('O&amp;M Costs_2026$'!$B$1-'O&amp;M Costs'!$I$1),-3)</f>
        <v>1168000</v>
      </c>
      <c r="N24" s="517">
        <f>ROUND('O&amp;M Costs'!K15*(1+'O&amp;M Costs_2026$'!$D24)^('O&amp;M Costs_2026$'!$B$1-'O&amp;M Costs'!$I$1),-3)</f>
        <v>1188000</v>
      </c>
      <c r="O24" s="964"/>
    </row>
    <row r="25" spans="1:75" s="508" customFormat="1" ht="15" customHeight="1">
      <c r="B25" s="514" t="s">
        <v>113</v>
      </c>
      <c r="C25" s="518"/>
      <c r="D25" s="515">
        <f>'Capital Costs_Nominal$'!$E$32+CONE_Calculations!Inflation</f>
        <v>2.9115258555406198E-2</v>
      </c>
      <c r="E25" s="516"/>
      <c r="F25" s="518"/>
      <c r="G25" s="517">
        <f>ROUND('O&amp;M Costs'!D16*(1+'O&amp;M Costs_2026$'!$D25)^('O&amp;M Costs_2026$'!$B$1-'O&amp;M Costs'!$I$1),-3)</f>
        <v>545000</v>
      </c>
      <c r="H25" s="517">
        <f>ROUND('O&amp;M Costs'!E16*(1+'O&amp;M Costs_2026$'!$D25)^('O&amp;M Costs_2026$'!$B$1-'O&amp;M Costs'!$I$1),-3)</f>
        <v>589000</v>
      </c>
      <c r="I25" s="517">
        <f>ROUND('O&amp;M Costs'!F16*(1+'O&amp;M Costs_2026$'!$D25)^('O&amp;M Costs_2026$'!$B$1-'O&amp;M Costs'!$I$1),-3)</f>
        <v>407000</v>
      </c>
      <c r="J25" s="517">
        <f>ROUND('O&amp;M Costs'!G16*(1+'O&amp;M Costs_2026$'!$D25)^('O&amp;M Costs_2026$'!$B$1-'O&amp;M Costs'!$I$1),-3)</f>
        <v>417000</v>
      </c>
      <c r="K25" s="938">
        <f>ROUND('O&amp;M Costs'!H16*(1+'O&amp;M Costs_2026$'!$D25)^('O&amp;M Costs_2026$'!$B$1-'O&amp;M Costs'!$I$1),-3)</f>
        <v>1577000</v>
      </c>
      <c r="L25" s="517">
        <f>ROUND('O&amp;M Costs'!I16*(1+'O&amp;M Costs_2026$'!$D25)^('O&amp;M Costs_2026$'!$B$1-'O&amp;M Costs'!$I$1),-3)</f>
        <v>1697000</v>
      </c>
      <c r="M25" s="517">
        <f>ROUND('O&amp;M Costs'!J16*(1+'O&amp;M Costs_2026$'!$D25)^('O&amp;M Costs_2026$'!$B$1-'O&amp;M Costs'!$I$1),-3)</f>
        <v>1177000</v>
      </c>
      <c r="N25" s="517">
        <f>ROUND('O&amp;M Costs'!K16*(1+'O&amp;M Costs_2026$'!$D25)^('O&amp;M Costs_2026$'!$B$1-'O&amp;M Costs'!$I$1),-3)</f>
        <v>1203000</v>
      </c>
      <c r="O25" s="964"/>
    </row>
    <row r="26" spans="1:75" ht="15" customHeight="1">
      <c r="B26" s="514" t="s">
        <v>97</v>
      </c>
      <c r="C26" s="518"/>
      <c r="D26" s="518"/>
      <c r="E26" s="518"/>
      <c r="F26" s="518"/>
      <c r="G26" s="982">
        <f ca="1">ROUND(INDEX('Annual FOM'!$S$20:$S$28,MATCH(G1,'Annual FOM'!$A$20:$A$28,0))*10^6,-3)</f>
        <v>323000</v>
      </c>
      <c r="H26" s="982">
        <f ca="1">ROUND(INDEX('Annual FOM'!$S$20:$S$28,MATCH(H1,'Annual FOM'!$A$20:$A$28,0))*10^6,-3)</f>
        <v>4087000</v>
      </c>
      <c r="I26" s="982">
        <f ca="1">ROUND(INDEX('Annual FOM'!$S$20:$S$28,MATCH(I1,'Annual FOM'!$A$20:$A$28,0))*10^6,-3)</f>
        <v>2169000</v>
      </c>
      <c r="J26" s="982">
        <f ca="1">ROUND(INDEX('Annual FOM'!$S$20:$S$28,MATCH(J1,'Annual FOM'!$A$20:$A$28,0))*10^6,-3)</f>
        <v>317000</v>
      </c>
      <c r="K26" s="983">
        <f ca="1">ROUND(INDEX('Annual FOM'!$S$20:$S$28,MATCH(K1,'Annual FOM'!$A$20:$A$28,0))*10^6,-3)</f>
        <v>2958000</v>
      </c>
      <c r="L26" s="982">
        <f ca="1">ROUND(INDEX('Annual FOM'!$S$20:$S$28,MATCH(L1,'Annual FOM'!$A$20:$A$28,0))*10^6,-3)</f>
        <v>16362000</v>
      </c>
      <c r="M26" s="982">
        <f ca="1">ROUND(INDEX('Annual FOM'!$S$20:$S$28,MATCH(M1,'Annual FOM'!$A$20:$A$28,0))*10^6,-3)</f>
        <v>9501000</v>
      </c>
      <c r="N26" s="982">
        <f ca="1">ROUND(INDEX('Annual FOM'!$S$20:$S$28,MATCH(N1,'Annual FOM'!$A$20:$A$28,0))*10^6,-3)</f>
        <v>2913000</v>
      </c>
      <c r="O26" s="964"/>
    </row>
    <row r="27" spans="1:75" ht="15" customHeight="1">
      <c r="B27" s="514" t="s">
        <v>188</v>
      </c>
      <c r="C27" s="518"/>
      <c r="D27" s="518"/>
      <c r="E27" s="518"/>
      <c r="F27" s="518"/>
      <c r="G27" s="517">
        <f>ROUND('Cost Assumptions'!D$66*'Capital Costs_Nominal$'!H$59,-3)</f>
        <v>1952000</v>
      </c>
      <c r="H27" s="517">
        <f>ROUND('Cost Assumptions'!E$66*'Capital Costs_Nominal$'!I$59,-3)</f>
        <v>1843000</v>
      </c>
      <c r="I27" s="517">
        <f>ROUND('Cost Assumptions'!F$66*'Capital Costs_Nominal$'!J$59,-3)</f>
        <v>1869000</v>
      </c>
      <c r="J27" s="517">
        <f>ROUND('Cost Assumptions'!G$66*'Capital Costs_Nominal$'!K$59,-3)</f>
        <v>1902000</v>
      </c>
      <c r="K27" s="938">
        <f>ROUND('Cost Assumptions'!H$66*'Capital Costs_Nominal$'!L$59,-3)</f>
        <v>8151000</v>
      </c>
      <c r="L27" s="517">
        <f>ROUND('Cost Assumptions'!I$66*'Capital Costs_Nominal$'!M$59,-3)</f>
        <v>7443000</v>
      </c>
      <c r="M27" s="517">
        <f>ROUND('Cost Assumptions'!J$66*'Capital Costs_Nominal$'!N$59,-3)</f>
        <v>7580000</v>
      </c>
      <c r="N27" s="517">
        <f>ROUND('Cost Assumptions'!K$66*'Capital Costs_Nominal$'!O$59,-3)</f>
        <v>7846000</v>
      </c>
      <c r="O27" s="964"/>
    </row>
    <row r="28" spans="1:75">
      <c r="A28" s="519"/>
      <c r="B28" s="520" t="s">
        <v>159</v>
      </c>
      <c r="C28" s="518"/>
      <c r="D28" s="518"/>
      <c r="E28" s="518"/>
      <c r="F28" s="518"/>
      <c r="G28" s="982">
        <f>INDEX('Additional Estimates'!$B$14:$E$14, MATCH('O&amp;M Costs_2026$'!G$15, 'Additional Estimates'!$B$11:$E$11, 0))</f>
        <v>4359095.7959905295</v>
      </c>
      <c r="H28" s="982">
        <f>INDEX('Additional Estimates'!$B$14:$E$14, MATCH('O&amp;M Costs_2026$'!H$15, 'Additional Estimates'!$B$11:$E$11, 0))</f>
        <v>5414195.8640128421</v>
      </c>
      <c r="I28" s="982">
        <f>INDEX('Additional Estimates'!$B$14:$E$14, MATCH('O&amp;M Costs_2026$'!I$15, 'Additional Estimates'!$B$11:$E$11, 0))</f>
        <v>7135984.7727972558</v>
      </c>
      <c r="J28" s="982">
        <f>INDEX('Additional Estimates'!$B$14:$E$14, MATCH('O&amp;M Costs_2026$'!J$15, 'Additional Estimates'!$B$11:$E$11, 0))</f>
        <v>6317505.3073965805</v>
      </c>
      <c r="K28" s="983">
        <f>INDEX('Additional Estimates'!$B$12:$E$12, MATCH('O&amp;M Costs_2026$'!K$15, 'Additional Estimates'!$B$11:$E$11, 0))</f>
        <v>10025367.326893417</v>
      </c>
      <c r="L28" s="982">
        <f>INDEX('Additional Estimates'!$B$12:$E$12, MATCH('O&amp;M Costs_2026$'!L$15, 'Additional Estimates'!$B$11:$E$11, 0))</f>
        <v>12441680.580230659</v>
      </c>
      <c r="M28" s="982">
        <f>INDEX('Additional Estimates'!$B$12:$E$12, MATCH('O&amp;M Costs_2026$'!M$15, 'Additional Estimates'!$B$11:$E$11, 0))</f>
        <v>16392459.230156075</v>
      </c>
      <c r="N28" s="982">
        <f>INDEX('Additional Estimates'!$B$12:$E$12, MATCH('O&amp;M Costs_2026$'!N$15, 'Additional Estimates'!$B$11:$E$11, 0))</f>
        <v>14506339.542564631</v>
      </c>
      <c r="O28" s="964"/>
    </row>
    <row r="29" spans="1:75">
      <c r="A29" s="519"/>
      <c r="B29" s="984" t="s">
        <v>153</v>
      </c>
      <c r="C29" s="518"/>
      <c r="D29" s="518"/>
      <c r="E29" s="518"/>
      <c r="F29" s="518"/>
      <c r="G29" s="517">
        <f>ROUND('Capital Costs_Nominal$'!H59*'Additional Estimates'!$C$6*'Additional Estimates'!$C$7,-3)</f>
        <v>36000</v>
      </c>
      <c r="H29" s="517">
        <f>ROUND('Capital Costs_Nominal$'!I59*'Additional Estimates'!$C$6*'Additional Estimates'!$C$7,-3)</f>
        <v>34000</v>
      </c>
      <c r="I29" s="517">
        <f>ROUND('Capital Costs_Nominal$'!J59*'Additional Estimates'!$C$6*'Additional Estimates'!$C$7,-3)</f>
        <v>34000</v>
      </c>
      <c r="J29" s="517">
        <f>ROUND('Capital Costs_Nominal$'!K59*'Additional Estimates'!$C$6*'Additional Estimates'!$C$7,-3)</f>
        <v>35000</v>
      </c>
      <c r="K29" s="938">
        <f>ROUND('Capital Costs_Nominal$'!L59*'Additional Estimates'!$C$6*'Additional Estimates'!$C$7,-3)</f>
        <v>150000</v>
      </c>
      <c r="L29" s="517">
        <f>ROUND('Capital Costs_Nominal$'!M59*'Additional Estimates'!$C$6*'Additional Estimates'!$C$7,-3)</f>
        <v>137000</v>
      </c>
      <c r="M29" s="517">
        <f>ROUND('Capital Costs_Nominal$'!N59*'Additional Estimates'!$C$6*'Additional Estimates'!$C$7,-3)</f>
        <v>140000</v>
      </c>
      <c r="N29" s="517">
        <f>ROUND('Capital Costs_Nominal$'!O59*'Additional Estimates'!$C$6*'Additional Estimates'!$C$7,-3)</f>
        <v>145000</v>
      </c>
      <c r="O29" s="964"/>
    </row>
    <row r="30" spans="1:75" s="521" customFormat="1">
      <c r="B30" s="511" t="s">
        <v>618</v>
      </c>
      <c r="C30" s="511"/>
      <c r="D30" s="511"/>
      <c r="E30" s="511"/>
      <c r="F30" s="511"/>
      <c r="G30" s="985">
        <f ca="1">SUM(G21:G29)</f>
        <v>9496095.7959905304</v>
      </c>
      <c r="H30" s="985">
        <f t="shared" ref="H30:N30" ca="1" si="1">SUM(H21:H29)</f>
        <v>14360195.864012841</v>
      </c>
      <c r="I30" s="985">
        <f t="shared" ca="1" si="1"/>
        <v>13533984.772797257</v>
      </c>
      <c r="J30" s="985">
        <f t="shared" ca="1" si="1"/>
        <v>10943505.30739658</v>
      </c>
      <c r="K30" s="986">
        <f ca="1">SUM(K21:K29)</f>
        <v>36826367.326893419</v>
      </c>
      <c r="L30" s="985">
        <f t="shared" ca="1" si="1"/>
        <v>52643680.580230661</v>
      </c>
      <c r="M30" s="985">
        <f t="shared" ca="1" si="1"/>
        <v>46754459.230156079</v>
      </c>
      <c r="N30" s="985">
        <f t="shared" ca="1" si="1"/>
        <v>38778339.542564631</v>
      </c>
      <c r="O30" s="965"/>
    </row>
    <row r="31" spans="1:75" s="521" customFormat="1">
      <c r="B31" s="511" t="s">
        <v>619</v>
      </c>
      <c r="C31" s="511"/>
      <c r="D31" s="511"/>
      <c r="E31" s="511"/>
      <c r="F31" s="511"/>
      <c r="G31" s="977">
        <f ca="1">G30/('Cost Assumptions'!D$13*1000)</f>
        <v>26.334956962055223</v>
      </c>
      <c r="H31" s="977">
        <f ca="1">H30/('Cost Assumptions'!E$13*1000)</f>
        <v>39.577430875522523</v>
      </c>
      <c r="I31" s="977">
        <f ca="1">I30/('Cost Assumptions'!F$13*1000)</f>
        <v>38.347830494117076</v>
      </c>
      <c r="J31" s="977">
        <f ca="1">J30/('Cost Assumptions'!G$13*1000)</f>
        <v>31.272519024394409</v>
      </c>
      <c r="K31" s="978">
        <f ca="1">K30/('Cost Assumptions'!H$17*1000)</f>
        <v>31.455901298244189</v>
      </c>
      <c r="L31" s="977">
        <f ca="1">L30/('Cost Assumptions'!I$17*1000)</f>
        <v>44.854361815989549</v>
      </c>
      <c r="M31" s="977">
        <f ca="1">M30/('Cost Assumptions'!J$17*1000)</f>
        <v>40.865924679402283</v>
      </c>
      <c r="N31" s="977">
        <f ca="1">N30/('Cost Assumptions'!K$17*1000)</f>
        <v>34.213444873731831</v>
      </c>
      <c r="O31" s="965"/>
    </row>
    <row r="32" spans="1:75" ht="6" customHeight="1">
      <c r="B32" s="522"/>
      <c r="C32" s="522"/>
      <c r="D32" s="522"/>
      <c r="E32" s="522"/>
      <c r="F32" s="522"/>
      <c r="G32" s="523"/>
      <c r="H32" s="523"/>
      <c r="I32" s="523"/>
      <c r="J32" s="523"/>
      <c r="K32" s="939"/>
      <c r="L32" s="524"/>
      <c r="M32" s="524"/>
      <c r="N32" s="524"/>
      <c r="O32" s="964"/>
    </row>
    <row r="33" spans="2:15" ht="6" customHeight="1">
      <c r="B33" s="518"/>
      <c r="C33" s="518"/>
      <c r="D33" s="518"/>
      <c r="E33" s="518"/>
      <c r="F33" s="518"/>
      <c r="G33" s="525"/>
      <c r="H33" s="525"/>
      <c r="I33" s="525"/>
      <c r="J33" s="525"/>
      <c r="K33" s="669"/>
      <c r="L33" s="526"/>
      <c r="M33" s="526"/>
      <c r="N33" s="526"/>
      <c r="O33" s="964"/>
    </row>
    <row r="34" spans="2:15">
      <c r="B34" s="511" t="s">
        <v>620</v>
      </c>
      <c r="C34" s="511"/>
      <c r="D34" s="511"/>
      <c r="E34" s="511"/>
      <c r="F34" s="511"/>
      <c r="G34" s="970"/>
      <c r="H34" s="970"/>
      <c r="I34" s="970"/>
      <c r="J34" s="970"/>
      <c r="K34" s="669"/>
      <c r="L34" s="526"/>
      <c r="M34" s="526"/>
      <c r="N34" s="526"/>
      <c r="O34" s="964"/>
    </row>
    <row r="35" spans="2:15">
      <c r="B35" s="518" t="s">
        <v>160</v>
      </c>
      <c r="C35" s="511"/>
      <c r="D35" s="971">
        <f>'Capital Costs_Nominal$'!$E$32+CONE_Calculations!Inflation</f>
        <v>2.9115258555406198E-2</v>
      </c>
      <c r="E35" s="511"/>
      <c r="F35" s="511"/>
      <c r="G35" s="972">
        <f>('O&amp;M Costs'!D$23+'O&amp;M Costs'!D$24)*(1+$D35)^('O&amp;M Costs_2026$'!$B$1-'O&amp;M Costs'!$I$1)</f>
        <v>0</v>
      </c>
      <c r="H35" s="972">
        <f>('O&amp;M Costs'!E$23+'O&amp;M Costs'!E$24)*(1+$D35)^('O&amp;M Costs_2026$'!$B$1-'O&amp;M Costs'!$I$1)</f>
        <v>0</v>
      </c>
      <c r="I35" s="972">
        <f>('O&amp;M Costs'!F$23+'O&amp;M Costs'!F$24)*(1+$D35)^('O&amp;M Costs_2026$'!$B$1-'O&amp;M Costs'!$I$1)</f>
        <v>0</v>
      </c>
      <c r="J35" s="972">
        <f>('O&amp;M Costs'!G$23+'O&amp;M Costs'!G$24)*(1+$D35)^('O&amp;M Costs_2026$'!$B$1-'O&amp;M Costs'!$I$1)</f>
        <v>0</v>
      </c>
      <c r="K35" s="973">
        <f>IF($B$9=$B$2,0,'O&amp;M Costs'!H$23+'O&amp;M Costs'!H$24)*(1+$D35)^('O&amp;M Costs_2026$'!$B$1-'O&amp;M Costs'!$I$1)</f>
        <v>1.3231697196307535</v>
      </c>
      <c r="L35" s="972">
        <f>IF($B$9=$B$2,0,'O&amp;M Costs'!I$23+'O&amp;M Costs'!I$24)*(1+$D35)^('O&amp;M Costs_2026$'!$B$1-'O&amp;M Costs'!$I$1)</f>
        <v>1.3188643485496692</v>
      </c>
      <c r="M35" s="972">
        <f>IF($B$9=$B$2,0,'O&amp;M Costs'!J$23+'O&amp;M Costs'!J$24)*(1+$D35)^('O&amp;M Costs_2026$'!$B$1-'O&amp;M Costs'!$I$1)</f>
        <v>1.3529357056011515</v>
      </c>
      <c r="N35" s="972">
        <f>IF($B$9=$B$2,0,'O&amp;M Costs'!K$23+'O&amp;M Costs'!K$24)*(1+$D35)^('O&amp;M Costs_2026$'!$B$1-'O&amp;M Costs'!$I$1)</f>
        <v>1.3654189780728085</v>
      </c>
      <c r="O35" s="964"/>
    </row>
    <row r="36" spans="2:15">
      <c r="B36" s="518" t="s">
        <v>294</v>
      </c>
      <c r="C36" s="518"/>
      <c r="D36" s="971">
        <f>'Capital Costs_Nominal$'!$E$32+CONE_Calculations!Inflation</f>
        <v>2.9115258555406198E-2</v>
      </c>
      <c r="E36" s="974"/>
      <c r="F36" s="518"/>
      <c r="G36" s="972">
        <f>'O&amp;M Costs'!D$25*(1+'O&amp;M Costs_2026$'!$D36)^('O&amp;M Costs_2026$'!$B$1-'O&amp;M Costs'!$I$1)</f>
        <v>1.1894348829875212</v>
      </c>
      <c r="H36" s="972">
        <f>'O&amp;M Costs'!E$25*(1+'O&amp;M Costs_2026$'!$D36)^('O&amp;M Costs_2026$'!$B$1-'O&amp;M Costs'!$I$1)</f>
        <v>1.1839984823701615</v>
      </c>
      <c r="I36" s="972">
        <f>'O&amp;M Costs'!F$25*(1+'O&amp;M Costs_2026$'!$D36)^('O&amp;M Costs_2026$'!$B$1-'O&amp;M Costs'!$I$1)</f>
        <v>1.1460032102982811</v>
      </c>
      <c r="J36" s="972">
        <f>'O&amp;M Costs'!G$25*(1+'O&amp;M Costs_2026$'!$D36)^('O&amp;M Costs_2026$'!$B$1-'O&amp;M Costs'!$I$1)</f>
        <v>1.2161249707375184</v>
      </c>
      <c r="K36" s="973">
        <f>'O&amp;M Costs'!H$25*(1+'O&amp;M Costs_2026$'!$D36)^('O&amp;M Costs_2026$'!$B$1-'O&amp;M Costs'!$I$1)</f>
        <v>0.75679138915946687</v>
      </c>
      <c r="L36" s="972">
        <f>'O&amp;M Costs'!I$25*(1+'O&amp;M Costs_2026$'!$D36)^('O&amp;M Costs_2026$'!$B$1-'O&amp;M Costs'!$I$1)</f>
        <v>0.75534529694877151</v>
      </c>
      <c r="M36" s="972">
        <f>'O&amp;M Costs'!J$25*(1+'O&amp;M Costs_2026$'!$D36)^('O&amp;M Costs_2026$'!$B$1-'O&amp;M Costs'!$I$1)</f>
        <v>0.76678921737096961</v>
      </c>
      <c r="N36" s="972">
        <f>'O&amp;M Costs'!K$25*(1+'O&amp;M Costs_2026$'!$D36)^('O&amp;M Costs_2026$'!$B$1-'O&amp;M Costs'!$I$1)</f>
        <v>0.77098211102526104</v>
      </c>
      <c r="O36" s="964"/>
    </row>
    <row r="37" spans="2:15" s="521" customFormat="1">
      <c r="B37" s="975" t="s">
        <v>621</v>
      </c>
      <c r="C37" s="976"/>
      <c r="D37" s="976"/>
      <c r="E37" s="976"/>
      <c r="F37" s="976"/>
      <c r="G37" s="977">
        <f>SUM(G35:G36)</f>
        <v>1.1894348829875212</v>
      </c>
      <c r="H37" s="977">
        <f t="shared" ref="H37:N37" si="2">SUM(H35:H36)</f>
        <v>1.1839984823701615</v>
      </c>
      <c r="I37" s="977">
        <f t="shared" si="2"/>
        <v>1.1460032102982811</v>
      </c>
      <c r="J37" s="977">
        <f t="shared" si="2"/>
        <v>1.2161249707375184</v>
      </c>
      <c r="K37" s="978">
        <f>SUM(K35:K36)</f>
        <v>2.0799611087902203</v>
      </c>
      <c r="L37" s="977">
        <f>SUM(L35:L36)</f>
        <v>2.0742096454984407</v>
      </c>
      <c r="M37" s="977">
        <f t="shared" si="2"/>
        <v>2.1197249229721211</v>
      </c>
      <c r="N37" s="977">
        <f t="shared" si="2"/>
        <v>2.1364010890980696</v>
      </c>
      <c r="O37" s="965"/>
    </row>
    <row r="38" spans="2:15" ht="30">
      <c r="B38" s="979" t="s">
        <v>161</v>
      </c>
      <c r="C38" s="979"/>
      <c r="D38" s="971">
        <f>'Capital Costs_Nominal$'!$E$32+CONE_Calculations!Inflation</f>
        <v>2.9115258555406198E-2</v>
      </c>
      <c r="E38" s="979"/>
      <c r="F38" s="979"/>
      <c r="G38" s="980">
        <f>'O&amp;M Costs'!D27*(1+'O&amp;M Costs_2026$'!$D38)^('O&amp;M Costs_2026$'!$B$1-'O&amp;M Costs'!$I$1)</f>
        <v>21169.929839927776</v>
      </c>
      <c r="H38" s="980">
        <f>'O&amp;M Costs'!E27*(1+'O&amp;M Costs_2026$'!$D38)^('O&amp;M Costs_2026$'!$B$1-'O&amp;M Costs'!$I$1)</f>
        <v>21169.929839927776</v>
      </c>
      <c r="I38" s="980">
        <f>'O&amp;M Costs'!F27*(1+'O&amp;M Costs_2026$'!$D38)^('O&amp;M Costs_2026$'!$B$1-'O&amp;M Costs'!$I$1)</f>
        <v>21169.929839927776</v>
      </c>
      <c r="J38" s="980">
        <f>'O&amp;M Costs'!G27*(1+'O&amp;M Costs_2026$'!$D38)^('O&amp;M Costs_2026$'!$B$1-'O&amp;M Costs'!$I$1)</f>
        <v>21169.929839927776</v>
      </c>
      <c r="K38" s="981">
        <f>'O&amp;M Costs'!H27</f>
        <v>0</v>
      </c>
      <c r="L38" s="980">
        <f>'O&amp;M Costs'!I27</f>
        <v>0</v>
      </c>
      <c r="M38" s="980">
        <f>'O&amp;M Costs'!J27</f>
        <v>0</v>
      </c>
      <c r="N38" s="980">
        <f>'O&amp;M Costs'!K27</f>
        <v>0</v>
      </c>
      <c r="O38" s="964"/>
    </row>
    <row r="39" spans="2:15" ht="6" customHeight="1" thickBot="1">
      <c r="B39" s="527"/>
      <c r="C39" s="527"/>
      <c r="D39" s="527"/>
      <c r="E39" s="527"/>
      <c r="F39" s="527"/>
      <c r="G39" s="528"/>
      <c r="H39" s="528"/>
      <c r="I39" s="528"/>
      <c r="J39" s="528"/>
      <c r="K39" s="681"/>
      <c r="L39" s="529"/>
      <c r="M39" s="529"/>
      <c r="N39" s="529"/>
      <c r="O39" s="964"/>
    </row>
    <row r="40" spans="2:15" ht="6" customHeight="1" thickTop="1">
      <c r="B40" s="508"/>
      <c r="C40" s="508"/>
      <c r="D40" s="508"/>
      <c r="E40" s="508"/>
      <c r="F40" s="508"/>
      <c r="G40" s="510"/>
      <c r="H40" s="510"/>
      <c r="I40" s="510"/>
      <c r="J40" s="510"/>
      <c r="K40" s="530"/>
      <c r="L40" s="530"/>
      <c r="M40" s="530"/>
      <c r="N40" s="530"/>
    </row>
    <row r="41" spans="2:15">
      <c r="B41" s="531"/>
      <c r="C41" s="531"/>
      <c r="D41" s="531"/>
      <c r="E41" s="531"/>
      <c r="F41" s="531"/>
      <c r="G41" s="941"/>
      <c r="H41" s="510"/>
      <c r="I41" s="510"/>
      <c r="J41" s="510"/>
      <c r="K41" s="530"/>
      <c r="L41" s="530"/>
      <c r="M41" s="530"/>
      <c r="N41" s="530"/>
    </row>
    <row r="42" spans="2:15">
      <c r="B42" s="532"/>
      <c r="C42" s="532"/>
      <c r="D42" s="532"/>
      <c r="E42" s="532"/>
      <c r="F42" s="532"/>
      <c r="G42" s="942"/>
      <c r="H42" s="942"/>
      <c r="I42" s="942"/>
      <c r="J42" s="942"/>
      <c r="K42" s="1013"/>
      <c r="L42" s="1013"/>
      <c r="M42" s="1013"/>
      <c r="N42" s="1013"/>
    </row>
    <row r="43" spans="2:15">
      <c r="G43" s="943"/>
      <c r="H43" s="943"/>
      <c r="I43" s="943"/>
      <c r="J43" s="943"/>
      <c r="L43" s="495"/>
      <c r="M43" s="495"/>
      <c r="N43" s="495"/>
    </row>
    <row r="44" spans="2:15">
      <c r="B44" s="511"/>
      <c r="G44" s="1014"/>
      <c r="K44" s="1712"/>
      <c r="L44" s="1712"/>
      <c r="M44" s="1712"/>
      <c r="N44" s="1712"/>
    </row>
    <row r="45" spans="2:15">
      <c r="B45" s="533"/>
      <c r="K45" s="495"/>
      <c r="L45" s="495"/>
      <c r="M45" s="495"/>
      <c r="N45" s="495"/>
    </row>
    <row r="46" spans="2:15">
      <c r="B46" s="533"/>
      <c r="G46" s="1014"/>
      <c r="K46" s="1015"/>
      <c r="L46" s="495"/>
      <c r="M46" s="495"/>
      <c r="N46" s="495"/>
    </row>
    <row r="47" spans="2:15">
      <c r="K47" s="495"/>
      <c r="L47" s="495"/>
      <c r="M47" s="495"/>
      <c r="N47" s="495"/>
    </row>
    <row r="48" spans="2:15">
      <c r="K48" s="495"/>
      <c r="L48" s="495"/>
      <c r="M48" s="495"/>
      <c r="N48" s="495"/>
    </row>
    <row r="49" spans="2:75">
      <c r="K49" s="495"/>
      <c r="L49" s="495"/>
      <c r="M49" s="495"/>
      <c r="N49" s="495"/>
    </row>
    <row r="50" spans="2:75">
      <c r="K50" s="495"/>
      <c r="L50" s="495"/>
      <c r="M50" s="495"/>
      <c r="N50" s="495"/>
    </row>
    <row r="51" spans="2:75" s="493" customFormat="1">
      <c r="B51" s="494"/>
      <c r="C51" s="494"/>
      <c r="D51" s="494"/>
      <c r="E51" s="494"/>
      <c r="F51" s="494"/>
      <c r="K51" s="495"/>
      <c r="L51" s="495"/>
      <c r="M51" s="495"/>
      <c r="N51" s="495"/>
      <c r="O51" s="494"/>
      <c r="P51" s="494"/>
      <c r="Q51" s="494"/>
      <c r="R51" s="494"/>
      <c r="S51" s="494"/>
      <c r="T51" s="494"/>
      <c r="U51" s="494"/>
      <c r="V51" s="494"/>
      <c r="W51" s="494"/>
      <c r="X51" s="494"/>
      <c r="Y51" s="494"/>
      <c r="Z51" s="494"/>
      <c r="AA51" s="494"/>
      <c r="AB51" s="494"/>
      <c r="AC51" s="494"/>
      <c r="AD51" s="494"/>
      <c r="AE51" s="494"/>
      <c r="AF51" s="494"/>
      <c r="AG51" s="494"/>
      <c r="AH51" s="494"/>
      <c r="AI51" s="494"/>
      <c r="AJ51" s="494"/>
      <c r="AK51" s="494"/>
      <c r="AL51" s="494"/>
      <c r="AM51" s="494"/>
      <c r="AN51" s="494"/>
      <c r="AO51" s="494"/>
      <c r="AP51" s="494"/>
      <c r="AQ51" s="494"/>
      <c r="AR51" s="494"/>
      <c r="AS51" s="494"/>
      <c r="AT51" s="494"/>
      <c r="AU51" s="494"/>
      <c r="AV51" s="494"/>
      <c r="AW51" s="494"/>
      <c r="AX51" s="494"/>
      <c r="AY51" s="494"/>
      <c r="AZ51" s="494"/>
      <c r="BA51" s="494"/>
      <c r="BB51" s="494"/>
      <c r="BC51" s="494"/>
      <c r="BD51" s="494"/>
      <c r="BE51" s="494"/>
      <c r="BF51" s="494"/>
      <c r="BG51" s="494"/>
      <c r="BH51" s="494"/>
      <c r="BI51" s="494"/>
      <c r="BJ51" s="494"/>
      <c r="BK51" s="494"/>
      <c r="BL51" s="494"/>
      <c r="BM51" s="494"/>
      <c r="BN51" s="494"/>
      <c r="BO51" s="494"/>
      <c r="BP51" s="494"/>
      <c r="BQ51" s="494"/>
      <c r="BR51" s="494"/>
      <c r="BS51" s="494"/>
      <c r="BT51" s="494"/>
      <c r="BU51" s="494"/>
      <c r="BV51" s="494"/>
      <c r="BW51" s="494"/>
    </row>
    <row r="52" spans="2:75" s="493" customFormat="1">
      <c r="B52" s="494"/>
      <c r="C52" s="494"/>
      <c r="D52" s="494"/>
      <c r="E52" s="494"/>
      <c r="F52" s="494"/>
      <c r="K52" s="495"/>
      <c r="L52" s="495"/>
      <c r="M52" s="495"/>
      <c r="N52" s="495"/>
      <c r="O52" s="494"/>
      <c r="P52" s="494"/>
      <c r="Q52" s="494"/>
      <c r="R52" s="494"/>
      <c r="S52" s="494"/>
      <c r="T52" s="494"/>
      <c r="U52" s="494"/>
      <c r="V52" s="494"/>
      <c r="W52" s="494"/>
      <c r="X52" s="494"/>
      <c r="Y52" s="494"/>
      <c r="Z52" s="494"/>
      <c r="AA52" s="494"/>
      <c r="AB52" s="494"/>
      <c r="AC52" s="494"/>
      <c r="AD52" s="494"/>
      <c r="AE52" s="494"/>
      <c r="AF52" s="494"/>
      <c r="AG52" s="494"/>
      <c r="AH52" s="494"/>
      <c r="AI52" s="494"/>
      <c r="AJ52" s="494"/>
      <c r="AK52" s="494"/>
      <c r="AL52" s="494"/>
      <c r="AM52" s="494"/>
      <c r="AN52" s="494"/>
      <c r="AO52" s="494"/>
      <c r="AP52" s="494"/>
      <c r="AQ52" s="494"/>
      <c r="AR52" s="494"/>
      <c r="AS52" s="494"/>
      <c r="AT52" s="494"/>
      <c r="AU52" s="494"/>
      <c r="AV52" s="494"/>
      <c r="AW52" s="494"/>
      <c r="AX52" s="494"/>
      <c r="AY52" s="494"/>
      <c r="AZ52" s="494"/>
      <c r="BA52" s="494"/>
      <c r="BB52" s="494"/>
      <c r="BC52" s="494"/>
      <c r="BD52" s="494"/>
      <c r="BE52" s="494"/>
      <c r="BF52" s="494"/>
      <c r="BG52" s="494"/>
      <c r="BH52" s="494"/>
      <c r="BI52" s="494"/>
      <c r="BJ52" s="494"/>
      <c r="BK52" s="494"/>
      <c r="BL52" s="494"/>
      <c r="BM52" s="494"/>
      <c r="BN52" s="494"/>
      <c r="BO52" s="494"/>
      <c r="BP52" s="494"/>
      <c r="BQ52" s="494"/>
      <c r="BR52" s="494"/>
      <c r="BS52" s="494"/>
      <c r="BT52" s="494"/>
      <c r="BU52" s="494"/>
      <c r="BV52" s="494"/>
      <c r="BW52" s="494"/>
    </row>
    <row r="53" spans="2:75" s="493" customFormat="1">
      <c r="B53" s="494"/>
      <c r="C53" s="494"/>
      <c r="D53" s="494"/>
      <c r="E53" s="494"/>
      <c r="F53" s="494"/>
      <c r="K53" s="495"/>
      <c r="L53" s="495"/>
      <c r="M53" s="495"/>
      <c r="N53" s="495"/>
      <c r="O53" s="494"/>
      <c r="P53" s="494"/>
      <c r="Q53" s="494"/>
      <c r="R53" s="494"/>
      <c r="S53" s="494"/>
      <c r="T53" s="494"/>
      <c r="U53" s="494"/>
      <c r="V53" s="494"/>
      <c r="W53" s="494"/>
      <c r="X53" s="494"/>
      <c r="Y53" s="494"/>
      <c r="Z53" s="494"/>
      <c r="AA53" s="494"/>
      <c r="AB53" s="494"/>
      <c r="AC53" s="494"/>
      <c r="AD53" s="494"/>
      <c r="AE53" s="494"/>
      <c r="AF53" s="494"/>
      <c r="AG53" s="494"/>
      <c r="AH53" s="494"/>
      <c r="AI53" s="494"/>
      <c r="AJ53" s="494"/>
      <c r="AK53" s="494"/>
      <c r="AL53" s="494"/>
      <c r="AM53" s="494"/>
      <c r="AN53" s="494"/>
      <c r="AO53" s="494"/>
      <c r="AP53" s="494"/>
      <c r="AQ53" s="494"/>
      <c r="AR53" s="494"/>
      <c r="AS53" s="494"/>
      <c r="AT53" s="494"/>
      <c r="AU53" s="494"/>
      <c r="AV53" s="494"/>
      <c r="AW53" s="494"/>
      <c r="AX53" s="494"/>
      <c r="AY53" s="494"/>
      <c r="AZ53" s="494"/>
      <c r="BA53" s="494"/>
      <c r="BB53" s="494"/>
      <c r="BC53" s="494"/>
      <c r="BD53" s="494"/>
      <c r="BE53" s="494"/>
      <c r="BF53" s="494"/>
      <c r="BG53" s="494"/>
      <c r="BH53" s="494"/>
      <c r="BI53" s="494"/>
      <c r="BJ53" s="494"/>
      <c r="BK53" s="494"/>
      <c r="BL53" s="494"/>
      <c r="BM53" s="494"/>
      <c r="BN53" s="494"/>
      <c r="BO53" s="494"/>
      <c r="BP53" s="494"/>
      <c r="BQ53" s="494"/>
      <c r="BR53" s="494"/>
      <c r="BS53" s="494"/>
      <c r="BT53" s="494"/>
      <c r="BU53" s="494"/>
      <c r="BV53" s="494"/>
      <c r="BW53" s="494"/>
    </row>
    <row r="54" spans="2:75" s="493" customFormat="1">
      <c r="B54" s="494"/>
      <c r="C54" s="494"/>
      <c r="D54" s="494"/>
      <c r="E54" s="494"/>
      <c r="F54" s="494"/>
      <c r="K54" s="495"/>
      <c r="L54" s="495"/>
      <c r="M54" s="495"/>
      <c r="N54" s="495"/>
      <c r="O54" s="494"/>
      <c r="P54" s="494"/>
      <c r="Q54" s="494"/>
      <c r="R54" s="494"/>
      <c r="S54" s="494"/>
      <c r="T54" s="494"/>
      <c r="U54" s="494"/>
      <c r="V54" s="494"/>
      <c r="W54" s="494"/>
      <c r="X54" s="494"/>
      <c r="Y54" s="494"/>
      <c r="Z54" s="494"/>
      <c r="AA54" s="494"/>
      <c r="AB54" s="494"/>
      <c r="AC54" s="494"/>
      <c r="AD54" s="494"/>
      <c r="AE54" s="494"/>
      <c r="AF54" s="494"/>
      <c r="AG54" s="494"/>
      <c r="AH54" s="494"/>
      <c r="AI54" s="494"/>
      <c r="AJ54" s="494"/>
      <c r="AK54" s="494"/>
      <c r="AL54" s="494"/>
      <c r="AM54" s="494"/>
      <c r="AN54" s="494"/>
      <c r="AO54" s="494"/>
      <c r="AP54" s="494"/>
      <c r="AQ54" s="494"/>
      <c r="AR54" s="494"/>
      <c r="AS54" s="494"/>
      <c r="AT54" s="494"/>
      <c r="AU54" s="494"/>
      <c r="AV54" s="494"/>
      <c r="AW54" s="494"/>
      <c r="AX54" s="494"/>
      <c r="AY54" s="494"/>
      <c r="AZ54" s="494"/>
      <c r="BA54" s="494"/>
      <c r="BB54" s="494"/>
      <c r="BC54" s="494"/>
      <c r="BD54" s="494"/>
      <c r="BE54" s="494"/>
      <c r="BF54" s="494"/>
      <c r="BG54" s="494"/>
      <c r="BH54" s="494"/>
      <c r="BI54" s="494"/>
      <c r="BJ54" s="494"/>
      <c r="BK54" s="494"/>
      <c r="BL54" s="494"/>
      <c r="BM54" s="494"/>
      <c r="BN54" s="494"/>
      <c r="BO54" s="494"/>
      <c r="BP54" s="494"/>
      <c r="BQ54" s="494"/>
      <c r="BR54" s="494"/>
      <c r="BS54" s="494"/>
      <c r="BT54" s="494"/>
      <c r="BU54" s="494"/>
      <c r="BV54" s="494"/>
      <c r="BW54" s="494"/>
    </row>
    <row r="55" spans="2:75" s="493" customFormat="1">
      <c r="B55" s="494"/>
      <c r="C55" s="494"/>
      <c r="D55" s="494"/>
      <c r="E55" s="494"/>
      <c r="F55" s="494"/>
      <c r="K55" s="495"/>
      <c r="L55" s="495"/>
      <c r="M55" s="495"/>
      <c r="N55" s="495"/>
      <c r="O55" s="494"/>
      <c r="P55" s="494"/>
      <c r="Q55" s="494"/>
      <c r="R55" s="494"/>
      <c r="S55" s="494"/>
      <c r="T55" s="494"/>
      <c r="U55" s="494"/>
      <c r="V55" s="494"/>
      <c r="W55" s="494"/>
      <c r="X55" s="494"/>
      <c r="Y55" s="494"/>
      <c r="Z55" s="494"/>
      <c r="AA55" s="494"/>
      <c r="AB55" s="494"/>
      <c r="AC55" s="494"/>
      <c r="AD55" s="494"/>
      <c r="AE55" s="494"/>
      <c r="AF55" s="494"/>
      <c r="AG55" s="494"/>
      <c r="AH55" s="494"/>
      <c r="AI55" s="494"/>
      <c r="AJ55" s="494"/>
      <c r="AK55" s="494"/>
      <c r="AL55" s="494"/>
      <c r="AM55" s="494"/>
      <c r="AN55" s="494"/>
      <c r="AO55" s="494"/>
      <c r="AP55" s="494"/>
      <c r="AQ55" s="494"/>
      <c r="AR55" s="494"/>
      <c r="AS55" s="494"/>
      <c r="AT55" s="494"/>
      <c r="AU55" s="494"/>
      <c r="AV55" s="494"/>
      <c r="AW55" s="494"/>
      <c r="AX55" s="494"/>
      <c r="AY55" s="494"/>
      <c r="AZ55" s="494"/>
      <c r="BA55" s="494"/>
      <c r="BB55" s="494"/>
      <c r="BC55" s="494"/>
      <c r="BD55" s="494"/>
      <c r="BE55" s="494"/>
      <c r="BF55" s="494"/>
      <c r="BG55" s="494"/>
      <c r="BH55" s="494"/>
      <c r="BI55" s="494"/>
      <c r="BJ55" s="494"/>
      <c r="BK55" s="494"/>
      <c r="BL55" s="494"/>
      <c r="BM55" s="494"/>
      <c r="BN55" s="494"/>
      <c r="BO55" s="494"/>
      <c r="BP55" s="494"/>
      <c r="BQ55" s="494"/>
      <c r="BR55" s="494"/>
      <c r="BS55" s="494"/>
      <c r="BT55" s="494"/>
      <c r="BU55" s="494"/>
      <c r="BV55" s="494"/>
      <c r="BW55" s="494"/>
    </row>
    <row r="56" spans="2:75" s="493" customFormat="1">
      <c r="B56" s="494"/>
      <c r="C56" s="494"/>
      <c r="D56" s="494"/>
      <c r="E56" s="494"/>
      <c r="F56" s="494"/>
      <c r="K56" s="495"/>
      <c r="L56" s="495"/>
      <c r="M56" s="495"/>
      <c r="N56" s="495"/>
      <c r="O56" s="494"/>
      <c r="P56" s="494"/>
      <c r="Q56" s="494"/>
      <c r="R56" s="494"/>
      <c r="S56" s="494"/>
      <c r="T56" s="494"/>
      <c r="U56" s="494"/>
      <c r="V56" s="494"/>
      <c r="W56" s="494"/>
      <c r="X56" s="494"/>
      <c r="Y56" s="494"/>
      <c r="Z56" s="494"/>
      <c r="AA56" s="494"/>
      <c r="AB56" s="494"/>
      <c r="AC56" s="494"/>
      <c r="AD56" s="494"/>
      <c r="AE56" s="494"/>
      <c r="AF56" s="494"/>
      <c r="AG56" s="494"/>
      <c r="AH56" s="494"/>
      <c r="AI56" s="494"/>
      <c r="AJ56" s="494"/>
      <c r="AK56" s="494"/>
      <c r="AL56" s="494"/>
      <c r="AM56" s="494"/>
      <c r="AN56" s="494"/>
      <c r="AO56" s="494"/>
      <c r="AP56" s="494"/>
      <c r="AQ56" s="494"/>
      <c r="AR56" s="494"/>
      <c r="AS56" s="494"/>
      <c r="AT56" s="494"/>
      <c r="AU56" s="494"/>
      <c r="AV56" s="494"/>
      <c r="AW56" s="494"/>
      <c r="AX56" s="494"/>
      <c r="AY56" s="494"/>
      <c r="AZ56" s="494"/>
      <c r="BA56" s="494"/>
      <c r="BB56" s="494"/>
      <c r="BC56" s="494"/>
      <c r="BD56" s="494"/>
      <c r="BE56" s="494"/>
      <c r="BF56" s="494"/>
      <c r="BG56" s="494"/>
      <c r="BH56" s="494"/>
      <c r="BI56" s="494"/>
      <c r="BJ56" s="494"/>
      <c r="BK56" s="494"/>
      <c r="BL56" s="494"/>
      <c r="BM56" s="494"/>
      <c r="BN56" s="494"/>
      <c r="BO56" s="494"/>
      <c r="BP56" s="494"/>
      <c r="BQ56" s="494"/>
      <c r="BR56" s="494"/>
      <c r="BS56" s="494"/>
      <c r="BT56" s="494"/>
      <c r="BU56" s="494"/>
      <c r="BV56" s="494"/>
      <c r="BW56" s="494"/>
    </row>
    <row r="57" spans="2:75" s="493" customFormat="1">
      <c r="B57" s="494"/>
      <c r="C57" s="494"/>
      <c r="D57" s="494"/>
      <c r="E57" s="494"/>
      <c r="F57" s="494"/>
      <c r="K57" s="495"/>
      <c r="L57" s="495"/>
      <c r="M57" s="495"/>
      <c r="N57" s="495"/>
      <c r="O57" s="494"/>
      <c r="P57" s="494"/>
      <c r="Q57" s="494"/>
      <c r="R57" s="494"/>
      <c r="S57" s="494"/>
      <c r="T57" s="494"/>
      <c r="U57" s="494"/>
      <c r="V57" s="494"/>
      <c r="W57" s="494"/>
      <c r="X57" s="494"/>
      <c r="Y57" s="494"/>
      <c r="Z57" s="494"/>
      <c r="AA57" s="494"/>
      <c r="AB57" s="494"/>
      <c r="AC57" s="494"/>
      <c r="AD57" s="494"/>
      <c r="AE57" s="494"/>
      <c r="AF57" s="494"/>
      <c r="AG57" s="494"/>
      <c r="AH57" s="494"/>
      <c r="AI57" s="494"/>
      <c r="AJ57" s="494"/>
      <c r="AK57" s="494"/>
      <c r="AL57" s="494"/>
      <c r="AM57" s="494"/>
      <c r="AN57" s="494"/>
      <c r="AO57" s="494"/>
      <c r="AP57" s="494"/>
      <c r="AQ57" s="494"/>
      <c r="AR57" s="494"/>
      <c r="AS57" s="494"/>
      <c r="AT57" s="494"/>
      <c r="AU57" s="494"/>
      <c r="AV57" s="494"/>
      <c r="AW57" s="494"/>
      <c r="AX57" s="494"/>
      <c r="AY57" s="494"/>
      <c r="AZ57" s="494"/>
      <c r="BA57" s="494"/>
      <c r="BB57" s="494"/>
      <c r="BC57" s="494"/>
      <c r="BD57" s="494"/>
      <c r="BE57" s="494"/>
      <c r="BF57" s="494"/>
      <c r="BG57" s="494"/>
      <c r="BH57" s="494"/>
      <c r="BI57" s="494"/>
      <c r="BJ57" s="494"/>
      <c r="BK57" s="494"/>
      <c r="BL57" s="494"/>
      <c r="BM57" s="494"/>
      <c r="BN57" s="494"/>
      <c r="BO57" s="494"/>
      <c r="BP57" s="494"/>
      <c r="BQ57" s="494"/>
      <c r="BR57" s="494"/>
      <c r="BS57" s="494"/>
      <c r="BT57" s="494"/>
      <c r="BU57" s="494"/>
      <c r="BV57" s="494"/>
      <c r="BW57" s="494"/>
    </row>
    <row r="58" spans="2:75" s="493" customFormat="1">
      <c r="B58" s="494"/>
      <c r="C58" s="494"/>
      <c r="D58" s="494"/>
      <c r="E58" s="494"/>
      <c r="F58" s="494"/>
      <c r="K58" s="495"/>
      <c r="L58" s="495"/>
      <c r="N58" s="495"/>
      <c r="O58" s="494"/>
      <c r="P58" s="494"/>
      <c r="Q58" s="494"/>
      <c r="R58" s="494"/>
      <c r="S58" s="494"/>
      <c r="T58" s="494"/>
      <c r="U58" s="494"/>
      <c r="V58" s="494"/>
      <c r="W58" s="494"/>
      <c r="X58" s="494"/>
      <c r="Y58" s="494"/>
      <c r="Z58" s="494"/>
      <c r="AA58" s="494"/>
      <c r="AB58" s="494"/>
      <c r="AC58" s="494"/>
      <c r="AD58" s="494"/>
      <c r="AE58" s="494"/>
      <c r="AF58" s="494"/>
      <c r="AG58" s="494"/>
      <c r="AH58" s="494"/>
      <c r="AI58" s="494"/>
      <c r="AJ58" s="494"/>
      <c r="AK58" s="494"/>
      <c r="AL58" s="494"/>
      <c r="AM58" s="494"/>
      <c r="AN58" s="494"/>
      <c r="AO58" s="494"/>
      <c r="AP58" s="494"/>
      <c r="AQ58" s="494"/>
      <c r="AR58" s="494"/>
      <c r="AS58" s="494"/>
      <c r="AT58" s="494"/>
      <c r="AU58" s="494"/>
      <c r="AV58" s="494"/>
      <c r="AW58" s="494"/>
      <c r="AX58" s="494"/>
      <c r="AY58" s="494"/>
      <c r="AZ58" s="494"/>
      <c r="BA58" s="494"/>
      <c r="BB58" s="494"/>
      <c r="BC58" s="494"/>
      <c r="BD58" s="494"/>
      <c r="BE58" s="494"/>
      <c r="BF58" s="494"/>
      <c r="BG58" s="494"/>
      <c r="BH58" s="494"/>
      <c r="BI58" s="494"/>
      <c r="BJ58" s="494"/>
      <c r="BK58" s="494"/>
      <c r="BL58" s="494"/>
      <c r="BM58" s="494"/>
      <c r="BN58" s="494"/>
      <c r="BO58" s="494"/>
      <c r="BP58" s="494"/>
      <c r="BQ58" s="494"/>
      <c r="BR58" s="494"/>
      <c r="BS58" s="494"/>
      <c r="BT58" s="494"/>
      <c r="BU58" s="494"/>
      <c r="BV58" s="494"/>
      <c r="BW58" s="494"/>
    </row>
    <row r="59" spans="2:75" s="493" customFormat="1">
      <c r="B59" s="494"/>
      <c r="C59" s="494"/>
      <c r="D59" s="494"/>
      <c r="E59" s="494"/>
      <c r="F59" s="494"/>
      <c r="K59" s="495"/>
      <c r="L59" s="495"/>
      <c r="M59" s="495"/>
      <c r="N59" s="495"/>
      <c r="O59" s="494"/>
      <c r="P59" s="494"/>
      <c r="Q59" s="494"/>
      <c r="R59" s="494"/>
      <c r="S59" s="494"/>
      <c r="T59" s="494"/>
      <c r="U59" s="494"/>
      <c r="V59" s="494"/>
      <c r="W59" s="494"/>
      <c r="X59" s="494"/>
      <c r="Y59" s="494"/>
      <c r="Z59" s="494"/>
      <c r="AA59" s="494"/>
      <c r="AB59" s="494"/>
      <c r="AC59" s="494"/>
      <c r="AD59" s="494"/>
      <c r="AE59" s="494"/>
      <c r="AF59" s="494"/>
      <c r="AG59" s="494"/>
      <c r="AH59" s="494"/>
      <c r="AI59" s="494"/>
      <c r="AJ59" s="494"/>
      <c r="AK59" s="494"/>
      <c r="AL59" s="494"/>
      <c r="AM59" s="494"/>
      <c r="AN59" s="494"/>
      <c r="AO59" s="494"/>
      <c r="AP59" s="494"/>
      <c r="AQ59" s="494"/>
      <c r="AR59" s="494"/>
      <c r="AS59" s="494"/>
      <c r="AT59" s="494"/>
      <c r="AU59" s="494"/>
      <c r="AV59" s="494"/>
      <c r="AW59" s="494"/>
      <c r="AX59" s="494"/>
      <c r="AY59" s="494"/>
      <c r="AZ59" s="494"/>
      <c r="BA59" s="494"/>
      <c r="BB59" s="494"/>
      <c r="BC59" s="494"/>
      <c r="BD59" s="494"/>
      <c r="BE59" s="494"/>
      <c r="BF59" s="494"/>
      <c r="BG59" s="494"/>
      <c r="BH59" s="494"/>
      <c r="BI59" s="494"/>
      <c r="BJ59" s="494"/>
      <c r="BK59" s="494"/>
      <c r="BL59" s="494"/>
      <c r="BM59" s="494"/>
      <c r="BN59" s="494"/>
      <c r="BO59" s="494"/>
      <c r="BP59" s="494"/>
      <c r="BQ59" s="494"/>
      <c r="BR59" s="494"/>
      <c r="BS59" s="494"/>
      <c r="BT59" s="494"/>
      <c r="BU59" s="494"/>
      <c r="BV59" s="494"/>
      <c r="BW59" s="494"/>
    </row>
    <row r="60" spans="2:75" s="493" customFormat="1">
      <c r="B60" s="494"/>
      <c r="C60" s="494"/>
      <c r="D60" s="494"/>
      <c r="E60" s="494"/>
      <c r="F60" s="494"/>
      <c r="K60" s="495"/>
      <c r="L60" s="495"/>
      <c r="M60" s="495"/>
      <c r="N60" s="495"/>
      <c r="O60" s="494"/>
      <c r="P60" s="494"/>
      <c r="Q60" s="494"/>
      <c r="R60" s="494"/>
      <c r="S60" s="494"/>
      <c r="T60" s="494"/>
      <c r="U60" s="494"/>
      <c r="V60" s="494"/>
      <c r="W60" s="494"/>
      <c r="X60" s="494"/>
      <c r="Y60" s="494"/>
      <c r="Z60" s="494"/>
      <c r="AA60" s="494"/>
      <c r="AB60" s="494"/>
      <c r="AC60" s="494"/>
      <c r="AD60" s="494"/>
      <c r="AE60" s="494"/>
      <c r="AF60" s="494"/>
      <c r="AG60" s="494"/>
      <c r="AH60" s="494"/>
      <c r="AI60" s="494"/>
      <c r="AJ60" s="494"/>
      <c r="AK60" s="494"/>
      <c r="AL60" s="494"/>
      <c r="AM60" s="494"/>
      <c r="AN60" s="494"/>
      <c r="AO60" s="494"/>
      <c r="AP60" s="494"/>
      <c r="AQ60" s="494"/>
      <c r="AR60" s="494"/>
      <c r="AS60" s="494"/>
      <c r="AT60" s="494"/>
      <c r="AU60" s="494"/>
      <c r="AV60" s="494"/>
      <c r="AW60" s="494"/>
      <c r="AX60" s="494"/>
      <c r="AY60" s="494"/>
      <c r="AZ60" s="494"/>
      <c r="BA60" s="494"/>
      <c r="BB60" s="494"/>
      <c r="BC60" s="494"/>
      <c r="BD60" s="494"/>
      <c r="BE60" s="494"/>
      <c r="BF60" s="494"/>
      <c r="BG60" s="494"/>
      <c r="BH60" s="494"/>
      <c r="BI60" s="494"/>
      <c r="BJ60" s="494"/>
      <c r="BK60" s="494"/>
      <c r="BL60" s="494"/>
      <c r="BM60" s="494"/>
      <c r="BN60" s="494"/>
      <c r="BO60" s="494"/>
      <c r="BP60" s="494"/>
      <c r="BQ60" s="494"/>
      <c r="BR60" s="494"/>
      <c r="BS60" s="494"/>
      <c r="BT60" s="494"/>
      <c r="BU60" s="494"/>
      <c r="BV60" s="494"/>
      <c r="BW60" s="494"/>
    </row>
    <row r="61" spans="2:75" s="493" customFormat="1">
      <c r="B61" s="494"/>
      <c r="C61" s="494"/>
      <c r="D61" s="494"/>
      <c r="E61" s="494"/>
      <c r="F61" s="494"/>
      <c r="K61" s="495"/>
      <c r="L61" s="495"/>
      <c r="M61" s="495"/>
      <c r="N61" s="495"/>
      <c r="O61" s="494"/>
      <c r="P61" s="494"/>
      <c r="Q61" s="494"/>
      <c r="R61" s="494"/>
      <c r="S61" s="494"/>
      <c r="T61" s="494"/>
      <c r="U61" s="494"/>
      <c r="V61" s="494"/>
      <c r="W61" s="494"/>
      <c r="X61" s="494"/>
      <c r="Y61" s="494"/>
      <c r="Z61" s="494"/>
      <c r="AA61" s="494"/>
      <c r="AB61" s="494"/>
      <c r="AC61" s="494"/>
      <c r="AD61" s="494"/>
      <c r="AE61" s="494"/>
      <c r="AF61" s="494"/>
      <c r="AG61" s="494"/>
      <c r="AH61" s="494"/>
      <c r="AI61" s="494"/>
      <c r="AJ61" s="494"/>
      <c r="AK61" s="494"/>
      <c r="AL61" s="494"/>
      <c r="AM61" s="494"/>
      <c r="AN61" s="494"/>
      <c r="AO61" s="494"/>
      <c r="AP61" s="494"/>
      <c r="AQ61" s="494"/>
      <c r="AR61" s="494"/>
      <c r="AS61" s="494"/>
      <c r="AT61" s="494"/>
      <c r="AU61" s="494"/>
      <c r="AV61" s="494"/>
      <c r="AW61" s="494"/>
      <c r="AX61" s="494"/>
      <c r="AY61" s="494"/>
      <c r="AZ61" s="494"/>
      <c r="BA61" s="494"/>
      <c r="BB61" s="494"/>
      <c r="BC61" s="494"/>
      <c r="BD61" s="494"/>
      <c r="BE61" s="494"/>
      <c r="BF61" s="494"/>
      <c r="BG61" s="494"/>
      <c r="BH61" s="494"/>
      <c r="BI61" s="494"/>
      <c r="BJ61" s="494"/>
      <c r="BK61" s="494"/>
      <c r="BL61" s="494"/>
      <c r="BM61" s="494"/>
      <c r="BN61" s="494"/>
      <c r="BO61" s="494"/>
      <c r="BP61" s="494"/>
      <c r="BQ61" s="494"/>
      <c r="BR61" s="494"/>
      <c r="BS61" s="494"/>
      <c r="BT61" s="494"/>
      <c r="BU61" s="494"/>
      <c r="BV61" s="494"/>
      <c r="BW61" s="494"/>
    </row>
    <row r="62" spans="2:75" s="493" customFormat="1">
      <c r="B62" s="494"/>
      <c r="C62" s="494"/>
      <c r="D62" s="494"/>
      <c r="E62" s="494"/>
      <c r="F62" s="494"/>
      <c r="K62" s="495"/>
      <c r="L62" s="495"/>
      <c r="M62" s="495"/>
      <c r="N62" s="495"/>
      <c r="O62" s="494"/>
      <c r="P62" s="494"/>
      <c r="Q62" s="494"/>
      <c r="R62" s="494"/>
      <c r="S62" s="494"/>
      <c r="T62" s="494"/>
      <c r="U62" s="494"/>
      <c r="V62" s="494"/>
      <c r="W62" s="494"/>
      <c r="X62" s="494"/>
      <c r="Y62" s="494"/>
      <c r="Z62" s="494"/>
      <c r="AA62" s="494"/>
      <c r="AB62" s="494"/>
      <c r="AC62" s="494"/>
      <c r="AD62" s="494"/>
      <c r="AE62" s="494"/>
      <c r="AF62" s="494"/>
      <c r="AG62" s="494"/>
      <c r="AH62" s="494"/>
      <c r="AI62" s="494"/>
      <c r="AJ62" s="494"/>
      <c r="AK62" s="494"/>
      <c r="AL62" s="494"/>
      <c r="AM62" s="494"/>
      <c r="AN62" s="494"/>
      <c r="AO62" s="494"/>
      <c r="AP62" s="494"/>
      <c r="AQ62" s="494"/>
      <c r="AR62" s="494"/>
      <c r="AS62" s="494"/>
      <c r="AT62" s="494"/>
      <c r="AU62" s="494"/>
      <c r="AV62" s="494"/>
      <c r="AW62" s="494"/>
      <c r="AX62" s="494"/>
      <c r="AY62" s="494"/>
      <c r="AZ62" s="494"/>
      <c r="BA62" s="494"/>
      <c r="BB62" s="494"/>
      <c r="BC62" s="494"/>
      <c r="BD62" s="494"/>
      <c r="BE62" s="494"/>
      <c r="BF62" s="494"/>
      <c r="BG62" s="494"/>
      <c r="BH62" s="494"/>
      <c r="BI62" s="494"/>
      <c r="BJ62" s="494"/>
      <c r="BK62" s="494"/>
      <c r="BL62" s="494"/>
      <c r="BM62" s="494"/>
      <c r="BN62" s="494"/>
      <c r="BO62" s="494"/>
      <c r="BP62" s="494"/>
      <c r="BQ62" s="494"/>
      <c r="BR62" s="494"/>
      <c r="BS62" s="494"/>
      <c r="BT62" s="494"/>
      <c r="BU62" s="494"/>
      <c r="BV62" s="494"/>
      <c r="BW62" s="494"/>
    </row>
    <row r="63" spans="2:75" s="493" customFormat="1">
      <c r="B63" s="494"/>
      <c r="C63" s="494"/>
      <c r="D63" s="494"/>
      <c r="E63" s="494"/>
      <c r="F63" s="494"/>
      <c r="K63" s="495"/>
      <c r="L63" s="495"/>
      <c r="M63" s="495"/>
      <c r="N63" s="495"/>
      <c r="O63" s="494"/>
      <c r="P63" s="494"/>
      <c r="Q63" s="494"/>
      <c r="R63" s="494"/>
      <c r="S63" s="494"/>
      <c r="T63" s="494"/>
      <c r="U63" s="494"/>
      <c r="V63" s="494"/>
      <c r="W63" s="494"/>
      <c r="X63" s="494"/>
      <c r="Y63" s="494"/>
      <c r="Z63" s="494"/>
      <c r="AA63" s="494"/>
      <c r="AB63" s="494"/>
      <c r="AC63" s="494"/>
      <c r="AD63" s="494"/>
      <c r="AE63" s="494"/>
      <c r="AF63" s="494"/>
      <c r="AG63" s="494"/>
      <c r="AH63" s="494"/>
      <c r="AI63" s="494"/>
      <c r="AJ63" s="494"/>
      <c r="AK63" s="494"/>
      <c r="AL63" s="494"/>
      <c r="AM63" s="494"/>
      <c r="AN63" s="494"/>
      <c r="AO63" s="494"/>
      <c r="AP63" s="494"/>
      <c r="AQ63" s="494"/>
      <c r="AR63" s="494"/>
      <c r="AS63" s="494"/>
      <c r="AT63" s="494"/>
      <c r="AU63" s="494"/>
      <c r="AV63" s="494"/>
      <c r="AW63" s="494"/>
      <c r="AX63" s="494"/>
      <c r="AY63" s="494"/>
      <c r="AZ63" s="494"/>
      <c r="BA63" s="494"/>
      <c r="BB63" s="494"/>
      <c r="BC63" s="494"/>
      <c r="BD63" s="494"/>
      <c r="BE63" s="494"/>
      <c r="BF63" s="494"/>
      <c r="BG63" s="494"/>
      <c r="BH63" s="494"/>
      <c r="BI63" s="494"/>
      <c r="BJ63" s="494"/>
      <c r="BK63" s="494"/>
      <c r="BL63" s="494"/>
      <c r="BM63" s="494"/>
      <c r="BN63" s="494"/>
      <c r="BO63" s="494"/>
      <c r="BP63" s="494"/>
      <c r="BQ63" s="494"/>
      <c r="BR63" s="494"/>
      <c r="BS63" s="494"/>
      <c r="BT63" s="494"/>
      <c r="BU63" s="494"/>
      <c r="BV63" s="494"/>
      <c r="BW63" s="494"/>
    </row>
    <row r="64" spans="2:75" s="493" customFormat="1">
      <c r="B64" s="494"/>
      <c r="C64" s="494"/>
      <c r="D64" s="494"/>
      <c r="E64" s="494"/>
      <c r="F64" s="494"/>
      <c r="K64" s="495"/>
      <c r="L64" s="495"/>
      <c r="M64" s="495"/>
      <c r="N64" s="495"/>
      <c r="O64" s="494"/>
      <c r="P64" s="494"/>
      <c r="Q64" s="494"/>
      <c r="R64" s="494"/>
      <c r="S64" s="494"/>
      <c r="T64" s="494"/>
      <c r="U64" s="494"/>
      <c r="V64" s="494"/>
      <c r="W64" s="494"/>
      <c r="X64" s="494"/>
      <c r="Y64" s="494"/>
      <c r="Z64" s="494"/>
      <c r="AA64" s="494"/>
      <c r="AB64" s="494"/>
      <c r="AC64" s="494"/>
      <c r="AD64" s="494"/>
      <c r="AE64" s="494"/>
      <c r="AF64" s="494"/>
      <c r="AG64" s="494"/>
      <c r="AH64" s="494"/>
      <c r="AI64" s="494"/>
      <c r="AJ64" s="494"/>
      <c r="AK64" s="494"/>
      <c r="AL64" s="494"/>
      <c r="AM64" s="494"/>
      <c r="AN64" s="494"/>
      <c r="AO64" s="494"/>
      <c r="AP64" s="494"/>
      <c r="AQ64" s="494"/>
      <c r="AR64" s="494"/>
      <c r="AS64" s="494"/>
      <c r="AT64" s="494"/>
      <c r="AU64" s="494"/>
      <c r="AV64" s="494"/>
      <c r="AW64" s="494"/>
      <c r="AX64" s="494"/>
      <c r="AY64" s="494"/>
      <c r="AZ64" s="494"/>
      <c r="BA64" s="494"/>
      <c r="BB64" s="494"/>
      <c r="BC64" s="494"/>
      <c r="BD64" s="494"/>
      <c r="BE64" s="494"/>
      <c r="BF64" s="494"/>
      <c r="BG64" s="494"/>
      <c r="BH64" s="494"/>
      <c r="BI64" s="494"/>
      <c r="BJ64" s="494"/>
      <c r="BK64" s="494"/>
      <c r="BL64" s="494"/>
      <c r="BM64" s="494"/>
      <c r="BN64" s="494"/>
      <c r="BO64" s="494"/>
      <c r="BP64" s="494"/>
      <c r="BQ64" s="494"/>
      <c r="BR64" s="494"/>
      <c r="BS64" s="494"/>
      <c r="BT64" s="494"/>
      <c r="BU64" s="494"/>
      <c r="BV64" s="494"/>
      <c r="BW64" s="494"/>
    </row>
    <row r="65" spans="2:75" s="493" customFormat="1">
      <c r="B65" s="494"/>
      <c r="C65" s="494"/>
      <c r="D65" s="494"/>
      <c r="E65" s="494"/>
      <c r="F65" s="494"/>
      <c r="K65" s="495"/>
      <c r="L65" s="495"/>
      <c r="M65" s="495"/>
      <c r="N65" s="495"/>
      <c r="O65" s="494"/>
      <c r="P65" s="494"/>
      <c r="Q65" s="494"/>
      <c r="R65" s="494"/>
      <c r="S65" s="49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494"/>
      <c r="AY65" s="494"/>
      <c r="AZ65" s="494"/>
      <c r="BA65" s="494"/>
      <c r="BB65" s="494"/>
      <c r="BC65" s="494"/>
      <c r="BD65" s="494"/>
      <c r="BE65" s="494"/>
      <c r="BF65" s="494"/>
      <c r="BG65" s="494"/>
      <c r="BH65" s="494"/>
      <c r="BI65" s="494"/>
      <c r="BJ65" s="494"/>
      <c r="BK65" s="494"/>
      <c r="BL65" s="494"/>
      <c r="BM65" s="494"/>
      <c r="BN65" s="494"/>
      <c r="BO65" s="494"/>
      <c r="BP65" s="494"/>
      <c r="BQ65" s="494"/>
      <c r="BR65" s="494"/>
      <c r="BS65" s="494"/>
      <c r="BT65" s="494"/>
      <c r="BU65" s="494"/>
      <c r="BV65" s="494"/>
      <c r="BW65" s="494"/>
    </row>
    <row r="66" spans="2:75" s="493" customFormat="1">
      <c r="B66" s="494"/>
      <c r="C66" s="494"/>
      <c r="D66" s="494"/>
      <c r="E66" s="494"/>
      <c r="F66" s="494"/>
      <c r="K66" s="495"/>
      <c r="L66" s="495"/>
      <c r="M66" s="495"/>
      <c r="N66" s="495"/>
      <c r="O66" s="494"/>
      <c r="P66" s="494"/>
      <c r="Q66" s="494"/>
      <c r="R66" s="494"/>
      <c r="S66" s="494"/>
      <c r="T66" s="494"/>
      <c r="U66" s="494"/>
      <c r="V66" s="494"/>
      <c r="W66" s="494"/>
      <c r="X66" s="494"/>
      <c r="Y66" s="494"/>
      <c r="Z66" s="494"/>
      <c r="AA66" s="494"/>
      <c r="AB66" s="494"/>
      <c r="AC66" s="494"/>
      <c r="AD66" s="494"/>
      <c r="AE66" s="494"/>
      <c r="AF66" s="494"/>
      <c r="AG66" s="494"/>
      <c r="AH66" s="494"/>
      <c r="AI66" s="494"/>
      <c r="AJ66" s="494"/>
      <c r="AK66" s="494"/>
      <c r="AL66" s="494"/>
      <c r="AM66" s="494"/>
      <c r="AN66" s="494"/>
      <c r="AO66" s="494"/>
      <c r="AP66" s="494"/>
      <c r="AQ66" s="494"/>
      <c r="AR66" s="494"/>
      <c r="AS66" s="494"/>
      <c r="AT66" s="494"/>
      <c r="AU66" s="494"/>
      <c r="AV66" s="494"/>
      <c r="AW66" s="494"/>
      <c r="AX66" s="494"/>
      <c r="AY66" s="494"/>
      <c r="AZ66" s="494"/>
      <c r="BA66" s="494"/>
      <c r="BB66" s="494"/>
      <c r="BC66" s="494"/>
      <c r="BD66" s="494"/>
      <c r="BE66" s="494"/>
      <c r="BF66" s="494"/>
      <c r="BG66" s="494"/>
      <c r="BH66" s="494"/>
      <c r="BI66" s="494"/>
      <c r="BJ66" s="494"/>
      <c r="BK66" s="494"/>
      <c r="BL66" s="494"/>
      <c r="BM66" s="494"/>
      <c r="BN66" s="494"/>
      <c r="BO66" s="494"/>
      <c r="BP66" s="494"/>
      <c r="BQ66" s="494"/>
      <c r="BR66" s="494"/>
      <c r="BS66" s="494"/>
      <c r="BT66" s="494"/>
      <c r="BU66" s="494"/>
      <c r="BV66" s="494"/>
      <c r="BW66" s="494"/>
    </row>
    <row r="67" spans="2:75" s="493" customFormat="1">
      <c r="B67" s="494"/>
      <c r="C67" s="494"/>
      <c r="D67" s="494"/>
      <c r="E67" s="494"/>
      <c r="F67" s="494"/>
      <c r="K67" s="495"/>
      <c r="L67" s="495"/>
      <c r="M67" s="495"/>
      <c r="N67" s="495"/>
      <c r="O67" s="494"/>
      <c r="P67" s="494"/>
      <c r="Q67" s="494"/>
      <c r="R67" s="494"/>
      <c r="S67" s="494"/>
      <c r="T67" s="494"/>
      <c r="U67" s="494"/>
      <c r="V67" s="494"/>
      <c r="W67" s="494"/>
      <c r="X67" s="494"/>
      <c r="Y67" s="494"/>
      <c r="Z67" s="494"/>
      <c r="AA67" s="494"/>
      <c r="AB67" s="494"/>
      <c r="AC67" s="494"/>
      <c r="AD67" s="494"/>
      <c r="AE67" s="494"/>
      <c r="AF67" s="494"/>
      <c r="AG67" s="494"/>
      <c r="AH67" s="494"/>
      <c r="AI67" s="494"/>
      <c r="AJ67" s="494"/>
      <c r="AK67" s="494"/>
      <c r="AL67" s="494"/>
      <c r="AM67" s="494"/>
      <c r="AN67" s="494"/>
      <c r="AO67" s="494"/>
      <c r="AP67" s="494"/>
      <c r="AQ67" s="494"/>
      <c r="AR67" s="494"/>
      <c r="AS67" s="494"/>
      <c r="AT67" s="494"/>
      <c r="AU67" s="494"/>
      <c r="AV67" s="494"/>
      <c r="AW67" s="494"/>
      <c r="AX67" s="494"/>
      <c r="AY67" s="494"/>
      <c r="AZ67" s="494"/>
      <c r="BA67" s="494"/>
      <c r="BB67" s="494"/>
      <c r="BC67" s="494"/>
      <c r="BD67" s="494"/>
      <c r="BE67" s="494"/>
      <c r="BF67" s="494"/>
      <c r="BG67" s="494"/>
      <c r="BH67" s="494"/>
      <c r="BI67" s="494"/>
      <c r="BJ67" s="494"/>
      <c r="BK67" s="494"/>
      <c r="BL67" s="494"/>
      <c r="BM67" s="494"/>
      <c r="BN67" s="494"/>
      <c r="BO67" s="494"/>
      <c r="BP67" s="494"/>
      <c r="BQ67" s="494"/>
      <c r="BR67" s="494"/>
      <c r="BS67" s="494"/>
      <c r="BT67" s="494"/>
      <c r="BU67" s="494"/>
      <c r="BV67" s="494"/>
      <c r="BW67" s="494"/>
    </row>
    <row r="68" spans="2:75" s="493" customFormat="1">
      <c r="B68" s="494"/>
      <c r="C68" s="494"/>
      <c r="D68" s="494"/>
      <c r="E68" s="494"/>
      <c r="F68" s="494"/>
      <c r="K68" s="495"/>
      <c r="L68" s="495"/>
      <c r="M68" s="495"/>
      <c r="N68" s="495"/>
      <c r="O68" s="494"/>
      <c r="P68" s="494"/>
      <c r="Q68" s="494"/>
      <c r="R68" s="494"/>
      <c r="S68" s="494"/>
      <c r="T68" s="494"/>
      <c r="U68" s="494"/>
      <c r="V68" s="494"/>
      <c r="W68" s="494"/>
      <c r="X68" s="494"/>
      <c r="Y68" s="494"/>
      <c r="Z68" s="494"/>
      <c r="AA68" s="494"/>
      <c r="AB68" s="494"/>
      <c r="AC68" s="494"/>
      <c r="AD68" s="494"/>
      <c r="AE68" s="494"/>
      <c r="AF68" s="494"/>
      <c r="AG68" s="494"/>
      <c r="AH68" s="494"/>
      <c r="AI68" s="494"/>
      <c r="AJ68" s="494"/>
      <c r="AK68" s="494"/>
      <c r="AL68" s="494"/>
      <c r="AM68" s="494"/>
      <c r="AN68" s="494"/>
      <c r="AO68" s="494"/>
      <c r="AP68" s="494"/>
      <c r="AQ68" s="494"/>
      <c r="AR68" s="494"/>
      <c r="AS68" s="494"/>
      <c r="AT68" s="494"/>
      <c r="AU68" s="494"/>
      <c r="AV68" s="494"/>
      <c r="AW68" s="494"/>
      <c r="AX68" s="494"/>
      <c r="AY68" s="494"/>
      <c r="AZ68" s="494"/>
      <c r="BA68" s="494"/>
      <c r="BB68" s="494"/>
      <c r="BC68" s="494"/>
      <c r="BD68" s="494"/>
      <c r="BE68" s="494"/>
      <c r="BF68" s="494"/>
      <c r="BG68" s="494"/>
      <c r="BH68" s="494"/>
      <c r="BI68" s="494"/>
      <c r="BJ68" s="494"/>
      <c r="BK68" s="494"/>
      <c r="BL68" s="494"/>
      <c r="BM68" s="494"/>
      <c r="BN68" s="494"/>
      <c r="BO68" s="494"/>
      <c r="BP68" s="494"/>
      <c r="BQ68" s="494"/>
      <c r="BR68" s="494"/>
      <c r="BS68" s="494"/>
      <c r="BT68" s="494"/>
      <c r="BU68" s="494"/>
      <c r="BV68" s="494"/>
      <c r="BW68" s="494"/>
    </row>
    <row r="69" spans="2:75" s="493" customFormat="1">
      <c r="B69" s="494"/>
      <c r="C69" s="494"/>
      <c r="D69" s="494"/>
      <c r="E69" s="494"/>
      <c r="F69" s="494"/>
      <c r="K69" s="495"/>
      <c r="L69" s="495"/>
      <c r="M69" s="495"/>
      <c r="N69" s="495"/>
      <c r="O69" s="494"/>
      <c r="P69" s="494"/>
      <c r="Q69" s="494"/>
      <c r="R69" s="494"/>
      <c r="S69" s="494"/>
      <c r="T69" s="494"/>
      <c r="U69" s="494"/>
      <c r="V69" s="494"/>
      <c r="W69" s="494"/>
      <c r="X69" s="494"/>
      <c r="Y69" s="494"/>
      <c r="Z69" s="494"/>
      <c r="AA69" s="494"/>
      <c r="AB69" s="494"/>
      <c r="AC69" s="494"/>
      <c r="AD69" s="494"/>
      <c r="AE69" s="494"/>
      <c r="AF69" s="494"/>
      <c r="AG69" s="494"/>
      <c r="AH69" s="494"/>
      <c r="AI69" s="494"/>
      <c r="AJ69" s="494"/>
      <c r="AK69" s="494"/>
      <c r="AL69" s="494"/>
      <c r="AM69" s="494"/>
      <c r="AN69" s="494"/>
      <c r="AO69" s="494"/>
      <c r="AP69" s="494"/>
      <c r="AQ69" s="494"/>
      <c r="AR69" s="494"/>
      <c r="AS69" s="494"/>
      <c r="AT69" s="494"/>
      <c r="AU69" s="494"/>
      <c r="AV69" s="494"/>
      <c r="AW69" s="494"/>
      <c r="AX69" s="494"/>
      <c r="AY69" s="494"/>
      <c r="AZ69" s="494"/>
      <c r="BA69" s="494"/>
      <c r="BB69" s="494"/>
      <c r="BC69" s="494"/>
      <c r="BD69" s="494"/>
      <c r="BE69" s="494"/>
      <c r="BF69" s="494"/>
      <c r="BG69" s="494"/>
      <c r="BH69" s="494"/>
      <c r="BI69" s="494"/>
      <c r="BJ69" s="494"/>
      <c r="BK69" s="494"/>
      <c r="BL69" s="494"/>
      <c r="BM69" s="494"/>
      <c r="BN69" s="494"/>
      <c r="BO69" s="494"/>
      <c r="BP69" s="494"/>
      <c r="BQ69" s="494"/>
      <c r="BR69" s="494"/>
      <c r="BS69" s="494"/>
      <c r="BT69" s="494"/>
      <c r="BU69" s="494"/>
      <c r="BV69" s="494"/>
      <c r="BW69" s="494"/>
    </row>
    <row r="70" spans="2:75" s="493" customFormat="1">
      <c r="B70" s="494"/>
      <c r="C70" s="494"/>
      <c r="D70" s="494"/>
      <c r="E70" s="494"/>
      <c r="F70" s="494"/>
      <c r="K70" s="495"/>
      <c r="L70" s="495"/>
      <c r="M70" s="495"/>
      <c r="N70" s="495"/>
      <c r="O70" s="494"/>
      <c r="P70" s="494"/>
      <c r="Q70" s="494"/>
      <c r="R70" s="494"/>
      <c r="S70" s="494"/>
      <c r="T70" s="494"/>
      <c r="U70" s="494"/>
      <c r="V70" s="494"/>
      <c r="W70" s="494"/>
      <c r="X70" s="494"/>
      <c r="Y70" s="494"/>
      <c r="Z70" s="494"/>
      <c r="AA70" s="494"/>
      <c r="AB70" s="494"/>
      <c r="AC70" s="494"/>
      <c r="AD70" s="494"/>
      <c r="AE70" s="494"/>
      <c r="AF70" s="494"/>
      <c r="AG70" s="494"/>
      <c r="AH70" s="494"/>
      <c r="AI70" s="494"/>
      <c r="AJ70" s="494"/>
      <c r="AK70" s="494"/>
      <c r="AL70" s="494"/>
      <c r="AM70" s="494"/>
      <c r="AN70" s="494"/>
      <c r="AO70" s="494"/>
      <c r="AP70" s="494"/>
      <c r="AQ70" s="494"/>
      <c r="AR70" s="494"/>
      <c r="AS70" s="494"/>
      <c r="AT70" s="494"/>
      <c r="AU70" s="494"/>
      <c r="AV70" s="494"/>
      <c r="AW70" s="494"/>
      <c r="AX70" s="494"/>
      <c r="AY70" s="494"/>
      <c r="AZ70" s="494"/>
      <c r="BA70" s="494"/>
      <c r="BB70" s="494"/>
      <c r="BC70" s="494"/>
      <c r="BD70" s="494"/>
      <c r="BE70" s="494"/>
      <c r="BF70" s="494"/>
      <c r="BG70" s="494"/>
      <c r="BH70" s="494"/>
      <c r="BI70" s="494"/>
      <c r="BJ70" s="494"/>
      <c r="BK70" s="494"/>
      <c r="BL70" s="494"/>
      <c r="BM70" s="494"/>
      <c r="BN70" s="494"/>
      <c r="BO70" s="494"/>
      <c r="BP70" s="494"/>
      <c r="BQ70" s="494"/>
      <c r="BR70" s="494"/>
      <c r="BS70" s="494"/>
      <c r="BT70" s="494"/>
      <c r="BU70" s="494"/>
      <c r="BV70" s="494"/>
      <c r="BW70" s="494"/>
    </row>
    <row r="71" spans="2:75" s="493" customFormat="1">
      <c r="B71" s="494"/>
      <c r="C71" s="494"/>
      <c r="D71" s="494"/>
      <c r="E71" s="494"/>
      <c r="F71" s="494"/>
      <c r="K71" s="495"/>
      <c r="L71" s="495"/>
      <c r="M71" s="495"/>
      <c r="N71" s="495"/>
      <c r="O71" s="494"/>
      <c r="P71" s="494"/>
      <c r="Q71" s="494"/>
      <c r="R71" s="494"/>
      <c r="S71" s="494"/>
      <c r="T71" s="494"/>
      <c r="U71" s="494"/>
      <c r="V71" s="494"/>
      <c r="W71" s="494"/>
      <c r="X71" s="494"/>
      <c r="Y71" s="494"/>
      <c r="Z71" s="494"/>
      <c r="AA71" s="494"/>
      <c r="AB71" s="494"/>
      <c r="AC71" s="494"/>
      <c r="AD71" s="494"/>
      <c r="AE71" s="494"/>
      <c r="AF71" s="494"/>
      <c r="AG71" s="494"/>
      <c r="AH71" s="494"/>
      <c r="AI71" s="494"/>
      <c r="AJ71" s="494"/>
      <c r="AK71" s="494"/>
      <c r="AL71" s="494"/>
      <c r="AM71" s="494"/>
      <c r="AN71" s="494"/>
      <c r="AO71" s="494"/>
      <c r="AP71" s="494"/>
      <c r="AQ71" s="494"/>
      <c r="AR71" s="494"/>
      <c r="AS71" s="494"/>
      <c r="AT71" s="494"/>
      <c r="AU71" s="494"/>
      <c r="AV71" s="494"/>
      <c r="AW71" s="494"/>
      <c r="AX71" s="494"/>
      <c r="AY71" s="494"/>
      <c r="AZ71" s="494"/>
      <c r="BA71" s="494"/>
      <c r="BB71" s="494"/>
      <c r="BC71" s="494"/>
      <c r="BD71" s="494"/>
      <c r="BE71" s="494"/>
      <c r="BF71" s="494"/>
      <c r="BG71" s="494"/>
      <c r="BH71" s="494"/>
      <c r="BI71" s="494"/>
      <c r="BJ71" s="494"/>
      <c r="BK71" s="494"/>
      <c r="BL71" s="494"/>
      <c r="BM71" s="494"/>
      <c r="BN71" s="494"/>
      <c r="BO71" s="494"/>
      <c r="BP71" s="494"/>
      <c r="BQ71" s="494"/>
      <c r="BR71" s="494"/>
      <c r="BS71" s="494"/>
      <c r="BT71" s="494"/>
      <c r="BU71" s="494"/>
      <c r="BV71" s="494"/>
      <c r="BW71" s="494"/>
    </row>
    <row r="72" spans="2:75" s="493" customFormat="1">
      <c r="B72" s="494"/>
      <c r="C72" s="494"/>
      <c r="D72" s="494"/>
      <c r="E72" s="494"/>
      <c r="F72" s="494"/>
      <c r="K72" s="495"/>
      <c r="L72" s="495"/>
      <c r="M72" s="495"/>
      <c r="N72" s="495"/>
      <c r="O72" s="494"/>
      <c r="P72" s="494"/>
      <c r="Q72" s="494"/>
      <c r="R72" s="494"/>
      <c r="S72" s="494"/>
      <c r="T72" s="494"/>
      <c r="U72" s="494"/>
      <c r="V72" s="494"/>
      <c r="W72" s="494"/>
      <c r="X72" s="494"/>
      <c r="Y72" s="494"/>
      <c r="Z72" s="494"/>
      <c r="AA72" s="494"/>
      <c r="AB72" s="494"/>
      <c r="AC72" s="494"/>
      <c r="AD72" s="494"/>
      <c r="AE72" s="494"/>
      <c r="AF72" s="494"/>
      <c r="AG72" s="494"/>
      <c r="AH72" s="494"/>
      <c r="AI72" s="494"/>
      <c r="AJ72" s="494"/>
      <c r="AK72" s="494"/>
      <c r="AL72" s="494"/>
      <c r="AM72" s="494"/>
      <c r="AN72" s="494"/>
      <c r="AO72" s="494"/>
      <c r="AP72" s="494"/>
      <c r="AQ72" s="494"/>
      <c r="AR72" s="494"/>
      <c r="AS72" s="494"/>
      <c r="AT72" s="494"/>
      <c r="AU72" s="494"/>
      <c r="AV72" s="494"/>
      <c r="AW72" s="494"/>
      <c r="AX72" s="494"/>
      <c r="AY72" s="494"/>
      <c r="AZ72" s="494"/>
      <c r="BA72" s="494"/>
      <c r="BB72" s="494"/>
      <c r="BC72" s="494"/>
      <c r="BD72" s="494"/>
      <c r="BE72" s="494"/>
      <c r="BF72" s="494"/>
      <c r="BG72" s="494"/>
      <c r="BH72" s="494"/>
      <c r="BI72" s="494"/>
      <c r="BJ72" s="494"/>
      <c r="BK72" s="494"/>
      <c r="BL72" s="494"/>
      <c r="BM72" s="494"/>
      <c r="BN72" s="494"/>
      <c r="BO72" s="494"/>
      <c r="BP72" s="494"/>
      <c r="BQ72" s="494"/>
      <c r="BR72" s="494"/>
      <c r="BS72" s="494"/>
      <c r="BT72" s="494"/>
      <c r="BU72" s="494"/>
      <c r="BV72" s="494"/>
      <c r="BW72" s="494"/>
    </row>
    <row r="73" spans="2:75" s="493" customFormat="1">
      <c r="B73" s="494"/>
      <c r="C73" s="494"/>
      <c r="D73" s="494"/>
      <c r="E73" s="494"/>
      <c r="F73" s="494"/>
      <c r="K73" s="495"/>
      <c r="L73" s="495"/>
      <c r="M73" s="495"/>
      <c r="N73" s="495"/>
      <c r="O73" s="494"/>
      <c r="P73" s="494"/>
      <c r="Q73" s="494"/>
      <c r="R73" s="494"/>
      <c r="S73" s="494"/>
      <c r="T73" s="494"/>
      <c r="U73" s="494"/>
      <c r="V73" s="494"/>
      <c r="W73" s="494"/>
      <c r="X73" s="494"/>
      <c r="Y73" s="494"/>
      <c r="Z73" s="494"/>
      <c r="AA73" s="494"/>
      <c r="AB73" s="494"/>
      <c r="AC73" s="494"/>
      <c r="AD73" s="494"/>
      <c r="AE73" s="494"/>
      <c r="AF73" s="494"/>
      <c r="AG73" s="494"/>
      <c r="AH73" s="494"/>
      <c r="AI73" s="494"/>
      <c r="AJ73" s="494"/>
      <c r="AK73" s="494"/>
      <c r="AL73" s="494"/>
      <c r="AM73" s="494"/>
      <c r="AN73" s="494"/>
      <c r="AO73" s="494"/>
      <c r="AP73" s="494"/>
      <c r="AQ73" s="494"/>
      <c r="AR73" s="494"/>
      <c r="AS73" s="494"/>
      <c r="AT73" s="494"/>
      <c r="AU73" s="494"/>
      <c r="AV73" s="494"/>
      <c r="AW73" s="494"/>
      <c r="AX73" s="494"/>
      <c r="AY73" s="494"/>
      <c r="AZ73" s="494"/>
      <c r="BA73" s="494"/>
      <c r="BB73" s="494"/>
      <c r="BC73" s="494"/>
      <c r="BD73" s="494"/>
      <c r="BE73" s="494"/>
      <c r="BF73" s="494"/>
      <c r="BG73" s="494"/>
      <c r="BH73" s="494"/>
      <c r="BI73" s="494"/>
      <c r="BJ73" s="494"/>
      <c r="BK73" s="494"/>
      <c r="BL73" s="494"/>
      <c r="BM73" s="494"/>
      <c r="BN73" s="494"/>
      <c r="BO73" s="494"/>
      <c r="BP73" s="494"/>
      <c r="BQ73" s="494"/>
      <c r="BR73" s="494"/>
      <c r="BS73" s="494"/>
      <c r="BT73" s="494"/>
      <c r="BU73" s="494"/>
      <c r="BV73" s="494"/>
      <c r="BW73" s="494"/>
    </row>
    <row r="74" spans="2:75" s="493" customFormat="1">
      <c r="B74" s="494"/>
      <c r="C74" s="494"/>
      <c r="D74" s="494"/>
      <c r="E74" s="494"/>
      <c r="F74" s="494"/>
      <c r="K74" s="495"/>
      <c r="L74" s="495"/>
      <c r="M74" s="495"/>
      <c r="N74" s="495"/>
      <c r="O74" s="494"/>
      <c r="P74" s="494"/>
      <c r="Q74" s="494"/>
      <c r="R74" s="494"/>
      <c r="S74" s="494"/>
      <c r="T74" s="494"/>
      <c r="U74" s="494"/>
      <c r="V74" s="494"/>
      <c r="W74" s="494"/>
      <c r="X74" s="494"/>
      <c r="Y74" s="494"/>
      <c r="Z74" s="494"/>
      <c r="AA74" s="494"/>
      <c r="AB74" s="494"/>
      <c r="AC74" s="494"/>
      <c r="AD74" s="494"/>
      <c r="AE74" s="494"/>
      <c r="AF74" s="494"/>
      <c r="AG74" s="494"/>
      <c r="AH74" s="494"/>
      <c r="AI74" s="494"/>
      <c r="AJ74" s="494"/>
      <c r="AK74" s="494"/>
      <c r="AL74" s="494"/>
      <c r="AM74" s="494"/>
      <c r="AN74" s="494"/>
      <c r="AO74" s="494"/>
      <c r="AP74" s="494"/>
      <c r="AQ74" s="494"/>
      <c r="AR74" s="494"/>
      <c r="AS74" s="494"/>
      <c r="AT74" s="494"/>
      <c r="AU74" s="494"/>
      <c r="AV74" s="494"/>
      <c r="AW74" s="494"/>
      <c r="AX74" s="494"/>
      <c r="AY74" s="494"/>
      <c r="AZ74" s="494"/>
      <c r="BA74" s="494"/>
      <c r="BB74" s="494"/>
      <c r="BC74" s="494"/>
      <c r="BD74" s="494"/>
      <c r="BE74" s="494"/>
      <c r="BF74" s="494"/>
      <c r="BG74" s="494"/>
      <c r="BH74" s="494"/>
      <c r="BI74" s="494"/>
      <c r="BJ74" s="494"/>
      <c r="BK74" s="494"/>
      <c r="BL74" s="494"/>
      <c r="BM74" s="494"/>
      <c r="BN74" s="494"/>
      <c r="BO74" s="494"/>
      <c r="BP74" s="494"/>
      <c r="BQ74" s="494"/>
      <c r="BR74" s="494"/>
      <c r="BS74" s="494"/>
      <c r="BT74" s="494"/>
      <c r="BU74" s="494"/>
      <c r="BV74" s="494"/>
      <c r="BW74" s="494"/>
    </row>
    <row r="75" spans="2:75" s="493" customFormat="1">
      <c r="B75" s="494"/>
      <c r="C75" s="494"/>
      <c r="D75" s="494"/>
      <c r="E75" s="494"/>
      <c r="F75" s="494"/>
      <c r="K75" s="495"/>
      <c r="L75" s="495"/>
      <c r="M75" s="495"/>
      <c r="N75" s="495"/>
      <c r="O75" s="494"/>
      <c r="P75" s="494"/>
      <c r="Q75" s="494"/>
      <c r="R75" s="494"/>
      <c r="S75" s="494"/>
      <c r="T75" s="494"/>
      <c r="U75" s="494"/>
      <c r="V75" s="494"/>
      <c r="W75" s="494"/>
      <c r="X75" s="494"/>
      <c r="Y75" s="494"/>
      <c r="Z75" s="494"/>
      <c r="AA75" s="494"/>
      <c r="AB75" s="494"/>
      <c r="AC75" s="494"/>
      <c r="AD75" s="494"/>
      <c r="AE75" s="494"/>
      <c r="AF75" s="494"/>
      <c r="AG75" s="494"/>
      <c r="AH75" s="494"/>
      <c r="AI75" s="494"/>
      <c r="AJ75" s="494"/>
      <c r="AK75" s="494"/>
      <c r="AL75" s="494"/>
      <c r="AM75" s="494"/>
      <c r="AN75" s="494"/>
      <c r="AO75" s="494"/>
      <c r="AP75" s="494"/>
      <c r="AQ75" s="494"/>
      <c r="AR75" s="494"/>
      <c r="AS75" s="494"/>
      <c r="AT75" s="494"/>
      <c r="AU75" s="494"/>
      <c r="AV75" s="494"/>
      <c r="AW75" s="494"/>
      <c r="AX75" s="494"/>
      <c r="AY75" s="494"/>
      <c r="AZ75" s="494"/>
      <c r="BA75" s="494"/>
      <c r="BB75" s="494"/>
      <c r="BC75" s="494"/>
      <c r="BD75" s="494"/>
      <c r="BE75" s="494"/>
      <c r="BF75" s="494"/>
      <c r="BG75" s="494"/>
      <c r="BH75" s="494"/>
      <c r="BI75" s="494"/>
      <c r="BJ75" s="494"/>
      <c r="BK75" s="494"/>
      <c r="BL75" s="494"/>
      <c r="BM75" s="494"/>
      <c r="BN75" s="494"/>
      <c r="BO75" s="494"/>
      <c r="BP75" s="494"/>
      <c r="BQ75" s="494"/>
      <c r="BR75" s="494"/>
      <c r="BS75" s="494"/>
      <c r="BT75" s="494"/>
      <c r="BU75" s="494"/>
      <c r="BV75" s="494"/>
      <c r="BW75" s="494"/>
    </row>
    <row r="76" spans="2:75" s="493" customFormat="1">
      <c r="B76" s="494"/>
      <c r="C76" s="494"/>
      <c r="D76" s="494"/>
      <c r="E76" s="494"/>
      <c r="F76" s="494"/>
      <c r="K76" s="495"/>
      <c r="L76" s="495"/>
      <c r="M76" s="495"/>
      <c r="N76" s="495"/>
      <c r="O76" s="494"/>
      <c r="P76" s="494"/>
      <c r="Q76" s="494"/>
      <c r="R76" s="494"/>
      <c r="S76" s="494"/>
      <c r="T76" s="494"/>
      <c r="U76" s="494"/>
      <c r="V76" s="494"/>
      <c r="W76" s="494"/>
      <c r="X76" s="494"/>
      <c r="Y76" s="494"/>
      <c r="Z76" s="494"/>
      <c r="AA76" s="494"/>
      <c r="AB76" s="494"/>
      <c r="AC76" s="494"/>
      <c r="AD76" s="494"/>
      <c r="AE76" s="494"/>
      <c r="AF76" s="494"/>
      <c r="AG76" s="494"/>
      <c r="AH76" s="494"/>
      <c r="AI76" s="494"/>
      <c r="AJ76" s="494"/>
      <c r="AK76" s="494"/>
      <c r="AL76" s="494"/>
      <c r="AM76" s="494"/>
      <c r="AN76" s="494"/>
      <c r="AO76" s="494"/>
      <c r="AP76" s="494"/>
      <c r="AQ76" s="494"/>
      <c r="AR76" s="494"/>
      <c r="AS76" s="494"/>
      <c r="AT76" s="494"/>
      <c r="AU76" s="494"/>
      <c r="AV76" s="494"/>
      <c r="AW76" s="494"/>
      <c r="AX76" s="494"/>
      <c r="AY76" s="494"/>
      <c r="AZ76" s="494"/>
      <c r="BA76" s="494"/>
      <c r="BB76" s="494"/>
      <c r="BC76" s="494"/>
      <c r="BD76" s="494"/>
      <c r="BE76" s="494"/>
      <c r="BF76" s="494"/>
      <c r="BG76" s="494"/>
      <c r="BH76" s="494"/>
      <c r="BI76" s="494"/>
      <c r="BJ76" s="494"/>
      <c r="BK76" s="494"/>
      <c r="BL76" s="494"/>
      <c r="BM76" s="494"/>
      <c r="BN76" s="494"/>
      <c r="BO76" s="494"/>
      <c r="BP76" s="494"/>
      <c r="BQ76" s="494"/>
      <c r="BR76" s="494"/>
      <c r="BS76" s="494"/>
      <c r="BT76" s="494"/>
      <c r="BU76" s="494"/>
      <c r="BV76" s="494"/>
      <c r="BW76" s="494"/>
    </row>
    <row r="77" spans="2:75" s="493" customFormat="1">
      <c r="B77" s="494"/>
      <c r="C77" s="494"/>
      <c r="D77" s="494"/>
      <c r="E77" s="494"/>
      <c r="F77" s="494"/>
      <c r="K77" s="495"/>
      <c r="L77" s="495"/>
      <c r="M77" s="495"/>
      <c r="N77" s="495"/>
      <c r="O77" s="494"/>
      <c r="P77" s="494"/>
      <c r="Q77" s="494"/>
      <c r="R77" s="494"/>
      <c r="S77" s="494"/>
      <c r="T77" s="494"/>
      <c r="U77" s="494"/>
      <c r="V77" s="494"/>
      <c r="W77" s="494"/>
      <c r="X77" s="494"/>
      <c r="Y77" s="494"/>
      <c r="Z77" s="494"/>
      <c r="AA77" s="494"/>
      <c r="AB77" s="494"/>
      <c r="AC77" s="494"/>
      <c r="AD77" s="494"/>
      <c r="AE77" s="494"/>
      <c r="AF77" s="494"/>
      <c r="AG77" s="494"/>
      <c r="AH77" s="494"/>
      <c r="AI77" s="494"/>
      <c r="AJ77" s="494"/>
      <c r="AK77" s="494"/>
      <c r="AL77" s="494"/>
      <c r="AM77" s="494"/>
      <c r="AN77" s="494"/>
      <c r="AO77" s="494"/>
      <c r="AP77" s="494"/>
      <c r="AQ77" s="494"/>
      <c r="AR77" s="494"/>
      <c r="AS77" s="494"/>
      <c r="AT77" s="494"/>
      <c r="AU77" s="494"/>
      <c r="AV77" s="494"/>
      <c r="AW77" s="494"/>
      <c r="AX77" s="494"/>
      <c r="AY77" s="494"/>
      <c r="AZ77" s="494"/>
      <c r="BA77" s="494"/>
      <c r="BB77" s="494"/>
      <c r="BC77" s="494"/>
      <c r="BD77" s="494"/>
      <c r="BE77" s="494"/>
      <c r="BF77" s="494"/>
      <c r="BG77" s="494"/>
      <c r="BH77" s="494"/>
      <c r="BI77" s="494"/>
      <c r="BJ77" s="494"/>
      <c r="BK77" s="494"/>
      <c r="BL77" s="494"/>
      <c r="BM77" s="494"/>
      <c r="BN77" s="494"/>
      <c r="BO77" s="494"/>
      <c r="BP77" s="494"/>
      <c r="BQ77" s="494"/>
      <c r="BR77" s="494"/>
      <c r="BS77" s="494"/>
      <c r="BT77" s="494"/>
      <c r="BU77" s="494"/>
      <c r="BV77" s="494"/>
      <c r="BW77" s="494"/>
    </row>
    <row r="78" spans="2:75" s="493" customFormat="1">
      <c r="B78" s="494"/>
      <c r="C78" s="494"/>
      <c r="D78" s="494"/>
      <c r="E78" s="494"/>
      <c r="F78" s="494"/>
      <c r="K78" s="495"/>
      <c r="L78" s="495"/>
      <c r="M78" s="495"/>
      <c r="N78" s="495"/>
      <c r="O78" s="494"/>
      <c r="P78" s="494"/>
      <c r="Q78" s="494"/>
      <c r="R78" s="494"/>
      <c r="S78" s="494"/>
      <c r="T78" s="494"/>
      <c r="U78" s="494"/>
      <c r="V78" s="494"/>
      <c r="W78" s="494"/>
      <c r="X78" s="494"/>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4"/>
      <c r="AY78" s="494"/>
      <c r="AZ78" s="494"/>
      <c r="BA78" s="494"/>
      <c r="BB78" s="494"/>
      <c r="BC78" s="494"/>
      <c r="BD78" s="494"/>
      <c r="BE78" s="494"/>
      <c r="BF78" s="494"/>
      <c r="BG78" s="494"/>
      <c r="BH78" s="494"/>
      <c r="BI78" s="494"/>
      <c r="BJ78" s="494"/>
      <c r="BK78" s="494"/>
      <c r="BL78" s="494"/>
      <c r="BM78" s="494"/>
      <c r="BN78" s="494"/>
      <c r="BO78" s="494"/>
      <c r="BP78" s="494"/>
      <c r="BQ78" s="494"/>
      <c r="BR78" s="494"/>
      <c r="BS78" s="494"/>
      <c r="BT78" s="494"/>
      <c r="BU78" s="494"/>
      <c r="BV78" s="494"/>
      <c r="BW78" s="494"/>
    </row>
    <row r="79" spans="2:75" s="493" customFormat="1">
      <c r="B79" s="494"/>
      <c r="C79" s="494"/>
      <c r="D79" s="494"/>
      <c r="E79" s="494"/>
      <c r="F79" s="494"/>
      <c r="K79" s="495"/>
      <c r="L79" s="495"/>
      <c r="M79" s="495"/>
      <c r="N79" s="495"/>
      <c r="O79" s="494"/>
      <c r="P79" s="494"/>
      <c r="Q79" s="494"/>
      <c r="R79" s="494"/>
      <c r="S79" s="494"/>
      <c r="T79" s="494"/>
      <c r="U79" s="494"/>
      <c r="V79" s="494"/>
      <c r="W79" s="494"/>
      <c r="X79" s="494"/>
      <c r="Y79" s="494"/>
      <c r="Z79" s="494"/>
      <c r="AA79" s="494"/>
      <c r="AB79" s="494"/>
      <c r="AC79" s="494"/>
      <c r="AD79" s="494"/>
      <c r="AE79" s="494"/>
      <c r="AF79" s="494"/>
      <c r="AG79" s="494"/>
      <c r="AH79" s="494"/>
      <c r="AI79" s="494"/>
      <c r="AJ79" s="494"/>
      <c r="AK79" s="494"/>
      <c r="AL79" s="494"/>
      <c r="AM79" s="494"/>
      <c r="AN79" s="494"/>
      <c r="AO79" s="494"/>
      <c r="AP79" s="494"/>
      <c r="AQ79" s="494"/>
      <c r="AR79" s="494"/>
      <c r="AS79" s="494"/>
      <c r="AT79" s="494"/>
      <c r="AU79" s="494"/>
      <c r="AV79" s="494"/>
      <c r="AW79" s="494"/>
      <c r="AX79" s="494"/>
      <c r="AY79" s="494"/>
      <c r="AZ79" s="494"/>
      <c r="BA79" s="494"/>
      <c r="BB79" s="494"/>
      <c r="BC79" s="494"/>
      <c r="BD79" s="494"/>
      <c r="BE79" s="494"/>
      <c r="BF79" s="494"/>
      <c r="BG79" s="494"/>
      <c r="BH79" s="494"/>
      <c r="BI79" s="494"/>
      <c r="BJ79" s="494"/>
      <c r="BK79" s="494"/>
      <c r="BL79" s="494"/>
      <c r="BM79" s="494"/>
      <c r="BN79" s="494"/>
      <c r="BO79" s="494"/>
      <c r="BP79" s="494"/>
      <c r="BQ79" s="494"/>
      <c r="BR79" s="494"/>
      <c r="BS79" s="494"/>
      <c r="BT79" s="494"/>
      <c r="BU79" s="494"/>
      <c r="BV79" s="494"/>
      <c r="BW79" s="494"/>
    </row>
    <row r="80" spans="2:75" s="493" customFormat="1">
      <c r="B80" s="494"/>
      <c r="C80" s="494"/>
      <c r="D80" s="494"/>
      <c r="E80" s="494"/>
      <c r="F80" s="494"/>
      <c r="K80" s="495"/>
      <c r="L80" s="495"/>
      <c r="M80" s="495"/>
      <c r="N80" s="495"/>
      <c r="O80" s="494"/>
      <c r="P80" s="494"/>
      <c r="Q80" s="494"/>
      <c r="R80" s="494"/>
      <c r="S80" s="494"/>
      <c r="T80" s="494"/>
      <c r="U80" s="494"/>
      <c r="V80" s="494"/>
      <c r="W80" s="494"/>
      <c r="X80" s="494"/>
      <c r="Y80" s="494"/>
      <c r="Z80" s="494"/>
      <c r="AA80" s="494"/>
      <c r="AB80" s="494"/>
      <c r="AC80" s="494"/>
      <c r="AD80" s="494"/>
      <c r="AE80" s="494"/>
      <c r="AF80" s="494"/>
      <c r="AG80" s="494"/>
      <c r="AH80" s="494"/>
      <c r="AI80" s="494"/>
      <c r="AJ80" s="494"/>
      <c r="AK80" s="494"/>
      <c r="AL80" s="494"/>
      <c r="AM80" s="494"/>
      <c r="AN80" s="494"/>
      <c r="AO80" s="494"/>
      <c r="AP80" s="494"/>
      <c r="AQ80" s="494"/>
      <c r="AR80" s="494"/>
      <c r="AS80" s="494"/>
      <c r="AT80" s="494"/>
      <c r="AU80" s="494"/>
      <c r="AV80" s="494"/>
      <c r="AW80" s="494"/>
      <c r="AX80" s="494"/>
      <c r="AY80" s="494"/>
      <c r="AZ80" s="494"/>
      <c r="BA80" s="494"/>
      <c r="BB80" s="494"/>
      <c r="BC80" s="494"/>
      <c r="BD80" s="494"/>
      <c r="BE80" s="494"/>
      <c r="BF80" s="494"/>
      <c r="BG80" s="494"/>
      <c r="BH80" s="494"/>
      <c r="BI80" s="494"/>
      <c r="BJ80" s="494"/>
      <c r="BK80" s="494"/>
      <c r="BL80" s="494"/>
      <c r="BM80" s="494"/>
      <c r="BN80" s="494"/>
      <c r="BO80" s="494"/>
      <c r="BP80" s="494"/>
      <c r="BQ80" s="494"/>
      <c r="BR80" s="494"/>
      <c r="BS80" s="494"/>
      <c r="BT80" s="494"/>
      <c r="BU80" s="494"/>
      <c r="BV80" s="494"/>
      <c r="BW80" s="494"/>
    </row>
    <row r="81" spans="2:75" s="493" customFormat="1">
      <c r="B81" s="494"/>
      <c r="C81" s="494"/>
      <c r="D81" s="494"/>
      <c r="E81" s="494"/>
      <c r="F81" s="494"/>
      <c r="K81" s="495"/>
      <c r="L81" s="495"/>
      <c r="M81" s="495"/>
      <c r="N81" s="495"/>
      <c r="O81" s="494"/>
      <c r="P81" s="494"/>
      <c r="Q81" s="494"/>
      <c r="R81" s="494"/>
      <c r="S81" s="494"/>
      <c r="T81" s="494"/>
      <c r="U81" s="494"/>
      <c r="V81" s="494"/>
      <c r="W81" s="494"/>
      <c r="X81" s="494"/>
      <c r="Y81" s="494"/>
      <c r="Z81" s="494"/>
      <c r="AA81" s="494"/>
      <c r="AB81" s="494"/>
      <c r="AC81" s="494"/>
      <c r="AD81" s="494"/>
      <c r="AE81" s="494"/>
      <c r="AF81" s="494"/>
      <c r="AG81" s="494"/>
      <c r="AH81" s="494"/>
      <c r="AI81" s="494"/>
      <c r="AJ81" s="494"/>
      <c r="AK81" s="494"/>
      <c r="AL81" s="494"/>
      <c r="AM81" s="494"/>
      <c r="AN81" s="494"/>
      <c r="AO81" s="494"/>
      <c r="AP81" s="494"/>
      <c r="AQ81" s="494"/>
      <c r="AR81" s="494"/>
      <c r="AS81" s="494"/>
      <c r="AT81" s="494"/>
      <c r="AU81" s="494"/>
      <c r="AV81" s="494"/>
      <c r="AW81" s="494"/>
      <c r="AX81" s="494"/>
      <c r="AY81" s="494"/>
      <c r="AZ81" s="494"/>
      <c r="BA81" s="494"/>
      <c r="BB81" s="494"/>
      <c r="BC81" s="494"/>
      <c r="BD81" s="494"/>
      <c r="BE81" s="494"/>
      <c r="BF81" s="494"/>
      <c r="BG81" s="494"/>
      <c r="BH81" s="494"/>
      <c r="BI81" s="494"/>
      <c r="BJ81" s="494"/>
      <c r="BK81" s="494"/>
      <c r="BL81" s="494"/>
      <c r="BM81" s="494"/>
      <c r="BN81" s="494"/>
      <c r="BO81" s="494"/>
      <c r="BP81" s="494"/>
      <c r="BQ81" s="494"/>
      <c r="BR81" s="494"/>
      <c r="BS81" s="494"/>
      <c r="BT81" s="494"/>
      <c r="BU81" s="494"/>
      <c r="BV81" s="494"/>
      <c r="BW81" s="494"/>
    </row>
    <row r="82" spans="2:75" s="493" customFormat="1">
      <c r="B82" s="494"/>
      <c r="C82" s="494"/>
      <c r="D82" s="494"/>
      <c r="E82" s="494"/>
      <c r="F82" s="494"/>
      <c r="K82" s="495"/>
      <c r="L82" s="495"/>
      <c r="M82" s="495"/>
      <c r="N82" s="495"/>
      <c r="O82" s="494"/>
      <c r="P82" s="494"/>
      <c r="Q82" s="494"/>
      <c r="R82" s="494"/>
      <c r="S82" s="494"/>
      <c r="T82" s="494"/>
      <c r="U82" s="494"/>
      <c r="V82" s="494"/>
      <c r="W82" s="494"/>
      <c r="X82" s="494"/>
      <c r="Y82" s="494"/>
      <c r="Z82" s="494"/>
      <c r="AA82" s="494"/>
      <c r="AB82" s="494"/>
      <c r="AC82" s="494"/>
      <c r="AD82" s="494"/>
      <c r="AE82" s="494"/>
      <c r="AF82" s="494"/>
      <c r="AG82" s="494"/>
      <c r="AH82" s="494"/>
      <c r="AI82" s="494"/>
      <c r="AJ82" s="494"/>
      <c r="AK82" s="494"/>
      <c r="AL82" s="494"/>
      <c r="AM82" s="494"/>
      <c r="AN82" s="494"/>
      <c r="AO82" s="494"/>
      <c r="AP82" s="494"/>
      <c r="AQ82" s="494"/>
      <c r="AR82" s="494"/>
      <c r="AS82" s="494"/>
      <c r="AT82" s="494"/>
      <c r="AU82" s="494"/>
      <c r="AV82" s="494"/>
      <c r="AW82" s="494"/>
      <c r="AX82" s="494"/>
      <c r="AY82" s="494"/>
      <c r="AZ82" s="494"/>
      <c r="BA82" s="494"/>
      <c r="BB82" s="494"/>
      <c r="BC82" s="494"/>
      <c r="BD82" s="494"/>
      <c r="BE82" s="494"/>
      <c r="BF82" s="494"/>
      <c r="BG82" s="494"/>
      <c r="BH82" s="494"/>
      <c r="BI82" s="494"/>
      <c r="BJ82" s="494"/>
      <c r="BK82" s="494"/>
      <c r="BL82" s="494"/>
      <c r="BM82" s="494"/>
      <c r="BN82" s="494"/>
      <c r="BO82" s="494"/>
      <c r="BP82" s="494"/>
      <c r="BQ82" s="494"/>
      <c r="BR82" s="494"/>
      <c r="BS82" s="494"/>
      <c r="BT82" s="494"/>
      <c r="BU82" s="494"/>
      <c r="BV82" s="494"/>
      <c r="BW82" s="494"/>
    </row>
    <row r="83" spans="2:75" s="493" customFormat="1">
      <c r="B83" s="494"/>
      <c r="C83" s="494"/>
      <c r="D83" s="494"/>
      <c r="E83" s="494"/>
      <c r="F83" s="494"/>
      <c r="K83" s="495"/>
      <c r="L83" s="495"/>
      <c r="M83" s="495"/>
      <c r="N83" s="495"/>
      <c r="O83" s="494"/>
      <c r="P83" s="494"/>
      <c r="Q83" s="494"/>
      <c r="R83" s="494"/>
      <c r="S83" s="494"/>
      <c r="T83" s="494"/>
      <c r="U83" s="494"/>
      <c r="V83" s="494"/>
      <c r="W83" s="494"/>
      <c r="X83" s="494"/>
      <c r="Y83" s="494"/>
      <c r="Z83" s="494"/>
      <c r="AA83" s="494"/>
      <c r="AB83" s="494"/>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4"/>
      <c r="AY83" s="494"/>
      <c r="AZ83" s="494"/>
      <c r="BA83" s="494"/>
      <c r="BB83" s="494"/>
      <c r="BC83" s="494"/>
      <c r="BD83" s="494"/>
      <c r="BE83" s="494"/>
      <c r="BF83" s="494"/>
      <c r="BG83" s="494"/>
      <c r="BH83" s="494"/>
      <c r="BI83" s="494"/>
      <c r="BJ83" s="494"/>
      <c r="BK83" s="494"/>
      <c r="BL83" s="494"/>
      <c r="BM83" s="494"/>
      <c r="BN83" s="494"/>
      <c r="BO83" s="494"/>
      <c r="BP83" s="494"/>
      <c r="BQ83" s="494"/>
      <c r="BR83" s="494"/>
      <c r="BS83" s="494"/>
      <c r="BT83" s="494"/>
      <c r="BU83" s="494"/>
      <c r="BV83" s="494"/>
      <c r="BW83" s="494"/>
    </row>
    <row r="84" spans="2:75" s="493" customFormat="1">
      <c r="B84" s="494"/>
      <c r="C84" s="494"/>
      <c r="D84" s="494"/>
      <c r="E84" s="494"/>
      <c r="F84" s="494"/>
      <c r="K84" s="495"/>
      <c r="L84" s="495"/>
      <c r="M84" s="495"/>
      <c r="N84" s="495"/>
      <c r="O84" s="494"/>
      <c r="P84" s="494"/>
      <c r="Q84" s="494"/>
      <c r="R84" s="494"/>
      <c r="S84" s="494"/>
      <c r="T84" s="494"/>
      <c r="U84" s="494"/>
      <c r="V84" s="494"/>
      <c r="W84" s="494"/>
      <c r="X84" s="494"/>
      <c r="Y84" s="494"/>
      <c r="Z84" s="494"/>
      <c r="AA84" s="494"/>
      <c r="AB84" s="494"/>
      <c r="AC84" s="494"/>
      <c r="AD84" s="494"/>
      <c r="AE84" s="494"/>
      <c r="AF84" s="494"/>
      <c r="AG84" s="494"/>
      <c r="AH84" s="494"/>
      <c r="AI84" s="494"/>
      <c r="AJ84" s="494"/>
      <c r="AK84" s="494"/>
      <c r="AL84" s="494"/>
      <c r="AM84" s="494"/>
      <c r="AN84" s="494"/>
      <c r="AO84" s="494"/>
      <c r="AP84" s="494"/>
      <c r="AQ84" s="494"/>
      <c r="AR84" s="494"/>
      <c r="AS84" s="494"/>
      <c r="AT84" s="494"/>
      <c r="AU84" s="494"/>
      <c r="AV84" s="494"/>
      <c r="AW84" s="494"/>
      <c r="AX84" s="494"/>
      <c r="AY84" s="494"/>
      <c r="AZ84" s="494"/>
      <c r="BA84" s="494"/>
      <c r="BB84" s="494"/>
      <c r="BC84" s="494"/>
      <c r="BD84" s="494"/>
      <c r="BE84" s="494"/>
      <c r="BF84" s="494"/>
      <c r="BG84" s="494"/>
      <c r="BH84" s="494"/>
      <c r="BI84" s="494"/>
      <c r="BJ84" s="494"/>
      <c r="BK84" s="494"/>
      <c r="BL84" s="494"/>
      <c r="BM84" s="494"/>
      <c r="BN84" s="494"/>
      <c r="BO84" s="494"/>
      <c r="BP84" s="494"/>
      <c r="BQ84" s="494"/>
      <c r="BR84" s="494"/>
      <c r="BS84" s="494"/>
      <c r="BT84" s="494"/>
      <c r="BU84" s="494"/>
      <c r="BV84" s="494"/>
      <c r="BW84" s="494"/>
    </row>
    <row r="85" spans="2:75" s="493" customFormat="1">
      <c r="B85" s="494"/>
      <c r="C85" s="494"/>
      <c r="D85" s="494"/>
      <c r="E85" s="494"/>
      <c r="F85" s="494"/>
      <c r="K85" s="495"/>
      <c r="L85" s="495"/>
      <c r="M85" s="495"/>
      <c r="N85" s="495"/>
      <c r="O85" s="494"/>
      <c r="P85" s="494"/>
      <c r="Q85" s="494"/>
      <c r="R85" s="494"/>
      <c r="S85" s="494"/>
      <c r="T85" s="494"/>
      <c r="U85" s="494"/>
      <c r="V85" s="494"/>
      <c r="W85" s="494"/>
      <c r="X85" s="494"/>
      <c r="Y85" s="494"/>
      <c r="Z85" s="494"/>
      <c r="AA85" s="494"/>
      <c r="AB85" s="494"/>
      <c r="AC85" s="494"/>
      <c r="AD85" s="494"/>
      <c r="AE85" s="494"/>
      <c r="AF85" s="494"/>
      <c r="AG85" s="494"/>
      <c r="AH85" s="494"/>
      <c r="AI85" s="494"/>
      <c r="AJ85" s="494"/>
      <c r="AK85" s="494"/>
      <c r="AL85" s="494"/>
      <c r="AM85" s="494"/>
      <c r="AN85" s="494"/>
      <c r="AO85" s="494"/>
      <c r="AP85" s="494"/>
      <c r="AQ85" s="494"/>
      <c r="AR85" s="494"/>
      <c r="AS85" s="494"/>
      <c r="AT85" s="494"/>
      <c r="AU85" s="494"/>
      <c r="AV85" s="494"/>
      <c r="AW85" s="494"/>
      <c r="AX85" s="494"/>
      <c r="AY85" s="494"/>
      <c r="AZ85" s="494"/>
      <c r="BA85" s="494"/>
      <c r="BB85" s="494"/>
      <c r="BC85" s="494"/>
      <c r="BD85" s="494"/>
      <c r="BE85" s="494"/>
      <c r="BF85" s="494"/>
      <c r="BG85" s="494"/>
      <c r="BH85" s="494"/>
      <c r="BI85" s="494"/>
      <c r="BJ85" s="494"/>
      <c r="BK85" s="494"/>
      <c r="BL85" s="494"/>
      <c r="BM85" s="494"/>
      <c r="BN85" s="494"/>
      <c r="BO85" s="494"/>
      <c r="BP85" s="494"/>
      <c r="BQ85" s="494"/>
      <c r="BR85" s="494"/>
      <c r="BS85" s="494"/>
      <c r="BT85" s="494"/>
      <c r="BU85" s="494"/>
      <c r="BV85" s="494"/>
      <c r="BW85" s="494"/>
    </row>
    <row r="86" spans="2:75" s="493" customFormat="1">
      <c r="B86" s="494"/>
      <c r="C86" s="494"/>
      <c r="D86" s="494"/>
      <c r="E86" s="494"/>
      <c r="F86" s="494"/>
      <c r="K86" s="495"/>
      <c r="L86" s="495"/>
      <c r="M86" s="495"/>
      <c r="N86" s="495"/>
      <c r="O86" s="494"/>
      <c r="P86" s="494"/>
      <c r="Q86" s="494"/>
      <c r="R86" s="494"/>
      <c r="S86" s="494"/>
      <c r="T86" s="494"/>
      <c r="U86" s="494"/>
      <c r="V86" s="494"/>
      <c r="W86" s="494"/>
      <c r="X86" s="494"/>
      <c r="Y86" s="494"/>
      <c r="Z86" s="494"/>
      <c r="AA86" s="494"/>
      <c r="AB86" s="494"/>
      <c r="AC86" s="494"/>
      <c r="AD86" s="494"/>
      <c r="AE86" s="494"/>
      <c r="AF86" s="494"/>
      <c r="AG86" s="494"/>
      <c r="AH86" s="494"/>
      <c r="AI86" s="494"/>
      <c r="AJ86" s="494"/>
      <c r="AK86" s="494"/>
      <c r="AL86" s="494"/>
      <c r="AM86" s="494"/>
      <c r="AN86" s="494"/>
      <c r="AO86" s="494"/>
      <c r="AP86" s="494"/>
      <c r="AQ86" s="494"/>
      <c r="AR86" s="494"/>
      <c r="AS86" s="494"/>
      <c r="AT86" s="494"/>
      <c r="AU86" s="494"/>
      <c r="AV86" s="494"/>
      <c r="AW86" s="494"/>
      <c r="AX86" s="494"/>
      <c r="AY86" s="494"/>
      <c r="AZ86" s="494"/>
      <c r="BA86" s="494"/>
      <c r="BB86" s="494"/>
      <c r="BC86" s="494"/>
      <c r="BD86" s="494"/>
      <c r="BE86" s="494"/>
      <c r="BF86" s="494"/>
      <c r="BG86" s="494"/>
      <c r="BH86" s="494"/>
      <c r="BI86" s="494"/>
      <c r="BJ86" s="494"/>
      <c r="BK86" s="494"/>
      <c r="BL86" s="494"/>
      <c r="BM86" s="494"/>
      <c r="BN86" s="494"/>
      <c r="BO86" s="494"/>
      <c r="BP86" s="494"/>
      <c r="BQ86" s="494"/>
      <c r="BR86" s="494"/>
      <c r="BS86" s="494"/>
      <c r="BT86" s="494"/>
      <c r="BU86" s="494"/>
      <c r="BV86" s="494"/>
      <c r="BW86" s="494"/>
    </row>
    <row r="87" spans="2:75" s="493" customFormat="1">
      <c r="B87" s="494"/>
      <c r="C87" s="494"/>
      <c r="D87" s="494"/>
      <c r="E87" s="494"/>
      <c r="F87" s="494"/>
      <c r="K87" s="495"/>
      <c r="L87" s="495"/>
      <c r="M87" s="495"/>
      <c r="N87" s="495"/>
      <c r="O87" s="494"/>
      <c r="P87" s="494"/>
      <c r="Q87" s="494"/>
      <c r="R87" s="494"/>
      <c r="S87" s="494"/>
      <c r="T87" s="494"/>
      <c r="U87" s="494"/>
      <c r="V87" s="494"/>
      <c r="W87" s="494"/>
      <c r="X87" s="494"/>
      <c r="Y87" s="494"/>
      <c r="Z87" s="494"/>
      <c r="AA87" s="494"/>
      <c r="AB87" s="494"/>
      <c r="AC87" s="494"/>
      <c r="AD87" s="494"/>
      <c r="AE87" s="494"/>
      <c r="AF87" s="494"/>
      <c r="AG87" s="494"/>
      <c r="AH87" s="494"/>
      <c r="AI87" s="494"/>
      <c r="AJ87" s="494"/>
      <c r="AK87" s="494"/>
      <c r="AL87" s="494"/>
      <c r="AM87" s="494"/>
      <c r="AN87" s="494"/>
      <c r="AO87" s="494"/>
      <c r="AP87" s="494"/>
      <c r="AQ87" s="494"/>
      <c r="AR87" s="494"/>
      <c r="AS87" s="494"/>
      <c r="AT87" s="494"/>
      <c r="AU87" s="494"/>
      <c r="AV87" s="494"/>
      <c r="AW87" s="494"/>
      <c r="AX87" s="494"/>
      <c r="AY87" s="494"/>
      <c r="AZ87" s="494"/>
      <c r="BA87" s="494"/>
      <c r="BB87" s="494"/>
      <c r="BC87" s="494"/>
      <c r="BD87" s="494"/>
      <c r="BE87" s="494"/>
      <c r="BF87" s="494"/>
      <c r="BG87" s="494"/>
      <c r="BH87" s="494"/>
      <c r="BI87" s="494"/>
      <c r="BJ87" s="494"/>
      <c r="BK87" s="494"/>
      <c r="BL87" s="494"/>
      <c r="BM87" s="494"/>
      <c r="BN87" s="494"/>
      <c r="BO87" s="494"/>
      <c r="BP87" s="494"/>
      <c r="BQ87" s="494"/>
      <c r="BR87" s="494"/>
      <c r="BS87" s="494"/>
      <c r="BT87" s="494"/>
      <c r="BU87" s="494"/>
      <c r="BV87" s="494"/>
      <c r="BW87" s="494"/>
    </row>
    <row r="88" spans="2:75" s="493" customFormat="1">
      <c r="B88" s="494"/>
      <c r="C88" s="494"/>
      <c r="D88" s="494"/>
      <c r="E88" s="494"/>
      <c r="F88" s="494"/>
      <c r="K88" s="495"/>
      <c r="L88" s="495"/>
      <c r="M88" s="495"/>
      <c r="N88" s="495"/>
      <c r="O88" s="494"/>
      <c r="P88" s="494"/>
      <c r="Q88" s="494"/>
      <c r="R88" s="494"/>
      <c r="S88" s="494"/>
      <c r="T88" s="494"/>
      <c r="U88" s="494"/>
      <c r="V88" s="494"/>
      <c r="W88" s="494"/>
      <c r="X88" s="494"/>
      <c r="Y88" s="494"/>
      <c r="Z88" s="494"/>
      <c r="AA88" s="494"/>
      <c r="AB88" s="494"/>
      <c r="AC88" s="494"/>
      <c r="AD88" s="494"/>
      <c r="AE88" s="494"/>
      <c r="AF88" s="494"/>
      <c r="AG88" s="494"/>
      <c r="AH88" s="494"/>
      <c r="AI88" s="494"/>
      <c r="AJ88" s="494"/>
      <c r="AK88" s="494"/>
      <c r="AL88" s="494"/>
      <c r="AM88" s="494"/>
      <c r="AN88" s="494"/>
      <c r="AO88" s="494"/>
      <c r="AP88" s="494"/>
      <c r="AQ88" s="494"/>
      <c r="AR88" s="494"/>
      <c r="AS88" s="494"/>
      <c r="AT88" s="494"/>
      <c r="AU88" s="494"/>
      <c r="AV88" s="494"/>
      <c r="AW88" s="494"/>
      <c r="AX88" s="494"/>
      <c r="AY88" s="494"/>
      <c r="AZ88" s="494"/>
      <c r="BA88" s="494"/>
      <c r="BB88" s="494"/>
      <c r="BC88" s="494"/>
      <c r="BD88" s="494"/>
      <c r="BE88" s="494"/>
      <c r="BF88" s="494"/>
      <c r="BG88" s="494"/>
      <c r="BH88" s="494"/>
      <c r="BI88" s="494"/>
      <c r="BJ88" s="494"/>
      <c r="BK88" s="494"/>
      <c r="BL88" s="494"/>
      <c r="BM88" s="494"/>
      <c r="BN88" s="494"/>
      <c r="BO88" s="494"/>
      <c r="BP88" s="494"/>
      <c r="BQ88" s="494"/>
      <c r="BR88" s="494"/>
      <c r="BS88" s="494"/>
      <c r="BT88" s="494"/>
      <c r="BU88" s="494"/>
      <c r="BV88" s="494"/>
      <c r="BW88" s="494"/>
    </row>
    <row r="89" spans="2:75" s="493" customFormat="1">
      <c r="B89" s="494"/>
      <c r="C89" s="494"/>
      <c r="D89" s="494"/>
      <c r="E89" s="494"/>
      <c r="F89" s="494"/>
      <c r="K89" s="495"/>
      <c r="L89" s="495"/>
      <c r="M89" s="495"/>
      <c r="N89" s="495"/>
      <c r="O89" s="494"/>
      <c r="P89" s="494"/>
      <c r="Q89" s="494"/>
      <c r="R89" s="494"/>
      <c r="S89" s="494"/>
      <c r="T89" s="494"/>
      <c r="U89" s="494"/>
      <c r="V89" s="494"/>
      <c r="W89" s="494"/>
      <c r="X89" s="494"/>
      <c r="Y89" s="494"/>
      <c r="Z89" s="494"/>
      <c r="AA89" s="494"/>
      <c r="AB89" s="494"/>
      <c r="AC89" s="494"/>
      <c r="AD89" s="494"/>
      <c r="AE89" s="494"/>
      <c r="AF89" s="494"/>
      <c r="AG89" s="494"/>
      <c r="AH89" s="494"/>
      <c r="AI89" s="494"/>
      <c r="AJ89" s="494"/>
      <c r="AK89" s="494"/>
      <c r="AL89" s="494"/>
      <c r="AM89" s="494"/>
      <c r="AN89" s="494"/>
      <c r="AO89" s="494"/>
      <c r="AP89" s="494"/>
      <c r="AQ89" s="494"/>
      <c r="AR89" s="494"/>
      <c r="AS89" s="494"/>
      <c r="AT89" s="494"/>
      <c r="AU89" s="494"/>
      <c r="AV89" s="494"/>
      <c r="AW89" s="494"/>
      <c r="AX89" s="494"/>
      <c r="AY89" s="494"/>
      <c r="AZ89" s="494"/>
      <c r="BA89" s="494"/>
      <c r="BB89" s="494"/>
      <c r="BC89" s="494"/>
      <c r="BD89" s="494"/>
      <c r="BE89" s="494"/>
      <c r="BF89" s="494"/>
      <c r="BG89" s="494"/>
      <c r="BH89" s="494"/>
      <c r="BI89" s="494"/>
      <c r="BJ89" s="494"/>
      <c r="BK89" s="494"/>
      <c r="BL89" s="494"/>
      <c r="BM89" s="494"/>
      <c r="BN89" s="494"/>
      <c r="BO89" s="494"/>
      <c r="BP89" s="494"/>
      <c r="BQ89" s="494"/>
      <c r="BR89" s="494"/>
      <c r="BS89" s="494"/>
      <c r="BT89" s="494"/>
      <c r="BU89" s="494"/>
      <c r="BV89" s="494"/>
      <c r="BW89" s="494"/>
    </row>
    <row r="90" spans="2:75" s="493" customFormat="1">
      <c r="B90" s="494"/>
      <c r="C90" s="494"/>
      <c r="D90" s="494"/>
      <c r="E90" s="494"/>
      <c r="F90" s="494"/>
      <c r="K90" s="495"/>
      <c r="L90" s="495"/>
      <c r="M90" s="495"/>
      <c r="N90" s="495"/>
      <c r="O90" s="494"/>
      <c r="P90" s="494"/>
      <c r="Q90" s="494"/>
      <c r="R90" s="494"/>
      <c r="S90" s="494"/>
      <c r="T90" s="494"/>
      <c r="U90" s="494"/>
      <c r="V90" s="494"/>
      <c r="W90" s="494"/>
      <c r="X90" s="494"/>
      <c r="Y90" s="494"/>
      <c r="Z90" s="494"/>
      <c r="AA90" s="494"/>
      <c r="AB90" s="494"/>
      <c r="AC90" s="494"/>
      <c r="AD90" s="494"/>
      <c r="AE90" s="494"/>
      <c r="AF90" s="494"/>
      <c r="AG90" s="494"/>
      <c r="AH90" s="494"/>
      <c r="AI90" s="494"/>
      <c r="AJ90" s="494"/>
      <c r="AK90" s="494"/>
      <c r="AL90" s="494"/>
      <c r="AM90" s="494"/>
      <c r="AN90" s="494"/>
      <c r="AO90" s="494"/>
      <c r="AP90" s="494"/>
      <c r="AQ90" s="494"/>
      <c r="AR90" s="494"/>
      <c r="AS90" s="494"/>
      <c r="AT90" s="494"/>
      <c r="AU90" s="494"/>
      <c r="AV90" s="494"/>
      <c r="AW90" s="494"/>
      <c r="AX90" s="494"/>
      <c r="AY90" s="494"/>
      <c r="AZ90" s="494"/>
      <c r="BA90" s="494"/>
      <c r="BB90" s="494"/>
      <c r="BC90" s="494"/>
      <c r="BD90" s="494"/>
      <c r="BE90" s="494"/>
      <c r="BF90" s="494"/>
      <c r="BG90" s="494"/>
      <c r="BH90" s="494"/>
      <c r="BI90" s="494"/>
      <c r="BJ90" s="494"/>
      <c r="BK90" s="494"/>
      <c r="BL90" s="494"/>
      <c r="BM90" s="494"/>
      <c r="BN90" s="494"/>
      <c r="BO90" s="494"/>
      <c r="BP90" s="494"/>
      <c r="BQ90" s="494"/>
      <c r="BR90" s="494"/>
      <c r="BS90" s="494"/>
      <c r="BT90" s="494"/>
      <c r="BU90" s="494"/>
      <c r="BV90" s="494"/>
      <c r="BW90" s="494"/>
    </row>
    <row r="91" spans="2:75" s="493" customFormat="1">
      <c r="B91" s="494"/>
      <c r="C91" s="494"/>
      <c r="D91" s="494"/>
      <c r="E91" s="494"/>
      <c r="F91" s="494"/>
      <c r="K91" s="495"/>
      <c r="L91" s="495"/>
      <c r="M91" s="495"/>
      <c r="N91" s="495"/>
      <c r="O91" s="494"/>
      <c r="P91" s="494"/>
      <c r="Q91" s="494"/>
      <c r="R91" s="494"/>
      <c r="S91" s="494"/>
      <c r="T91" s="494"/>
      <c r="U91" s="494"/>
      <c r="V91" s="494"/>
      <c r="W91" s="494"/>
      <c r="X91" s="494"/>
      <c r="Y91" s="494"/>
      <c r="Z91" s="494"/>
      <c r="AA91" s="494"/>
      <c r="AB91" s="494"/>
      <c r="AC91" s="494"/>
      <c r="AD91" s="494"/>
      <c r="AE91" s="494"/>
      <c r="AF91" s="494"/>
      <c r="AG91" s="494"/>
      <c r="AH91" s="494"/>
      <c r="AI91" s="494"/>
      <c r="AJ91" s="494"/>
      <c r="AK91" s="494"/>
      <c r="AL91" s="494"/>
      <c r="AM91" s="494"/>
      <c r="AN91" s="494"/>
      <c r="AO91" s="494"/>
      <c r="AP91" s="494"/>
      <c r="AQ91" s="494"/>
      <c r="AR91" s="494"/>
      <c r="AS91" s="494"/>
      <c r="AT91" s="494"/>
      <c r="AU91" s="494"/>
      <c r="AV91" s="494"/>
      <c r="AW91" s="494"/>
      <c r="AX91" s="494"/>
      <c r="AY91" s="494"/>
      <c r="AZ91" s="494"/>
      <c r="BA91" s="494"/>
      <c r="BB91" s="494"/>
      <c r="BC91" s="494"/>
      <c r="BD91" s="494"/>
      <c r="BE91" s="494"/>
      <c r="BF91" s="494"/>
      <c r="BG91" s="494"/>
      <c r="BH91" s="494"/>
      <c r="BI91" s="494"/>
      <c r="BJ91" s="494"/>
      <c r="BK91" s="494"/>
      <c r="BL91" s="494"/>
      <c r="BM91" s="494"/>
      <c r="BN91" s="494"/>
      <c r="BO91" s="494"/>
      <c r="BP91" s="494"/>
      <c r="BQ91" s="494"/>
      <c r="BR91" s="494"/>
      <c r="BS91" s="494"/>
      <c r="BT91" s="494"/>
      <c r="BU91" s="494"/>
      <c r="BV91" s="494"/>
      <c r="BW91" s="494"/>
    </row>
    <row r="92" spans="2:75" s="493" customFormat="1">
      <c r="B92" s="494"/>
      <c r="C92" s="494"/>
      <c r="D92" s="494"/>
      <c r="E92" s="494"/>
      <c r="F92" s="494"/>
      <c r="K92" s="495"/>
      <c r="L92" s="495"/>
      <c r="M92" s="495"/>
      <c r="N92" s="495"/>
      <c r="O92" s="494"/>
      <c r="P92" s="494"/>
      <c r="Q92" s="494"/>
      <c r="R92" s="494"/>
      <c r="S92" s="494"/>
      <c r="T92" s="494"/>
      <c r="U92" s="494"/>
      <c r="V92" s="494"/>
      <c r="W92" s="494"/>
      <c r="X92" s="494"/>
      <c r="Y92" s="494"/>
      <c r="Z92" s="494"/>
      <c r="AA92" s="494"/>
      <c r="AB92" s="494"/>
      <c r="AC92" s="494"/>
      <c r="AD92" s="494"/>
      <c r="AE92" s="494"/>
      <c r="AF92" s="494"/>
      <c r="AG92" s="494"/>
      <c r="AH92" s="494"/>
      <c r="AI92" s="494"/>
      <c r="AJ92" s="494"/>
      <c r="AK92" s="494"/>
      <c r="AL92" s="494"/>
      <c r="AM92" s="494"/>
      <c r="AN92" s="494"/>
      <c r="AO92" s="494"/>
      <c r="AP92" s="494"/>
      <c r="AQ92" s="494"/>
      <c r="AR92" s="494"/>
      <c r="AS92" s="494"/>
      <c r="AT92" s="494"/>
      <c r="AU92" s="494"/>
      <c r="AV92" s="494"/>
      <c r="AW92" s="494"/>
      <c r="AX92" s="494"/>
      <c r="AY92" s="494"/>
      <c r="AZ92" s="494"/>
      <c r="BA92" s="494"/>
      <c r="BB92" s="494"/>
      <c r="BC92" s="494"/>
      <c r="BD92" s="494"/>
      <c r="BE92" s="494"/>
      <c r="BF92" s="494"/>
      <c r="BG92" s="494"/>
      <c r="BH92" s="494"/>
      <c r="BI92" s="494"/>
      <c r="BJ92" s="494"/>
      <c r="BK92" s="494"/>
      <c r="BL92" s="494"/>
      <c r="BM92" s="494"/>
      <c r="BN92" s="494"/>
      <c r="BO92" s="494"/>
      <c r="BP92" s="494"/>
      <c r="BQ92" s="494"/>
      <c r="BR92" s="494"/>
      <c r="BS92" s="494"/>
      <c r="BT92" s="494"/>
      <c r="BU92" s="494"/>
      <c r="BV92" s="494"/>
      <c r="BW92" s="494"/>
    </row>
    <row r="93" spans="2:75" s="493" customFormat="1">
      <c r="B93" s="494"/>
      <c r="C93" s="494"/>
      <c r="D93" s="494"/>
      <c r="E93" s="494"/>
      <c r="F93" s="494"/>
      <c r="K93" s="495"/>
      <c r="L93" s="495"/>
      <c r="M93" s="495"/>
      <c r="N93" s="495"/>
      <c r="O93" s="494"/>
      <c r="P93" s="494"/>
      <c r="Q93" s="494"/>
      <c r="R93" s="494"/>
      <c r="S93" s="494"/>
      <c r="T93" s="494"/>
      <c r="U93" s="494"/>
      <c r="V93" s="494"/>
      <c r="W93" s="494"/>
      <c r="X93" s="494"/>
      <c r="Y93" s="494"/>
      <c r="Z93" s="494"/>
      <c r="AA93" s="494"/>
      <c r="AB93" s="494"/>
      <c r="AC93" s="494"/>
      <c r="AD93" s="494"/>
      <c r="AE93" s="494"/>
      <c r="AF93" s="494"/>
      <c r="AG93" s="494"/>
      <c r="AH93" s="494"/>
      <c r="AI93" s="494"/>
      <c r="AJ93" s="494"/>
      <c r="AK93" s="494"/>
      <c r="AL93" s="494"/>
      <c r="AM93" s="494"/>
      <c r="AN93" s="494"/>
      <c r="AO93" s="494"/>
      <c r="AP93" s="494"/>
      <c r="AQ93" s="494"/>
      <c r="AR93" s="494"/>
      <c r="AS93" s="494"/>
      <c r="AT93" s="494"/>
      <c r="AU93" s="494"/>
      <c r="AV93" s="494"/>
      <c r="AW93" s="494"/>
      <c r="AX93" s="494"/>
      <c r="AY93" s="494"/>
      <c r="AZ93" s="494"/>
      <c r="BA93" s="494"/>
      <c r="BB93" s="494"/>
      <c r="BC93" s="494"/>
      <c r="BD93" s="494"/>
      <c r="BE93" s="494"/>
      <c r="BF93" s="494"/>
      <c r="BG93" s="494"/>
      <c r="BH93" s="494"/>
      <c r="BI93" s="494"/>
      <c r="BJ93" s="494"/>
      <c r="BK93" s="494"/>
      <c r="BL93" s="494"/>
      <c r="BM93" s="494"/>
      <c r="BN93" s="494"/>
      <c r="BO93" s="494"/>
      <c r="BP93" s="494"/>
      <c r="BQ93" s="494"/>
      <c r="BR93" s="494"/>
      <c r="BS93" s="494"/>
      <c r="BT93" s="494"/>
      <c r="BU93" s="494"/>
      <c r="BV93" s="494"/>
      <c r="BW93" s="494"/>
    </row>
    <row r="94" spans="2:75" s="493" customFormat="1">
      <c r="B94" s="494"/>
      <c r="C94" s="494"/>
      <c r="D94" s="494"/>
      <c r="E94" s="494"/>
      <c r="F94" s="494"/>
      <c r="K94" s="495"/>
      <c r="L94" s="495"/>
      <c r="M94" s="495"/>
      <c r="N94" s="495"/>
      <c r="O94" s="494"/>
      <c r="P94" s="494"/>
      <c r="Q94" s="494"/>
      <c r="R94" s="494"/>
      <c r="S94" s="494"/>
      <c r="T94" s="494"/>
      <c r="U94" s="494"/>
      <c r="V94" s="494"/>
      <c r="W94" s="494"/>
      <c r="X94" s="494"/>
      <c r="Y94" s="494"/>
      <c r="Z94" s="494"/>
      <c r="AA94" s="494"/>
      <c r="AB94" s="494"/>
      <c r="AC94" s="494"/>
      <c r="AD94" s="494"/>
      <c r="AE94" s="494"/>
      <c r="AF94" s="494"/>
      <c r="AG94" s="494"/>
      <c r="AH94" s="494"/>
      <c r="AI94" s="494"/>
      <c r="AJ94" s="494"/>
      <c r="AK94" s="494"/>
      <c r="AL94" s="494"/>
      <c r="AM94" s="494"/>
      <c r="AN94" s="494"/>
      <c r="AO94" s="494"/>
      <c r="AP94" s="494"/>
      <c r="AQ94" s="494"/>
      <c r="AR94" s="494"/>
      <c r="AS94" s="494"/>
      <c r="AT94" s="494"/>
      <c r="AU94" s="494"/>
      <c r="AV94" s="494"/>
      <c r="AW94" s="494"/>
      <c r="AX94" s="494"/>
      <c r="AY94" s="494"/>
      <c r="AZ94" s="494"/>
      <c r="BA94" s="494"/>
      <c r="BB94" s="494"/>
      <c r="BC94" s="494"/>
      <c r="BD94" s="494"/>
      <c r="BE94" s="494"/>
      <c r="BF94" s="494"/>
      <c r="BG94" s="494"/>
      <c r="BH94" s="494"/>
      <c r="BI94" s="494"/>
      <c r="BJ94" s="494"/>
      <c r="BK94" s="494"/>
      <c r="BL94" s="494"/>
      <c r="BM94" s="494"/>
      <c r="BN94" s="494"/>
      <c r="BO94" s="494"/>
      <c r="BP94" s="494"/>
      <c r="BQ94" s="494"/>
      <c r="BR94" s="494"/>
      <c r="BS94" s="494"/>
      <c r="BT94" s="494"/>
      <c r="BU94" s="494"/>
      <c r="BV94" s="494"/>
      <c r="BW94" s="494"/>
    </row>
    <row r="95" spans="2:75" s="493" customFormat="1">
      <c r="B95" s="494"/>
      <c r="C95" s="494"/>
      <c r="D95" s="494"/>
      <c r="E95" s="494"/>
      <c r="F95" s="494"/>
      <c r="K95" s="495"/>
      <c r="L95" s="495"/>
      <c r="M95" s="495"/>
      <c r="N95" s="495"/>
      <c r="O95" s="494"/>
      <c r="P95" s="494"/>
      <c r="Q95" s="494"/>
      <c r="R95" s="494"/>
      <c r="S95" s="494"/>
      <c r="T95" s="494"/>
      <c r="U95" s="494"/>
      <c r="V95" s="494"/>
      <c r="W95" s="494"/>
      <c r="X95" s="494"/>
      <c r="Y95" s="494"/>
      <c r="Z95" s="494"/>
      <c r="AA95" s="494"/>
      <c r="AB95" s="494"/>
      <c r="AC95" s="494"/>
      <c r="AD95" s="494"/>
      <c r="AE95" s="494"/>
      <c r="AF95" s="494"/>
      <c r="AG95" s="494"/>
      <c r="AH95" s="494"/>
      <c r="AI95" s="494"/>
      <c r="AJ95" s="494"/>
      <c r="AK95" s="494"/>
      <c r="AL95" s="494"/>
      <c r="AM95" s="494"/>
      <c r="AN95" s="494"/>
      <c r="AO95" s="494"/>
      <c r="AP95" s="494"/>
      <c r="AQ95" s="494"/>
      <c r="AR95" s="494"/>
      <c r="AS95" s="494"/>
      <c r="AT95" s="494"/>
      <c r="AU95" s="494"/>
      <c r="AV95" s="494"/>
      <c r="AW95" s="494"/>
      <c r="AX95" s="494"/>
      <c r="AY95" s="494"/>
      <c r="AZ95" s="494"/>
      <c r="BA95" s="494"/>
      <c r="BB95" s="494"/>
      <c r="BC95" s="494"/>
      <c r="BD95" s="494"/>
      <c r="BE95" s="494"/>
      <c r="BF95" s="494"/>
      <c r="BG95" s="494"/>
      <c r="BH95" s="494"/>
      <c r="BI95" s="494"/>
      <c r="BJ95" s="494"/>
      <c r="BK95" s="494"/>
      <c r="BL95" s="494"/>
      <c r="BM95" s="494"/>
      <c r="BN95" s="494"/>
      <c r="BO95" s="494"/>
      <c r="BP95" s="494"/>
      <c r="BQ95" s="494"/>
      <c r="BR95" s="494"/>
      <c r="BS95" s="494"/>
      <c r="BT95" s="494"/>
      <c r="BU95" s="494"/>
      <c r="BV95" s="494"/>
      <c r="BW95" s="494"/>
    </row>
    <row r="96" spans="2:75" s="493" customFormat="1">
      <c r="B96" s="494"/>
      <c r="C96" s="494"/>
      <c r="D96" s="494"/>
      <c r="E96" s="494"/>
      <c r="F96" s="494"/>
      <c r="K96" s="495"/>
      <c r="L96" s="495"/>
      <c r="M96" s="495"/>
      <c r="N96" s="495"/>
      <c r="O96" s="494"/>
      <c r="P96" s="494"/>
      <c r="Q96" s="494"/>
      <c r="R96" s="494"/>
      <c r="S96" s="494"/>
      <c r="T96" s="494"/>
      <c r="U96" s="494"/>
      <c r="V96" s="494"/>
      <c r="W96" s="494"/>
      <c r="X96" s="494"/>
      <c r="Y96" s="494"/>
      <c r="Z96" s="494"/>
      <c r="AA96" s="494"/>
      <c r="AB96" s="494"/>
      <c r="AC96" s="494"/>
      <c r="AD96" s="494"/>
      <c r="AE96" s="494"/>
      <c r="AF96" s="494"/>
      <c r="AG96" s="494"/>
      <c r="AH96" s="494"/>
      <c r="AI96" s="494"/>
      <c r="AJ96" s="494"/>
      <c r="AK96" s="494"/>
      <c r="AL96" s="494"/>
      <c r="AM96" s="494"/>
      <c r="AN96" s="494"/>
      <c r="AO96" s="494"/>
      <c r="AP96" s="494"/>
      <c r="AQ96" s="494"/>
      <c r="AR96" s="494"/>
      <c r="AS96" s="494"/>
      <c r="AT96" s="494"/>
      <c r="AU96" s="494"/>
      <c r="AV96" s="494"/>
      <c r="AW96" s="494"/>
      <c r="AX96" s="494"/>
      <c r="AY96" s="494"/>
      <c r="AZ96" s="494"/>
      <c r="BA96" s="494"/>
      <c r="BB96" s="494"/>
      <c r="BC96" s="494"/>
      <c r="BD96" s="494"/>
      <c r="BE96" s="494"/>
      <c r="BF96" s="494"/>
      <c r="BG96" s="494"/>
      <c r="BH96" s="494"/>
      <c r="BI96" s="494"/>
      <c r="BJ96" s="494"/>
      <c r="BK96" s="494"/>
      <c r="BL96" s="494"/>
      <c r="BM96" s="494"/>
      <c r="BN96" s="494"/>
      <c r="BO96" s="494"/>
      <c r="BP96" s="494"/>
      <c r="BQ96" s="494"/>
      <c r="BR96" s="494"/>
      <c r="BS96" s="494"/>
      <c r="BT96" s="494"/>
      <c r="BU96" s="494"/>
      <c r="BV96" s="494"/>
      <c r="BW96" s="494"/>
    </row>
    <row r="97" spans="2:75" s="493" customFormat="1">
      <c r="B97" s="494"/>
      <c r="C97" s="494"/>
      <c r="D97" s="494"/>
      <c r="E97" s="494"/>
      <c r="F97" s="494"/>
      <c r="K97" s="495"/>
      <c r="L97" s="495"/>
      <c r="M97" s="495"/>
      <c r="N97" s="495"/>
      <c r="O97" s="494"/>
      <c r="P97" s="494"/>
      <c r="Q97" s="494"/>
      <c r="R97" s="494"/>
      <c r="S97" s="494"/>
      <c r="T97" s="494"/>
      <c r="U97" s="494"/>
      <c r="V97" s="494"/>
      <c r="W97" s="494"/>
      <c r="X97" s="494"/>
      <c r="Y97" s="494"/>
      <c r="Z97" s="494"/>
      <c r="AA97" s="494"/>
      <c r="AB97" s="494"/>
      <c r="AC97" s="494"/>
      <c r="AD97" s="494"/>
      <c r="AE97" s="494"/>
      <c r="AF97" s="494"/>
      <c r="AG97" s="494"/>
      <c r="AH97" s="494"/>
      <c r="AI97" s="494"/>
      <c r="AJ97" s="494"/>
      <c r="AK97" s="494"/>
      <c r="AL97" s="494"/>
      <c r="AM97" s="494"/>
      <c r="AN97" s="494"/>
      <c r="AO97" s="494"/>
      <c r="AP97" s="494"/>
      <c r="AQ97" s="494"/>
      <c r="AR97" s="494"/>
      <c r="AS97" s="494"/>
      <c r="AT97" s="494"/>
      <c r="AU97" s="494"/>
      <c r="AV97" s="494"/>
      <c r="AW97" s="494"/>
      <c r="AX97" s="494"/>
      <c r="AY97" s="494"/>
      <c r="AZ97" s="494"/>
      <c r="BA97" s="494"/>
      <c r="BB97" s="494"/>
      <c r="BC97" s="494"/>
      <c r="BD97" s="494"/>
      <c r="BE97" s="494"/>
      <c r="BF97" s="494"/>
      <c r="BG97" s="494"/>
      <c r="BH97" s="494"/>
      <c r="BI97" s="494"/>
      <c r="BJ97" s="494"/>
      <c r="BK97" s="494"/>
      <c r="BL97" s="494"/>
      <c r="BM97" s="494"/>
      <c r="BN97" s="494"/>
      <c r="BO97" s="494"/>
      <c r="BP97" s="494"/>
      <c r="BQ97" s="494"/>
      <c r="BR97" s="494"/>
      <c r="BS97" s="494"/>
      <c r="BT97" s="494"/>
      <c r="BU97" s="494"/>
      <c r="BV97" s="494"/>
      <c r="BW97" s="494"/>
    </row>
    <row r="98" spans="2:75" s="493" customFormat="1">
      <c r="B98" s="494"/>
      <c r="C98" s="494"/>
      <c r="D98" s="494"/>
      <c r="E98" s="494"/>
      <c r="F98" s="494"/>
      <c r="K98" s="495"/>
      <c r="L98" s="495"/>
      <c r="M98" s="495"/>
      <c r="N98" s="495"/>
      <c r="O98" s="494"/>
      <c r="P98" s="494"/>
      <c r="Q98" s="494"/>
      <c r="R98" s="494"/>
      <c r="S98" s="494"/>
      <c r="T98" s="494"/>
      <c r="U98" s="494"/>
      <c r="V98" s="494"/>
      <c r="W98" s="494"/>
      <c r="X98" s="494"/>
      <c r="Y98" s="494"/>
      <c r="Z98" s="494"/>
      <c r="AA98" s="494"/>
      <c r="AB98" s="494"/>
      <c r="AC98" s="494"/>
      <c r="AD98" s="494"/>
      <c r="AE98" s="494"/>
      <c r="AF98" s="494"/>
      <c r="AG98" s="494"/>
      <c r="AH98" s="494"/>
      <c r="AI98" s="494"/>
      <c r="AJ98" s="494"/>
      <c r="AK98" s="494"/>
      <c r="AL98" s="494"/>
      <c r="AM98" s="494"/>
      <c r="AN98" s="494"/>
      <c r="AO98" s="494"/>
      <c r="AP98" s="494"/>
      <c r="AQ98" s="494"/>
      <c r="AR98" s="494"/>
      <c r="AS98" s="494"/>
      <c r="AT98" s="494"/>
      <c r="AU98" s="494"/>
      <c r="AV98" s="494"/>
      <c r="AW98" s="494"/>
      <c r="AX98" s="494"/>
      <c r="AY98" s="494"/>
      <c r="AZ98" s="494"/>
      <c r="BA98" s="494"/>
      <c r="BB98" s="494"/>
      <c r="BC98" s="494"/>
      <c r="BD98" s="494"/>
      <c r="BE98" s="494"/>
      <c r="BF98" s="494"/>
      <c r="BG98" s="494"/>
      <c r="BH98" s="494"/>
      <c r="BI98" s="494"/>
      <c r="BJ98" s="494"/>
      <c r="BK98" s="494"/>
      <c r="BL98" s="494"/>
      <c r="BM98" s="494"/>
      <c r="BN98" s="494"/>
      <c r="BO98" s="494"/>
      <c r="BP98" s="494"/>
      <c r="BQ98" s="494"/>
      <c r="BR98" s="494"/>
      <c r="BS98" s="494"/>
      <c r="BT98" s="494"/>
      <c r="BU98" s="494"/>
      <c r="BV98" s="494"/>
      <c r="BW98" s="494"/>
    </row>
    <row r="99" spans="2:75" s="493" customFormat="1">
      <c r="B99" s="494"/>
      <c r="C99" s="494"/>
      <c r="D99" s="494"/>
      <c r="E99" s="494"/>
      <c r="F99" s="494"/>
      <c r="K99" s="495"/>
      <c r="L99" s="495"/>
      <c r="M99" s="495"/>
      <c r="N99" s="495"/>
      <c r="O99" s="494"/>
      <c r="P99" s="494"/>
      <c r="Q99" s="494"/>
      <c r="R99" s="494"/>
      <c r="S99" s="494"/>
      <c r="T99" s="494"/>
      <c r="U99" s="494"/>
      <c r="V99" s="494"/>
      <c r="W99" s="494"/>
      <c r="X99" s="494"/>
      <c r="Y99" s="494"/>
      <c r="Z99" s="494"/>
      <c r="AA99" s="494"/>
      <c r="AB99" s="494"/>
      <c r="AC99" s="494"/>
      <c r="AD99" s="494"/>
      <c r="AE99" s="494"/>
      <c r="AF99" s="494"/>
      <c r="AG99" s="494"/>
      <c r="AH99" s="494"/>
      <c r="AI99" s="494"/>
      <c r="AJ99" s="494"/>
      <c r="AK99" s="494"/>
      <c r="AL99" s="494"/>
      <c r="AM99" s="494"/>
      <c r="AN99" s="494"/>
      <c r="AO99" s="494"/>
      <c r="AP99" s="494"/>
      <c r="AQ99" s="494"/>
      <c r="AR99" s="494"/>
      <c r="AS99" s="494"/>
      <c r="AT99" s="494"/>
      <c r="AU99" s="494"/>
      <c r="AV99" s="494"/>
      <c r="AW99" s="494"/>
      <c r="AX99" s="494"/>
      <c r="AY99" s="494"/>
      <c r="AZ99" s="494"/>
      <c r="BA99" s="494"/>
      <c r="BB99" s="494"/>
      <c r="BC99" s="494"/>
      <c r="BD99" s="494"/>
      <c r="BE99" s="494"/>
      <c r="BF99" s="494"/>
      <c r="BG99" s="494"/>
      <c r="BH99" s="494"/>
      <c r="BI99" s="494"/>
      <c r="BJ99" s="494"/>
      <c r="BK99" s="494"/>
      <c r="BL99" s="494"/>
      <c r="BM99" s="494"/>
      <c r="BN99" s="494"/>
      <c r="BO99" s="494"/>
      <c r="BP99" s="494"/>
      <c r="BQ99" s="494"/>
      <c r="BR99" s="494"/>
      <c r="BS99" s="494"/>
      <c r="BT99" s="494"/>
      <c r="BU99" s="494"/>
      <c r="BV99" s="494"/>
      <c r="BW99" s="494"/>
    </row>
    <row r="100" spans="2:75" s="493" customFormat="1">
      <c r="B100" s="494"/>
      <c r="C100" s="494"/>
      <c r="D100" s="494"/>
      <c r="E100" s="494"/>
      <c r="F100" s="494"/>
      <c r="K100" s="495"/>
      <c r="L100" s="495"/>
      <c r="M100" s="495"/>
      <c r="N100" s="495"/>
      <c r="O100" s="494"/>
      <c r="P100" s="494"/>
      <c r="Q100" s="494"/>
      <c r="R100" s="494"/>
      <c r="S100" s="494"/>
      <c r="T100" s="494"/>
      <c r="U100" s="494"/>
      <c r="V100" s="494"/>
      <c r="W100" s="494"/>
      <c r="X100" s="494"/>
      <c r="Y100" s="494"/>
      <c r="Z100" s="494"/>
      <c r="AA100" s="494"/>
      <c r="AB100" s="494"/>
      <c r="AC100" s="494"/>
      <c r="AD100" s="494"/>
      <c r="AE100" s="494"/>
      <c r="AF100" s="494"/>
      <c r="AG100" s="494"/>
      <c r="AH100" s="494"/>
      <c r="AI100" s="494"/>
      <c r="AJ100" s="494"/>
      <c r="AK100" s="494"/>
      <c r="AL100" s="494"/>
      <c r="AM100" s="494"/>
      <c r="AN100" s="494"/>
      <c r="AO100" s="494"/>
      <c r="AP100" s="494"/>
      <c r="AQ100" s="494"/>
      <c r="AR100" s="494"/>
      <c r="AS100" s="494"/>
      <c r="AT100" s="494"/>
      <c r="AU100" s="494"/>
      <c r="AV100" s="494"/>
      <c r="AW100" s="494"/>
      <c r="AX100" s="494"/>
      <c r="AY100" s="494"/>
      <c r="AZ100" s="494"/>
      <c r="BA100" s="494"/>
      <c r="BB100" s="494"/>
      <c r="BC100" s="494"/>
      <c r="BD100" s="494"/>
      <c r="BE100" s="494"/>
      <c r="BF100" s="494"/>
      <c r="BG100" s="494"/>
      <c r="BH100" s="494"/>
      <c r="BI100" s="494"/>
      <c r="BJ100" s="494"/>
      <c r="BK100" s="494"/>
      <c r="BL100" s="494"/>
      <c r="BM100" s="494"/>
      <c r="BN100" s="494"/>
      <c r="BO100" s="494"/>
      <c r="BP100" s="494"/>
      <c r="BQ100" s="494"/>
      <c r="BR100" s="494"/>
      <c r="BS100" s="494"/>
      <c r="BT100" s="494"/>
      <c r="BU100" s="494"/>
      <c r="BV100" s="494"/>
      <c r="BW100" s="494"/>
    </row>
    <row r="101" spans="2:75" s="493" customFormat="1">
      <c r="B101" s="494"/>
      <c r="C101" s="494"/>
      <c r="D101" s="494"/>
      <c r="E101" s="494"/>
      <c r="F101" s="494"/>
      <c r="K101" s="495"/>
      <c r="L101" s="495"/>
      <c r="M101" s="495"/>
      <c r="N101" s="495"/>
      <c r="O101" s="494"/>
      <c r="P101" s="494"/>
      <c r="Q101" s="494"/>
      <c r="R101" s="494"/>
      <c r="S101" s="494"/>
      <c r="T101" s="494"/>
      <c r="U101" s="494"/>
      <c r="V101" s="494"/>
      <c r="W101" s="494"/>
      <c r="X101" s="494"/>
      <c r="Y101" s="494"/>
      <c r="Z101" s="494"/>
      <c r="AA101" s="494"/>
      <c r="AB101" s="494"/>
      <c r="AC101" s="494"/>
      <c r="AD101" s="494"/>
      <c r="AE101" s="494"/>
      <c r="AF101" s="494"/>
      <c r="AG101" s="494"/>
      <c r="AH101" s="494"/>
      <c r="AI101" s="494"/>
      <c r="AJ101" s="494"/>
      <c r="AK101" s="494"/>
      <c r="AL101" s="494"/>
      <c r="AM101" s="494"/>
      <c r="AN101" s="494"/>
      <c r="AO101" s="494"/>
      <c r="AP101" s="494"/>
      <c r="AQ101" s="494"/>
      <c r="AR101" s="494"/>
      <c r="AS101" s="494"/>
      <c r="AT101" s="494"/>
      <c r="AU101" s="494"/>
      <c r="AV101" s="494"/>
      <c r="AW101" s="494"/>
      <c r="AX101" s="494"/>
      <c r="AY101" s="494"/>
      <c r="AZ101" s="494"/>
      <c r="BA101" s="494"/>
      <c r="BB101" s="494"/>
      <c r="BC101" s="494"/>
      <c r="BD101" s="494"/>
      <c r="BE101" s="494"/>
      <c r="BF101" s="494"/>
      <c r="BG101" s="494"/>
      <c r="BH101" s="494"/>
      <c r="BI101" s="494"/>
      <c r="BJ101" s="494"/>
      <c r="BK101" s="494"/>
      <c r="BL101" s="494"/>
      <c r="BM101" s="494"/>
      <c r="BN101" s="494"/>
      <c r="BO101" s="494"/>
      <c r="BP101" s="494"/>
      <c r="BQ101" s="494"/>
      <c r="BR101" s="494"/>
      <c r="BS101" s="494"/>
      <c r="BT101" s="494"/>
      <c r="BU101" s="494"/>
      <c r="BV101" s="494"/>
      <c r="BW101" s="494"/>
    </row>
  </sheetData>
  <pageMargins left="0" right="0" top="1" bottom="1" header="0.5" footer="0.5"/>
  <pageSetup scale="83" fitToHeight="4" orientation="landscape" draft="1" r:id="rId1"/>
  <headerFooter alignWithMargins="0"/>
  <ignoredErrors>
    <ignoredError sqref="D22"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BS106"/>
  <sheetViews>
    <sheetView topLeftCell="A6" zoomScaleNormal="100" workbookViewId="0">
      <selection activeCell="B46" sqref="B46"/>
    </sheetView>
  </sheetViews>
  <sheetFormatPr defaultRowHeight="15" outlineLevelRow="1" outlineLevelCol="1"/>
  <cols>
    <col min="1" max="1" width="14.140625" style="494" bestFit="1" customWidth="1"/>
    <col min="2" max="2" width="33.42578125" style="494" customWidth="1"/>
    <col min="3" max="3" width="1.7109375" style="494" customWidth="1" outlineLevel="1"/>
    <col min="4" max="4" width="9.28515625" style="494" customWidth="1" outlineLevel="1"/>
    <col min="5" max="5" width="19.140625" style="494" customWidth="1" outlineLevel="1"/>
    <col min="6" max="6" width="1.7109375" style="494" customWidth="1"/>
    <col min="7" max="7" width="18" style="493" bestFit="1" customWidth="1" outlineLevel="1" collapsed="1"/>
    <col min="8" max="10" width="15.28515625" style="493" customWidth="1" outlineLevel="1"/>
    <col min="11" max="233" width="8.85546875" style="494"/>
    <col min="234" max="234" width="35" style="494" customWidth="1"/>
    <col min="235" max="238" width="14.42578125" style="494" customWidth="1"/>
    <col min="239" max="239" width="2.42578125" style="494" customWidth="1"/>
    <col min="240" max="243" width="14.42578125" style="494" customWidth="1"/>
    <col min="244" max="244" width="2.42578125" style="494" customWidth="1"/>
    <col min="245" max="245" width="52.140625" style="494" customWidth="1"/>
    <col min="246" max="489" width="8.85546875" style="494"/>
    <col min="490" max="490" width="35" style="494" customWidth="1"/>
    <col min="491" max="494" width="14.42578125" style="494" customWidth="1"/>
    <col min="495" max="495" width="2.42578125" style="494" customWidth="1"/>
    <col min="496" max="499" width="14.42578125" style="494" customWidth="1"/>
    <col min="500" max="500" width="2.42578125" style="494" customWidth="1"/>
    <col min="501" max="501" width="52.140625" style="494" customWidth="1"/>
    <col min="502" max="745" width="8.85546875" style="494"/>
    <col min="746" max="746" width="35" style="494" customWidth="1"/>
    <col min="747" max="750" width="14.42578125" style="494" customWidth="1"/>
    <col min="751" max="751" width="2.42578125" style="494" customWidth="1"/>
    <col min="752" max="755" width="14.42578125" style="494" customWidth="1"/>
    <col min="756" max="756" width="2.42578125" style="494" customWidth="1"/>
    <col min="757" max="757" width="52.140625" style="494" customWidth="1"/>
    <col min="758" max="1001" width="8.85546875" style="494"/>
    <col min="1002" max="1002" width="35" style="494" customWidth="1"/>
    <col min="1003" max="1006" width="14.42578125" style="494" customWidth="1"/>
    <col min="1007" max="1007" width="2.42578125" style="494" customWidth="1"/>
    <col min="1008" max="1011" width="14.42578125" style="494" customWidth="1"/>
    <col min="1012" max="1012" width="2.42578125" style="494" customWidth="1"/>
    <col min="1013" max="1013" width="52.140625" style="494" customWidth="1"/>
    <col min="1014" max="1257" width="8.85546875" style="494"/>
    <col min="1258" max="1258" width="35" style="494" customWidth="1"/>
    <col min="1259" max="1262" width="14.42578125" style="494" customWidth="1"/>
    <col min="1263" max="1263" width="2.42578125" style="494" customWidth="1"/>
    <col min="1264" max="1267" width="14.42578125" style="494" customWidth="1"/>
    <col min="1268" max="1268" width="2.42578125" style="494" customWidth="1"/>
    <col min="1269" max="1269" width="52.140625" style="494" customWidth="1"/>
    <col min="1270" max="1513" width="8.85546875" style="494"/>
    <col min="1514" max="1514" width="35" style="494" customWidth="1"/>
    <col min="1515" max="1518" width="14.42578125" style="494" customWidth="1"/>
    <col min="1519" max="1519" width="2.42578125" style="494" customWidth="1"/>
    <col min="1520" max="1523" width="14.42578125" style="494" customWidth="1"/>
    <col min="1524" max="1524" width="2.42578125" style="494" customWidth="1"/>
    <col min="1525" max="1525" width="52.140625" style="494" customWidth="1"/>
    <col min="1526" max="1769" width="8.85546875" style="494"/>
    <col min="1770" max="1770" width="35" style="494" customWidth="1"/>
    <col min="1771" max="1774" width="14.42578125" style="494" customWidth="1"/>
    <col min="1775" max="1775" width="2.42578125" style="494" customWidth="1"/>
    <col min="1776" max="1779" width="14.42578125" style="494" customWidth="1"/>
    <col min="1780" max="1780" width="2.42578125" style="494" customWidth="1"/>
    <col min="1781" max="1781" width="52.140625" style="494" customWidth="1"/>
    <col min="1782" max="2025" width="8.85546875" style="494"/>
    <col min="2026" max="2026" width="35" style="494" customWidth="1"/>
    <col min="2027" max="2030" width="14.42578125" style="494" customWidth="1"/>
    <col min="2031" max="2031" width="2.42578125" style="494" customWidth="1"/>
    <col min="2032" max="2035" width="14.42578125" style="494" customWidth="1"/>
    <col min="2036" max="2036" width="2.42578125" style="494" customWidth="1"/>
    <col min="2037" max="2037" width="52.140625" style="494" customWidth="1"/>
    <col min="2038" max="2281" width="8.85546875" style="494"/>
    <col min="2282" max="2282" width="35" style="494" customWidth="1"/>
    <col min="2283" max="2286" width="14.42578125" style="494" customWidth="1"/>
    <col min="2287" max="2287" width="2.42578125" style="494" customWidth="1"/>
    <col min="2288" max="2291" width="14.42578125" style="494" customWidth="1"/>
    <col min="2292" max="2292" width="2.42578125" style="494" customWidth="1"/>
    <col min="2293" max="2293" width="52.140625" style="494" customWidth="1"/>
    <col min="2294" max="2537" width="8.85546875" style="494"/>
    <col min="2538" max="2538" width="35" style="494" customWidth="1"/>
    <col min="2539" max="2542" width="14.42578125" style="494" customWidth="1"/>
    <col min="2543" max="2543" width="2.42578125" style="494" customWidth="1"/>
    <col min="2544" max="2547" width="14.42578125" style="494" customWidth="1"/>
    <col min="2548" max="2548" width="2.42578125" style="494" customWidth="1"/>
    <col min="2549" max="2549" width="52.140625" style="494" customWidth="1"/>
    <col min="2550" max="2793" width="8.85546875" style="494"/>
    <col min="2794" max="2794" width="35" style="494" customWidth="1"/>
    <col min="2795" max="2798" width="14.42578125" style="494" customWidth="1"/>
    <col min="2799" max="2799" width="2.42578125" style="494" customWidth="1"/>
    <col min="2800" max="2803" width="14.42578125" style="494" customWidth="1"/>
    <col min="2804" max="2804" width="2.42578125" style="494" customWidth="1"/>
    <col min="2805" max="2805" width="52.140625" style="494" customWidth="1"/>
    <col min="2806" max="3049" width="8.85546875" style="494"/>
    <col min="3050" max="3050" width="35" style="494" customWidth="1"/>
    <col min="3051" max="3054" width="14.42578125" style="494" customWidth="1"/>
    <col min="3055" max="3055" width="2.42578125" style="494" customWidth="1"/>
    <col min="3056" max="3059" width="14.42578125" style="494" customWidth="1"/>
    <col min="3060" max="3060" width="2.42578125" style="494" customWidth="1"/>
    <col min="3061" max="3061" width="52.140625" style="494" customWidth="1"/>
    <col min="3062" max="3305" width="8.85546875" style="494"/>
    <col min="3306" max="3306" width="35" style="494" customWidth="1"/>
    <col min="3307" max="3310" width="14.42578125" style="494" customWidth="1"/>
    <col min="3311" max="3311" width="2.42578125" style="494" customWidth="1"/>
    <col min="3312" max="3315" width="14.42578125" style="494" customWidth="1"/>
    <col min="3316" max="3316" width="2.42578125" style="494" customWidth="1"/>
    <col min="3317" max="3317" width="52.140625" style="494" customWidth="1"/>
    <col min="3318" max="3561" width="8.85546875" style="494"/>
    <col min="3562" max="3562" width="35" style="494" customWidth="1"/>
    <col min="3563" max="3566" width="14.42578125" style="494" customWidth="1"/>
    <col min="3567" max="3567" width="2.42578125" style="494" customWidth="1"/>
    <col min="3568" max="3571" width="14.42578125" style="494" customWidth="1"/>
    <col min="3572" max="3572" width="2.42578125" style="494" customWidth="1"/>
    <col min="3573" max="3573" width="52.140625" style="494" customWidth="1"/>
    <col min="3574" max="3817" width="8.85546875" style="494"/>
    <col min="3818" max="3818" width="35" style="494" customWidth="1"/>
    <col min="3819" max="3822" width="14.42578125" style="494" customWidth="1"/>
    <col min="3823" max="3823" width="2.42578125" style="494" customWidth="1"/>
    <col min="3824" max="3827" width="14.42578125" style="494" customWidth="1"/>
    <col min="3828" max="3828" width="2.42578125" style="494" customWidth="1"/>
    <col min="3829" max="3829" width="52.140625" style="494" customWidth="1"/>
    <col min="3830" max="4073" width="8.85546875" style="494"/>
    <col min="4074" max="4074" width="35" style="494" customWidth="1"/>
    <col min="4075" max="4078" width="14.42578125" style="494" customWidth="1"/>
    <col min="4079" max="4079" width="2.42578125" style="494" customWidth="1"/>
    <col min="4080" max="4083" width="14.42578125" style="494" customWidth="1"/>
    <col min="4084" max="4084" width="2.42578125" style="494" customWidth="1"/>
    <col min="4085" max="4085" width="52.140625" style="494" customWidth="1"/>
    <col min="4086" max="4329" width="8.85546875" style="494"/>
    <col min="4330" max="4330" width="35" style="494" customWidth="1"/>
    <col min="4331" max="4334" width="14.42578125" style="494" customWidth="1"/>
    <col min="4335" max="4335" width="2.42578125" style="494" customWidth="1"/>
    <col min="4336" max="4339" width="14.42578125" style="494" customWidth="1"/>
    <col min="4340" max="4340" width="2.42578125" style="494" customWidth="1"/>
    <col min="4341" max="4341" width="52.140625" style="494" customWidth="1"/>
    <col min="4342" max="4585" width="8.85546875" style="494"/>
    <col min="4586" max="4586" width="35" style="494" customWidth="1"/>
    <col min="4587" max="4590" width="14.42578125" style="494" customWidth="1"/>
    <col min="4591" max="4591" width="2.42578125" style="494" customWidth="1"/>
    <col min="4592" max="4595" width="14.42578125" style="494" customWidth="1"/>
    <col min="4596" max="4596" width="2.42578125" style="494" customWidth="1"/>
    <col min="4597" max="4597" width="52.140625" style="494" customWidth="1"/>
    <col min="4598" max="4841" width="8.85546875" style="494"/>
    <col min="4842" max="4842" width="35" style="494" customWidth="1"/>
    <col min="4843" max="4846" width="14.42578125" style="494" customWidth="1"/>
    <col min="4847" max="4847" width="2.42578125" style="494" customWidth="1"/>
    <col min="4848" max="4851" width="14.42578125" style="494" customWidth="1"/>
    <col min="4852" max="4852" width="2.42578125" style="494" customWidth="1"/>
    <col min="4853" max="4853" width="52.140625" style="494" customWidth="1"/>
    <col min="4854" max="5097" width="8.85546875" style="494"/>
    <col min="5098" max="5098" width="35" style="494" customWidth="1"/>
    <col min="5099" max="5102" width="14.42578125" style="494" customWidth="1"/>
    <col min="5103" max="5103" width="2.42578125" style="494" customWidth="1"/>
    <col min="5104" max="5107" width="14.42578125" style="494" customWidth="1"/>
    <col min="5108" max="5108" width="2.42578125" style="494" customWidth="1"/>
    <col min="5109" max="5109" width="52.140625" style="494" customWidth="1"/>
    <col min="5110" max="5353" width="8.85546875" style="494"/>
    <col min="5354" max="5354" width="35" style="494" customWidth="1"/>
    <col min="5355" max="5358" width="14.42578125" style="494" customWidth="1"/>
    <col min="5359" max="5359" width="2.42578125" style="494" customWidth="1"/>
    <col min="5360" max="5363" width="14.42578125" style="494" customWidth="1"/>
    <col min="5364" max="5364" width="2.42578125" style="494" customWidth="1"/>
    <col min="5365" max="5365" width="52.140625" style="494" customWidth="1"/>
    <col min="5366" max="5609" width="8.85546875" style="494"/>
    <col min="5610" max="5610" width="35" style="494" customWidth="1"/>
    <col min="5611" max="5614" width="14.42578125" style="494" customWidth="1"/>
    <col min="5615" max="5615" width="2.42578125" style="494" customWidth="1"/>
    <col min="5616" max="5619" width="14.42578125" style="494" customWidth="1"/>
    <col min="5620" max="5620" width="2.42578125" style="494" customWidth="1"/>
    <col min="5621" max="5621" width="52.140625" style="494" customWidth="1"/>
    <col min="5622" max="5865" width="8.85546875" style="494"/>
    <col min="5866" max="5866" width="35" style="494" customWidth="1"/>
    <col min="5867" max="5870" width="14.42578125" style="494" customWidth="1"/>
    <col min="5871" max="5871" width="2.42578125" style="494" customWidth="1"/>
    <col min="5872" max="5875" width="14.42578125" style="494" customWidth="1"/>
    <col min="5876" max="5876" width="2.42578125" style="494" customWidth="1"/>
    <col min="5877" max="5877" width="52.140625" style="494" customWidth="1"/>
    <col min="5878" max="6121" width="8.85546875" style="494"/>
    <col min="6122" max="6122" width="35" style="494" customWidth="1"/>
    <col min="6123" max="6126" width="14.42578125" style="494" customWidth="1"/>
    <col min="6127" max="6127" width="2.42578125" style="494" customWidth="1"/>
    <col min="6128" max="6131" width="14.42578125" style="494" customWidth="1"/>
    <col min="6132" max="6132" width="2.42578125" style="494" customWidth="1"/>
    <col min="6133" max="6133" width="52.140625" style="494" customWidth="1"/>
    <col min="6134" max="6377" width="8.85546875" style="494"/>
    <col min="6378" max="6378" width="35" style="494" customWidth="1"/>
    <col min="6379" max="6382" width="14.42578125" style="494" customWidth="1"/>
    <col min="6383" max="6383" width="2.42578125" style="494" customWidth="1"/>
    <col min="6384" max="6387" width="14.42578125" style="494" customWidth="1"/>
    <col min="6388" max="6388" width="2.42578125" style="494" customWidth="1"/>
    <col min="6389" max="6389" width="52.140625" style="494" customWidth="1"/>
    <col min="6390" max="6633" width="8.85546875" style="494"/>
    <col min="6634" max="6634" width="35" style="494" customWidth="1"/>
    <col min="6635" max="6638" width="14.42578125" style="494" customWidth="1"/>
    <col min="6639" max="6639" width="2.42578125" style="494" customWidth="1"/>
    <col min="6640" max="6643" width="14.42578125" style="494" customWidth="1"/>
    <col min="6644" max="6644" width="2.42578125" style="494" customWidth="1"/>
    <col min="6645" max="6645" width="52.140625" style="494" customWidth="1"/>
    <col min="6646" max="6889" width="8.85546875" style="494"/>
    <col min="6890" max="6890" width="35" style="494" customWidth="1"/>
    <col min="6891" max="6894" width="14.42578125" style="494" customWidth="1"/>
    <col min="6895" max="6895" width="2.42578125" style="494" customWidth="1"/>
    <col min="6896" max="6899" width="14.42578125" style="494" customWidth="1"/>
    <col min="6900" max="6900" width="2.42578125" style="494" customWidth="1"/>
    <col min="6901" max="6901" width="52.140625" style="494" customWidth="1"/>
    <col min="6902" max="7145" width="8.85546875" style="494"/>
    <col min="7146" max="7146" width="35" style="494" customWidth="1"/>
    <col min="7147" max="7150" width="14.42578125" style="494" customWidth="1"/>
    <col min="7151" max="7151" width="2.42578125" style="494" customWidth="1"/>
    <col min="7152" max="7155" width="14.42578125" style="494" customWidth="1"/>
    <col min="7156" max="7156" width="2.42578125" style="494" customWidth="1"/>
    <col min="7157" max="7157" width="52.140625" style="494" customWidth="1"/>
    <col min="7158" max="7401" width="8.85546875" style="494"/>
    <col min="7402" max="7402" width="35" style="494" customWidth="1"/>
    <col min="7403" max="7406" width="14.42578125" style="494" customWidth="1"/>
    <col min="7407" max="7407" width="2.42578125" style="494" customWidth="1"/>
    <col min="7408" max="7411" width="14.42578125" style="494" customWidth="1"/>
    <col min="7412" max="7412" width="2.42578125" style="494" customWidth="1"/>
    <col min="7413" max="7413" width="52.140625" style="494" customWidth="1"/>
    <col min="7414" max="7657" width="8.85546875" style="494"/>
    <col min="7658" max="7658" width="35" style="494" customWidth="1"/>
    <col min="7659" max="7662" width="14.42578125" style="494" customWidth="1"/>
    <col min="7663" max="7663" width="2.42578125" style="494" customWidth="1"/>
    <col min="7664" max="7667" width="14.42578125" style="494" customWidth="1"/>
    <col min="7668" max="7668" width="2.42578125" style="494" customWidth="1"/>
    <col min="7669" max="7669" width="52.140625" style="494" customWidth="1"/>
    <col min="7670" max="7913" width="8.85546875" style="494"/>
    <col min="7914" max="7914" width="35" style="494" customWidth="1"/>
    <col min="7915" max="7918" width="14.42578125" style="494" customWidth="1"/>
    <col min="7919" max="7919" width="2.42578125" style="494" customWidth="1"/>
    <col min="7920" max="7923" width="14.42578125" style="494" customWidth="1"/>
    <col min="7924" max="7924" width="2.42578125" style="494" customWidth="1"/>
    <col min="7925" max="7925" width="52.140625" style="494" customWidth="1"/>
    <col min="7926" max="8169" width="8.85546875" style="494"/>
    <col min="8170" max="8170" width="35" style="494" customWidth="1"/>
    <col min="8171" max="8174" width="14.42578125" style="494" customWidth="1"/>
    <col min="8175" max="8175" width="2.42578125" style="494" customWidth="1"/>
    <col min="8176" max="8179" width="14.42578125" style="494" customWidth="1"/>
    <col min="8180" max="8180" width="2.42578125" style="494" customWidth="1"/>
    <col min="8181" max="8181" width="52.140625" style="494" customWidth="1"/>
    <col min="8182" max="8425" width="8.85546875" style="494"/>
    <col min="8426" max="8426" width="35" style="494" customWidth="1"/>
    <col min="8427" max="8430" width="14.42578125" style="494" customWidth="1"/>
    <col min="8431" max="8431" width="2.42578125" style="494" customWidth="1"/>
    <col min="8432" max="8435" width="14.42578125" style="494" customWidth="1"/>
    <col min="8436" max="8436" width="2.42578125" style="494" customWidth="1"/>
    <col min="8437" max="8437" width="52.140625" style="494" customWidth="1"/>
    <col min="8438" max="8681" width="8.85546875" style="494"/>
    <col min="8682" max="8682" width="35" style="494" customWidth="1"/>
    <col min="8683" max="8686" width="14.42578125" style="494" customWidth="1"/>
    <col min="8687" max="8687" width="2.42578125" style="494" customWidth="1"/>
    <col min="8688" max="8691" width="14.42578125" style="494" customWidth="1"/>
    <col min="8692" max="8692" width="2.42578125" style="494" customWidth="1"/>
    <col min="8693" max="8693" width="52.140625" style="494" customWidth="1"/>
    <col min="8694" max="8937" width="8.85546875" style="494"/>
    <col min="8938" max="8938" width="35" style="494" customWidth="1"/>
    <col min="8939" max="8942" width="14.42578125" style="494" customWidth="1"/>
    <col min="8943" max="8943" width="2.42578125" style="494" customWidth="1"/>
    <col min="8944" max="8947" width="14.42578125" style="494" customWidth="1"/>
    <col min="8948" max="8948" width="2.42578125" style="494" customWidth="1"/>
    <col min="8949" max="8949" width="52.140625" style="494" customWidth="1"/>
    <col min="8950" max="9193" width="8.85546875" style="494"/>
    <col min="9194" max="9194" width="35" style="494" customWidth="1"/>
    <col min="9195" max="9198" width="14.42578125" style="494" customWidth="1"/>
    <col min="9199" max="9199" width="2.42578125" style="494" customWidth="1"/>
    <col min="9200" max="9203" width="14.42578125" style="494" customWidth="1"/>
    <col min="9204" max="9204" width="2.42578125" style="494" customWidth="1"/>
    <col min="9205" max="9205" width="52.140625" style="494" customWidth="1"/>
    <col min="9206" max="9449" width="8.85546875" style="494"/>
    <col min="9450" max="9450" width="35" style="494" customWidth="1"/>
    <col min="9451" max="9454" width="14.42578125" style="494" customWidth="1"/>
    <col min="9455" max="9455" width="2.42578125" style="494" customWidth="1"/>
    <col min="9456" max="9459" width="14.42578125" style="494" customWidth="1"/>
    <col min="9460" max="9460" width="2.42578125" style="494" customWidth="1"/>
    <col min="9461" max="9461" width="52.140625" style="494" customWidth="1"/>
    <col min="9462" max="9705" width="8.85546875" style="494"/>
    <col min="9706" max="9706" width="35" style="494" customWidth="1"/>
    <col min="9707" max="9710" width="14.42578125" style="494" customWidth="1"/>
    <col min="9711" max="9711" width="2.42578125" style="494" customWidth="1"/>
    <col min="9712" max="9715" width="14.42578125" style="494" customWidth="1"/>
    <col min="9716" max="9716" width="2.42578125" style="494" customWidth="1"/>
    <col min="9717" max="9717" width="52.140625" style="494" customWidth="1"/>
    <col min="9718" max="9961" width="8.85546875" style="494"/>
    <col min="9962" max="9962" width="35" style="494" customWidth="1"/>
    <col min="9963" max="9966" width="14.42578125" style="494" customWidth="1"/>
    <col min="9967" max="9967" width="2.42578125" style="494" customWidth="1"/>
    <col min="9968" max="9971" width="14.42578125" style="494" customWidth="1"/>
    <col min="9972" max="9972" width="2.42578125" style="494" customWidth="1"/>
    <col min="9973" max="9973" width="52.140625" style="494" customWidth="1"/>
    <col min="9974" max="10217" width="8.85546875" style="494"/>
    <col min="10218" max="10218" width="35" style="494" customWidth="1"/>
    <col min="10219" max="10222" width="14.42578125" style="494" customWidth="1"/>
    <col min="10223" max="10223" width="2.42578125" style="494" customWidth="1"/>
    <col min="10224" max="10227" width="14.42578125" style="494" customWidth="1"/>
    <col min="10228" max="10228" width="2.42578125" style="494" customWidth="1"/>
    <col min="10229" max="10229" width="52.140625" style="494" customWidth="1"/>
    <col min="10230" max="10473" width="8.85546875" style="494"/>
    <col min="10474" max="10474" width="35" style="494" customWidth="1"/>
    <col min="10475" max="10478" width="14.42578125" style="494" customWidth="1"/>
    <col min="10479" max="10479" width="2.42578125" style="494" customWidth="1"/>
    <col min="10480" max="10483" width="14.42578125" style="494" customWidth="1"/>
    <col min="10484" max="10484" width="2.42578125" style="494" customWidth="1"/>
    <col min="10485" max="10485" width="52.140625" style="494" customWidth="1"/>
    <col min="10486" max="10729" width="8.85546875" style="494"/>
    <col min="10730" max="10730" width="35" style="494" customWidth="1"/>
    <col min="10731" max="10734" width="14.42578125" style="494" customWidth="1"/>
    <col min="10735" max="10735" width="2.42578125" style="494" customWidth="1"/>
    <col min="10736" max="10739" width="14.42578125" style="494" customWidth="1"/>
    <col min="10740" max="10740" width="2.42578125" style="494" customWidth="1"/>
    <col min="10741" max="10741" width="52.140625" style="494" customWidth="1"/>
    <col min="10742" max="10985" width="8.85546875" style="494"/>
    <col min="10986" max="10986" width="35" style="494" customWidth="1"/>
    <col min="10987" max="10990" width="14.42578125" style="494" customWidth="1"/>
    <col min="10991" max="10991" width="2.42578125" style="494" customWidth="1"/>
    <col min="10992" max="10995" width="14.42578125" style="494" customWidth="1"/>
    <col min="10996" max="10996" width="2.42578125" style="494" customWidth="1"/>
    <col min="10997" max="10997" width="52.140625" style="494" customWidth="1"/>
    <col min="10998" max="11241" width="8.85546875" style="494"/>
    <col min="11242" max="11242" width="35" style="494" customWidth="1"/>
    <col min="11243" max="11246" width="14.42578125" style="494" customWidth="1"/>
    <col min="11247" max="11247" width="2.42578125" style="494" customWidth="1"/>
    <col min="11248" max="11251" width="14.42578125" style="494" customWidth="1"/>
    <col min="11252" max="11252" width="2.42578125" style="494" customWidth="1"/>
    <col min="11253" max="11253" width="52.140625" style="494" customWidth="1"/>
    <col min="11254" max="11497" width="8.85546875" style="494"/>
    <col min="11498" max="11498" width="35" style="494" customWidth="1"/>
    <col min="11499" max="11502" width="14.42578125" style="494" customWidth="1"/>
    <col min="11503" max="11503" width="2.42578125" style="494" customWidth="1"/>
    <col min="11504" max="11507" width="14.42578125" style="494" customWidth="1"/>
    <col min="11508" max="11508" width="2.42578125" style="494" customWidth="1"/>
    <col min="11509" max="11509" width="52.140625" style="494" customWidth="1"/>
    <col min="11510" max="11753" width="8.85546875" style="494"/>
    <col min="11754" max="11754" width="35" style="494" customWidth="1"/>
    <col min="11755" max="11758" width="14.42578125" style="494" customWidth="1"/>
    <col min="11759" max="11759" width="2.42578125" style="494" customWidth="1"/>
    <col min="11760" max="11763" width="14.42578125" style="494" customWidth="1"/>
    <col min="11764" max="11764" width="2.42578125" style="494" customWidth="1"/>
    <col min="11765" max="11765" width="52.140625" style="494" customWidth="1"/>
    <col min="11766" max="12009" width="8.85546875" style="494"/>
    <col min="12010" max="12010" width="35" style="494" customWidth="1"/>
    <col min="12011" max="12014" width="14.42578125" style="494" customWidth="1"/>
    <col min="12015" max="12015" width="2.42578125" style="494" customWidth="1"/>
    <col min="12016" max="12019" width="14.42578125" style="494" customWidth="1"/>
    <col min="12020" max="12020" width="2.42578125" style="494" customWidth="1"/>
    <col min="12021" max="12021" width="52.140625" style="494" customWidth="1"/>
    <col min="12022" max="12265" width="8.85546875" style="494"/>
    <col min="12266" max="12266" width="35" style="494" customWidth="1"/>
    <col min="12267" max="12270" width="14.42578125" style="494" customWidth="1"/>
    <col min="12271" max="12271" width="2.42578125" style="494" customWidth="1"/>
    <col min="12272" max="12275" width="14.42578125" style="494" customWidth="1"/>
    <col min="12276" max="12276" width="2.42578125" style="494" customWidth="1"/>
    <col min="12277" max="12277" width="52.140625" style="494" customWidth="1"/>
    <col min="12278" max="12521" width="8.85546875" style="494"/>
    <col min="12522" max="12522" width="35" style="494" customWidth="1"/>
    <col min="12523" max="12526" width="14.42578125" style="494" customWidth="1"/>
    <col min="12527" max="12527" width="2.42578125" style="494" customWidth="1"/>
    <col min="12528" max="12531" width="14.42578125" style="494" customWidth="1"/>
    <col min="12532" max="12532" width="2.42578125" style="494" customWidth="1"/>
    <col min="12533" max="12533" width="52.140625" style="494" customWidth="1"/>
    <col min="12534" max="12777" width="8.85546875" style="494"/>
    <col min="12778" max="12778" width="35" style="494" customWidth="1"/>
    <col min="12779" max="12782" width="14.42578125" style="494" customWidth="1"/>
    <col min="12783" max="12783" width="2.42578125" style="494" customWidth="1"/>
    <col min="12784" max="12787" width="14.42578125" style="494" customWidth="1"/>
    <col min="12788" max="12788" width="2.42578125" style="494" customWidth="1"/>
    <col min="12789" max="12789" width="52.140625" style="494" customWidth="1"/>
    <col min="12790" max="13033" width="8.85546875" style="494"/>
    <col min="13034" max="13034" width="35" style="494" customWidth="1"/>
    <col min="13035" max="13038" width="14.42578125" style="494" customWidth="1"/>
    <col min="13039" max="13039" width="2.42578125" style="494" customWidth="1"/>
    <col min="13040" max="13043" width="14.42578125" style="494" customWidth="1"/>
    <col min="13044" max="13044" width="2.42578125" style="494" customWidth="1"/>
    <col min="13045" max="13045" width="52.140625" style="494" customWidth="1"/>
    <col min="13046" max="13289" width="8.85546875" style="494"/>
    <col min="13290" max="13290" width="35" style="494" customWidth="1"/>
    <col min="13291" max="13294" width="14.42578125" style="494" customWidth="1"/>
    <col min="13295" max="13295" width="2.42578125" style="494" customWidth="1"/>
    <col min="13296" max="13299" width="14.42578125" style="494" customWidth="1"/>
    <col min="13300" max="13300" width="2.42578125" style="494" customWidth="1"/>
    <col min="13301" max="13301" width="52.140625" style="494" customWidth="1"/>
    <col min="13302" max="13545" width="8.85546875" style="494"/>
    <col min="13546" max="13546" width="35" style="494" customWidth="1"/>
    <col min="13547" max="13550" width="14.42578125" style="494" customWidth="1"/>
    <col min="13551" max="13551" width="2.42578125" style="494" customWidth="1"/>
    <col min="13552" max="13555" width="14.42578125" style="494" customWidth="1"/>
    <col min="13556" max="13556" width="2.42578125" style="494" customWidth="1"/>
    <col min="13557" max="13557" width="52.140625" style="494" customWidth="1"/>
    <col min="13558" max="13801" width="8.85546875" style="494"/>
    <col min="13802" max="13802" width="35" style="494" customWidth="1"/>
    <col min="13803" max="13806" width="14.42578125" style="494" customWidth="1"/>
    <col min="13807" max="13807" width="2.42578125" style="494" customWidth="1"/>
    <col min="13808" max="13811" width="14.42578125" style="494" customWidth="1"/>
    <col min="13812" max="13812" width="2.42578125" style="494" customWidth="1"/>
    <col min="13813" max="13813" width="52.140625" style="494" customWidth="1"/>
    <col min="13814" max="14057" width="8.85546875" style="494"/>
    <col min="14058" max="14058" width="35" style="494" customWidth="1"/>
    <col min="14059" max="14062" width="14.42578125" style="494" customWidth="1"/>
    <col min="14063" max="14063" width="2.42578125" style="494" customWidth="1"/>
    <col min="14064" max="14067" width="14.42578125" style="494" customWidth="1"/>
    <col min="14068" max="14068" width="2.42578125" style="494" customWidth="1"/>
    <col min="14069" max="14069" width="52.140625" style="494" customWidth="1"/>
    <col min="14070" max="14313" width="8.85546875" style="494"/>
    <col min="14314" max="14314" width="35" style="494" customWidth="1"/>
    <col min="14315" max="14318" width="14.42578125" style="494" customWidth="1"/>
    <col min="14319" max="14319" width="2.42578125" style="494" customWidth="1"/>
    <col min="14320" max="14323" width="14.42578125" style="494" customWidth="1"/>
    <col min="14324" max="14324" width="2.42578125" style="494" customWidth="1"/>
    <col min="14325" max="14325" width="52.140625" style="494" customWidth="1"/>
    <col min="14326" max="14569" width="8.85546875" style="494"/>
    <col min="14570" max="14570" width="35" style="494" customWidth="1"/>
    <col min="14571" max="14574" width="14.42578125" style="494" customWidth="1"/>
    <col min="14575" max="14575" width="2.42578125" style="494" customWidth="1"/>
    <col min="14576" max="14579" width="14.42578125" style="494" customWidth="1"/>
    <col min="14580" max="14580" width="2.42578125" style="494" customWidth="1"/>
    <col min="14581" max="14581" width="52.140625" style="494" customWidth="1"/>
    <col min="14582" max="14825" width="8.85546875" style="494"/>
    <col min="14826" max="14826" width="35" style="494" customWidth="1"/>
    <col min="14827" max="14830" width="14.42578125" style="494" customWidth="1"/>
    <col min="14831" max="14831" width="2.42578125" style="494" customWidth="1"/>
    <col min="14832" max="14835" width="14.42578125" style="494" customWidth="1"/>
    <col min="14836" max="14836" width="2.42578125" style="494" customWidth="1"/>
    <col min="14837" max="14837" width="52.140625" style="494" customWidth="1"/>
    <col min="14838" max="15081" width="8.85546875" style="494"/>
    <col min="15082" max="15082" width="35" style="494" customWidth="1"/>
    <col min="15083" max="15086" width="14.42578125" style="494" customWidth="1"/>
    <col min="15087" max="15087" width="2.42578125" style="494" customWidth="1"/>
    <col min="15088" max="15091" width="14.42578125" style="494" customWidth="1"/>
    <col min="15092" max="15092" width="2.42578125" style="494" customWidth="1"/>
    <col min="15093" max="15093" width="52.140625" style="494" customWidth="1"/>
    <col min="15094" max="15337" width="8.85546875" style="494"/>
    <col min="15338" max="15338" width="35" style="494" customWidth="1"/>
    <col min="15339" max="15342" width="14.42578125" style="494" customWidth="1"/>
    <col min="15343" max="15343" width="2.42578125" style="494" customWidth="1"/>
    <col min="15344" max="15347" width="14.42578125" style="494" customWidth="1"/>
    <col min="15348" max="15348" width="2.42578125" style="494" customWidth="1"/>
    <col min="15349" max="15349" width="52.140625" style="494" customWidth="1"/>
    <col min="15350" max="15593" width="8.85546875" style="494"/>
    <col min="15594" max="15594" width="35" style="494" customWidth="1"/>
    <col min="15595" max="15598" width="14.42578125" style="494" customWidth="1"/>
    <col min="15599" max="15599" width="2.42578125" style="494" customWidth="1"/>
    <col min="15600" max="15603" width="14.42578125" style="494" customWidth="1"/>
    <col min="15604" max="15604" width="2.42578125" style="494" customWidth="1"/>
    <col min="15605" max="15605" width="52.140625" style="494" customWidth="1"/>
    <col min="15606" max="15849" width="8.85546875" style="494"/>
    <col min="15850" max="15850" width="35" style="494" customWidth="1"/>
    <col min="15851" max="15854" width="14.42578125" style="494" customWidth="1"/>
    <col min="15855" max="15855" width="2.42578125" style="494" customWidth="1"/>
    <col min="15856" max="15859" width="14.42578125" style="494" customWidth="1"/>
    <col min="15860" max="15860" width="2.42578125" style="494" customWidth="1"/>
    <col min="15861" max="15861" width="52.140625" style="494" customWidth="1"/>
    <col min="15862" max="16105" width="8.85546875" style="494"/>
    <col min="16106" max="16106" width="35" style="494" customWidth="1"/>
    <col min="16107" max="16110" width="14.42578125" style="494" customWidth="1"/>
    <col min="16111" max="16111" width="2.42578125" style="494" customWidth="1"/>
    <col min="16112" max="16115" width="14.42578125" style="494" customWidth="1"/>
    <col min="16116" max="16116" width="2.42578125" style="494" customWidth="1"/>
    <col min="16117" max="16117" width="52.140625" style="494" customWidth="1"/>
    <col min="16118" max="16384" width="8.85546875" style="494"/>
  </cols>
  <sheetData>
    <row r="1" spans="1:15" s="492" customFormat="1" hidden="1" outlineLevel="1">
      <c r="A1" s="492" t="s">
        <v>544</v>
      </c>
      <c r="B1" s="969">
        <v>2026</v>
      </c>
      <c r="G1" s="438" t="str">
        <f t="shared" ref="G1:J1" si="0">G2&amp;"_"&amp;G3</f>
        <v>1_BESS</v>
      </c>
      <c r="H1" s="438" t="str">
        <f t="shared" si="0"/>
        <v>2_BESS</v>
      </c>
      <c r="I1" s="438" t="str">
        <f t="shared" si="0"/>
        <v>3_BESS</v>
      </c>
      <c r="J1" s="438" t="str">
        <f t="shared" si="0"/>
        <v>4_BESS</v>
      </c>
    </row>
    <row r="2" spans="1:15" s="492" customFormat="1" hidden="1" outlineLevel="1">
      <c r="B2" s="492" t="s">
        <v>519</v>
      </c>
      <c r="D2" s="1088">
        <f>365*24</f>
        <v>8760</v>
      </c>
      <c r="E2" s="1091" t="s">
        <v>522</v>
      </c>
      <c r="G2" s="438">
        <v>1</v>
      </c>
      <c r="H2" s="438">
        <v>2</v>
      </c>
      <c r="I2" s="438">
        <v>3</v>
      </c>
      <c r="J2" s="438">
        <v>4</v>
      </c>
    </row>
    <row r="3" spans="1:15" s="492" customFormat="1" hidden="1" outlineLevel="1">
      <c r="B3" s="492" t="s">
        <v>520</v>
      </c>
      <c r="D3" s="1089"/>
      <c r="E3" s="1091"/>
      <c r="G3" s="438" t="s">
        <v>700</v>
      </c>
      <c r="H3" s="438" t="s">
        <v>700</v>
      </c>
      <c r="I3" s="438" t="s">
        <v>700</v>
      </c>
      <c r="J3" s="438" t="s">
        <v>700</v>
      </c>
    </row>
    <row r="4" spans="1:15" s="492" customFormat="1" hidden="1" outlineLevel="1">
      <c r="D4" s="1090"/>
      <c r="E4" s="1091"/>
      <c r="G4" s="438"/>
      <c r="H4" s="438"/>
      <c r="I4" s="438"/>
      <c r="J4" s="438"/>
    </row>
    <row r="5" spans="1:15" s="492" customFormat="1" hidden="1" outlineLevel="1">
      <c r="D5" s="1087"/>
      <c r="E5" s="1087"/>
      <c r="F5" s="1087" t="s">
        <v>555</v>
      </c>
      <c r="G5" s="1321">
        <v>1.2505124096212512</v>
      </c>
      <c r="H5" s="1321">
        <v>1.2420369145336843</v>
      </c>
      <c r="I5" s="1321">
        <v>1.2764766777363197</v>
      </c>
      <c r="J5" s="1321">
        <v>1.2877316302140613</v>
      </c>
      <c r="K5" s="1088" t="s">
        <v>563</v>
      </c>
      <c r="L5" s="1100"/>
      <c r="M5" s="1100"/>
      <c r="N5" s="1100"/>
      <c r="O5" s="1100"/>
    </row>
    <row r="6" spans="1:15" collapsed="1">
      <c r="A6" s="256"/>
      <c r="B6" s="256"/>
      <c r="C6" s="256"/>
      <c r="D6" s="940"/>
      <c r="E6" s="256"/>
      <c r="F6" s="256"/>
    </row>
    <row r="7" spans="1:15">
      <c r="A7" s="256"/>
      <c r="B7" s="259"/>
      <c r="C7" s="259"/>
      <c r="D7" s="259"/>
      <c r="E7" s="259"/>
      <c r="F7" s="259"/>
      <c r="G7" s="495"/>
    </row>
    <row r="8" spans="1:15">
      <c r="A8" s="256"/>
      <c r="B8" s="839" t="s">
        <v>521</v>
      </c>
      <c r="C8" s="260"/>
      <c r="D8" s="260"/>
      <c r="E8" s="1001"/>
      <c r="F8" s="260"/>
    </row>
    <row r="9" spans="1:15">
      <c r="B9" s="935" t="str">
        <f>CONE_Calculations!I15</f>
        <v>VOM</v>
      </c>
      <c r="G9" s="496"/>
    </row>
    <row r="10" spans="1:15" ht="6" customHeight="1" thickBot="1">
      <c r="B10" s="497"/>
      <c r="C10" s="497"/>
      <c r="D10" s="497"/>
      <c r="E10" s="497"/>
      <c r="F10" s="497"/>
      <c r="G10" s="498"/>
      <c r="H10" s="498"/>
      <c r="I10" s="498"/>
      <c r="J10" s="498"/>
    </row>
    <row r="11" spans="1:15" ht="6" customHeight="1" thickTop="1">
      <c r="G11" s="499"/>
      <c r="H11" s="499"/>
      <c r="I11" s="499"/>
      <c r="J11" s="499"/>
      <c r="K11" s="964"/>
      <c r="L11" s="508"/>
      <c r="M11" s="508"/>
      <c r="N11" s="508"/>
      <c r="O11" s="508"/>
    </row>
    <row r="12" spans="1:15" ht="12.75" customHeight="1" outlineLevel="1">
      <c r="B12" s="500"/>
      <c r="C12" s="500"/>
      <c r="D12" s="500"/>
      <c r="E12" s="500"/>
      <c r="F12" s="500"/>
      <c r="G12" s="501" t="str">
        <f>"Reference Year Costs ("&amp;B1&amp;"$)"</f>
        <v>Reference Year Costs (2026$)</v>
      </c>
      <c r="H12" s="502"/>
      <c r="I12" s="502"/>
      <c r="J12" s="502"/>
      <c r="K12" s="964"/>
      <c r="L12" s="508"/>
      <c r="M12" s="508"/>
      <c r="N12" s="508"/>
      <c r="O12" s="508"/>
    </row>
    <row r="13" spans="1:15" ht="12.75" customHeight="1">
      <c r="B13" s="500"/>
      <c r="C13" s="500"/>
      <c r="D13" s="500"/>
      <c r="E13" s="500"/>
      <c r="F13" s="500"/>
      <c r="G13" s="453" t="s">
        <v>189</v>
      </c>
      <c r="H13" s="453"/>
      <c r="I13" s="453"/>
      <c r="J13" s="453"/>
      <c r="K13" s="964"/>
      <c r="L13" s="508"/>
      <c r="M13" s="508"/>
      <c r="N13" s="508"/>
      <c r="O13" s="508"/>
    </row>
    <row r="14" spans="1:15" ht="12.75" customHeight="1">
      <c r="B14" s="500"/>
      <c r="C14" s="500"/>
      <c r="D14" s="500"/>
      <c r="E14" s="500"/>
      <c r="F14" s="500"/>
      <c r="G14" s="455">
        <v>1</v>
      </c>
      <c r="H14" s="455">
        <v>2</v>
      </c>
      <c r="I14" s="455">
        <v>3</v>
      </c>
      <c r="J14" s="455">
        <v>4</v>
      </c>
      <c r="K14" s="964"/>
      <c r="L14" s="508"/>
      <c r="M14" s="508"/>
      <c r="N14" s="508"/>
      <c r="O14" s="508"/>
    </row>
    <row r="15" spans="1:15" ht="12.75" customHeight="1">
      <c r="B15" s="500" t="s">
        <v>158</v>
      </c>
      <c r="C15" s="500"/>
      <c r="D15" s="500"/>
      <c r="E15" s="500"/>
      <c r="F15" s="500"/>
      <c r="G15" s="272" t="str">
        <f>'Cost Assumptions BESS'!D7</f>
        <v>EMAAC</v>
      </c>
      <c r="H15" s="272" t="str">
        <f>'Cost Assumptions BESS'!E7</f>
        <v>SWMAAC</v>
      </c>
      <c r="I15" s="272" t="str">
        <f>'Cost Assumptions BESS'!F7</f>
        <v>Rest of RTO</v>
      </c>
      <c r="J15" s="272" t="str">
        <f>'Cost Assumptions BESS'!G7</f>
        <v>WMAAC</v>
      </c>
      <c r="K15" s="964"/>
      <c r="L15" s="508"/>
      <c r="M15" s="508"/>
      <c r="N15" s="508"/>
      <c r="O15" s="508"/>
    </row>
    <row r="16" spans="1:15" ht="45" outlineLevel="1">
      <c r="B16" s="503"/>
      <c r="C16" s="503"/>
      <c r="D16" s="504" t="s">
        <v>166</v>
      </c>
      <c r="E16" s="504"/>
      <c r="F16" s="503"/>
      <c r="G16" s="505" t="str">
        <f>'Cost Assumptions BESS'!D8</f>
        <v>Lithium-Ion 4-hour Batteries</v>
      </c>
      <c r="H16" s="505" t="str">
        <f>'Cost Assumptions BESS'!E8</f>
        <v>Lithium-Ion 4-hour Batteries</v>
      </c>
      <c r="I16" s="505" t="str">
        <f>'Cost Assumptions BESS'!F8</f>
        <v>Lithium-Ion 4-hour Batteries</v>
      </c>
      <c r="J16" s="505" t="str">
        <f>'Cost Assumptions BESS'!G8</f>
        <v>Lithium-Ion 4-hour Batteries</v>
      </c>
      <c r="K16" s="964"/>
      <c r="L16" s="508"/>
      <c r="M16" s="508"/>
      <c r="N16" s="508"/>
      <c r="O16" s="508"/>
    </row>
    <row r="17" spans="2:71" outlineLevel="1">
      <c r="B17" s="503"/>
      <c r="C17" s="503"/>
      <c r="D17" s="504"/>
      <c r="E17" s="270" t="s">
        <v>652</v>
      </c>
      <c r="F17" s="503"/>
      <c r="G17" s="1465">
        <f>'Capital Costs Data BESS'!E8</f>
        <v>200</v>
      </c>
      <c r="H17" s="1465">
        <f>'Capital Costs Data BESS'!F8</f>
        <v>200</v>
      </c>
      <c r="I17" s="1465">
        <f>'Capital Costs Data BESS'!G8</f>
        <v>200</v>
      </c>
      <c r="J17" s="1465">
        <f>'Capital Costs Data BESS'!H8</f>
        <v>200</v>
      </c>
      <c r="K17" s="964"/>
      <c r="L17" s="508"/>
      <c r="M17" s="508"/>
      <c r="N17" s="508"/>
      <c r="O17" s="508"/>
    </row>
    <row r="18" spans="2:71" outlineLevel="1">
      <c r="B18" s="503"/>
      <c r="C18" s="503"/>
      <c r="D18" s="504"/>
      <c r="E18" s="270" t="s">
        <v>651</v>
      </c>
      <c r="F18" s="503"/>
      <c r="G18" s="1465">
        <f>'Capital Costs Data BESS'!E9</f>
        <v>4</v>
      </c>
      <c r="H18" s="1465">
        <f>'Capital Costs Data BESS'!F9</f>
        <v>4</v>
      </c>
      <c r="I18" s="1465">
        <f>'Capital Costs Data BESS'!G9</f>
        <v>4</v>
      </c>
      <c r="J18" s="1465">
        <f>'Capital Costs Data BESS'!H9</f>
        <v>4</v>
      </c>
      <c r="K18" s="964"/>
      <c r="L18" s="508"/>
      <c r="M18" s="508"/>
      <c r="N18" s="508"/>
      <c r="O18" s="508"/>
    </row>
    <row r="19" spans="2:71" outlineLevel="1">
      <c r="B19" s="503"/>
      <c r="C19" s="503"/>
      <c r="D19" s="504"/>
      <c r="E19" s="270" t="s">
        <v>649</v>
      </c>
      <c r="F19" s="503"/>
      <c r="G19" s="1465">
        <f>'Capital Costs Data BESS'!E11</f>
        <v>1029.9737820173787</v>
      </c>
      <c r="H19" s="1465">
        <f>'Capital Costs Data BESS'!F11</f>
        <v>1029.9737820173787</v>
      </c>
      <c r="I19" s="1465">
        <f>'Capital Costs Data BESS'!G11</f>
        <v>1029.9737820173787</v>
      </c>
      <c r="J19" s="1465">
        <f>'Capital Costs Data BESS'!H11</f>
        <v>1029.9737820173787</v>
      </c>
      <c r="K19" s="964"/>
      <c r="L19" s="508"/>
      <c r="M19" s="508"/>
      <c r="N19" s="508"/>
      <c r="O19" s="508"/>
    </row>
    <row r="20" spans="2:71" ht="6" customHeight="1">
      <c r="B20" s="506"/>
      <c r="C20" s="506"/>
      <c r="D20" s="506"/>
      <c r="E20" s="506"/>
      <c r="F20" s="506"/>
      <c r="G20" s="507"/>
      <c r="H20" s="507"/>
      <c r="I20" s="507"/>
      <c r="J20" s="507"/>
      <c r="K20" s="964"/>
      <c r="L20" s="508"/>
      <c r="M20" s="508"/>
      <c r="N20" s="508"/>
      <c r="O20" s="508"/>
    </row>
    <row r="21" spans="2:71" ht="6" customHeight="1">
      <c r="B21" s="508"/>
      <c r="C21" s="508"/>
      <c r="D21" s="508"/>
      <c r="E21" s="508"/>
      <c r="F21" s="508"/>
      <c r="G21" s="509"/>
      <c r="H21" s="509"/>
      <c r="I21" s="509"/>
      <c r="J21" s="509"/>
      <c r="K21" s="964"/>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8"/>
      <c r="AQ21" s="508"/>
      <c r="AR21" s="508"/>
      <c r="AS21" s="508"/>
      <c r="AT21" s="508"/>
      <c r="AU21" s="508"/>
      <c r="AV21" s="508"/>
      <c r="AW21" s="508"/>
      <c r="AX21" s="508"/>
      <c r="AY21" s="508"/>
      <c r="AZ21" s="508"/>
      <c r="BA21" s="508"/>
      <c r="BB21" s="508"/>
      <c r="BC21" s="508"/>
      <c r="BD21" s="508"/>
      <c r="BE21" s="508"/>
      <c r="BF21" s="508"/>
      <c r="BG21" s="508"/>
      <c r="BH21" s="508"/>
      <c r="BI21" s="508"/>
      <c r="BJ21" s="508"/>
      <c r="BK21" s="508"/>
      <c r="BL21" s="508"/>
      <c r="BM21" s="508"/>
      <c r="BN21" s="508"/>
      <c r="BO21" s="508"/>
      <c r="BP21" s="508"/>
      <c r="BQ21" s="508"/>
      <c r="BR21" s="508"/>
      <c r="BS21" s="508"/>
    </row>
    <row r="22" spans="2:71">
      <c r="B22" s="511" t="s">
        <v>617</v>
      </c>
      <c r="C22" s="511"/>
      <c r="D22" s="511"/>
      <c r="E22" s="511"/>
      <c r="F22" s="511"/>
      <c r="G22" s="512"/>
      <c r="H22" s="512"/>
      <c r="I22" s="512"/>
      <c r="J22" s="512"/>
      <c r="K22" s="964"/>
    </row>
    <row r="23" spans="2:71">
      <c r="B23" s="514" t="s">
        <v>699</v>
      </c>
      <c r="C23" s="511"/>
      <c r="D23" s="515"/>
      <c r="E23" s="516"/>
      <c r="F23" s="511"/>
      <c r="G23" s="517">
        <f>ROUND('O&amp;M Costs BESS'!D11*(1+'BESS_O&amp;M Costs_2026$'!$D23)^('BESS_O&amp;M Costs_2026$'!$B$1-'O&amp;M Costs BESS'!$E$1),-3)</f>
        <v>2679000</v>
      </c>
      <c r="H23" s="517">
        <f>ROUND('O&amp;M Costs BESS'!E11*(1+'BESS_O&amp;M Costs_2026$'!$D23)^('BESS_O&amp;M Costs_2026$'!$B$1-'O&amp;M Costs BESS'!$E$1),-3)</f>
        <v>2679000</v>
      </c>
      <c r="I23" s="517">
        <f>ROUND('O&amp;M Costs BESS'!F11*(1+'BESS_O&amp;M Costs_2026$'!$D23)^('BESS_O&amp;M Costs_2026$'!$B$1-'O&amp;M Costs BESS'!$E$1),-3)</f>
        <v>2679000</v>
      </c>
      <c r="J23" s="517">
        <f>ROUND('O&amp;M Costs BESS'!G11*(1+'BESS_O&amp;M Costs_2026$'!$D23)^('BESS_O&amp;M Costs_2026$'!$B$1-'O&amp;M Costs BESS'!$E$1),-3)</f>
        <v>2679000</v>
      </c>
      <c r="K23" s="964"/>
    </row>
    <row r="24" spans="2:71" ht="15" customHeight="1">
      <c r="B24" s="514" t="s">
        <v>698</v>
      </c>
      <c r="C24" s="518"/>
      <c r="D24" s="846">
        <f>'BESS_Capital Costs_Nominal$'!E20+CONE_Calculations!Inflation</f>
        <v>-3.1030789548612825E-3</v>
      </c>
      <c r="E24" s="516"/>
      <c r="F24" s="518"/>
      <c r="G24" s="517">
        <f>ROUND('O&amp;M Costs BESS'!D12*(1+'BESS_O&amp;M Costs_2026$'!$D24)^('BESS_O&amp;M Costs_2026$'!$B$1-'O&amp;M Costs BESS'!$E$1),-3)</f>
        <v>125000</v>
      </c>
      <c r="H24" s="517">
        <f>ROUND('O&amp;M Costs BESS'!E12*(1+'BESS_O&amp;M Costs_2026$'!$D24)^('BESS_O&amp;M Costs_2026$'!$B$1-'O&amp;M Costs BESS'!$E$1),-3)</f>
        <v>100000</v>
      </c>
      <c r="I24" s="517">
        <f>ROUND('O&amp;M Costs BESS'!F12*(1+'BESS_O&amp;M Costs_2026$'!$D24)^('BESS_O&amp;M Costs_2026$'!$B$1-'O&amp;M Costs BESS'!$E$1),-3)</f>
        <v>105000</v>
      </c>
      <c r="J24" s="517">
        <f>ROUND('O&amp;M Costs BESS'!G12*(1+'BESS_O&amp;M Costs_2026$'!$D24)^('BESS_O&amp;M Costs_2026$'!$B$1-'O&amp;M Costs BESS'!$E$1),-3)</f>
        <v>114000</v>
      </c>
      <c r="K24" s="964"/>
    </row>
    <row r="25" spans="2:71" ht="15" customHeight="1">
      <c r="B25" s="514" t="s">
        <v>697</v>
      </c>
      <c r="C25" s="518"/>
      <c r="D25" s="515">
        <f>'BESS_Capital Costs_Nominal$'!E20+CONE_Calculations!Inflation</f>
        <v>-3.1030789548612825E-3</v>
      </c>
      <c r="E25" s="516"/>
      <c r="F25" s="518"/>
      <c r="G25" s="517">
        <f>ROUND('O&amp;M Costs BESS'!D13*(1+'BESS_O&amp;M Costs_2026$'!$D25)^('BESS_O&amp;M Costs_2026$'!$B$1-'O&amp;M Costs BESS'!$E$1),-3)</f>
        <v>396000</v>
      </c>
      <c r="H25" s="517">
        <f>ROUND('O&amp;M Costs BESS'!E13*(1+'BESS_O&amp;M Costs_2026$'!$D25)^('BESS_O&amp;M Costs_2026$'!$B$1-'O&amp;M Costs BESS'!$E$1),-3)</f>
        <v>316000</v>
      </c>
      <c r="I25" s="517">
        <f>ROUND('O&amp;M Costs BESS'!F13*(1+'BESS_O&amp;M Costs_2026$'!$D25)^('BESS_O&amp;M Costs_2026$'!$B$1-'O&amp;M Costs BESS'!$E$1),-3)</f>
        <v>334000</v>
      </c>
      <c r="J25" s="517">
        <f>ROUND('O&amp;M Costs BESS'!G13*(1+'BESS_O&amp;M Costs_2026$'!$D25)^('BESS_O&amp;M Costs_2026$'!$B$1-'O&amp;M Costs BESS'!$E$1),-3)</f>
        <v>362000</v>
      </c>
      <c r="K25" s="964"/>
      <c r="L25" s="1485"/>
    </row>
    <row r="26" spans="2:71" s="508" customFormat="1" ht="15" customHeight="1">
      <c r="B26" s="514" t="s">
        <v>696</v>
      </c>
      <c r="C26" s="518"/>
      <c r="D26" s="515"/>
      <c r="E26" s="516"/>
      <c r="F26" s="518"/>
      <c r="G26" s="517">
        <f>ROUND('O&amp;M Costs BESS'!D14*(1+'BESS_O&amp;M Costs_2026$'!$D26)^('BESS_O&amp;M Costs_2026$'!$B$1-'O&amp;M Costs BESS'!$E$1),-3)</f>
        <v>299000</v>
      </c>
      <c r="H26" s="517">
        <f>ROUND('O&amp;M Costs BESS'!E14*(1+'BESS_O&amp;M Costs_2026$'!$D26)^('BESS_O&amp;M Costs_2026$'!$B$1-'O&amp;M Costs BESS'!$E$1),-3)</f>
        <v>239000</v>
      </c>
      <c r="I26" s="517">
        <f>ROUND('O&amp;M Costs BESS'!F14*(1+'BESS_O&amp;M Costs_2026$'!$D26)^('BESS_O&amp;M Costs_2026$'!$B$1-'O&amp;M Costs BESS'!$E$1),-3)</f>
        <v>253000</v>
      </c>
      <c r="J26" s="517">
        <f>ROUND('O&amp;M Costs BESS'!G14*(1+'BESS_O&amp;M Costs_2026$'!$D26)^('BESS_O&amp;M Costs_2026$'!$B$1-'O&amp;M Costs BESS'!$E$1),-3)</f>
        <v>273000</v>
      </c>
      <c r="K26" s="964"/>
    </row>
    <row r="27" spans="2:71" s="508" customFormat="1" ht="15" customHeight="1">
      <c r="B27" s="514" t="s">
        <v>695</v>
      </c>
      <c r="C27" s="518"/>
      <c r="D27" s="515"/>
      <c r="E27" s="516"/>
      <c r="F27" s="518"/>
      <c r="G27" s="517">
        <f>ROUND('Cost Assumptions BESS'!D66*'BESS_Capital Costs_Nominal$'!H48,-3)</f>
        <v>1310000</v>
      </c>
      <c r="H27" s="517">
        <f>ROUND('Cost Assumptions BESS'!D66*'BESS_Capital Costs_Nominal$'!I48,-3)</f>
        <v>1249000</v>
      </c>
      <c r="I27" s="517">
        <f>ROUND('Cost Assumptions BESS'!E66*'BESS_Capital Costs_Nominal$'!J48,-3)</f>
        <v>1263000</v>
      </c>
      <c r="J27" s="517">
        <f>ROUND('Cost Assumptions BESS'!F66*'BESS_Capital Costs_Nominal$'!K48,-3)</f>
        <v>1284000</v>
      </c>
      <c r="K27" s="964"/>
    </row>
    <row r="28" spans="2:71" ht="15" customHeight="1">
      <c r="B28" s="514" t="s">
        <v>694</v>
      </c>
      <c r="C28" s="518"/>
      <c r="D28" s="518"/>
      <c r="E28" s="518"/>
      <c r="F28" s="518"/>
      <c r="G28" s="982">
        <f>ROUND(INDEX('Annual FOM'!$S$20:$S$33,MATCH(G1,'Annual FOM'!$A$20:$A$33,0))*10^6,-3)</f>
        <v>2253000</v>
      </c>
      <c r="H28" s="982">
        <f>ROUND(INDEX('Annual FOM'!$S$20:$S$33,MATCH(H1,'Annual FOM'!$A$20:$A$33,0))*10^6,-3)</f>
        <v>4378000</v>
      </c>
      <c r="I28" s="982">
        <f ca="1">ROUND(INDEX('Annual FOM'!$S$20:$S$33,MATCH(I1,'Annual FOM'!$A$20:$A$33,0))*10^6,-3)</f>
        <v>2077000</v>
      </c>
      <c r="J28" s="982">
        <f>ROUND(INDEX('Annual FOM'!$S$20:$S$33,MATCH(J1,'Annual FOM'!$A$20:$A$33,0))*10^6,-3)</f>
        <v>2034000</v>
      </c>
      <c r="K28" s="964"/>
    </row>
    <row r="29" spans="2:71" ht="15" customHeight="1">
      <c r="B29" s="514" t="s">
        <v>731</v>
      </c>
      <c r="C29" s="518"/>
      <c r="D29" s="1481">
        <f>-4.9%+CONE_Calculations!Inflation</f>
        <v>-1.9884741444593804E-2</v>
      </c>
      <c r="E29" s="518"/>
      <c r="F29" s="518"/>
      <c r="G29" s="517">
        <f>ROUND('O&amp;M Costs BESS'!D20*(1+'BESS_O&amp;M Costs_2026$'!$D29)^('BESS_O&amp;M Costs_2026$'!$B$1-'O&amp;M Costs BESS'!$E$1),-3)</f>
        <v>28760000</v>
      </c>
      <c r="H29" s="517">
        <f>ROUND('O&amp;M Costs BESS'!E20*(1+'BESS_O&amp;M Costs_2026$'!$D29)^('BESS_O&amp;M Costs_2026$'!$B$1-'O&amp;M Costs BESS'!$E$1),-3)</f>
        <v>28760000</v>
      </c>
      <c r="I29" s="517">
        <f>ROUND('O&amp;M Costs BESS'!F20*(1+'BESS_O&amp;M Costs_2026$'!$D29)^('BESS_O&amp;M Costs_2026$'!$B$1-'O&amp;M Costs BESS'!$E$1),-3)</f>
        <v>28760000</v>
      </c>
      <c r="J29" s="517">
        <f>ROUND('O&amp;M Costs BESS'!G20*(1+'BESS_O&amp;M Costs_2026$'!$D29)^('BESS_O&amp;M Costs_2026$'!$B$1-'O&amp;M Costs BESS'!$E$1),-3)</f>
        <v>28760000</v>
      </c>
      <c r="K29" s="964"/>
    </row>
    <row r="30" spans="2:71" ht="15" customHeight="1">
      <c r="B30" s="514" t="s">
        <v>732</v>
      </c>
      <c r="C30" s="518"/>
      <c r="D30" s="1481">
        <f>-3.7%+CONE_Calculations!Inflation</f>
        <v>-7.8847414445938069E-3</v>
      </c>
      <c r="E30" s="518"/>
      <c r="F30" s="518"/>
      <c r="G30" s="517">
        <f>ROUND('O&amp;M Costs BESS'!D21*(1+'BESS_O&amp;M Costs_2026$'!$D30)^('BESS_O&amp;M Costs_2026$'!$B$1-'O&amp;M Costs BESS'!$E$1),-3)</f>
        <v>30564000</v>
      </c>
      <c r="H30" s="517">
        <f>ROUND('O&amp;M Costs BESS'!E21*(1+'BESS_O&amp;M Costs_2026$'!$D30)^('BESS_O&amp;M Costs_2026$'!$B$1-'O&amp;M Costs BESS'!$E$1),-3)</f>
        <v>30564000</v>
      </c>
      <c r="I30" s="517">
        <f>ROUND('O&amp;M Costs BESS'!F21*(1+'BESS_O&amp;M Costs_2026$'!$D30)^('BESS_O&amp;M Costs_2026$'!$B$1-'O&amp;M Costs BESS'!$E$1),-3)</f>
        <v>30564000</v>
      </c>
      <c r="J30" s="517">
        <f>ROUND('O&amp;M Costs BESS'!G21*(1+'BESS_O&amp;M Costs_2026$'!$D30)^('BESS_O&amp;M Costs_2026$'!$B$1-'O&amp;M Costs BESS'!$E$1),-3)</f>
        <v>30564000</v>
      </c>
      <c r="K30" s="964"/>
    </row>
    <row r="31" spans="2:71" s="521" customFormat="1">
      <c r="B31" s="511" t="s">
        <v>618</v>
      </c>
      <c r="C31" s="511"/>
      <c r="D31" s="511"/>
      <c r="E31" s="511"/>
      <c r="F31" s="511"/>
      <c r="G31" s="985">
        <f>SUM(G23:G28)</f>
        <v>7062000</v>
      </c>
      <c r="H31" s="985">
        <f t="shared" ref="H31:J31" si="1">SUM(H23:H28)</f>
        <v>8961000</v>
      </c>
      <c r="I31" s="985">
        <f t="shared" ca="1" si="1"/>
        <v>6711000</v>
      </c>
      <c r="J31" s="985">
        <f t="shared" si="1"/>
        <v>6746000</v>
      </c>
      <c r="K31" s="1889"/>
      <c r="L31" s="1890"/>
      <c r="M31" s="1890"/>
    </row>
    <row r="32" spans="2:71" s="521" customFormat="1">
      <c r="B32" s="511" t="s">
        <v>703</v>
      </c>
      <c r="C32" s="511"/>
      <c r="D32" s="511"/>
      <c r="E32" s="511"/>
      <c r="F32" s="511"/>
      <c r="G32" s="977">
        <f>G31/(G17*G18*10^3)</f>
        <v>8.8275000000000006</v>
      </c>
      <c r="H32" s="977">
        <f>H31/(H17*H18*10^3)</f>
        <v>11.20125</v>
      </c>
      <c r="I32" s="977">
        <f ca="1">I31/(I17*I18*10^3)</f>
        <v>8.3887499999999999</v>
      </c>
      <c r="J32" s="977">
        <f>J31/(J17*J18*10^3)</f>
        <v>8.4324999999999992</v>
      </c>
      <c r="K32" s="1889"/>
      <c r="L32" s="1890"/>
      <c r="M32" s="1890"/>
    </row>
    <row r="33" spans="2:13" s="521" customFormat="1">
      <c r="B33" s="511" t="s">
        <v>704</v>
      </c>
      <c r="C33" s="511"/>
      <c r="D33" s="511"/>
      <c r="E33" s="511"/>
      <c r="F33" s="511"/>
      <c r="G33" s="977">
        <f>G31/(G17*10^3)</f>
        <v>35.31</v>
      </c>
      <c r="H33" s="977">
        <f>H31/(H17*10^3)</f>
        <v>44.805</v>
      </c>
      <c r="I33" s="977">
        <f ca="1">I31/(I17*10^3)</f>
        <v>33.555</v>
      </c>
      <c r="J33" s="977">
        <f>J31/(J17*10^3)</f>
        <v>33.729999999999997</v>
      </c>
      <c r="K33" s="1889"/>
      <c r="L33" s="1890"/>
      <c r="M33" s="1890"/>
    </row>
    <row r="34" spans="2:13" s="521" customFormat="1" ht="6" customHeight="1">
      <c r="B34" s="511"/>
      <c r="C34" s="511"/>
      <c r="D34" s="511"/>
      <c r="E34" s="511"/>
      <c r="F34" s="511"/>
      <c r="G34" s="977"/>
      <c r="H34" s="977"/>
      <c r="I34" s="977"/>
      <c r="J34" s="977"/>
      <c r="K34" s="1889"/>
      <c r="L34" s="1890"/>
      <c r="M34" s="1890"/>
    </row>
    <row r="35" spans="2:13" s="521" customFormat="1">
      <c r="B35" s="511" t="s">
        <v>736</v>
      </c>
      <c r="C35" s="511"/>
      <c r="D35" s="511"/>
      <c r="E35" s="511"/>
      <c r="F35" s="511"/>
      <c r="G35" s="1888"/>
      <c r="H35" s="1888"/>
      <c r="I35" s="1888"/>
      <c r="J35" s="1888"/>
      <c r="K35" s="965"/>
    </row>
    <row r="36" spans="2:13" s="521" customFormat="1">
      <c r="B36" s="1484" t="s">
        <v>618</v>
      </c>
      <c r="C36" s="511"/>
      <c r="D36" s="511"/>
      <c r="E36" s="511"/>
      <c r="F36" s="511"/>
      <c r="G36" s="985">
        <f>SUM(G23:G30)</f>
        <v>66386000</v>
      </c>
      <c r="H36" s="985">
        <f t="shared" ref="H36:J36" si="2">SUM(H23:H30)</f>
        <v>68285000</v>
      </c>
      <c r="I36" s="985">
        <f t="shared" ca="1" si="2"/>
        <v>66035000</v>
      </c>
      <c r="J36" s="985">
        <f t="shared" si="2"/>
        <v>66070000</v>
      </c>
      <c r="K36" s="965"/>
    </row>
    <row r="37" spans="2:13" s="521" customFormat="1">
      <c r="B37" s="1484" t="s">
        <v>703</v>
      </c>
      <c r="C37" s="511"/>
      <c r="D37" s="511"/>
      <c r="E37" s="511"/>
      <c r="F37" s="511"/>
      <c r="G37" s="977">
        <f>G36/(G17*G18*10^3)</f>
        <v>82.982500000000002</v>
      </c>
      <c r="H37" s="977">
        <f t="shared" ref="H37:J37" si="3">H36/(H17*H18*10^3)</f>
        <v>85.356250000000003</v>
      </c>
      <c r="I37" s="977">
        <f t="shared" ca="1" si="3"/>
        <v>82.543750000000003</v>
      </c>
      <c r="J37" s="977">
        <f t="shared" si="3"/>
        <v>82.587500000000006</v>
      </c>
      <c r="K37" s="965"/>
    </row>
    <row r="38" spans="2:13" s="521" customFormat="1">
      <c r="B38" s="1484" t="s">
        <v>704</v>
      </c>
      <c r="C38" s="511"/>
      <c r="D38" s="511"/>
      <c r="E38" s="511"/>
      <c r="F38" s="511"/>
      <c r="G38" s="977">
        <f>G36/(G17*10^3)</f>
        <v>331.93</v>
      </c>
      <c r="H38" s="977">
        <f t="shared" ref="H38:J38" si="4">H36/(H17*10^3)</f>
        <v>341.42500000000001</v>
      </c>
      <c r="I38" s="977">
        <f t="shared" ca="1" si="4"/>
        <v>330.17500000000001</v>
      </c>
      <c r="J38" s="977">
        <f t="shared" si="4"/>
        <v>330.35</v>
      </c>
      <c r="K38" s="965"/>
    </row>
    <row r="39" spans="2:13" ht="6" customHeight="1">
      <c r="B39" s="522"/>
      <c r="C39" s="522"/>
      <c r="D39" s="522"/>
      <c r="E39" s="522"/>
      <c r="F39" s="522"/>
      <c r="G39" s="523"/>
      <c r="H39" s="523"/>
      <c r="I39" s="523"/>
      <c r="J39" s="523"/>
      <c r="K39" s="964"/>
    </row>
    <row r="40" spans="2:13" ht="6" customHeight="1">
      <c r="B40" s="518"/>
      <c r="C40" s="518"/>
      <c r="D40" s="518"/>
      <c r="E40" s="518"/>
      <c r="F40" s="518"/>
      <c r="G40" s="525"/>
      <c r="H40" s="525"/>
      <c r="I40" s="525"/>
      <c r="J40" s="525"/>
      <c r="K40" s="964"/>
    </row>
    <row r="41" spans="2:13">
      <c r="B41" s="511" t="s">
        <v>620</v>
      </c>
      <c r="C41" s="511"/>
      <c r="D41" s="511"/>
      <c r="E41" s="511"/>
      <c r="F41" s="511"/>
      <c r="G41" s="970"/>
      <c r="H41" s="970"/>
      <c r="I41" s="970"/>
      <c r="J41" s="970"/>
      <c r="K41" s="964"/>
    </row>
    <row r="42" spans="2:13">
      <c r="B42" s="514" t="s">
        <v>691</v>
      </c>
      <c r="C42" s="511"/>
      <c r="D42" s="971">
        <f>'BESS_Capital Costs_Nominal$'!E20+CONE_Calculations!Inflation</f>
        <v>-3.1030789548612825E-3</v>
      </c>
      <c r="E42" s="511"/>
      <c r="F42" s="511"/>
      <c r="G42" s="972">
        <f>('O&amp;M Costs'!D$23+'O&amp;M Costs'!D$24)*(1+$D42)^('BESS_O&amp;M Costs_2026$'!$B$1-'O&amp;M Costs'!$I$1)</f>
        <v>0</v>
      </c>
      <c r="H42" s="972">
        <f>('O&amp;M Costs'!E$23+'O&amp;M Costs'!E$24)*(1+$D42)^('BESS_O&amp;M Costs_2026$'!$B$1-'O&amp;M Costs'!$I$1)</f>
        <v>0</v>
      </c>
      <c r="I42" s="972">
        <f>('O&amp;M Costs'!F$23+'O&amp;M Costs'!F$24)*(1+$D42)^('BESS_O&amp;M Costs_2026$'!$B$1-'O&amp;M Costs'!$I$1)</f>
        <v>0</v>
      </c>
      <c r="J42" s="972">
        <f>('O&amp;M Costs'!G$23+'O&amp;M Costs'!G$24)*(1+$D42)^('BESS_O&amp;M Costs_2026$'!$B$1-'O&amp;M Costs'!$I$1)</f>
        <v>0</v>
      </c>
      <c r="K42" s="964"/>
    </row>
    <row r="43" spans="2:13" s="521" customFormat="1">
      <c r="B43" s="975" t="s">
        <v>621</v>
      </c>
      <c r="C43" s="976"/>
      <c r="D43" s="976"/>
      <c r="E43" s="976"/>
      <c r="F43" s="976"/>
      <c r="G43" s="977">
        <f>SUM(G42:G42)</f>
        <v>0</v>
      </c>
      <c r="H43" s="977">
        <f>SUM(H42:H42)</f>
        <v>0</v>
      </c>
      <c r="I43" s="977">
        <f>SUM(I42:I42)</f>
        <v>0</v>
      </c>
      <c r="J43" s="977">
        <f>SUM(J42:J42)</f>
        <v>0</v>
      </c>
      <c r="K43" s="965"/>
    </row>
    <row r="44" spans="2:13" ht="6" customHeight="1" thickBot="1">
      <c r="B44" s="527"/>
      <c r="C44" s="527"/>
      <c r="D44" s="527"/>
      <c r="E44" s="527"/>
      <c r="F44" s="527"/>
      <c r="G44" s="528"/>
      <c r="H44" s="528"/>
      <c r="I44" s="528"/>
      <c r="J44" s="528"/>
      <c r="K44" s="964"/>
    </row>
    <row r="45" spans="2:13" ht="6" customHeight="1" thickTop="1">
      <c r="B45" s="508"/>
      <c r="C45" s="508"/>
      <c r="D45" s="508"/>
      <c r="E45" s="508"/>
      <c r="F45" s="508"/>
      <c r="G45" s="510"/>
      <c r="H45" s="510"/>
      <c r="I45" s="510"/>
      <c r="J45" s="510"/>
    </row>
    <row r="46" spans="2:13">
      <c r="B46" s="531"/>
      <c r="C46" s="531"/>
      <c r="D46" s="531"/>
      <c r="E46" s="531"/>
      <c r="F46" s="531"/>
      <c r="G46" s="941"/>
      <c r="H46" s="510"/>
      <c r="I46" s="510"/>
      <c r="J46" s="510"/>
    </row>
    <row r="47" spans="2:13">
      <c r="B47" s="532"/>
      <c r="C47" s="532"/>
      <c r="D47" s="532"/>
      <c r="E47" s="532"/>
      <c r="F47" s="532"/>
      <c r="G47" s="942"/>
      <c r="H47" s="942"/>
      <c r="I47" s="942"/>
      <c r="J47" s="942"/>
    </row>
    <row r="48" spans="2:13">
      <c r="G48" s="943"/>
      <c r="H48" s="943"/>
      <c r="I48" s="943"/>
      <c r="J48" s="943"/>
    </row>
    <row r="49" spans="2:71">
      <c r="G49" s="1014"/>
    </row>
    <row r="50" spans="2:71">
      <c r="B50" s="533"/>
    </row>
    <row r="51" spans="2:71">
      <c r="B51" s="533"/>
      <c r="G51" s="1014"/>
    </row>
    <row r="56" spans="2:71" s="493" customFormat="1">
      <c r="B56" s="494"/>
      <c r="C56" s="494"/>
      <c r="D56" s="494"/>
      <c r="E56" s="494"/>
      <c r="F56" s="494"/>
      <c r="K56" s="494"/>
      <c r="L56" s="494"/>
      <c r="M56" s="494"/>
      <c r="N56" s="494"/>
      <c r="O56" s="494"/>
      <c r="P56" s="494"/>
      <c r="Q56" s="494"/>
      <c r="R56" s="494"/>
      <c r="S56" s="494"/>
      <c r="T56" s="494"/>
      <c r="U56" s="494"/>
      <c r="V56" s="494"/>
      <c r="W56" s="494"/>
      <c r="X56" s="494"/>
      <c r="Y56" s="494"/>
      <c r="Z56" s="494"/>
      <c r="AA56" s="494"/>
      <c r="AB56" s="494"/>
      <c r="AC56" s="494"/>
      <c r="AD56" s="494"/>
      <c r="AE56" s="494"/>
      <c r="AF56" s="494"/>
      <c r="AG56" s="494"/>
      <c r="AH56" s="494"/>
      <c r="AI56" s="494"/>
      <c r="AJ56" s="494"/>
      <c r="AK56" s="494"/>
      <c r="AL56" s="494"/>
      <c r="AM56" s="494"/>
      <c r="AN56" s="494"/>
      <c r="AO56" s="494"/>
      <c r="AP56" s="494"/>
      <c r="AQ56" s="494"/>
      <c r="AR56" s="494"/>
      <c r="AS56" s="494"/>
      <c r="AT56" s="494"/>
      <c r="AU56" s="494"/>
      <c r="AV56" s="494"/>
      <c r="AW56" s="494"/>
      <c r="AX56" s="494"/>
      <c r="AY56" s="494"/>
      <c r="AZ56" s="494"/>
      <c r="BA56" s="494"/>
      <c r="BB56" s="494"/>
      <c r="BC56" s="494"/>
      <c r="BD56" s="494"/>
      <c r="BE56" s="494"/>
      <c r="BF56" s="494"/>
      <c r="BG56" s="494"/>
      <c r="BH56" s="494"/>
      <c r="BI56" s="494"/>
      <c r="BJ56" s="494"/>
      <c r="BK56" s="494"/>
      <c r="BL56" s="494"/>
      <c r="BM56" s="494"/>
      <c r="BN56" s="494"/>
      <c r="BO56" s="494"/>
      <c r="BP56" s="494"/>
      <c r="BQ56" s="494"/>
      <c r="BR56" s="494"/>
      <c r="BS56" s="494"/>
    </row>
    <row r="57" spans="2:71" s="493" customFormat="1">
      <c r="B57" s="494"/>
      <c r="C57" s="494"/>
      <c r="D57" s="494"/>
      <c r="E57" s="494"/>
      <c r="F57" s="494"/>
      <c r="K57" s="494"/>
      <c r="L57" s="494"/>
      <c r="M57" s="494"/>
      <c r="N57" s="494"/>
      <c r="O57" s="494"/>
      <c r="P57" s="494"/>
      <c r="Q57" s="494"/>
      <c r="R57" s="494"/>
      <c r="S57" s="494"/>
      <c r="T57" s="494"/>
      <c r="U57" s="494"/>
      <c r="V57" s="494"/>
      <c r="W57" s="494"/>
      <c r="X57" s="494"/>
      <c r="Y57" s="494"/>
      <c r="Z57" s="494"/>
      <c r="AA57" s="494"/>
      <c r="AB57" s="494"/>
      <c r="AC57" s="494"/>
      <c r="AD57" s="494"/>
      <c r="AE57" s="494"/>
      <c r="AF57" s="494"/>
      <c r="AG57" s="494"/>
      <c r="AH57" s="494"/>
      <c r="AI57" s="494"/>
      <c r="AJ57" s="494"/>
      <c r="AK57" s="494"/>
      <c r="AL57" s="494"/>
      <c r="AM57" s="494"/>
      <c r="AN57" s="494"/>
      <c r="AO57" s="494"/>
      <c r="AP57" s="494"/>
      <c r="AQ57" s="494"/>
      <c r="AR57" s="494"/>
      <c r="AS57" s="494"/>
      <c r="AT57" s="494"/>
      <c r="AU57" s="494"/>
      <c r="AV57" s="494"/>
      <c r="AW57" s="494"/>
      <c r="AX57" s="494"/>
      <c r="AY57" s="494"/>
      <c r="AZ57" s="494"/>
      <c r="BA57" s="494"/>
      <c r="BB57" s="494"/>
      <c r="BC57" s="494"/>
      <c r="BD57" s="494"/>
      <c r="BE57" s="494"/>
      <c r="BF57" s="494"/>
      <c r="BG57" s="494"/>
      <c r="BH57" s="494"/>
      <c r="BI57" s="494"/>
      <c r="BJ57" s="494"/>
      <c r="BK57" s="494"/>
      <c r="BL57" s="494"/>
      <c r="BM57" s="494"/>
      <c r="BN57" s="494"/>
      <c r="BO57" s="494"/>
      <c r="BP57" s="494"/>
      <c r="BQ57" s="494"/>
      <c r="BR57" s="494"/>
      <c r="BS57" s="494"/>
    </row>
    <row r="58" spans="2:71" s="493" customFormat="1">
      <c r="B58" s="494"/>
      <c r="C58" s="494"/>
      <c r="D58" s="494"/>
      <c r="E58" s="494"/>
      <c r="F58" s="494"/>
      <c r="K58" s="494"/>
      <c r="L58" s="494"/>
      <c r="M58" s="494"/>
      <c r="N58" s="494"/>
      <c r="O58" s="494"/>
      <c r="P58" s="494"/>
      <c r="Q58" s="494"/>
      <c r="R58" s="494"/>
      <c r="S58" s="494"/>
      <c r="T58" s="494"/>
      <c r="U58" s="494"/>
      <c r="V58" s="494"/>
      <c r="W58" s="494"/>
      <c r="X58" s="494"/>
      <c r="Y58" s="494"/>
      <c r="Z58" s="494"/>
      <c r="AA58" s="494"/>
      <c r="AB58" s="494"/>
      <c r="AC58" s="494"/>
      <c r="AD58" s="494"/>
      <c r="AE58" s="494"/>
      <c r="AF58" s="494"/>
      <c r="AG58" s="494"/>
      <c r="AH58" s="494"/>
      <c r="AI58" s="494"/>
      <c r="AJ58" s="494"/>
      <c r="AK58" s="494"/>
      <c r="AL58" s="494"/>
      <c r="AM58" s="494"/>
      <c r="AN58" s="494"/>
      <c r="AO58" s="494"/>
      <c r="AP58" s="494"/>
      <c r="AQ58" s="494"/>
      <c r="AR58" s="494"/>
      <c r="AS58" s="494"/>
      <c r="AT58" s="494"/>
      <c r="AU58" s="494"/>
      <c r="AV58" s="494"/>
      <c r="AW58" s="494"/>
      <c r="AX58" s="494"/>
      <c r="AY58" s="494"/>
      <c r="AZ58" s="494"/>
      <c r="BA58" s="494"/>
      <c r="BB58" s="494"/>
      <c r="BC58" s="494"/>
      <c r="BD58" s="494"/>
      <c r="BE58" s="494"/>
      <c r="BF58" s="494"/>
      <c r="BG58" s="494"/>
      <c r="BH58" s="494"/>
      <c r="BI58" s="494"/>
      <c r="BJ58" s="494"/>
      <c r="BK58" s="494"/>
      <c r="BL58" s="494"/>
      <c r="BM58" s="494"/>
      <c r="BN58" s="494"/>
      <c r="BO58" s="494"/>
      <c r="BP58" s="494"/>
      <c r="BQ58" s="494"/>
      <c r="BR58" s="494"/>
      <c r="BS58" s="494"/>
    </row>
    <row r="59" spans="2:71" s="493" customFormat="1">
      <c r="B59" s="494"/>
      <c r="C59" s="494"/>
      <c r="D59" s="494"/>
      <c r="E59" s="494"/>
      <c r="F59" s="494"/>
      <c r="K59" s="494"/>
      <c r="L59" s="494"/>
      <c r="M59" s="494"/>
      <c r="N59" s="494"/>
      <c r="O59" s="494"/>
      <c r="P59" s="494"/>
      <c r="Q59" s="494"/>
      <c r="R59" s="494"/>
      <c r="S59" s="494"/>
      <c r="T59" s="494"/>
      <c r="U59" s="494"/>
      <c r="V59" s="494"/>
      <c r="W59" s="494"/>
      <c r="X59" s="494"/>
      <c r="Y59" s="494"/>
      <c r="Z59" s="494"/>
      <c r="AA59" s="494"/>
      <c r="AB59" s="494"/>
      <c r="AC59" s="494"/>
      <c r="AD59" s="494"/>
      <c r="AE59" s="494"/>
      <c r="AF59" s="494"/>
      <c r="AG59" s="494"/>
      <c r="AH59" s="494"/>
      <c r="AI59" s="494"/>
      <c r="AJ59" s="494"/>
      <c r="AK59" s="494"/>
      <c r="AL59" s="494"/>
      <c r="AM59" s="494"/>
      <c r="AN59" s="494"/>
      <c r="AO59" s="494"/>
      <c r="AP59" s="494"/>
      <c r="AQ59" s="494"/>
      <c r="AR59" s="494"/>
      <c r="AS59" s="494"/>
      <c r="AT59" s="494"/>
      <c r="AU59" s="494"/>
      <c r="AV59" s="494"/>
      <c r="AW59" s="494"/>
      <c r="AX59" s="494"/>
      <c r="AY59" s="494"/>
      <c r="AZ59" s="494"/>
      <c r="BA59" s="494"/>
      <c r="BB59" s="494"/>
      <c r="BC59" s="494"/>
      <c r="BD59" s="494"/>
      <c r="BE59" s="494"/>
      <c r="BF59" s="494"/>
      <c r="BG59" s="494"/>
      <c r="BH59" s="494"/>
      <c r="BI59" s="494"/>
      <c r="BJ59" s="494"/>
      <c r="BK59" s="494"/>
      <c r="BL59" s="494"/>
      <c r="BM59" s="494"/>
      <c r="BN59" s="494"/>
      <c r="BO59" s="494"/>
      <c r="BP59" s="494"/>
      <c r="BQ59" s="494"/>
      <c r="BR59" s="494"/>
      <c r="BS59" s="494"/>
    </row>
    <row r="60" spans="2:71" s="493" customFormat="1">
      <c r="B60" s="494"/>
      <c r="C60" s="494"/>
      <c r="D60" s="494"/>
      <c r="E60" s="494"/>
      <c r="F60" s="494"/>
      <c r="K60" s="494"/>
      <c r="L60" s="494"/>
      <c r="M60" s="494"/>
      <c r="N60" s="494"/>
      <c r="O60" s="494"/>
      <c r="P60" s="494"/>
      <c r="Q60" s="494"/>
      <c r="R60" s="494"/>
      <c r="S60" s="494"/>
      <c r="T60" s="494"/>
      <c r="U60" s="494"/>
      <c r="V60" s="494"/>
      <c r="W60" s="494"/>
      <c r="X60" s="494"/>
      <c r="Y60" s="494"/>
      <c r="Z60" s="494"/>
      <c r="AA60" s="494"/>
      <c r="AB60" s="494"/>
      <c r="AC60" s="494"/>
      <c r="AD60" s="494"/>
      <c r="AE60" s="494"/>
      <c r="AF60" s="494"/>
      <c r="AG60" s="494"/>
      <c r="AH60" s="494"/>
      <c r="AI60" s="494"/>
      <c r="AJ60" s="494"/>
      <c r="AK60" s="494"/>
      <c r="AL60" s="494"/>
      <c r="AM60" s="494"/>
      <c r="AN60" s="494"/>
      <c r="AO60" s="494"/>
      <c r="AP60" s="494"/>
      <c r="AQ60" s="494"/>
      <c r="AR60" s="494"/>
      <c r="AS60" s="494"/>
      <c r="AT60" s="494"/>
      <c r="AU60" s="494"/>
      <c r="AV60" s="494"/>
      <c r="AW60" s="494"/>
      <c r="AX60" s="494"/>
      <c r="AY60" s="494"/>
      <c r="AZ60" s="494"/>
      <c r="BA60" s="494"/>
      <c r="BB60" s="494"/>
      <c r="BC60" s="494"/>
      <c r="BD60" s="494"/>
      <c r="BE60" s="494"/>
      <c r="BF60" s="494"/>
      <c r="BG60" s="494"/>
      <c r="BH60" s="494"/>
      <c r="BI60" s="494"/>
      <c r="BJ60" s="494"/>
      <c r="BK60" s="494"/>
      <c r="BL60" s="494"/>
      <c r="BM60" s="494"/>
      <c r="BN60" s="494"/>
      <c r="BO60" s="494"/>
      <c r="BP60" s="494"/>
      <c r="BQ60" s="494"/>
      <c r="BR60" s="494"/>
      <c r="BS60" s="494"/>
    </row>
    <row r="61" spans="2:71" s="493" customFormat="1">
      <c r="B61" s="494"/>
      <c r="C61" s="494"/>
      <c r="D61" s="494"/>
      <c r="E61" s="494"/>
      <c r="F61" s="494"/>
      <c r="K61" s="494"/>
      <c r="L61" s="494"/>
      <c r="M61" s="494"/>
      <c r="N61" s="494"/>
      <c r="O61" s="494"/>
      <c r="P61" s="494"/>
      <c r="Q61" s="494"/>
      <c r="R61" s="494"/>
      <c r="S61" s="494"/>
      <c r="T61" s="494"/>
      <c r="U61" s="494"/>
      <c r="V61" s="494"/>
      <c r="W61" s="494"/>
      <c r="X61" s="494"/>
      <c r="Y61" s="494"/>
      <c r="Z61" s="494"/>
      <c r="AA61" s="494"/>
      <c r="AB61" s="494"/>
      <c r="AC61" s="494"/>
      <c r="AD61" s="494"/>
      <c r="AE61" s="494"/>
      <c r="AF61" s="494"/>
      <c r="AG61" s="494"/>
      <c r="AH61" s="494"/>
      <c r="AI61" s="494"/>
      <c r="AJ61" s="494"/>
      <c r="AK61" s="494"/>
      <c r="AL61" s="494"/>
      <c r="AM61" s="494"/>
      <c r="AN61" s="494"/>
      <c r="AO61" s="494"/>
      <c r="AP61" s="494"/>
      <c r="AQ61" s="494"/>
      <c r="AR61" s="494"/>
      <c r="AS61" s="494"/>
      <c r="AT61" s="494"/>
      <c r="AU61" s="494"/>
      <c r="AV61" s="494"/>
      <c r="AW61" s="494"/>
      <c r="AX61" s="494"/>
      <c r="AY61" s="494"/>
      <c r="AZ61" s="494"/>
      <c r="BA61" s="494"/>
      <c r="BB61" s="494"/>
      <c r="BC61" s="494"/>
      <c r="BD61" s="494"/>
      <c r="BE61" s="494"/>
      <c r="BF61" s="494"/>
      <c r="BG61" s="494"/>
      <c r="BH61" s="494"/>
      <c r="BI61" s="494"/>
      <c r="BJ61" s="494"/>
      <c r="BK61" s="494"/>
      <c r="BL61" s="494"/>
      <c r="BM61" s="494"/>
      <c r="BN61" s="494"/>
      <c r="BO61" s="494"/>
      <c r="BP61" s="494"/>
      <c r="BQ61" s="494"/>
      <c r="BR61" s="494"/>
      <c r="BS61" s="494"/>
    </row>
    <row r="62" spans="2:71" s="493" customFormat="1">
      <c r="B62" s="494"/>
      <c r="C62" s="494"/>
      <c r="D62" s="494"/>
      <c r="E62" s="494"/>
      <c r="F62" s="494"/>
      <c r="K62" s="494"/>
      <c r="L62" s="494"/>
      <c r="M62" s="494"/>
      <c r="N62" s="494"/>
      <c r="O62" s="494"/>
      <c r="P62" s="494"/>
      <c r="Q62" s="494"/>
      <c r="R62" s="494"/>
      <c r="S62" s="494"/>
      <c r="T62" s="494"/>
      <c r="U62" s="494"/>
      <c r="V62" s="494"/>
      <c r="W62" s="494"/>
      <c r="X62" s="494"/>
      <c r="Y62" s="494"/>
      <c r="Z62" s="494"/>
      <c r="AA62" s="494"/>
      <c r="AB62" s="494"/>
      <c r="AC62" s="494"/>
      <c r="AD62" s="494"/>
      <c r="AE62" s="494"/>
      <c r="AF62" s="494"/>
      <c r="AG62" s="494"/>
      <c r="AH62" s="494"/>
      <c r="AI62" s="494"/>
      <c r="AJ62" s="494"/>
      <c r="AK62" s="494"/>
      <c r="AL62" s="494"/>
      <c r="AM62" s="494"/>
      <c r="AN62" s="494"/>
      <c r="AO62" s="494"/>
      <c r="AP62" s="494"/>
      <c r="AQ62" s="494"/>
      <c r="AR62" s="494"/>
      <c r="AS62" s="494"/>
      <c r="AT62" s="494"/>
      <c r="AU62" s="494"/>
      <c r="AV62" s="494"/>
      <c r="AW62" s="494"/>
      <c r="AX62" s="494"/>
      <c r="AY62" s="494"/>
      <c r="AZ62" s="494"/>
      <c r="BA62" s="494"/>
      <c r="BB62" s="494"/>
      <c r="BC62" s="494"/>
      <c r="BD62" s="494"/>
      <c r="BE62" s="494"/>
      <c r="BF62" s="494"/>
      <c r="BG62" s="494"/>
      <c r="BH62" s="494"/>
      <c r="BI62" s="494"/>
      <c r="BJ62" s="494"/>
      <c r="BK62" s="494"/>
      <c r="BL62" s="494"/>
      <c r="BM62" s="494"/>
      <c r="BN62" s="494"/>
      <c r="BO62" s="494"/>
      <c r="BP62" s="494"/>
      <c r="BQ62" s="494"/>
      <c r="BR62" s="494"/>
      <c r="BS62" s="494"/>
    </row>
    <row r="63" spans="2:71" s="493" customFormat="1">
      <c r="B63" s="494"/>
      <c r="C63" s="494"/>
      <c r="D63" s="494"/>
      <c r="E63" s="494"/>
      <c r="F63" s="494"/>
      <c r="K63" s="494"/>
      <c r="L63" s="494"/>
      <c r="M63" s="494"/>
      <c r="N63" s="494"/>
      <c r="O63" s="494"/>
      <c r="P63" s="494"/>
      <c r="Q63" s="494"/>
      <c r="R63" s="494"/>
      <c r="S63" s="494"/>
      <c r="T63" s="494"/>
      <c r="U63" s="494"/>
      <c r="V63" s="494"/>
      <c r="W63" s="494"/>
      <c r="X63" s="494"/>
      <c r="Y63" s="494"/>
      <c r="Z63" s="494"/>
      <c r="AA63" s="494"/>
      <c r="AB63" s="494"/>
      <c r="AC63" s="494"/>
      <c r="AD63" s="494"/>
      <c r="AE63" s="494"/>
      <c r="AF63" s="494"/>
      <c r="AG63" s="494"/>
      <c r="AH63" s="494"/>
      <c r="AI63" s="494"/>
      <c r="AJ63" s="494"/>
      <c r="AK63" s="494"/>
      <c r="AL63" s="494"/>
      <c r="AM63" s="494"/>
      <c r="AN63" s="494"/>
      <c r="AO63" s="494"/>
      <c r="AP63" s="494"/>
      <c r="AQ63" s="494"/>
      <c r="AR63" s="494"/>
      <c r="AS63" s="494"/>
      <c r="AT63" s="494"/>
      <c r="AU63" s="494"/>
      <c r="AV63" s="494"/>
      <c r="AW63" s="494"/>
      <c r="AX63" s="494"/>
      <c r="AY63" s="494"/>
      <c r="AZ63" s="494"/>
      <c r="BA63" s="494"/>
      <c r="BB63" s="494"/>
      <c r="BC63" s="494"/>
      <c r="BD63" s="494"/>
      <c r="BE63" s="494"/>
      <c r="BF63" s="494"/>
      <c r="BG63" s="494"/>
      <c r="BH63" s="494"/>
      <c r="BI63" s="494"/>
      <c r="BJ63" s="494"/>
      <c r="BK63" s="494"/>
      <c r="BL63" s="494"/>
      <c r="BM63" s="494"/>
      <c r="BN63" s="494"/>
      <c r="BO63" s="494"/>
      <c r="BP63" s="494"/>
      <c r="BQ63" s="494"/>
      <c r="BR63" s="494"/>
      <c r="BS63" s="494"/>
    </row>
    <row r="64" spans="2:71" s="493" customFormat="1">
      <c r="B64" s="494"/>
      <c r="C64" s="494"/>
      <c r="D64" s="494"/>
      <c r="E64" s="494"/>
      <c r="F64" s="494"/>
      <c r="K64" s="494"/>
      <c r="L64" s="494"/>
      <c r="M64" s="494"/>
      <c r="N64" s="494"/>
      <c r="O64" s="494"/>
      <c r="P64" s="494"/>
      <c r="Q64" s="494"/>
      <c r="R64" s="494"/>
      <c r="S64" s="494"/>
      <c r="T64" s="494"/>
      <c r="U64" s="494"/>
      <c r="V64" s="494"/>
      <c r="W64" s="494"/>
      <c r="X64" s="494"/>
      <c r="Y64" s="494"/>
      <c r="Z64" s="494"/>
      <c r="AA64" s="494"/>
      <c r="AB64" s="494"/>
      <c r="AC64" s="494"/>
      <c r="AD64" s="494"/>
      <c r="AE64" s="494"/>
      <c r="AF64" s="494"/>
      <c r="AG64" s="494"/>
      <c r="AH64" s="494"/>
      <c r="AI64" s="494"/>
      <c r="AJ64" s="494"/>
      <c r="AK64" s="494"/>
      <c r="AL64" s="494"/>
      <c r="AM64" s="494"/>
      <c r="AN64" s="494"/>
      <c r="AO64" s="494"/>
      <c r="AP64" s="494"/>
      <c r="AQ64" s="494"/>
      <c r="AR64" s="494"/>
      <c r="AS64" s="494"/>
      <c r="AT64" s="494"/>
      <c r="AU64" s="494"/>
      <c r="AV64" s="494"/>
      <c r="AW64" s="494"/>
      <c r="AX64" s="494"/>
      <c r="AY64" s="494"/>
      <c r="AZ64" s="494"/>
      <c r="BA64" s="494"/>
      <c r="BB64" s="494"/>
      <c r="BC64" s="494"/>
      <c r="BD64" s="494"/>
      <c r="BE64" s="494"/>
      <c r="BF64" s="494"/>
      <c r="BG64" s="494"/>
      <c r="BH64" s="494"/>
      <c r="BI64" s="494"/>
      <c r="BJ64" s="494"/>
      <c r="BK64" s="494"/>
      <c r="BL64" s="494"/>
      <c r="BM64" s="494"/>
      <c r="BN64" s="494"/>
      <c r="BO64" s="494"/>
      <c r="BP64" s="494"/>
      <c r="BQ64" s="494"/>
      <c r="BR64" s="494"/>
      <c r="BS64" s="494"/>
    </row>
    <row r="65" spans="2:71" s="493" customFormat="1">
      <c r="B65" s="494"/>
      <c r="C65" s="494"/>
      <c r="D65" s="494"/>
      <c r="E65" s="494"/>
      <c r="F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494"/>
      <c r="AY65" s="494"/>
      <c r="AZ65" s="494"/>
      <c r="BA65" s="494"/>
      <c r="BB65" s="494"/>
      <c r="BC65" s="494"/>
      <c r="BD65" s="494"/>
      <c r="BE65" s="494"/>
      <c r="BF65" s="494"/>
      <c r="BG65" s="494"/>
      <c r="BH65" s="494"/>
      <c r="BI65" s="494"/>
      <c r="BJ65" s="494"/>
      <c r="BK65" s="494"/>
      <c r="BL65" s="494"/>
      <c r="BM65" s="494"/>
      <c r="BN65" s="494"/>
      <c r="BO65" s="494"/>
      <c r="BP65" s="494"/>
      <c r="BQ65" s="494"/>
      <c r="BR65" s="494"/>
      <c r="BS65" s="494"/>
    </row>
    <row r="66" spans="2:71" s="493" customFormat="1">
      <c r="B66" s="494"/>
      <c r="C66" s="494"/>
      <c r="D66" s="494"/>
      <c r="E66" s="494"/>
      <c r="F66" s="494"/>
      <c r="K66" s="494"/>
      <c r="L66" s="494"/>
      <c r="M66" s="494"/>
      <c r="N66" s="494"/>
      <c r="O66" s="494"/>
      <c r="P66" s="494"/>
      <c r="Q66" s="494"/>
      <c r="R66" s="494"/>
      <c r="S66" s="494"/>
      <c r="T66" s="494"/>
      <c r="U66" s="494"/>
      <c r="V66" s="494"/>
      <c r="W66" s="494"/>
      <c r="X66" s="494"/>
      <c r="Y66" s="494"/>
      <c r="Z66" s="494"/>
      <c r="AA66" s="494"/>
      <c r="AB66" s="494"/>
      <c r="AC66" s="494"/>
      <c r="AD66" s="494"/>
      <c r="AE66" s="494"/>
      <c r="AF66" s="494"/>
      <c r="AG66" s="494"/>
      <c r="AH66" s="494"/>
      <c r="AI66" s="494"/>
      <c r="AJ66" s="494"/>
      <c r="AK66" s="494"/>
      <c r="AL66" s="494"/>
      <c r="AM66" s="494"/>
      <c r="AN66" s="494"/>
      <c r="AO66" s="494"/>
      <c r="AP66" s="494"/>
      <c r="AQ66" s="494"/>
      <c r="AR66" s="494"/>
      <c r="AS66" s="494"/>
      <c r="AT66" s="494"/>
      <c r="AU66" s="494"/>
      <c r="AV66" s="494"/>
      <c r="AW66" s="494"/>
      <c r="AX66" s="494"/>
      <c r="AY66" s="494"/>
      <c r="AZ66" s="494"/>
      <c r="BA66" s="494"/>
      <c r="BB66" s="494"/>
      <c r="BC66" s="494"/>
      <c r="BD66" s="494"/>
      <c r="BE66" s="494"/>
      <c r="BF66" s="494"/>
      <c r="BG66" s="494"/>
      <c r="BH66" s="494"/>
      <c r="BI66" s="494"/>
      <c r="BJ66" s="494"/>
      <c r="BK66" s="494"/>
      <c r="BL66" s="494"/>
      <c r="BM66" s="494"/>
      <c r="BN66" s="494"/>
      <c r="BO66" s="494"/>
      <c r="BP66" s="494"/>
      <c r="BQ66" s="494"/>
      <c r="BR66" s="494"/>
      <c r="BS66" s="494"/>
    </row>
    <row r="67" spans="2:71" s="493" customFormat="1">
      <c r="B67" s="494"/>
      <c r="C67" s="494"/>
      <c r="D67" s="494"/>
      <c r="E67" s="494"/>
      <c r="F67" s="494"/>
      <c r="K67" s="494"/>
      <c r="L67" s="494"/>
      <c r="M67" s="494"/>
      <c r="N67" s="494"/>
      <c r="O67" s="494"/>
      <c r="P67" s="494"/>
      <c r="Q67" s="494"/>
      <c r="R67" s="494"/>
      <c r="S67" s="494"/>
      <c r="T67" s="494"/>
      <c r="U67" s="494"/>
      <c r="V67" s="494"/>
      <c r="W67" s="494"/>
      <c r="X67" s="494"/>
      <c r="Y67" s="494"/>
      <c r="Z67" s="494"/>
      <c r="AA67" s="494"/>
      <c r="AB67" s="494"/>
      <c r="AC67" s="494"/>
      <c r="AD67" s="494"/>
      <c r="AE67" s="494"/>
      <c r="AF67" s="494"/>
      <c r="AG67" s="494"/>
      <c r="AH67" s="494"/>
      <c r="AI67" s="494"/>
      <c r="AJ67" s="494"/>
      <c r="AK67" s="494"/>
      <c r="AL67" s="494"/>
      <c r="AM67" s="494"/>
      <c r="AN67" s="494"/>
      <c r="AO67" s="494"/>
      <c r="AP67" s="494"/>
      <c r="AQ67" s="494"/>
      <c r="AR67" s="494"/>
      <c r="AS67" s="494"/>
      <c r="AT67" s="494"/>
      <c r="AU67" s="494"/>
      <c r="AV67" s="494"/>
      <c r="AW67" s="494"/>
      <c r="AX67" s="494"/>
      <c r="AY67" s="494"/>
      <c r="AZ67" s="494"/>
      <c r="BA67" s="494"/>
      <c r="BB67" s="494"/>
      <c r="BC67" s="494"/>
      <c r="BD67" s="494"/>
      <c r="BE67" s="494"/>
      <c r="BF67" s="494"/>
      <c r="BG67" s="494"/>
      <c r="BH67" s="494"/>
      <c r="BI67" s="494"/>
      <c r="BJ67" s="494"/>
      <c r="BK67" s="494"/>
      <c r="BL67" s="494"/>
      <c r="BM67" s="494"/>
      <c r="BN67" s="494"/>
      <c r="BO67" s="494"/>
      <c r="BP67" s="494"/>
      <c r="BQ67" s="494"/>
      <c r="BR67" s="494"/>
      <c r="BS67" s="494"/>
    </row>
    <row r="68" spans="2:71" s="493" customFormat="1">
      <c r="B68" s="494"/>
      <c r="C68" s="494"/>
      <c r="D68" s="494"/>
      <c r="E68" s="494"/>
      <c r="F68" s="494"/>
      <c r="K68" s="494"/>
      <c r="L68" s="494"/>
      <c r="M68" s="494"/>
      <c r="N68" s="494"/>
      <c r="O68" s="494"/>
      <c r="P68" s="494"/>
      <c r="Q68" s="494"/>
      <c r="R68" s="494"/>
      <c r="S68" s="494"/>
      <c r="T68" s="494"/>
      <c r="U68" s="494"/>
      <c r="V68" s="494"/>
      <c r="W68" s="494"/>
      <c r="X68" s="494"/>
      <c r="Y68" s="494"/>
      <c r="Z68" s="494"/>
      <c r="AA68" s="494"/>
      <c r="AB68" s="494"/>
      <c r="AC68" s="494"/>
      <c r="AD68" s="494"/>
      <c r="AE68" s="494"/>
      <c r="AF68" s="494"/>
      <c r="AG68" s="494"/>
      <c r="AH68" s="494"/>
      <c r="AI68" s="494"/>
      <c r="AJ68" s="494"/>
      <c r="AK68" s="494"/>
      <c r="AL68" s="494"/>
      <c r="AM68" s="494"/>
      <c r="AN68" s="494"/>
      <c r="AO68" s="494"/>
      <c r="AP68" s="494"/>
      <c r="AQ68" s="494"/>
      <c r="AR68" s="494"/>
      <c r="AS68" s="494"/>
      <c r="AT68" s="494"/>
      <c r="AU68" s="494"/>
      <c r="AV68" s="494"/>
      <c r="AW68" s="494"/>
      <c r="AX68" s="494"/>
      <c r="AY68" s="494"/>
      <c r="AZ68" s="494"/>
      <c r="BA68" s="494"/>
      <c r="BB68" s="494"/>
      <c r="BC68" s="494"/>
      <c r="BD68" s="494"/>
      <c r="BE68" s="494"/>
      <c r="BF68" s="494"/>
      <c r="BG68" s="494"/>
      <c r="BH68" s="494"/>
      <c r="BI68" s="494"/>
      <c r="BJ68" s="494"/>
      <c r="BK68" s="494"/>
      <c r="BL68" s="494"/>
      <c r="BM68" s="494"/>
      <c r="BN68" s="494"/>
      <c r="BO68" s="494"/>
      <c r="BP68" s="494"/>
      <c r="BQ68" s="494"/>
      <c r="BR68" s="494"/>
      <c r="BS68" s="494"/>
    </row>
    <row r="69" spans="2:71" s="493" customFormat="1">
      <c r="B69" s="494"/>
      <c r="C69" s="494"/>
      <c r="D69" s="494"/>
      <c r="E69" s="494"/>
      <c r="F69" s="494"/>
      <c r="K69" s="494"/>
      <c r="L69" s="494"/>
      <c r="M69" s="494"/>
      <c r="N69" s="494"/>
      <c r="O69" s="494"/>
      <c r="P69" s="494"/>
      <c r="Q69" s="494"/>
      <c r="R69" s="494"/>
      <c r="S69" s="494"/>
      <c r="T69" s="494"/>
      <c r="U69" s="494"/>
      <c r="V69" s="494"/>
      <c r="W69" s="494"/>
      <c r="X69" s="494"/>
      <c r="Y69" s="494"/>
      <c r="Z69" s="494"/>
      <c r="AA69" s="494"/>
      <c r="AB69" s="494"/>
      <c r="AC69" s="494"/>
      <c r="AD69" s="494"/>
      <c r="AE69" s="494"/>
      <c r="AF69" s="494"/>
      <c r="AG69" s="494"/>
      <c r="AH69" s="494"/>
      <c r="AI69" s="494"/>
      <c r="AJ69" s="494"/>
      <c r="AK69" s="494"/>
      <c r="AL69" s="494"/>
      <c r="AM69" s="494"/>
      <c r="AN69" s="494"/>
      <c r="AO69" s="494"/>
      <c r="AP69" s="494"/>
      <c r="AQ69" s="494"/>
      <c r="AR69" s="494"/>
      <c r="AS69" s="494"/>
      <c r="AT69" s="494"/>
      <c r="AU69" s="494"/>
      <c r="AV69" s="494"/>
      <c r="AW69" s="494"/>
      <c r="AX69" s="494"/>
      <c r="AY69" s="494"/>
      <c r="AZ69" s="494"/>
      <c r="BA69" s="494"/>
      <c r="BB69" s="494"/>
      <c r="BC69" s="494"/>
      <c r="BD69" s="494"/>
      <c r="BE69" s="494"/>
      <c r="BF69" s="494"/>
      <c r="BG69" s="494"/>
      <c r="BH69" s="494"/>
      <c r="BI69" s="494"/>
      <c r="BJ69" s="494"/>
      <c r="BK69" s="494"/>
      <c r="BL69" s="494"/>
      <c r="BM69" s="494"/>
      <c r="BN69" s="494"/>
      <c r="BO69" s="494"/>
      <c r="BP69" s="494"/>
      <c r="BQ69" s="494"/>
      <c r="BR69" s="494"/>
      <c r="BS69" s="494"/>
    </row>
    <row r="70" spans="2:71" s="493" customFormat="1">
      <c r="B70" s="494"/>
      <c r="C70" s="494"/>
      <c r="D70" s="494"/>
      <c r="E70" s="494"/>
      <c r="F70" s="494"/>
      <c r="K70" s="494"/>
      <c r="L70" s="494"/>
      <c r="M70" s="494"/>
      <c r="N70" s="494"/>
      <c r="O70" s="494"/>
      <c r="P70" s="494"/>
      <c r="Q70" s="494"/>
      <c r="R70" s="494"/>
      <c r="S70" s="494"/>
      <c r="T70" s="494"/>
      <c r="U70" s="494"/>
      <c r="V70" s="494"/>
      <c r="W70" s="494"/>
      <c r="X70" s="494"/>
      <c r="Y70" s="494"/>
      <c r="Z70" s="494"/>
      <c r="AA70" s="494"/>
      <c r="AB70" s="494"/>
      <c r="AC70" s="494"/>
      <c r="AD70" s="494"/>
      <c r="AE70" s="494"/>
      <c r="AF70" s="494"/>
      <c r="AG70" s="494"/>
      <c r="AH70" s="494"/>
      <c r="AI70" s="494"/>
      <c r="AJ70" s="494"/>
      <c r="AK70" s="494"/>
      <c r="AL70" s="494"/>
      <c r="AM70" s="494"/>
      <c r="AN70" s="494"/>
      <c r="AO70" s="494"/>
      <c r="AP70" s="494"/>
      <c r="AQ70" s="494"/>
      <c r="AR70" s="494"/>
      <c r="AS70" s="494"/>
      <c r="AT70" s="494"/>
      <c r="AU70" s="494"/>
      <c r="AV70" s="494"/>
      <c r="AW70" s="494"/>
      <c r="AX70" s="494"/>
      <c r="AY70" s="494"/>
      <c r="AZ70" s="494"/>
      <c r="BA70" s="494"/>
      <c r="BB70" s="494"/>
      <c r="BC70" s="494"/>
      <c r="BD70" s="494"/>
      <c r="BE70" s="494"/>
      <c r="BF70" s="494"/>
      <c r="BG70" s="494"/>
      <c r="BH70" s="494"/>
      <c r="BI70" s="494"/>
      <c r="BJ70" s="494"/>
      <c r="BK70" s="494"/>
      <c r="BL70" s="494"/>
      <c r="BM70" s="494"/>
      <c r="BN70" s="494"/>
      <c r="BO70" s="494"/>
      <c r="BP70" s="494"/>
      <c r="BQ70" s="494"/>
      <c r="BR70" s="494"/>
      <c r="BS70" s="494"/>
    </row>
    <row r="71" spans="2:71" s="493" customFormat="1">
      <c r="B71" s="494"/>
      <c r="C71" s="494"/>
      <c r="D71" s="494"/>
      <c r="E71" s="494"/>
      <c r="F71" s="494"/>
      <c r="K71" s="494"/>
      <c r="L71" s="494"/>
      <c r="M71" s="494"/>
      <c r="N71" s="494"/>
      <c r="O71" s="494"/>
      <c r="P71" s="494"/>
      <c r="Q71" s="494"/>
      <c r="R71" s="494"/>
      <c r="S71" s="494"/>
      <c r="T71" s="494"/>
      <c r="U71" s="494"/>
      <c r="V71" s="494"/>
      <c r="W71" s="494"/>
      <c r="X71" s="494"/>
      <c r="Y71" s="494"/>
      <c r="Z71" s="494"/>
      <c r="AA71" s="494"/>
      <c r="AB71" s="494"/>
      <c r="AC71" s="494"/>
      <c r="AD71" s="494"/>
      <c r="AE71" s="494"/>
      <c r="AF71" s="494"/>
      <c r="AG71" s="494"/>
      <c r="AH71" s="494"/>
      <c r="AI71" s="494"/>
      <c r="AJ71" s="494"/>
      <c r="AK71" s="494"/>
      <c r="AL71" s="494"/>
      <c r="AM71" s="494"/>
      <c r="AN71" s="494"/>
      <c r="AO71" s="494"/>
      <c r="AP71" s="494"/>
      <c r="AQ71" s="494"/>
      <c r="AR71" s="494"/>
      <c r="AS71" s="494"/>
      <c r="AT71" s="494"/>
      <c r="AU71" s="494"/>
      <c r="AV71" s="494"/>
      <c r="AW71" s="494"/>
      <c r="AX71" s="494"/>
      <c r="AY71" s="494"/>
      <c r="AZ71" s="494"/>
      <c r="BA71" s="494"/>
      <c r="BB71" s="494"/>
      <c r="BC71" s="494"/>
      <c r="BD71" s="494"/>
      <c r="BE71" s="494"/>
      <c r="BF71" s="494"/>
      <c r="BG71" s="494"/>
      <c r="BH71" s="494"/>
      <c r="BI71" s="494"/>
      <c r="BJ71" s="494"/>
      <c r="BK71" s="494"/>
      <c r="BL71" s="494"/>
      <c r="BM71" s="494"/>
      <c r="BN71" s="494"/>
      <c r="BO71" s="494"/>
      <c r="BP71" s="494"/>
      <c r="BQ71" s="494"/>
      <c r="BR71" s="494"/>
      <c r="BS71" s="494"/>
    </row>
    <row r="72" spans="2:71" s="493" customFormat="1">
      <c r="B72" s="494"/>
      <c r="C72" s="494"/>
      <c r="D72" s="494"/>
      <c r="E72" s="494"/>
      <c r="F72" s="494"/>
      <c r="K72" s="494"/>
      <c r="L72" s="494"/>
      <c r="M72" s="494"/>
      <c r="N72" s="494"/>
      <c r="O72" s="494"/>
      <c r="P72" s="494"/>
      <c r="Q72" s="494"/>
      <c r="R72" s="494"/>
      <c r="S72" s="494"/>
      <c r="T72" s="494"/>
      <c r="U72" s="494"/>
      <c r="V72" s="494"/>
      <c r="W72" s="494"/>
      <c r="X72" s="494"/>
      <c r="Y72" s="494"/>
      <c r="Z72" s="494"/>
      <c r="AA72" s="494"/>
      <c r="AB72" s="494"/>
      <c r="AC72" s="494"/>
      <c r="AD72" s="494"/>
      <c r="AE72" s="494"/>
      <c r="AF72" s="494"/>
      <c r="AG72" s="494"/>
      <c r="AH72" s="494"/>
      <c r="AI72" s="494"/>
      <c r="AJ72" s="494"/>
      <c r="AK72" s="494"/>
      <c r="AL72" s="494"/>
      <c r="AM72" s="494"/>
      <c r="AN72" s="494"/>
      <c r="AO72" s="494"/>
      <c r="AP72" s="494"/>
      <c r="AQ72" s="494"/>
      <c r="AR72" s="494"/>
      <c r="AS72" s="494"/>
      <c r="AT72" s="494"/>
      <c r="AU72" s="494"/>
      <c r="AV72" s="494"/>
      <c r="AW72" s="494"/>
      <c r="AX72" s="494"/>
      <c r="AY72" s="494"/>
      <c r="AZ72" s="494"/>
      <c r="BA72" s="494"/>
      <c r="BB72" s="494"/>
      <c r="BC72" s="494"/>
      <c r="BD72" s="494"/>
      <c r="BE72" s="494"/>
      <c r="BF72" s="494"/>
      <c r="BG72" s="494"/>
      <c r="BH72" s="494"/>
      <c r="BI72" s="494"/>
      <c r="BJ72" s="494"/>
      <c r="BK72" s="494"/>
      <c r="BL72" s="494"/>
      <c r="BM72" s="494"/>
      <c r="BN72" s="494"/>
      <c r="BO72" s="494"/>
      <c r="BP72" s="494"/>
      <c r="BQ72" s="494"/>
      <c r="BR72" s="494"/>
      <c r="BS72" s="494"/>
    </row>
    <row r="73" spans="2:71" s="493" customFormat="1">
      <c r="B73" s="494"/>
      <c r="C73" s="494"/>
      <c r="D73" s="494"/>
      <c r="E73" s="494"/>
      <c r="F73" s="494"/>
      <c r="K73" s="494"/>
      <c r="L73" s="494"/>
      <c r="M73" s="494"/>
      <c r="N73" s="494"/>
      <c r="O73" s="494"/>
      <c r="P73" s="494"/>
      <c r="Q73" s="494"/>
      <c r="R73" s="494"/>
      <c r="S73" s="494"/>
      <c r="T73" s="494"/>
      <c r="U73" s="494"/>
      <c r="V73" s="494"/>
      <c r="W73" s="494"/>
      <c r="X73" s="494"/>
      <c r="Y73" s="494"/>
      <c r="Z73" s="494"/>
      <c r="AA73" s="494"/>
      <c r="AB73" s="494"/>
      <c r="AC73" s="494"/>
      <c r="AD73" s="494"/>
      <c r="AE73" s="494"/>
      <c r="AF73" s="494"/>
      <c r="AG73" s="494"/>
      <c r="AH73" s="494"/>
      <c r="AI73" s="494"/>
      <c r="AJ73" s="494"/>
      <c r="AK73" s="494"/>
      <c r="AL73" s="494"/>
      <c r="AM73" s="494"/>
      <c r="AN73" s="494"/>
      <c r="AO73" s="494"/>
      <c r="AP73" s="494"/>
      <c r="AQ73" s="494"/>
      <c r="AR73" s="494"/>
      <c r="AS73" s="494"/>
      <c r="AT73" s="494"/>
      <c r="AU73" s="494"/>
      <c r="AV73" s="494"/>
      <c r="AW73" s="494"/>
      <c r="AX73" s="494"/>
      <c r="AY73" s="494"/>
      <c r="AZ73" s="494"/>
      <c r="BA73" s="494"/>
      <c r="BB73" s="494"/>
      <c r="BC73" s="494"/>
      <c r="BD73" s="494"/>
      <c r="BE73" s="494"/>
      <c r="BF73" s="494"/>
      <c r="BG73" s="494"/>
      <c r="BH73" s="494"/>
      <c r="BI73" s="494"/>
      <c r="BJ73" s="494"/>
      <c r="BK73" s="494"/>
      <c r="BL73" s="494"/>
      <c r="BM73" s="494"/>
      <c r="BN73" s="494"/>
      <c r="BO73" s="494"/>
      <c r="BP73" s="494"/>
      <c r="BQ73" s="494"/>
      <c r="BR73" s="494"/>
      <c r="BS73" s="494"/>
    </row>
    <row r="74" spans="2:71" s="493" customFormat="1">
      <c r="B74" s="494"/>
      <c r="C74" s="494"/>
      <c r="D74" s="494"/>
      <c r="E74" s="494"/>
      <c r="F74" s="494"/>
      <c r="K74" s="494"/>
      <c r="L74" s="494"/>
      <c r="M74" s="494"/>
      <c r="N74" s="494"/>
      <c r="O74" s="494"/>
      <c r="P74" s="494"/>
      <c r="Q74" s="494"/>
      <c r="R74" s="494"/>
      <c r="S74" s="494"/>
      <c r="T74" s="494"/>
      <c r="U74" s="494"/>
      <c r="V74" s="494"/>
      <c r="W74" s="494"/>
      <c r="X74" s="494"/>
      <c r="Y74" s="494"/>
      <c r="Z74" s="494"/>
      <c r="AA74" s="494"/>
      <c r="AB74" s="494"/>
      <c r="AC74" s="494"/>
      <c r="AD74" s="494"/>
      <c r="AE74" s="494"/>
      <c r="AF74" s="494"/>
      <c r="AG74" s="494"/>
      <c r="AH74" s="494"/>
      <c r="AI74" s="494"/>
      <c r="AJ74" s="494"/>
      <c r="AK74" s="494"/>
      <c r="AL74" s="494"/>
      <c r="AM74" s="494"/>
      <c r="AN74" s="494"/>
      <c r="AO74" s="494"/>
      <c r="AP74" s="494"/>
      <c r="AQ74" s="494"/>
      <c r="AR74" s="494"/>
      <c r="AS74" s="494"/>
      <c r="AT74" s="494"/>
      <c r="AU74" s="494"/>
      <c r="AV74" s="494"/>
      <c r="AW74" s="494"/>
      <c r="AX74" s="494"/>
      <c r="AY74" s="494"/>
      <c r="AZ74" s="494"/>
      <c r="BA74" s="494"/>
      <c r="BB74" s="494"/>
      <c r="BC74" s="494"/>
      <c r="BD74" s="494"/>
      <c r="BE74" s="494"/>
      <c r="BF74" s="494"/>
      <c r="BG74" s="494"/>
      <c r="BH74" s="494"/>
      <c r="BI74" s="494"/>
      <c r="BJ74" s="494"/>
      <c r="BK74" s="494"/>
      <c r="BL74" s="494"/>
      <c r="BM74" s="494"/>
      <c r="BN74" s="494"/>
      <c r="BO74" s="494"/>
      <c r="BP74" s="494"/>
      <c r="BQ74" s="494"/>
      <c r="BR74" s="494"/>
      <c r="BS74" s="494"/>
    </row>
    <row r="75" spans="2:71" s="493" customFormat="1">
      <c r="B75" s="494"/>
      <c r="C75" s="494"/>
      <c r="D75" s="494"/>
      <c r="E75" s="494"/>
      <c r="F75" s="494"/>
      <c r="K75" s="494"/>
      <c r="L75" s="494"/>
      <c r="M75" s="494"/>
      <c r="N75" s="494"/>
      <c r="O75" s="494"/>
      <c r="P75" s="494"/>
      <c r="Q75" s="494"/>
      <c r="R75" s="494"/>
      <c r="S75" s="494"/>
      <c r="T75" s="494"/>
      <c r="U75" s="494"/>
      <c r="V75" s="494"/>
      <c r="W75" s="494"/>
      <c r="X75" s="494"/>
      <c r="Y75" s="494"/>
      <c r="Z75" s="494"/>
      <c r="AA75" s="494"/>
      <c r="AB75" s="494"/>
      <c r="AC75" s="494"/>
      <c r="AD75" s="494"/>
      <c r="AE75" s="494"/>
      <c r="AF75" s="494"/>
      <c r="AG75" s="494"/>
      <c r="AH75" s="494"/>
      <c r="AI75" s="494"/>
      <c r="AJ75" s="494"/>
      <c r="AK75" s="494"/>
      <c r="AL75" s="494"/>
      <c r="AM75" s="494"/>
      <c r="AN75" s="494"/>
      <c r="AO75" s="494"/>
      <c r="AP75" s="494"/>
      <c r="AQ75" s="494"/>
      <c r="AR75" s="494"/>
      <c r="AS75" s="494"/>
      <c r="AT75" s="494"/>
      <c r="AU75" s="494"/>
      <c r="AV75" s="494"/>
      <c r="AW75" s="494"/>
      <c r="AX75" s="494"/>
      <c r="AY75" s="494"/>
      <c r="AZ75" s="494"/>
      <c r="BA75" s="494"/>
      <c r="BB75" s="494"/>
      <c r="BC75" s="494"/>
      <c r="BD75" s="494"/>
      <c r="BE75" s="494"/>
      <c r="BF75" s="494"/>
      <c r="BG75" s="494"/>
      <c r="BH75" s="494"/>
      <c r="BI75" s="494"/>
      <c r="BJ75" s="494"/>
      <c r="BK75" s="494"/>
      <c r="BL75" s="494"/>
      <c r="BM75" s="494"/>
      <c r="BN75" s="494"/>
      <c r="BO75" s="494"/>
      <c r="BP75" s="494"/>
      <c r="BQ75" s="494"/>
      <c r="BR75" s="494"/>
      <c r="BS75" s="494"/>
    </row>
    <row r="76" spans="2:71" s="493" customFormat="1">
      <c r="B76" s="494"/>
      <c r="C76" s="494"/>
      <c r="D76" s="494"/>
      <c r="E76" s="494"/>
      <c r="F76" s="494"/>
      <c r="K76" s="494"/>
      <c r="L76" s="494"/>
      <c r="M76" s="494"/>
      <c r="N76" s="494"/>
      <c r="O76" s="494"/>
      <c r="P76" s="494"/>
      <c r="Q76" s="494"/>
      <c r="R76" s="494"/>
      <c r="S76" s="494"/>
      <c r="T76" s="494"/>
      <c r="U76" s="494"/>
      <c r="V76" s="494"/>
      <c r="W76" s="494"/>
      <c r="X76" s="494"/>
      <c r="Y76" s="494"/>
      <c r="Z76" s="494"/>
      <c r="AA76" s="494"/>
      <c r="AB76" s="494"/>
      <c r="AC76" s="494"/>
      <c r="AD76" s="494"/>
      <c r="AE76" s="494"/>
      <c r="AF76" s="494"/>
      <c r="AG76" s="494"/>
      <c r="AH76" s="494"/>
      <c r="AI76" s="494"/>
      <c r="AJ76" s="494"/>
      <c r="AK76" s="494"/>
      <c r="AL76" s="494"/>
      <c r="AM76" s="494"/>
      <c r="AN76" s="494"/>
      <c r="AO76" s="494"/>
      <c r="AP76" s="494"/>
      <c r="AQ76" s="494"/>
      <c r="AR76" s="494"/>
      <c r="AS76" s="494"/>
      <c r="AT76" s="494"/>
      <c r="AU76" s="494"/>
      <c r="AV76" s="494"/>
      <c r="AW76" s="494"/>
      <c r="AX76" s="494"/>
      <c r="AY76" s="494"/>
      <c r="AZ76" s="494"/>
      <c r="BA76" s="494"/>
      <c r="BB76" s="494"/>
      <c r="BC76" s="494"/>
      <c r="BD76" s="494"/>
      <c r="BE76" s="494"/>
      <c r="BF76" s="494"/>
      <c r="BG76" s="494"/>
      <c r="BH76" s="494"/>
      <c r="BI76" s="494"/>
      <c r="BJ76" s="494"/>
      <c r="BK76" s="494"/>
      <c r="BL76" s="494"/>
      <c r="BM76" s="494"/>
      <c r="BN76" s="494"/>
      <c r="BO76" s="494"/>
      <c r="BP76" s="494"/>
      <c r="BQ76" s="494"/>
      <c r="BR76" s="494"/>
      <c r="BS76" s="494"/>
    </row>
    <row r="77" spans="2:71" s="493" customFormat="1">
      <c r="B77" s="494"/>
      <c r="C77" s="494"/>
      <c r="D77" s="494"/>
      <c r="E77" s="494"/>
      <c r="F77" s="494"/>
      <c r="K77" s="494"/>
      <c r="L77" s="494"/>
      <c r="M77" s="494"/>
      <c r="N77" s="494"/>
      <c r="O77" s="494"/>
      <c r="P77" s="494"/>
      <c r="Q77" s="494"/>
      <c r="R77" s="494"/>
      <c r="S77" s="494"/>
      <c r="T77" s="494"/>
      <c r="U77" s="494"/>
      <c r="V77" s="494"/>
      <c r="W77" s="494"/>
      <c r="X77" s="494"/>
      <c r="Y77" s="494"/>
      <c r="Z77" s="494"/>
      <c r="AA77" s="494"/>
      <c r="AB77" s="494"/>
      <c r="AC77" s="494"/>
      <c r="AD77" s="494"/>
      <c r="AE77" s="494"/>
      <c r="AF77" s="494"/>
      <c r="AG77" s="494"/>
      <c r="AH77" s="494"/>
      <c r="AI77" s="494"/>
      <c r="AJ77" s="494"/>
      <c r="AK77" s="494"/>
      <c r="AL77" s="494"/>
      <c r="AM77" s="494"/>
      <c r="AN77" s="494"/>
      <c r="AO77" s="494"/>
      <c r="AP77" s="494"/>
      <c r="AQ77" s="494"/>
      <c r="AR77" s="494"/>
      <c r="AS77" s="494"/>
      <c r="AT77" s="494"/>
      <c r="AU77" s="494"/>
      <c r="AV77" s="494"/>
      <c r="AW77" s="494"/>
      <c r="AX77" s="494"/>
      <c r="AY77" s="494"/>
      <c r="AZ77" s="494"/>
      <c r="BA77" s="494"/>
      <c r="BB77" s="494"/>
      <c r="BC77" s="494"/>
      <c r="BD77" s="494"/>
      <c r="BE77" s="494"/>
      <c r="BF77" s="494"/>
      <c r="BG77" s="494"/>
      <c r="BH77" s="494"/>
      <c r="BI77" s="494"/>
      <c r="BJ77" s="494"/>
      <c r="BK77" s="494"/>
      <c r="BL77" s="494"/>
      <c r="BM77" s="494"/>
      <c r="BN77" s="494"/>
      <c r="BO77" s="494"/>
      <c r="BP77" s="494"/>
      <c r="BQ77" s="494"/>
      <c r="BR77" s="494"/>
      <c r="BS77" s="494"/>
    </row>
    <row r="78" spans="2:71" s="493" customFormat="1">
      <c r="B78" s="494"/>
      <c r="C78" s="494"/>
      <c r="D78" s="494"/>
      <c r="E78" s="494"/>
      <c r="F78" s="494"/>
      <c r="K78" s="494"/>
      <c r="L78" s="494"/>
      <c r="M78" s="494"/>
      <c r="N78" s="494"/>
      <c r="O78" s="494"/>
      <c r="P78" s="494"/>
      <c r="Q78" s="494"/>
      <c r="R78" s="494"/>
      <c r="S78" s="494"/>
      <c r="T78" s="494"/>
      <c r="U78" s="494"/>
      <c r="V78" s="494"/>
      <c r="W78" s="494"/>
      <c r="X78" s="494"/>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4"/>
      <c r="AY78" s="494"/>
      <c r="AZ78" s="494"/>
      <c r="BA78" s="494"/>
      <c r="BB78" s="494"/>
      <c r="BC78" s="494"/>
      <c r="BD78" s="494"/>
      <c r="BE78" s="494"/>
      <c r="BF78" s="494"/>
      <c r="BG78" s="494"/>
      <c r="BH78" s="494"/>
      <c r="BI78" s="494"/>
      <c r="BJ78" s="494"/>
      <c r="BK78" s="494"/>
      <c r="BL78" s="494"/>
      <c r="BM78" s="494"/>
      <c r="BN78" s="494"/>
      <c r="BO78" s="494"/>
      <c r="BP78" s="494"/>
      <c r="BQ78" s="494"/>
      <c r="BR78" s="494"/>
      <c r="BS78" s="494"/>
    </row>
    <row r="79" spans="2:71" s="493" customFormat="1">
      <c r="B79" s="494"/>
      <c r="C79" s="494"/>
      <c r="D79" s="494"/>
      <c r="E79" s="494"/>
      <c r="F79" s="494"/>
      <c r="K79" s="494"/>
      <c r="L79" s="494"/>
      <c r="M79" s="494"/>
      <c r="N79" s="494"/>
      <c r="O79" s="494"/>
      <c r="P79" s="494"/>
      <c r="Q79" s="494"/>
      <c r="R79" s="494"/>
      <c r="S79" s="494"/>
      <c r="T79" s="494"/>
      <c r="U79" s="494"/>
      <c r="V79" s="494"/>
      <c r="W79" s="494"/>
      <c r="X79" s="494"/>
      <c r="Y79" s="494"/>
      <c r="Z79" s="494"/>
      <c r="AA79" s="494"/>
      <c r="AB79" s="494"/>
      <c r="AC79" s="494"/>
      <c r="AD79" s="494"/>
      <c r="AE79" s="494"/>
      <c r="AF79" s="494"/>
      <c r="AG79" s="494"/>
      <c r="AH79" s="494"/>
      <c r="AI79" s="494"/>
      <c r="AJ79" s="494"/>
      <c r="AK79" s="494"/>
      <c r="AL79" s="494"/>
      <c r="AM79" s="494"/>
      <c r="AN79" s="494"/>
      <c r="AO79" s="494"/>
      <c r="AP79" s="494"/>
      <c r="AQ79" s="494"/>
      <c r="AR79" s="494"/>
      <c r="AS79" s="494"/>
      <c r="AT79" s="494"/>
      <c r="AU79" s="494"/>
      <c r="AV79" s="494"/>
      <c r="AW79" s="494"/>
      <c r="AX79" s="494"/>
      <c r="AY79" s="494"/>
      <c r="AZ79" s="494"/>
      <c r="BA79" s="494"/>
      <c r="BB79" s="494"/>
      <c r="BC79" s="494"/>
      <c r="BD79" s="494"/>
      <c r="BE79" s="494"/>
      <c r="BF79" s="494"/>
      <c r="BG79" s="494"/>
      <c r="BH79" s="494"/>
      <c r="BI79" s="494"/>
      <c r="BJ79" s="494"/>
      <c r="BK79" s="494"/>
      <c r="BL79" s="494"/>
      <c r="BM79" s="494"/>
      <c r="BN79" s="494"/>
      <c r="BO79" s="494"/>
      <c r="BP79" s="494"/>
      <c r="BQ79" s="494"/>
      <c r="BR79" s="494"/>
      <c r="BS79" s="494"/>
    </row>
    <row r="80" spans="2:71" s="493" customFormat="1">
      <c r="B80" s="494"/>
      <c r="C80" s="494"/>
      <c r="D80" s="494"/>
      <c r="E80" s="494"/>
      <c r="F80" s="494"/>
      <c r="K80" s="494"/>
      <c r="L80" s="494"/>
      <c r="M80" s="494"/>
      <c r="N80" s="494"/>
      <c r="O80" s="494"/>
      <c r="P80" s="494"/>
      <c r="Q80" s="494"/>
      <c r="R80" s="494"/>
      <c r="S80" s="494"/>
      <c r="T80" s="494"/>
      <c r="U80" s="494"/>
      <c r="V80" s="494"/>
      <c r="W80" s="494"/>
      <c r="X80" s="494"/>
      <c r="Y80" s="494"/>
      <c r="Z80" s="494"/>
      <c r="AA80" s="494"/>
      <c r="AB80" s="494"/>
      <c r="AC80" s="494"/>
      <c r="AD80" s="494"/>
      <c r="AE80" s="494"/>
      <c r="AF80" s="494"/>
      <c r="AG80" s="494"/>
      <c r="AH80" s="494"/>
      <c r="AI80" s="494"/>
      <c r="AJ80" s="494"/>
      <c r="AK80" s="494"/>
      <c r="AL80" s="494"/>
      <c r="AM80" s="494"/>
      <c r="AN80" s="494"/>
      <c r="AO80" s="494"/>
      <c r="AP80" s="494"/>
      <c r="AQ80" s="494"/>
      <c r="AR80" s="494"/>
      <c r="AS80" s="494"/>
      <c r="AT80" s="494"/>
      <c r="AU80" s="494"/>
      <c r="AV80" s="494"/>
      <c r="AW80" s="494"/>
      <c r="AX80" s="494"/>
      <c r="AY80" s="494"/>
      <c r="AZ80" s="494"/>
      <c r="BA80" s="494"/>
      <c r="BB80" s="494"/>
      <c r="BC80" s="494"/>
      <c r="BD80" s="494"/>
      <c r="BE80" s="494"/>
      <c r="BF80" s="494"/>
      <c r="BG80" s="494"/>
      <c r="BH80" s="494"/>
      <c r="BI80" s="494"/>
      <c r="BJ80" s="494"/>
      <c r="BK80" s="494"/>
      <c r="BL80" s="494"/>
      <c r="BM80" s="494"/>
      <c r="BN80" s="494"/>
      <c r="BO80" s="494"/>
      <c r="BP80" s="494"/>
      <c r="BQ80" s="494"/>
      <c r="BR80" s="494"/>
      <c r="BS80" s="494"/>
    </row>
    <row r="81" spans="2:71" s="493" customFormat="1">
      <c r="B81" s="494"/>
      <c r="C81" s="494"/>
      <c r="D81" s="494"/>
      <c r="E81" s="494"/>
      <c r="F81" s="494"/>
      <c r="K81" s="494"/>
      <c r="L81" s="494"/>
      <c r="M81" s="494"/>
      <c r="N81" s="494"/>
      <c r="O81" s="494"/>
      <c r="P81" s="494"/>
      <c r="Q81" s="494"/>
      <c r="R81" s="494"/>
      <c r="S81" s="494"/>
      <c r="T81" s="494"/>
      <c r="U81" s="494"/>
      <c r="V81" s="494"/>
      <c r="W81" s="494"/>
      <c r="X81" s="494"/>
      <c r="Y81" s="494"/>
      <c r="Z81" s="494"/>
      <c r="AA81" s="494"/>
      <c r="AB81" s="494"/>
      <c r="AC81" s="494"/>
      <c r="AD81" s="494"/>
      <c r="AE81" s="494"/>
      <c r="AF81" s="494"/>
      <c r="AG81" s="494"/>
      <c r="AH81" s="494"/>
      <c r="AI81" s="494"/>
      <c r="AJ81" s="494"/>
      <c r="AK81" s="494"/>
      <c r="AL81" s="494"/>
      <c r="AM81" s="494"/>
      <c r="AN81" s="494"/>
      <c r="AO81" s="494"/>
      <c r="AP81" s="494"/>
      <c r="AQ81" s="494"/>
      <c r="AR81" s="494"/>
      <c r="AS81" s="494"/>
      <c r="AT81" s="494"/>
      <c r="AU81" s="494"/>
      <c r="AV81" s="494"/>
      <c r="AW81" s="494"/>
      <c r="AX81" s="494"/>
      <c r="AY81" s="494"/>
      <c r="AZ81" s="494"/>
      <c r="BA81" s="494"/>
      <c r="BB81" s="494"/>
      <c r="BC81" s="494"/>
      <c r="BD81" s="494"/>
      <c r="BE81" s="494"/>
      <c r="BF81" s="494"/>
      <c r="BG81" s="494"/>
      <c r="BH81" s="494"/>
      <c r="BI81" s="494"/>
      <c r="BJ81" s="494"/>
      <c r="BK81" s="494"/>
      <c r="BL81" s="494"/>
      <c r="BM81" s="494"/>
      <c r="BN81" s="494"/>
      <c r="BO81" s="494"/>
      <c r="BP81" s="494"/>
      <c r="BQ81" s="494"/>
      <c r="BR81" s="494"/>
      <c r="BS81" s="494"/>
    </row>
    <row r="82" spans="2:71" s="493" customFormat="1">
      <c r="B82" s="494"/>
      <c r="C82" s="494"/>
      <c r="D82" s="494"/>
      <c r="E82" s="494"/>
      <c r="F82" s="494"/>
      <c r="K82" s="494"/>
      <c r="L82" s="494"/>
      <c r="M82" s="494"/>
      <c r="N82" s="494"/>
      <c r="O82" s="494"/>
      <c r="P82" s="494"/>
      <c r="Q82" s="494"/>
      <c r="R82" s="494"/>
      <c r="S82" s="494"/>
      <c r="T82" s="494"/>
      <c r="U82" s="494"/>
      <c r="V82" s="494"/>
      <c r="W82" s="494"/>
      <c r="X82" s="494"/>
      <c r="Y82" s="494"/>
      <c r="Z82" s="494"/>
      <c r="AA82" s="494"/>
      <c r="AB82" s="494"/>
      <c r="AC82" s="494"/>
      <c r="AD82" s="494"/>
      <c r="AE82" s="494"/>
      <c r="AF82" s="494"/>
      <c r="AG82" s="494"/>
      <c r="AH82" s="494"/>
      <c r="AI82" s="494"/>
      <c r="AJ82" s="494"/>
      <c r="AK82" s="494"/>
      <c r="AL82" s="494"/>
      <c r="AM82" s="494"/>
      <c r="AN82" s="494"/>
      <c r="AO82" s="494"/>
      <c r="AP82" s="494"/>
      <c r="AQ82" s="494"/>
      <c r="AR82" s="494"/>
      <c r="AS82" s="494"/>
      <c r="AT82" s="494"/>
      <c r="AU82" s="494"/>
      <c r="AV82" s="494"/>
      <c r="AW82" s="494"/>
      <c r="AX82" s="494"/>
      <c r="AY82" s="494"/>
      <c r="AZ82" s="494"/>
      <c r="BA82" s="494"/>
      <c r="BB82" s="494"/>
      <c r="BC82" s="494"/>
      <c r="BD82" s="494"/>
      <c r="BE82" s="494"/>
      <c r="BF82" s="494"/>
      <c r="BG82" s="494"/>
      <c r="BH82" s="494"/>
      <c r="BI82" s="494"/>
      <c r="BJ82" s="494"/>
      <c r="BK82" s="494"/>
      <c r="BL82" s="494"/>
      <c r="BM82" s="494"/>
      <c r="BN82" s="494"/>
      <c r="BO82" s="494"/>
      <c r="BP82" s="494"/>
      <c r="BQ82" s="494"/>
      <c r="BR82" s="494"/>
      <c r="BS82" s="494"/>
    </row>
    <row r="83" spans="2:71" s="493" customFormat="1">
      <c r="B83" s="494"/>
      <c r="C83" s="494"/>
      <c r="D83" s="494"/>
      <c r="E83" s="494"/>
      <c r="F83" s="494"/>
      <c r="K83" s="494"/>
      <c r="L83" s="494"/>
      <c r="M83" s="494"/>
      <c r="N83" s="494"/>
      <c r="O83" s="494"/>
      <c r="P83" s="494"/>
      <c r="Q83" s="494"/>
      <c r="R83" s="494"/>
      <c r="S83" s="494"/>
      <c r="T83" s="494"/>
      <c r="U83" s="494"/>
      <c r="V83" s="494"/>
      <c r="W83" s="494"/>
      <c r="X83" s="494"/>
      <c r="Y83" s="494"/>
      <c r="Z83" s="494"/>
      <c r="AA83" s="494"/>
      <c r="AB83" s="494"/>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4"/>
      <c r="AY83" s="494"/>
      <c r="AZ83" s="494"/>
      <c r="BA83" s="494"/>
      <c r="BB83" s="494"/>
      <c r="BC83" s="494"/>
      <c r="BD83" s="494"/>
      <c r="BE83" s="494"/>
      <c r="BF83" s="494"/>
      <c r="BG83" s="494"/>
      <c r="BH83" s="494"/>
      <c r="BI83" s="494"/>
      <c r="BJ83" s="494"/>
      <c r="BK83" s="494"/>
      <c r="BL83" s="494"/>
      <c r="BM83" s="494"/>
      <c r="BN83" s="494"/>
      <c r="BO83" s="494"/>
      <c r="BP83" s="494"/>
      <c r="BQ83" s="494"/>
      <c r="BR83" s="494"/>
      <c r="BS83" s="494"/>
    </row>
    <row r="84" spans="2:71" s="493" customFormat="1">
      <c r="B84" s="494"/>
      <c r="C84" s="494"/>
      <c r="D84" s="494"/>
      <c r="E84" s="494"/>
      <c r="F84" s="494"/>
      <c r="K84" s="494"/>
      <c r="L84" s="494"/>
      <c r="M84" s="494"/>
      <c r="N84" s="494"/>
      <c r="O84" s="494"/>
      <c r="P84" s="494"/>
      <c r="Q84" s="494"/>
      <c r="R84" s="494"/>
      <c r="S84" s="494"/>
      <c r="T84" s="494"/>
      <c r="U84" s="494"/>
      <c r="V84" s="494"/>
      <c r="W84" s="494"/>
      <c r="X84" s="494"/>
      <c r="Y84" s="494"/>
      <c r="Z84" s="494"/>
      <c r="AA84" s="494"/>
      <c r="AB84" s="494"/>
      <c r="AC84" s="494"/>
      <c r="AD84" s="494"/>
      <c r="AE84" s="494"/>
      <c r="AF84" s="494"/>
      <c r="AG84" s="494"/>
      <c r="AH84" s="494"/>
      <c r="AI84" s="494"/>
      <c r="AJ84" s="494"/>
      <c r="AK84" s="494"/>
      <c r="AL84" s="494"/>
      <c r="AM84" s="494"/>
      <c r="AN84" s="494"/>
      <c r="AO84" s="494"/>
      <c r="AP84" s="494"/>
      <c r="AQ84" s="494"/>
      <c r="AR84" s="494"/>
      <c r="AS84" s="494"/>
      <c r="AT84" s="494"/>
      <c r="AU84" s="494"/>
      <c r="AV84" s="494"/>
      <c r="AW84" s="494"/>
      <c r="AX84" s="494"/>
      <c r="AY84" s="494"/>
      <c r="AZ84" s="494"/>
      <c r="BA84" s="494"/>
      <c r="BB84" s="494"/>
      <c r="BC84" s="494"/>
      <c r="BD84" s="494"/>
      <c r="BE84" s="494"/>
      <c r="BF84" s="494"/>
      <c r="BG84" s="494"/>
      <c r="BH84" s="494"/>
      <c r="BI84" s="494"/>
      <c r="BJ84" s="494"/>
      <c r="BK84" s="494"/>
      <c r="BL84" s="494"/>
      <c r="BM84" s="494"/>
      <c r="BN84" s="494"/>
      <c r="BO84" s="494"/>
      <c r="BP84" s="494"/>
      <c r="BQ84" s="494"/>
      <c r="BR84" s="494"/>
      <c r="BS84" s="494"/>
    </row>
    <row r="85" spans="2:71" s="493" customFormat="1">
      <c r="B85" s="494"/>
      <c r="C85" s="494"/>
      <c r="D85" s="494"/>
      <c r="E85" s="494"/>
      <c r="F85" s="494"/>
      <c r="K85" s="494"/>
      <c r="L85" s="494"/>
      <c r="M85" s="494"/>
      <c r="N85" s="494"/>
      <c r="O85" s="494"/>
      <c r="P85" s="494"/>
      <c r="Q85" s="494"/>
      <c r="R85" s="494"/>
      <c r="S85" s="494"/>
      <c r="T85" s="494"/>
      <c r="U85" s="494"/>
      <c r="V85" s="494"/>
      <c r="W85" s="494"/>
      <c r="X85" s="494"/>
      <c r="Y85" s="494"/>
      <c r="Z85" s="494"/>
      <c r="AA85" s="494"/>
      <c r="AB85" s="494"/>
      <c r="AC85" s="494"/>
      <c r="AD85" s="494"/>
      <c r="AE85" s="494"/>
      <c r="AF85" s="494"/>
      <c r="AG85" s="494"/>
      <c r="AH85" s="494"/>
      <c r="AI85" s="494"/>
      <c r="AJ85" s="494"/>
      <c r="AK85" s="494"/>
      <c r="AL85" s="494"/>
      <c r="AM85" s="494"/>
      <c r="AN85" s="494"/>
      <c r="AO85" s="494"/>
      <c r="AP85" s="494"/>
      <c r="AQ85" s="494"/>
      <c r="AR85" s="494"/>
      <c r="AS85" s="494"/>
      <c r="AT85" s="494"/>
      <c r="AU85" s="494"/>
      <c r="AV85" s="494"/>
      <c r="AW85" s="494"/>
      <c r="AX85" s="494"/>
      <c r="AY85" s="494"/>
      <c r="AZ85" s="494"/>
      <c r="BA85" s="494"/>
      <c r="BB85" s="494"/>
      <c r="BC85" s="494"/>
      <c r="BD85" s="494"/>
      <c r="BE85" s="494"/>
      <c r="BF85" s="494"/>
      <c r="BG85" s="494"/>
      <c r="BH85" s="494"/>
      <c r="BI85" s="494"/>
      <c r="BJ85" s="494"/>
      <c r="BK85" s="494"/>
      <c r="BL85" s="494"/>
      <c r="BM85" s="494"/>
      <c r="BN85" s="494"/>
      <c r="BO85" s="494"/>
      <c r="BP85" s="494"/>
      <c r="BQ85" s="494"/>
      <c r="BR85" s="494"/>
      <c r="BS85" s="494"/>
    </row>
    <row r="86" spans="2:71" s="493" customFormat="1">
      <c r="B86" s="494"/>
      <c r="C86" s="494"/>
      <c r="D86" s="494"/>
      <c r="E86" s="494"/>
      <c r="F86" s="494"/>
      <c r="K86" s="494"/>
      <c r="L86" s="494"/>
      <c r="M86" s="494"/>
      <c r="N86" s="494"/>
      <c r="O86" s="494"/>
      <c r="P86" s="494"/>
      <c r="Q86" s="494"/>
      <c r="R86" s="494"/>
      <c r="S86" s="494"/>
      <c r="T86" s="494"/>
      <c r="U86" s="494"/>
      <c r="V86" s="494"/>
      <c r="W86" s="494"/>
      <c r="X86" s="494"/>
      <c r="Y86" s="494"/>
      <c r="Z86" s="494"/>
      <c r="AA86" s="494"/>
      <c r="AB86" s="494"/>
      <c r="AC86" s="494"/>
      <c r="AD86" s="494"/>
      <c r="AE86" s="494"/>
      <c r="AF86" s="494"/>
      <c r="AG86" s="494"/>
      <c r="AH86" s="494"/>
      <c r="AI86" s="494"/>
      <c r="AJ86" s="494"/>
      <c r="AK86" s="494"/>
      <c r="AL86" s="494"/>
      <c r="AM86" s="494"/>
      <c r="AN86" s="494"/>
      <c r="AO86" s="494"/>
      <c r="AP86" s="494"/>
      <c r="AQ86" s="494"/>
      <c r="AR86" s="494"/>
      <c r="AS86" s="494"/>
      <c r="AT86" s="494"/>
      <c r="AU86" s="494"/>
      <c r="AV86" s="494"/>
      <c r="AW86" s="494"/>
      <c r="AX86" s="494"/>
      <c r="AY86" s="494"/>
      <c r="AZ86" s="494"/>
      <c r="BA86" s="494"/>
      <c r="BB86" s="494"/>
      <c r="BC86" s="494"/>
      <c r="BD86" s="494"/>
      <c r="BE86" s="494"/>
      <c r="BF86" s="494"/>
      <c r="BG86" s="494"/>
      <c r="BH86" s="494"/>
      <c r="BI86" s="494"/>
      <c r="BJ86" s="494"/>
      <c r="BK86" s="494"/>
      <c r="BL86" s="494"/>
      <c r="BM86" s="494"/>
      <c r="BN86" s="494"/>
      <c r="BO86" s="494"/>
      <c r="BP86" s="494"/>
      <c r="BQ86" s="494"/>
      <c r="BR86" s="494"/>
      <c r="BS86" s="494"/>
    </row>
    <row r="87" spans="2:71" s="493" customFormat="1">
      <c r="B87" s="494"/>
      <c r="C87" s="494"/>
      <c r="D87" s="494"/>
      <c r="E87" s="494"/>
      <c r="F87" s="494"/>
      <c r="K87" s="494"/>
      <c r="L87" s="494"/>
      <c r="M87" s="494"/>
      <c r="N87" s="494"/>
      <c r="O87" s="494"/>
      <c r="P87" s="494"/>
      <c r="Q87" s="494"/>
      <c r="R87" s="494"/>
      <c r="S87" s="494"/>
      <c r="T87" s="494"/>
      <c r="U87" s="494"/>
      <c r="V87" s="494"/>
      <c r="W87" s="494"/>
      <c r="X87" s="494"/>
      <c r="Y87" s="494"/>
      <c r="Z87" s="494"/>
      <c r="AA87" s="494"/>
      <c r="AB87" s="494"/>
      <c r="AC87" s="494"/>
      <c r="AD87" s="494"/>
      <c r="AE87" s="494"/>
      <c r="AF87" s="494"/>
      <c r="AG87" s="494"/>
      <c r="AH87" s="494"/>
      <c r="AI87" s="494"/>
      <c r="AJ87" s="494"/>
      <c r="AK87" s="494"/>
      <c r="AL87" s="494"/>
      <c r="AM87" s="494"/>
      <c r="AN87" s="494"/>
      <c r="AO87" s="494"/>
      <c r="AP87" s="494"/>
      <c r="AQ87" s="494"/>
      <c r="AR87" s="494"/>
      <c r="AS87" s="494"/>
      <c r="AT87" s="494"/>
      <c r="AU87" s="494"/>
      <c r="AV87" s="494"/>
      <c r="AW87" s="494"/>
      <c r="AX87" s="494"/>
      <c r="AY87" s="494"/>
      <c r="AZ87" s="494"/>
      <c r="BA87" s="494"/>
      <c r="BB87" s="494"/>
      <c r="BC87" s="494"/>
      <c r="BD87" s="494"/>
      <c r="BE87" s="494"/>
      <c r="BF87" s="494"/>
      <c r="BG87" s="494"/>
      <c r="BH87" s="494"/>
      <c r="BI87" s="494"/>
      <c r="BJ87" s="494"/>
      <c r="BK87" s="494"/>
      <c r="BL87" s="494"/>
      <c r="BM87" s="494"/>
      <c r="BN87" s="494"/>
      <c r="BO87" s="494"/>
      <c r="BP87" s="494"/>
      <c r="BQ87" s="494"/>
      <c r="BR87" s="494"/>
      <c r="BS87" s="494"/>
    </row>
    <row r="88" spans="2:71" s="493" customFormat="1">
      <c r="B88" s="494"/>
      <c r="C88" s="494"/>
      <c r="D88" s="494"/>
      <c r="E88" s="494"/>
      <c r="F88" s="494"/>
      <c r="K88" s="494"/>
      <c r="L88" s="494"/>
      <c r="M88" s="494"/>
      <c r="N88" s="494"/>
      <c r="O88" s="494"/>
      <c r="P88" s="494"/>
      <c r="Q88" s="494"/>
      <c r="R88" s="494"/>
      <c r="S88" s="494"/>
      <c r="T88" s="494"/>
      <c r="U88" s="494"/>
      <c r="V88" s="494"/>
      <c r="W88" s="494"/>
      <c r="X88" s="494"/>
      <c r="Y88" s="494"/>
      <c r="Z88" s="494"/>
      <c r="AA88" s="494"/>
      <c r="AB88" s="494"/>
      <c r="AC88" s="494"/>
      <c r="AD88" s="494"/>
      <c r="AE88" s="494"/>
      <c r="AF88" s="494"/>
      <c r="AG88" s="494"/>
      <c r="AH88" s="494"/>
      <c r="AI88" s="494"/>
      <c r="AJ88" s="494"/>
      <c r="AK88" s="494"/>
      <c r="AL88" s="494"/>
      <c r="AM88" s="494"/>
      <c r="AN88" s="494"/>
      <c r="AO88" s="494"/>
      <c r="AP88" s="494"/>
      <c r="AQ88" s="494"/>
      <c r="AR88" s="494"/>
      <c r="AS88" s="494"/>
      <c r="AT88" s="494"/>
      <c r="AU88" s="494"/>
      <c r="AV88" s="494"/>
      <c r="AW88" s="494"/>
      <c r="AX88" s="494"/>
      <c r="AY88" s="494"/>
      <c r="AZ88" s="494"/>
      <c r="BA88" s="494"/>
      <c r="BB88" s="494"/>
      <c r="BC88" s="494"/>
      <c r="BD88" s="494"/>
      <c r="BE88" s="494"/>
      <c r="BF88" s="494"/>
      <c r="BG88" s="494"/>
      <c r="BH88" s="494"/>
      <c r="BI88" s="494"/>
      <c r="BJ88" s="494"/>
      <c r="BK88" s="494"/>
      <c r="BL88" s="494"/>
      <c r="BM88" s="494"/>
      <c r="BN88" s="494"/>
      <c r="BO88" s="494"/>
      <c r="BP88" s="494"/>
      <c r="BQ88" s="494"/>
      <c r="BR88" s="494"/>
      <c r="BS88" s="494"/>
    </row>
    <row r="89" spans="2:71" s="493" customFormat="1">
      <c r="B89" s="494"/>
      <c r="C89" s="494"/>
      <c r="D89" s="494"/>
      <c r="E89" s="494"/>
      <c r="F89" s="494"/>
      <c r="K89" s="494"/>
      <c r="L89" s="494"/>
      <c r="M89" s="494"/>
      <c r="N89" s="494"/>
      <c r="O89" s="494"/>
      <c r="P89" s="494"/>
      <c r="Q89" s="494"/>
      <c r="R89" s="494"/>
      <c r="S89" s="494"/>
      <c r="T89" s="494"/>
      <c r="U89" s="494"/>
      <c r="V89" s="494"/>
      <c r="W89" s="494"/>
      <c r="X89" s="494"/>
      <c r="Y89" s="494"/>
      <c r="Z89" s="494"/>
      <c r="AA89" s="494"/>
      <c r="AB89" s="494"/>
      <c r="AC89" s="494"/>
      <c r="AD89" s="494"/>
      <c r="AE89" s="494"/>
      <c r="AF89" s="494"/>
      <c r="AG89" s="494"/>
      <c r="AH89" s="494"/>
      <c r="AI89" s="494"/>
      <c r="AJ89" s="494"/>
      <c r="AK89" s="494"/>
      <c r="AL89" s="494"/>
      <c r="AM89" s="494"/>
      <c r="AN89" s="494"/>
      <c r="AO89" s="494"/>
      <c r="AP89" s="494"/>
      <c r="AQ89" s="494"/>
      <c r="AR89" s="494"/>
      <c r="AS89" s="494"/>
      <c r="AT89" s="494"/>
      <c r="AU89" s="494"/>
      <c r="AV89" s="494"/>
      <c r="AW89" s="494"/>
      <c r="AX89" s="494"/>
      <c r="AY89" s="494"/>
      <c r="AZ89" s="494"/>
      <c r="BA89" s="494"/>
      <c r="BB89" s="494"/>
      <c r="BC89" s="494"/>
      <c r="BD89" s="494"/>
      <c r="BE89" s="494"/>
      <c r="BF89" s="494"/>
      <c r="BG89" s="494"/>
      <c r="BH89" s="494"/>
      <c r="BI89" s="494"/>
      <c r="BJ89" s="494"/>
      <c r="BK89" s="494"/>
      <c r="BL89" s="494"/>
      <c r="BM89" s="494"/>
      <c r="BN89" s="494"/>
      <c r="BO89" s="494"/>
      <c r="BP89" s="494"/>
      <c r="BQ89" s="494"/>
      <c r="BR89" s="494"/>
      <c r="BS89" s="494"/>
    </row>
    <row r="90" spans="2:71" s="493" customFormat="1">
      <c r="B90" s="494"/>
      <c r="C90" s="494"/>
      <c r="D90" s="494"/>
      <c r="E90" s="494"/>
      <c r="F90" s="494"/>
      <c r="K90" s="494"/>
      <c r="L90" s="494"/>
      <c r="M90" s="494"/>
      <c r="N90" s="494"/>
      <c r="O90" s="494"/>
      <c r="P90" s="494"/>
      <c r="Q90" s="494"/>
      <c r="R90" s="494"/>
      <c r="S90" s="494"/>
      <c r="T90" s="494"/>
      <c r="U90" s="494"/>
      <c r="V90" s="494"/>
      <c r="W90" s="494"/>
      <c r="X90" s="494"/>
      <c r="Y90" s="494"/>
      <c r="Z90" s="494"/>
      <c r="AA90" s="494"/>
      <c r="AB90" s="494"/>
      <c r="AC90" s="494"/>
      <c r="AD90" s="494"/>
      <c r="AE90" s="494"/>
      <c r="AF90" s="494"/>
      <c r="AG90" s="494"/>
      <c r="AH90" s="494"/>
      <c r="AI90" s="494"/>
      <c r="AJ90" s="494"/>
      <c r="AK90" s="494"/>
      <c r="AL90" s="494"/>
      <c r="AM90" s="494"/>
      <c r="AN90" s="494"/>
      <c r="AO90" s="494"/>
      <c r="AP90" s="494"/>
      <c r="AQ90" s="494"/>
      <c r="AR90" s="494"/>
      <c r="AS90" s="494"/>
      <c r="AT90" s="494"/>
      <c r="AU90" s="494"/>
      <c r="AV90" s="494"/>
      <c r="AW90" s="494"/>
      <c r="AX90" s="494"/>
      <c r="AY90" s="494"/>
      <c r="AZ90" s="494"/>
      <c r="BA90" s="494"/>
      <c r="BB90" s="494"/>
      <c r="BC90" s="494"/>
      <c r="BD90" s="494"/>
      <c r="BE90" s="494"/>
      <c r="BF90" s="494"/>
      <c r="BG90" s="494"/>
      <c r="BH90" s="494"/>
      <c r="BI90" s="494"/>
      <c r="BJ90" s="494"/>
      <c r="BK90" s="494"/>
      <c r="BL90" s="494"/>
      <c r="BM90" s="494"/>
      <c r="BN90" s="494"/>
      <c r="BO90" s="494"/>
      <c r="BP90" s="494"/>
      <c r="BQ90" s="494"/>
      <c r="BR90" s="494"/>
      <c r="BS90" s="494"/>
    </row>
    <row r="91" spans="2:71" s="493" customFormat="1">
      <c r="B91" s="494"/>
      <c r="C91" s="494"/>
      <c r="D91" s="494"/>
      <c r="E91" s="494"/>
      <c r="F91" s="494"/>
      <c r="K91" s="494"/>
      <c r="L91" s="494"/>
      <c r="M91" s="494"/>
      <c r="N91" s="494"/>
      <c r="O91" s="494"/>
      <c r="P91" s="494"/>
      <c r="Q91" s="494"/>
      <c r="R91" s="494"/>
      <c r="S91" s="494"/>
      <c r="T91" s="494"/>
      <c r="U91" s="494"/>
      <c r="V91" s="494"/>
      <c r="W91" s="494"/>
      <c r="X91" s="494"/>
      <c r="Y91" s="494"/>
      <c r="Z91" s="494"/>
      <c r="AA91" s="494"/>
      <c r="AB91" s="494"/>
      <c r="AC91" s="494"/>
      <c r="AD91" s="494"/>
      <c r="AE91" s="494"/>
      <c r="AF91" s="494"/>
      <c r="AG91" s="494"/>
      <c r="AH91" s="494"/>
      <c r="AI91" s="494"/>
      <c r="AJ91" s="494"/>
      <c r="AK91" s="494"/>
      <c r="AL91" s="494"/>
      <c r="AM91" s="494"/>
      <c r="AN91" s="494"/>
      <c r="AO91" s="494"/>
      <c r="AP91" s="494"/>
      <c r="AQ91" s="494"/>
      <c r="AR91" s="494"/>
      <c r="AS91" s="494"/>
      <c r="AT91" s="494"/>
      <c r="AU91" s="494"/>
      <c r="AV91" s="494"/>
      <c r="AW91" s="494"/>
      <c r="AX91" s="494"/>
      <c r="AY91" s="494"/>
      <c r="AZ91" s="494"/>
      <c r="BA91" s="494"/>
      <c r="BB91" s="494"/>
      <c r="BC91" s="494"/>
      <c r="BD91" s="494"/>
      <c r="BE91" s="494"/>
      <c r="BF91" s="494"/>
      <c r="BG91" s="494"/>
      <c r="BH91" s="494"/>
      <c r="BI91" s="494"/>
      <c r="BJ91" s="494"/>
      <c r="BK91" s="494"/>
      <c r="BL91" s="494"/>
      <c r="BM91" s="494"/>
      <c r="BN91" s="494"/>
      <c r="BO91" s="494"/>
      <c r="BP91" s="494"/>
      <c r="BQ91" s="494"/>
      <c r="BR91" s="494"/>
      <c r="BS91" s="494"/>
    </row>
    <row r="92" spans="2:71" s="493" customFormat="1">
      <c r="B92" s="494"/>
      <c r="C92" s="494"/>
      <c r="D92" s="494"/>
      <c r="E92" s="494"/>
      <c r="F92" s="494"/>
      <c r="K92" s="494"/>
      <c r="L92" s="494"/>
      <c r="M92" s="494"/>
      <c r="N92" s="494"/>
      <c r="O92" s="494"/>
      <c r="P92" s="494"/>
      <c r="Q92" s="494"/>
      <c r="R92" s="494"/>
      <c r="S92" s="494"/>
      <c r="T92" s="494"/>
      <c r="U92" s="494"/>
      <c r="V92" s="494"/>
      <c r="W92" s="494"/>
      <c r="X92" s="494"/>
      <c r="Y92" s="494"/>
      <c r="Z92" s="494"/>
      <c r="AA92" s="494"/>
      <c r="AB92" s="494"/>
      <c r="AC92" s="494"/>
      <c r="AD92" s="494"/>
      <c r="AE92" s="494"/>
      <c r="AF92" s="494"/>
      <c r="AG92" s="494"/>
      <c r="AH92" s="494"/>
      <c r="AI92" s="494"/>
      <c r="AJ92" s="494"/>
      <c r="AK92" s="494"/>
      <c r="AL92" s="494"/>
      <c r="AM92" s="494"/>
      <c r="AN92" s="494"/>
      <c r="AO92" s="494"/>
      <c r="AP92" s="494"/>
      <c r="AQ92" s="494"/>
      <c r="AR92" s="494"/>
      <c r="AS92" s="494"/>
      <c r="AT92" s="494"/>
      <c r="AU92" s="494"/>
      <c r="AV92" s="494"/>
      <c r="AW92" s="494"/>
      <c r="AX92" s="494"/>
      <c r="AY92" s="494"/>
      <c r="AZ92" s="494"/>
      <c r="BA92" s="494"/>
      <c r="BB92" s="494"/>
      <c r="BC92" s="494"/>
      <c r="BD92" s="494"/>
      <c r="BE92" s="494"/>
      <c r="BF92" s="494"/>
      <c r="BG92" s="494"/>
      <c r="BH92" s="494"/>
      <c r="BI92" s="494"/>
      <c r="BJ92" s="494"/>
      <c r="BK92" s="494"/>
      <c r="BL92" s="494"/>
      <c r="BM92" s="494"/>
      <c r="BN92" s="494"/>
      <c r="BO92" s="494"/>
      <c r="BP92" s="494"/>
      <c r="BQ92" s="494"/>
      <c r="BR92" s="494"/>
      <c r="BS92" s="494"/>
    </row>
    <row r="93" spans="2:71" s="493" customFormat="1">
      <c r="B93" s="494"/>
      <c r="C93" s="494"/>
      <c r="D93" s="494"/>
      <c r="E93" s="494"/>
      <c r="F93" s="494"/>
      <c r="K93" s="494"/>
      <c r="L93" s="494"/>
      <c r="M93" s="494"/>
      <c r="N93" s="494"/>
      <c r="O93" s="494"/>
      <c r="P93" s="494"/>
      <c r="Q93" s="494"/>
      <c r="R93" s="494"/>
      <c r="S93" s="494"/>
      <c r="T93" s="494"/>
      <c r="U93" s="494"/>
      <c r="V93" s="494"/>
      <c r="W93" s="494"/>
      <c r="X93" s="494"/>
      <c r="Y93" s="494"/>
      <c r="Z93" s="494"/>
      <c r="AA93" s="494"/>
      <c r="AB93" s="494"/>
      <c r="AC93" s="494"/>
      <c r="AD93" s="494"/>
      <c r="AE93" s="494"/>
      <c r="AF93" s="494"/>
      <c r="AG93" s="494"/>
      <c r="AH93" s="494"/>
      <c r="AI93" s="494"/>
      <c r="AJ93" s="494"/>
      <c r="AK93" s="494"/>
      <c r="AL93" s="494"/>
      <c r="AM93" s="494"/>
      <c r="AN93" s="494"/>
      <c r="AO93" s="494"/>
      <c r="AP93" s="494"/>
      <c r="AQ93" s="494"/>
      <c r="AR93" s="494"/>
      <c r="AS93" s="494"/>
      <c r="AT93" s="494"/>
      <c r="AU93" s="494"/>
      <c r="AV93" s="494"/>
      <c r="AW93" s="494"/>
      <c r="AX93" s="494"/>
      <c r="AY93" s="494"/>
      <c r="AZ93" s="494"/>
      <c r="BA93" s="494"/>
      <c r="BB93" s="494"/>
      <c r="BC93" s="494"/>
      <c r="BD93" s="494"/>
      <c r="BE93" s="494"/>
      <c r="BF93" s="494"/>
      <c r="BG93" s="494"/>
      <c r="BH93" s="494"/>
      <c r="BI93" s="494"/>
      <c r="BJ93" s="494"/>
      <c r="BK93" s="494"/>
      <c r="BL93" s="494"/>
      <c r="BM93" s="494"/>
      <c r="BN93" s="494"/>
      <c r="BO93" s="494"/>
      <c r="BP93" s="494"/>
      <c r="BQ93" s="494"/>
      <c r="BR93" s="494"/>
      <c r="BS93" s="494"/>
    </row>
    <row r="94" spans="2:71" s="493" customFormat="1">
      <c r="B94" s="494"/>
      <c r="C94" s="494"/>
      <c r="D94" s="494"/>
      <c r="E94" s="494"/>
      <c r="F94" s="494"/>
      <c r="K94" s="494"/>
      <c r="L94" s="494"/>
      <c r="M94" s="494"/>
      <c r="N94" s="494"/>
      <c r="O94" s="494"/>
      <c r="P94" s="494"/>
      <c r="Q94" s="494"/>
      <c r="R94" s="494"/>
      <c r="S94" s="494"/>
      <c r="T94" s="494"/>
      <c r="U94" s="494"/>
      <c r="V94" s="494"/>
      <c r="W94" s="494"/>
      <c r="X94" s="494"/>
      <c r="Y94" s="494"/>
      <c r="Z94" s="494"/>
      <c r="AA94" s="494"/>
      <c r="AB94" s="494"/>
      <c r="AC94" s="494"/>
      <c r="AD94" s="494"/>
      <c r="AE94" s="494"/>
      <c r="AF94" s="494"/>
      <c r="AG94" s="494"/>
      <c r="AH94" s="494"/>
      <c r="AI94" s="494"/>
      <c r="AJ94" s="494"/>
      <c r="AK94" s="494"/>
      <c r="AL94" s="494"/>
      <c r="AM94" s="494"/>
      <c r="AN94" s="494"/>
      <c r="AO94" s="494"/>
      <c r="AP94" s="494"/>
      <c r="AQ94" s="494"/>
      <c r="AR94" s="494"/>
      <c r="AS94" s="494"/>
      <c r="AT94" s="494"/>
      <c r="AU94" s="494"/>
      <c r="AV94" s="494"/>
      <c r="AW94" s="494"/>
      <c r="AX94" s="494"/>
      <c r="AY94" s="494"/>
      <c r="AZ94" s="494"/>
      <c r="BA94" s="494"/>
      <c r="BB94" s="494"/>
      <c r="BC94" s="494"/>
      <c r="BD94" s="494"/>
      <c r="BE94" s="494"/>
      <c r="BF94" s="494"/>
      <c r="BG94" s="494"/>
      <c r="BH94" s="494"/>
      <c r="BI94" s="494"/>
      <c r="BJ94" s="494"/>
      <c r="BK94" s="494"/>
      <c r="BL94" s="494"/>
      <c r="BM94" s="494"/>
      <c r="BN94" s="494"/>
      <c r="BO94" s="494"/>
      <c r="BP94" s="494"/>
      <c r="BQ94" s="494"/>
      <c r="BR94" s="494"/>
      <c r="BS94" s="494"/>
    </row>
    <row r="95" spans="2:71" s="493" customFormat="1">
      <c r="B95" s="494"/>
      <c r="C95" s="494"/>
      <c r="D95" s="494"/>
      <c r="E95" s="494"/>
      <c r="F95" s="494"/>
      <c r="K95" s="494"/>
      <c r="L95" s="494"/>
      <c r="M95" s="494"/>
      <c r="N95" s="494"/>
      <c r="O95" s="494"/>
      <c r="P95" s="494"/>
      <c r="Q95" s="494"/>
      <c r="R95" s="494"/>
      <c r="S95" s="494"/>
      <c r="T95" s="494"/>
      <c r="U95" s="494"/>
      <c r="V95" s="494"/>
      <c r="W95" s="494"/>
      <c r="X95" s="494"/>
      <c r="Y95" s="494"/>
      <c r="Z95" s="494"/>
      <c r="AA95" s="494"/>
      <c r="AB95" s="494"/>
      <c r="AC95" s="494"/>
      <c r="AD95" s="494"/>
      <c r="AE95" s="494"/>
      <c r="AF95" s="494"/>
      <c r="AG95" s="494"/>
      <c r="AH95" s="494"/>
      <c r="AI95" s="494"/>
      <c r="AJ95" s="494"/>
      <c r="AK95" s="494"/>
      <c r="AL95" s="494"/>
      <c r="AM95" s="494"/>
      <c r="AN95" s="494"/>
      <c r="AO95" s="494"/>
      <c r="AP95" s="494"/>
      <c r="AQ95" s="494"/>
      <c r="AR95" s="494"/>
      <c r="AS95" s="494"/>
      <c r="AT95" s="494"/>
      <c r="AU95" s="494"/>
      <c r="AV95" s="494"/>
      <c r="AW95" s="494"/>
      <c r="AX95" s="494"/>
      <c r="AY95" s="494"/>
      <c r="AZ95" s="494"/>
      <c r="BA95" s="494"/>
      <c r="BB95" s="494"/>
      <c r="BC95" s="494"/>
      <c r="BD95" s="494"/>
      <c r="BE95" s="494"/>
      <c r="BF95" s="494"/>
      <c r="BG95" s="494"/>
      <c r="BH95" s="494"/>
      <c r="BI95" s="494"/>
      <c r="BJ95" s="494"/>
      <c r="BK95" s="494"/>
      <c r="BL95" s="494"/>
      <c r="BM95" s="494"/>
      <c r="BN95" s="494"/>
      <c r="BO95" s="494"/>
      <c r="BP95" s="494"/>
      <c r="BQ95" s="494"/>
      <c r="BR95" s="494"/>
      <c r="BS95" s="494"/>
    </row>
    <row r="96" spans="2:71" s="493" customFormat="1">
      <c r="B96" s="494"/>
      <c r="C96" s="494"/>
      <c r="D96" s="494"/>
      <c r="E96" s="494"/>
      <c r="F96" s="494"/>
      <c r="K96" s="494"/>
      <c r="L96" s="494"/>
      <c r="M96" s="494"/>
      <c r="N96" s="494"/>
      <c r="O96" s="494"/>
      <c r="P96" s="494"/>
      <c r="Q96" s="494"/>
      <c r="R96" s="494"/>
      <c r="S96" s="494"/>
      <c r="T96" s="494"/>
      <c r="U96" s="494"/>
      <c r="V96" s="494"/>
      <c r="W96" s="494"/>
      <c r="X96" s="494"/>
      <c r="Y96" s="494"/>
      <c r="Z96" s="494"/>
      <c r="AA96" s="494"/>
      <c r="AB96" s="494"/>
      <c r="AC96" s="494"/>
      <c r="AD96" s="494"/>
      <c r="AE96" s="494"/>
      <c r="AF96" s="494"/>
      <c r="AG96" s="494"/>
      <c r="AH96" s="494"/>
      <c r="AI96" s="494"/>
      <c r="AJ96" s="494"/>
      <c r="AK96" s="494"/>
      <c r="AL96" s="494"/>
      <c r="AM96" s="494"/>
      <c r="AN96" s="494"/>
      <c r="AO96" s="494"/>
      <c r="AP96" s="494"/>
      <c r="AQ96" s="494"/>
      <c r="AR96" s="494"/>
      <c r="AS96" s="494"/>
      <c r="AT96" s="494"/>
      <c r="AU96" s="494"/>
      <c r="AV96" s="494"/>
      <c r="AW96" s="494"/>
      <c r="AX96" s="494"/>
      <c r="AY96" s="494"/>
      <c r="AZ96" s="494"/>
      <c r="BA96" s="494"/>
      <c r="BB96" s="494"/>
      <c r="BC96" s="494"/>
      <c r="BD96" s="494"/>
      <c r="BE96" s="494"/>
      <c r="BF96" s="494"/>
      <c r="BG96" s="494"/>
      <c r="BH96" s="494"/>
      <c r="BI96" s="494"/>
      <c r="BJ96" s="494"/>
      <c r="BK96" s="494"/>
      <c r="BL96" s="494"/>
      <c r="BM96" s="494"/>
      <c r="BN96" s="494"/>
      <c r="BO96" s="494"/>
      <c r="BP96" s="494"/>
      <c r="BQ96" s="494"/>
      <c r="BR96" s="494"/>
      <c r="BS96" s="494"/>
    </row>
    <row r="97" spans="2:71" s="493" customFormat="1">
      <c r="B97" s="494"/>
      <c r="C97" s="494"/>
      <c r="D97" s="494"/>
      <c r="E97" s="494"/>
      <c r="F97" s="494"/>
      <c r="K97" s="494"/>
      <c r="L97" s="494"/>
      <c r="M97" s="494"/>
      <c r="N97" s="494"/>
      <c r="O97" s="494"/>
      <c r="P97" s="494"/>
      <c r="Q97" s="494"/>
      <c r="R97" s="494"/>
      <c r="S97" s="494"/>
      <c r="T97" s="494"/>
      <c r="U97" s="494"/>
      <c r="V97" s="494"/>
      <c r="W97" s="494"/>
      <c r="X97" s="494"/>
      <c r="Y97" s="494"/>
      <c r="Z97" s="494"/>
      <c r="AA97" s="494"/>
      <c r="AB97" s="494"/>
      <c r="AC97" s="494"/>
      <c r="AD97" s="494"/>
      <c r="AE97" s="494"/>
      <c r="AF97" s="494"/>
      <c r="AG97" s="494"/>
      <c r="AH97" s="494"/>
      <c r="AI97" s="494"/>
      <c r="AJ97" s="494"/>
      <c r="AK97" s="494"/>
      <c r="AL97" s="494"/>
      <c r="AM97" s="494"/>
      <c r="AN97" s="494"/>
      <c r="AO97" s="494"/>
      <c r="AP97" s="494"/>
      <c r="AQ97" s="494"/>
      <c r="AR97" s="494"/>
      <c r="AS97" s="494"/>
      <c r="AT97" s="494"/>
      <c r="AU97" s="494"/>
      <c r="AV97" s="494"/>
      <c r="AW97" s="494"/>
      <c r="AX97" s="494"/>
      <c r="AY97" s="494"/>
      <c r="AZ97" s="494"/>
      <c r="BA97" s="494"/>
      <c r="BB97" s="494"/>
      <c r="BC97" s="494"/>
      <c r="BD97" s="494"/>
      <c r="BE97" s="494"/>
      <c r="BF97" s="494"/>
      <c r="BG97" s="494"/>
      <c r="BH97" s="494"/>
      <c r="BI97" s="494"/>
      <c r="BJ97" s="494"/>
      <c r="BK97" s="494"/>
      <c r="BL97" s="494"/>
      <c r="BM97" s="494"/>
      <c r="BN97" s="494"/>
      <c r="BO97" s="494"/>
      <c r="BP97" s="494"/>
      <c r="BQ97" s="494"/>
      <c r="BR97" s="494"/>
      <c r="BS97" s="494"/>
    </row>
    <row r="98" spans="2:71" s="493" customFormat="1">
      <c r="B98" s="494"/>
      <c r="C98" s="494"/>
      <c r="D98" s="494"/>
      <c r="E98" s="494"/>
      <c r="F98" s="494"/>
      <c r="K98" s="494"/>
      <c r="L98" s="494"/>
      <c r="M98" s="494"/>
      <c r="N98" s="494"/>
      <c r="O98" s="494"/>
      <c r="P98" s="494"/>
      <c r="Q98" s="494"/>
      <c r="R98" s="494"/>
      <c r="S98" s="494"/>
      <c r="T98" s="494"/>
      <c r="U98" s="494"/>
      <c r="V98" s="494"/>
      <c r="W98" s="494"/>
      <c r="X98" s="494"/>
      <c r="Y98" s="494"/>
      <c r="Z98" s="494"/>
      <c r="AA98" s="494"/>
      <c r="AB98" s="494"/>
      <c r="AC98" s="494"/>
      <c r="AD98" s="494"/>
      <c r="AE98" s="494"/>
      <c r="AF98" s="494"/>
      <c r="AG98" s="494"/>
      <c r="AH98" s="494"/>
      <c r="AI98" s="494"/>
      <c r="AJ98" s="494"/>
      <c r="AK98" s="494"/>
      <c r="AL98" s="494"/>
      <c r="AM98" s="494"/>
      <c r="AN98" s="494"/>
      <c r="AO98" s="494"/>
      <c r="AP98" s="494"/>
      <c r="AQ98" s="494"/>
      <c r="AR98" s="494"/>
      <c r="AS98" s="494"/>
      <c r="AT98" s="494"/>
      <c r="AU98" s="494"/>
      <c r="AV98" s="494"/>
      <c r="AW98" s="494"/>
      <c r="AX98" s="494"/>
      <c r="AY98" s="494"/>
      <c r="AZ98" s="494"/>
      <c r="BA98" s="494"/>
      <c r="BB98" s="494"/>
      <c r="BC98" s="494"/>
      <c r="BD98" s="494"/>
      <c r="BE98" s="494"/>
      <c r="BF98" s="494"/>
      <c r="BG98" s="494"/>
      <c r="BH98" s="494"/>
      <c r="BI98" s="494"/>
      <c r="BJ98" s="494"/>
      <c r="BK98" s="494"/>
      <c r="BL98" s="494"/>
      <c r="BM98" s="494"/>
      <c r="BN98" s="494"/>
      <c r="BO98" s="494"/>
      <c r="BP98" s="494"/>
      <c r="BQ98" s="494"/>
      <c r="BR98" s="494"/>
      <c r="BS98" s="494"/>
    </row>
    <row r="99" spans="2:71" s="493" customFormat="1">
      <c r="B99" s="494"/>
      <c r="C99" s="494"/>
      <c r="D99" s="494"/>
      <c r="E99" s="494"/>
      <c r="F99" s="494"/>
      <c r="K99" s="494"/>
      <c r="L99" s="494"/>
      <c r="M99" s="494"/>
      <c r="N99" s="494"/>
      <c r="O99" s="494"/>
      <c r="P99" s="494"/>
      <c r="Q99" s="494"/>
      <c r="R99" s="494"/>
      <c r="S99" s="494"/>
      <c r="T99" s="494"/>
      <c r="U99" s="494"/>
      <c r="V99" s="494"/>
      <c r="W99" s="494"/>
      <c r="X99" s="494"/>
      <c r="Y99" s="494"/>
      <c r="Z99" s="494"/>
      <c r="AA99" s="494"/>
      <c r="AB99" s="494"/>
      <c r="AC99" s="494"/>
      <c r="AD99" s="494"/>
      <c r="AE99" s="494"/>
      <c r="AF99" s="494"/>
      <c r="AG99" s="494"/>
      <c r="AH99" s="494"/>
      <c r="AI99" s="494"/>
      <c r="AJ99" s="494"/>
      <c r="AK99" s="494"/>
      <c r="AL99" s="494"/>
      <c r="AM99" s="494"/>
      <c r="AN99" s="494"/>
      <c r="AO99" s="494"/>
      <c r="AP99" s="494"/>
      <c r="AQ99" s="494"/>
      <c r="AR99" s="494"/>
      <c r="AS99" s="494"/>
      <c r="AT99" s="494"/>
      <c r="AU99" s="494"/>
      <c r="AV99" s="494"/>
      <c r="AW99" s="494"/>
      <c r="AX99" s="494"/>
      <c r="AY99" s="494"/>
      <c r="AZ99" s="494"/>
      <c r="BA99" s="494"/>
      <c r="BB99" s="494"/>
      <c r="BC99" s="494"/>
      <c r="BD99" s="494"/>
      <c r="BE99" s="494"/>
      <c r="BF99" s="494"/>
      <c r="BG99" s="494"/>
      <c r="BH99" s="494"/>
      <c r="BI99" s="494"/>
      <c r="BJ99" s="494"/>
      <c r="BK99" s="494"/>
      <c r="BL99" s="494"/>
      <c r="BM99" s="494"/>
      <c r="BN99" s="494"/>
      <c r="BO99" s="494"/>
      <c r="BP99" s="494"/>
      <c r="BQ99" s="494"/>
      <c r="BR99" s="494"/>
      <c r="BS99" s="494"/>
    </row>
    <row r="100" spans="2:71" s="493" customFormat="1">
      <c r="B100" s="494"/>
      <c r="C100" s="494"/>
      <c r="D100" s="494"/>
      <c r="E100" s="494"/>
      <c r="F100" s="494"/>
      <c r="K100" s="494"/>
      <c r="L100" s="494"/>
      <c r="M100" s="494"/>
      <c r="N100" s="494"/>
      <c r="O100" s="494"/>
      <c r="P100" s="494"/>
      <c r="Q100" s="494"/>
      <c r="R100" s="494"/>
      <c r="S100" s="494"/>
      <c r="T100" s="494"/>
      <c r="U100" s="494"/>
      <c r="V100" s="494"/>
      <c r="W100" s="494"/>
      <c r="X100" s="494"/>
      <c r="Y100" s="494"/>
      <c r="Z100" s="494"/>
      <c r="AA100" s="494"/>
      <c r="AB100" s="494"/>
      <c r="AC100" s="494"/>
      <c r="AD100" s="494"/>
      <c r="AE100" s="494"/>
      <c r="AF100" s="494"/>
      <c r="AG100" s="494"/>
      <c r="AH100" s="494"/>
      <c r="AI100" s="494"/>
      <c r="AJ100" s="494"/>
      <c r="AK100" s="494"/>
      <c r="AL100" s="494"/>
      <c r="AM100" s="494"/>
      <c r="AN100" s="494"/>
      <c r="AO100" s="494"/>
      <c r="AP100" s="494"/>
      <c r="AQ100" s="494"/>
      <c r="AR100" s="494"/>
      <c r="AS100" s="494"/>
      <c r="AT100" s="494"/>
      <c r="AU100" s="494"/>
      <c r="AV100" s="494"/>
      <c r="AW100" s="494"/>
      <c r="AX100" s="494"/>
      <c r="AY100" s="494"/>
      <c r="AZ100" s="494"/>
      <c r="BA100" s="494"/>
      <c r="BB100" s="494"/>
      <c r="BC100" s="494"/>
      <c r="BD100" s="494"/>
      <c r="BE100" s="494"/>
      <c r="BF100" s="494"/>
      <c r="BG100" s="494"/>
      <c r="BH100" s="494"/>
      <c r="BI100" s="494"/>
      <c r="BJ100" s="494"/>
      <c r="BK100" s="494"/>
      <c r="BL100" s="494"/>
      <c r="BM100" s="494"/>
      <c r="BN100" s="494"/>
      <c r="BO100" s="494"/>
      <c r="BP100" s="494"/>
      <c r="BQ100" s="494"/>
      <c r="BR100" s="494"/>
      <c r="BS100" s="494"/>
    </row>
    <row r="101" spans="2:71" s="493" customFormat="1">
      <c r="B101" s="494"/>
      <c r="C101" s="494"/>
      <c r="D101" s="494"/>
      <c r="E101" s="494"/>
      <c r="F101" s="494"/>
      <c r="K101" s="494"/>
      <c r="L101" s="494"/>
      <c r="M101" s="494"/>
      <c r="N101" s="494"/>
      <c r="O101" s="494"/>
      <c r="P101" s="494"/>
      <c r="Q101" s="494"/>
      <c r="R101" s="494"/>
      <c r="S101" s="494"/>
      <c r="T101" s="494"/>
      <c r="U101" s="494"/>
      <c r="V101" s="494"/>
      <c r="W101" s="494"/>
      <c r="X101" s="494"/>
      <c r="Y101" s="494"/>
      <c r="Z101" s="494"/>
      <c r="AA101" s="494"/>
      <c r="AB101" s="494"/>
      <c r="AC101" s="494"/>
      <c r="AD101" s="494"/>
      <c r="AE101" s="494"/>
      <c r="AF101" s="494"/>
      <c r="AG101" s="494"/>
      <c r="AH101" s="494"/>
      <c r="AI101" s="494"/>
      <c r="AJ101" s="494"/>
      <c r="AK101" s="494"/>
      <c r="AL101" s="494"/>
      <c r="AM101" s="494"/>
      <c r="AN101" s="494"/>
      <c r="AO101" s="494"/>
      <c r="AP101" s="494"/>
      <c r="AQ101" s="494"/>
      <c r="AR101" s="494"/>
      <c r="AS101" s="494"/>
      <c r="AT101" s="494"/>
      <c r="AU101" s="494"/>
      <c r="AV101" s="494"/>
      <c r="AW101" s="494"/>
      <c r="AX101" s="494"/>
      <c r="AY101" s="494"/>
      <c r="AZ101" s="494"/>
      <c r="BA101" s="494"/>
      <c r="BB101" s="494"/>
      <c r="BC101" s="494"/>
      <c r="BD101" s="494"/>
      <c r="BE101" s="494"/>
      <c r="BF101" s="494"/>
      <c r="BG101" s="494"/>
      <c r="BH101" s="494"/>
      <c r="BI101" s="494"/>
      <c r="BJ101" s="494"/>
      <c r="BK101" s="494"/>
      <c r="BL101" s="494"/>
      <c r="BM101" s="494"/>
      <c r="BN101" s="494"/>
      <c r="BO101" s="494"/>
      <c r="BP101" s="494"/>
      <c r="BQ101" s="494"/>
      <c r="BR101" s="494"/>
      <c r="BS101" s="494"/>
    </row>
    <row r="102" spans="2:71" s="493" customFormat="1">
      <c r="B102" s="494"/>
      <c r="C102" s="494"/>
      <c r="D102" s="494"/>
      <c r="E102" s="494"/>
      <c r="F102" s="494"/>
      <c r="K102" s="494"/>
      <c r="L102" s="494"/>
      <c r="M102" s="494"/>
      <c r="N102" s="494"/>
      <c r="O102" s="494"/>
      <c r="P102" s="494"/>
      <c r="Q102" s="494"/>
      <c r="R102" s="494"/>
      <c r="S102" s="494"/>
      <c r="T102" s="494"/>
      <c r="U102" s="494"/>
      <c r="V102" s="494"/>
      <c r="W102" s="494"/>
      <c r="X102" s="494"/>
      <c r="Y102" s="494"/>
      <c r="Z102" s="494"/>
      <c r="AA102" s="494"/>
      <c r="AB102" s="494"/>
      <c r="AC102" s="494"/>
      <c r="AD102" s="494"/>
      <c r="AE102" s="494"/>
      <c r="AF102" s="494"/>
      <c r="AG102" s="494"/>
      <c r="AH102" s="494"/>
      <c r="AI102" s="494"/>
      <c r="AJ102" s="494"/>
      <c r="AK102" s="494"/>
      <c r="AL102" s="494"/>
      <c r="AM102" s="494"/>
      <c r="AN102" s="494"/>
      <c r="AO102" s="494"/>
      <c r="AP102" s="494"/>
      <c r="AQ102" s="494"/>
      <c r="AR102" s="494"/>
      <c r="AS102" s="494"/>
      <c r="AT102" s="494"/>
      <c r="AU102" s="494"/>
      <c r="AV102" s="494"/>
      <c r="AW102" s="494"/>
      <c r="AX102" s="494"/>
      <c r="AY102" s="494"/>
      <c r="AZ102" s="494"/>
      <c r="BA102" s="494"/>
      <c r="BB102" s="494"/>
      <c r="BC102" s="494"/>
      <c r="BD102" s="494"/>
      <c r="BE102" s="494"/>
      <c r="BF102" s="494"/>
      <c r="BG102" s="494"/>
      <c r="BH102" s="494"/>
      <c r="BI102" s="494"/>
      <c r="BJ102" s="494"/>
      <c r="BK102" s="494"/>
      <c r="BL102" s="494"/>
      <c r="BM102" s="494"/>
      <c r="BN102" s="494"/>
      <c r="BO102" s="494"/>
      <c r="BP102" s="494"/>
      <c r="BQ102" s="494"/>
      <c r="BR102" s="494"/>
      <c r="BS102" s="494"/>
    </row>
    <row r="103" spans="2:71" s="493" customFormat="1">
      <c r="B103" s="494"/>
      <c r="C103" s="494"/>
      <c r="D103" s="494"/>
      <c r="E103" s="494"/>
      <c r="F103" s="494"/>
      <c r="K103" s="494"/>
      <c r="L103" s="494"/>
      <c r="M103" s="494"/>
      <c r="N103" s="494"/>
      <c r="O103" s="494"/>
      <c r="P103" s="494"/>
      <c r="Q103" s="494"/>
      <c r="R103" s="494"/>
      <c r="S103" s="494"/>
      <c r="T103" s="494"/>
      <c r="U103" s="494"/>
      <c r="V103" s="494"/>
      <c r="W103" s="494"/>
      <c r="X103" s="494"/>
      <c r="Y103" s="494"/>
      <c r="Z103" s="494"/>
      <c r="AA103" s="494"/>
      <c r="AB103" s="494"/>
      <c r="AC103" s="494"/>
      <c r="AD103" s="494"/>
      <c r="AE103" s="494"/>
      <c r="AF103" s="494"/>
      <c r="AG103" s="494"/>
      <c r="AH103" s="494"/>
      <c r="AI103" s="494"/>
      <c r="AJ103" s="494"/>
      <c r="AK103" s="494"/>
      <c r="AL103" s="494"/>
      <c r="AM103" s="494"/>
      <c r="AN103" s="494"/>
      <c r="AO103" s="494"/>
      <c r="AP103" s="494"/>
      <c r="AQ103" s="494"/>
      <c r="AR103" s="494"/>
      <c r="AS103" s="494"/>
      <c r="AT103" s="494"/>
      <c r="AU103" s="494"/>
      <c r="AV103" s="494"/>
      <c r="AW103" s="494"/>
      <c r="AX103" s="494"/>
      <c r="AY103" s="494"/>
      <c r="AZ103" s="494"/>
      <c r="BA103" s="494"/>
      <c r="BB103" s="494"/>
      <c r="BC103" s="494"/>
      <c r="BD103" s="494"/>
      <c r="BE103" s="494"/>
      <c r="BF103" s="494"/>
      <c r="BG103" s="494"/>
      <c r="BH103" s="494"/>
      <c r="BI103" s="494"/>
      <c r="BJ103" s="494"/>
      <c r="BK103" s="494"/>
      <c r="BL103" s="494"/>
      <c r="BM103" s="494"/>
      <c r="BN103" s="494"/>
      <c r="BO103" s="494"/>
      <c r="BP103" s="494"/>
      <c r="BQ103" s="494"/>
      <c r="BR103" s="494"/>
      <c r="BS103" s="494"/>
    </row>
    <row r="104" spans="2:71" s="493" customFormat="1">
      <c r="B104" s="494"/>
      <c r="C104" s="494"/>
      <c r="D104" s="494"/>
      <c r="E104" s="494"/>
      <c r="F104" s="494"/>
      <c r="K104" s="494"/>
      <c r="L104" s="494"/>
      <c r="M104" s="494"/>
      <c r="N104" s="494"/>
      <c r="O104" s="494"/>
      <c r="P104" s="494"/>
      <c r="Q104" s="494"/>
      <c r="R104" s="494"/>
      <c r="S104" s="494"/>
      <c r="T104" s="494"/>
      <c r="U104" s="494"/>
      <c r="V104" s="494"/>
      <c r="W104" s="494"/>
      <c r="X104" s="494"/>
      <c r="Y104" s="494"/>
      <c r="Z104" s="494"/>
      <c r="AA104" s="494"/>
      <c r="AB104" s="494"/>
      <c r="AC104" s="494"/>
      <c r="AD104" s="494"/>
      <c r="AE104" s="494"/>
      <c r="AF104" s="494"/>
      <c r="AG104" s="494"/>
      <c r="AH104" s="494"/>
      <c r="AI104" s="494"/>
      <c r="AJ104" s="494"/>
      <c r="AK104" s="494"/>
      <c r="AL104" s="494"/>
      <c r="AM104" s="494"/>
      <c r="AN104" s="494"/>
      <c r="AO104" s="494"/>
      <c r="AP104" s="494"/>
      <c r="AQ104" s="494"/>
      <c r="AR104" s="494"/>
      <c r="AS104" s="494"/>
      <c r="AT104" s="494"/>
      <c r="AU104" s="494"/>
      <c r="AV104" s="494"/>
      <c r="AW104" s="494"/>
      <c r="AX104" s="494"/>
      <c r="AY104" s="494"/>
      <c r="AZ104" s="494"/>
      <c r="BA104" s="494"/>
      <c r="BB104" s="494"/>
      <c r="BC104" s="494"/>
      <c r="BD104" s="494"/>
      <c r="BE104" s="494"/>
      <c r="BF104" s="494"/>
      <c r="BG104" s="494"/>
      <c r="BH104" s="494"/>
      <c r="BI104" s="494"/>
      <c r="BJ104" s="494"/>
      <c r="BK104" s="494"/>
      <c r="BL104" s="494"/>
      <c r="BM104" s="494"/>
      <c r="BN104" s="494"/>
      <c r="BO104" s="494"/>
      <c r="BP104" s="494"/>
      <c r="BQ104" s="494"/>
      <c r="BR104" s="494"/>
      <c r="BS104" s="494"/>
    </row>
    <row r="105" spans="2:71" s="493" customFormat="1">
      <c r="B105" s="494"/>
      <c r="C105" s="494"/>
      <c r="D105" s="494"/>
      <c r="E105" s="494"/>
      <c r="F105" s="494"/>
      <c r="K105" s="494"/>
      <c r="L105" s="494"/>
      <c r="M105" s="494"/>
      <c r="N105" s="494"/>
      <c r="O105" s="494"/>
      <c r="P105" s="494"/>
      <c r="Q105" s="494"/>
      <c r="R105" s="494"/>
      <c r="S105" s="494"/>
      <c r="T105" s="494"/>
      <c r="U105" s="494"/>
      <c r="V105" s="494"/>
      <c r="W105" s="494"/>
      <c r="X105" s="494"/>
      <c r="Y105" s="494"/>
      <c r="Z105" s="494"/>
      <c r="AA105" s="494"/>
      <c r="AB105" s="494"/>
      <c r="AC105" s="494"/>
      <c r="AD105" s="494"/>
      <c r="AE105" s="494"/>
      <c r="AF105" s="494"/>
      <c r="AG105" s="494"/>
      <c r="AH105" s="494"/>
      <c r="AI105" s="494"/>
      <c r="AJ105" s="494"/>
      <c r="AK105" s="494"/>
      <c r="AL105" s="494"/>
      <c r="AM105" s="494"/>
      <c r="AN105" s="494"/>
      <c r="AO105" s="494"/>
      <c r="AP105" s="494"/>
      <c r="AQ105" s="494"/>
      <c r="AR105" s="494"/>
      <c r="AS105" s="494"/>
      <c r="AT105" s="494"/>
      <c r="AU105" s="494"/>
      <c r="AV105" s="494"/>
      <c r="AW105" s="494"/>
      <c r="AX105" s="494"/>
      <c r="AY105" s="494"/>
      <c r="AZ105" s="494"/>
      <c r="BA105" s="494"/>
      <c r="BB105" s="494"/>
      <c r="BC105" s="494"/>
      <c r="BD105" s="494"/>
      <c r="BE105" s="494"/>
      <c r="BF105" s="494"/>
      <c r="BG105" s="494"/>
      <c r="BH105" s="494"/>
      <c r="BI105" s="494"/>
      <c r="BJ105" s="494"/>
      <c r="BK105" s="494"/>
      <c r="BL105" s="494"/>
      <c r="BM105" s="494"/>
      <c r="BN105" s="494"/>
      <c r="BO105" s="494"/>
      <c r="BP105" s="494"/>
      <c r="BQ105" s="494"/>
      <c r="BR105" s="494"/>
      <c r="BS105" s="494"/>
    </row>
    <row r="106" spans="2:71" s="493" customFormat="1">
      <c r="B106" s="494"/>
      <c r="C106" s="494"/>
      <c r="D106" s="494"/>
      <c r="E106" s="494"/>
      <c r="F106" s="494"/>
      <c r="K106" s="494"/>
      <c r="L106" s="494"/>
      <c r="M106" s="494"/>
      <c r="N106" s="494"/>
      <c r="O106" s="494"/>
      <c r="P106" s="494"/>
      <c r="Q106" s="494"/>
      <c r="R106" s="494"/>
      <c r="S106" s="494"/>
      <c r="T106" s="494"/>
      <c r="U106" s="494"/>
      <c r="V106" s="494"/>
      <c r="W106" s="494"/>
      <c r="X106" s="494"/>
      <c r="Y106" s="494"/>
      <c r="Z106" s="494"/>
      <c r="AA106" s="494"/>
      <c r="AB106" s="494"/>
      <c r="AC106" s="494"/>
      <c r="AD106" s="494"/>
      <c r="AE106" s="494"/>
      <c r="AF106" s="494"/>
      <c r="AG106" s="494"/>
      <c r="AH106" s="494"/>
      <c r="AI106" s="494"/>
      <c r="AJ106" s="494"/>
      <c r="AK106" s="494"/>
      <c r="AL106" s="494"/>
      <c r="AM106" s="494"/>
      <c r="AN106" s="494"/>
      <c r="AO106" s="494"/>
      <c r="AP106" s="494"/>
      <c r="AQ106" s="494"/>
      <c r="AR106" s="494"/>
      <c r="AS106" s="494"/>
      <c r="AT106" s="494"/>
      <c r="AU106" s="494"/>
      <c r="AV106" s="494"/>
      <c r="AW106" s="494"/>
      <c r="AX106" s="494"/>
      <c r="AY106" s="494"/>
      <c r="AZ106" s="494"/>
      <c r="BA106" s="494"/>
      <c r="BB106" s="494"/>
      <c r="BC106" s="494"/>
      <c r="BD106" s="494"/>
      <c r="BE106" s="494"/>
      <c r="BF106" s="494"/>
      <c r="BG106" s="494"/>
      <c r="BH106" s="494"/>
      <c r="BI106" s="494"/>
      <c r="BJ106" s="494"/>
      <c r="BK106" s="494"/>
      <c r="BL106" s="494"/>
      <c r="BM106" s="494"/>
      <c r="BN106" s="494"/>
      <c r="BO106" s="494"/>
      <c r="BP106" s="494"/>
      <c r="BQ106" s="494"/>
      <c r="BR106" s="494"/>
      <c r="BS106" s="494"/>
    </row>
  </sheetData>
  <pageMargins left="0" right="0" top="1" bottom="1" header="0.5" footer="0.5"/>
  <pageSetup scale="83" fitToHeight="4" orientation="landscape" draft="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2:BP76"/>
  <sheetViews>
    <sheetView topLeftCell="B1" zoomScaleNormal="100" workbookViewId="0">
      <selection activeCell="H33" sqref="H33"/>
    </sheetView>
  </sheetViews>
  <sheetFormatPr defaultColWidth="9.140625" defaultRowHeight="12.75" outlineLevelRow="1" outlineLevelCol="1"/>
  <cols>
    <col min="1" max="1" width="9.140625" style="188" hidden="1" customWidth="1" outlineLevel="1"/>
    <col min="2" max="2" width="10.7109375" style="98" bestFit="1" customWidth="1" collapsed="1"/>
    <col min="3" max="3" width="8.140625" style="98" customWidth="1"/>
    <col min="4" max="4" width="12.5703125" style="98" customWidth="1"/>
    <col min="5" max="5" width="7.42578125" style="98" customWidth="1"/>
    <col min="6" max="6" width="11.28515625" style="98" customWidth="1" outlineLevel="1"/>
    <col min="7" max="7" width="14.7109375" style="98" customWidth="1" outlineLevel="1"/>
    <col min="8" max="14" width="12.7109375" style="146" customWidth="1" outlineLevel="1"/>
    <col min="15" max="15" width="1.7109375" style="98" customWidth="1"/>
    <col min="16" max="16" width="11.5703125" style="99" customWidth="1" outlineLevel="1"/>
    <col min="17" max="17" width="15" style="99" customWidth="1" outlineLevel="1"/>
    <col min="18" max="18" width="11.5703125" style="98" customWidth="1" outlineLevel="1"/>
    <col min="19" max="22" width="9.140625" style="98"/>
    <col min="23" max="23" width="12.28515625" style="98" customWidth="1"/>
    <col min="24" max="16384" width="9.140625" style="98"/>
  </cols>
  <sheetData>
    <row r="2" spans="1:68">
      <c r="S2" s="1689">
        <f>'ATB 2021 Utility-Scale BESS'!M$55+CONE_Calculations!Inflation</f>
        <v>-3.1030789548612825E-3</v>
      </c>
      <c r="T2" s="1689">
        <f>'ATB 2021 Utility-Scale BESS'!N$55+CONE_Calculations!Inflation</f>
        <v>-3.950550208240422E-3</v>
      </c>
      <c r="U2" s="1689">
        <f>'ATB 2021 Utility-Scale BESS'!O$55+CONE_Calculations!Inflation</f>
        <v>-4.7627088321031685E-3</v>
      </c>
      <c r="V2" s="1689">
        <f>'ATB 2021 Utility-Scale BESS'!P$55+CONE_Calculations!Inflation</f>
        <v>-5.5675062779114715E-3</v>
      </c>
      <c r="W2" s="1689">
        <f>'ATB 2021 Utility-Scale BESS'!Q$55+CONE_Calculations!Inflation</f>
        <v>-6.3821313525936896E-3</v>
      </c>
      <c r="X2" s="1689">
        <f>'ATB 2021 Utility-Scale BESS'!R$55+CONE_Calculations!Inflation</f>
        <v>-4.1067015730666956E-3</v>
      </c>
      <c r="Y2" s="1689">
        <f>'ATB 2021 Utility-Scale BESS'!S$55+CONE_Calculations!Inflation</f>
        <v>-2.2551047506467192E-3</v>
      </c>
      <c r="Z2" s="1689">
        <f>'ATB 2021 Utility-Scale BESS'!T$55+CONE_Calculations!Inflation</f>
        <v>-7.2268838423306114E-4</v>
      </c>
      <c r="AA2" s="1689">
        <f>'ATB 2021 Utility-Scale BESS'!U$55+CONE_Calculations!Inflation</f>
        <v>5.6326029287123713E-4</v>
      </c>
      <c r="AB2" s="1689">
        <f>'ATB 2021 Utility-Scale BESS'!V$55+CONE_Calculations!Inflation</f>
        <v>1.6548306218264752E-3</v>
      </c>
      <c r="AC2" s="1689">
        <f>'ATB 2021 Utility-Scale BESS'!W$55+CONE_Calculations!Inflation</f>
        <v>2.590311754085195E-3</v>
      </c>
      <c r="AD2" s="1689">
        <f>'ATB 2021 Utility-Scale BESS'!X$55+CONE_Calculations!Inflation</f>
        <v>3.3984748585536018E-3</v>
      </c>
      <c r="AE2" s="1689">
        <f>'ATB 2021 Utility-Scale BESS'!Y$55+CONE_Calculations!Inflation</f>
        <v>4.101353764397464E-3</v>
      </c>
      <c r="AF2" s="1689">
        <f>'ATB 2021 Utility-Scale BESS'!Z$55+CONE_Calculations!Inflation</f>
        <v>4.716104378227115E-3</v>
      </c>
      <c r="AG2" s="1689">
        <f>'ATB 2021 Utility-Scale BESS'!AA$55+CONE_Calculations!Inflation</f>
        <v>5.2562802913759255E-3</v>
      </c>
      <c r="AH2" s="1689">
        <f>'ATB 2021 Utility-Scale BESS'!AB$55+CONE_Calculations!Inflation</f>
        <v>5.7327277760435003E-3</v>
      </c>
      <c r="AI2" s="1689"/>
      <c r="AJ2" s="1689"/>
      <c r="AK2" s="1689"/>
      <c r="AL2" s="1689"/>
      <c r="AM2" s="1689"/>
      <c r="AN2" s="1689"/>
      <c r="AO2" s="1689"/>
      <c r="AP2" s="1689"/>
      <c r="AQ2" s="1689"/>
      <c r="AR2" s="1689"/>
      <c r="AS2" s="1689"/>
      <c r="AT2" s="1689"/>
      <c r="AU2" s="1689"/>
      <c r="AV2" s="1689"/>
      <c r="AW2" s="1689"/>
      <c r="AX2" s="1689"/>
      <c r="AY2" s="1689"/>
      <c r="AZ2" s="1689"/>
      <c r="BA2" s="1689"/>
      <c r="BB2" s="1689"/>
      <c r="BC2" s="1689"/>
      <c r="BD2" s="1689"/>
      <c r="BE2" s="1689"/>
      <c r="BF2" s="1689"/>
      <c r="BG2" s="1689"/>
      <c r="BH2" s="1689"/>
      <c r="BI2" s="1689"/>
      <c r="BJ2" s="1689"/>
      <c r="BK2" s="1689"/>
      <c r="BL2" s="1689"/>
      <c r="BM2" s="1689"/>
      <c r="BN2" s="1689"/>
      <c r="BO2" s="1689"/>
      <c r="BP2" s="1689"/>
    </row>
    <row r="3" spans="1:68" s="188" customFormat="1" outlineLevel="1">
      <c r="F3" s="188" t="s">
        <v>277</v>
      </c>
      <c r="G3" s="188" t="s">
        <v>276</v>
      </c>
      <c r="H3" s="192"/>
      <c r="I3" s="192"/>
      <c r="J3" s="192"/>
      <c r="K3" s="192"/>
      <c r="L3" s="192"/>
      <c r="M3" s="192"/>
      <c r="N3" s="192"/>
      <c r="P3" s="205"/>
      <c r="Q3" s="205"/>
      <c r="S3" s="188">
        <v>2026</v>
      </c>
      <c r="X3" s="188">
        <v>2031</v>
      </c>
      <c r="AC3" s="188">
        <v>2036</v>
      </c>
      <c r="AH3" s="188">
        <v>2041</v>
      </c>
    </row>
    <row r="4" spans="1:68">
      <c r="D4" s="100" t="s">
        <v>42</v>
      </c>
      <c r="S4" s="98">
        <v>1</v>
      </c>
      <c r="T4" s="98">
        <v>2</v>
      </c>
      <c r="U4" s="98">
        <v>3</v>
      </c>
      <c r="V4" s="98">
        <v>4</v>
      </c>
      <c r="W4" s="98">
        <v>5</v>
      </c>
      <c r="X4" s="98">
        <v>6</v>
      </c>
      <c r="Y4" s="98">
        <v>7</v>
      </c>
      <c r="Z4" s="98">
        <v>8</v>
      </c>
      <c r="AA4" s="98">
        <v>9</v>
      </c>
      <c r="AB4" s="98">
        <v>10</v>
      </c>
      <c r="AC4" s="98">
        <v>11</v>
      </c>
      <c r="AD4" s="98">
        <v>12</v>
      </c>
      <c r="AE4" s="98">
        <v>13</v>
      </c>
      <c r="AF4" s="98">
        <v>14</v>
      </c>
      <c r="AG4" s="98">
        <v>15</v>
      </c>
      <c r="AH4" s="98">
        <v>16</v>
      </c>
      <c r="AI4" s="98">
        <v>17</v>
      </c>
      <c r="AJ4" s="98">
        <v>18</v>
      </c>
      <c r="AK4" s="98">
        <v>19</v>
      </c>
      <c r="AL4" s="98">
        <v>20</v>
      </c>
      <c r="AM4" s="98">
        <v>21</v>
      </c>
      <c r="AN4" s="98">
        <v>22</v>
      </c>
      <c r="AO4" s="98">
        <v>23</v>
      </c>
      <c r="AP4" s="98">
        <v>24</v>
      </c>
      <c r="AQ4" s="98">
        <v>25</v>
      </c>
      <c r="AR4" s="98">
        <v>26</v>
      </c>
      <c r="AS4" s="98">
        <v>27</v>
      </c>
      <c r="AT4" s="98">
        <v>28</v>
      </c>
      <c r="AU4" s="98">
        <v>29</v>
      </c>
      <c r="AV4" s="98">
        <v>30</v>
      </c>
      <c r="AW4" s="98">
        <v>31</v>
      </c>
      <c r="AX4" s="98">
        <v>32</v>
      </c>
      <c r="AY4" s="98">
        <v>33</v>
      </c>
      <c r="AZ4" s="98">
        <v>34</v>
      </c>
      <c r="BA4" s="98">
        <v>35</v>
      </c>
      <c r="BB4" s="98">
        <v>36</v>
      </c>
      <c r="BC4" s="98">
        <v>37</v>
      </c>
      <c r="BD4" s="98">
        <v>38</v>
      </c>
      <c r="BE4" s="98">
        <v>39</v>
      </c>
      <c r="BF4" s="98">
        <v>40</v>
      </c>
      <c r="BG4" s="98">
        <v>41</v>
      </c>
      <c r="BH4" s="98">
        <v>42</v>
      </c>
      <c r="BI4" s="98">
        <v>43</v>
      </c>
      <c r="BJ4" s="98">
        <v>44</v>
      </c>
      <c r="BK4" s="98">
        <v>45</v>
      </c>
      <c r="BL4" s="98">
        <v>46</v>
      </c>
      <c r="BM4" s="98">
        <v>47</v>
      </c>
      <c r="BN4" s="98">
        <v>48</v>
      </c>
      <c r="BO4" s="98">
        <v>49</v>
      </c>
      <c r="BP4" s="98">
        <v>50</v>
      </c>
    </row>
    <row r="5" spans="1:68">
      <c r="C5" s="138" t="s">
        <v>213</v>
      </c>
      <c r="D5" s="138"/>
      <c r="E5" s="138"/>
      <c r="F5" s="138"/>
      <c r="G5" s="138"/>
      <c r="H5" s="148"/>
      <c r="I5" s="148"/>
      <c r="J5" s="148"/>
      <c r="K5" s="148"/>
      <c r="L5" s="148"/>
      <c r="M5" s="148"/>
      <c r="N5" s="148"/>
      <c r="O5" s="138"/>
      <c r="P5" s="147"/>
      <c r="Q5" s="147"/>
      <c r="R5" s="138"/>
      <c r="S5" s="138"/>
      <c r="T5" s="138"/>
      <c r="U5" s="138"/>
      <c r="V5" s="138"/>
      <c r="W5" s="138"/>
      <c r="X5" s="138"/>
      <c r="Y5" s="138"/>
      <c r="Z5" s="138"/>
      <c r="AA5" s="138"/>
      <c r="AB5" s="138"/>
      <c r="AC5" s="138"/>
      <c r="AD5" s="138"/>
      <c r="AE5" s="138"/>
      <c r="AF5" s="138"/>
      <c r="AG5" s="138"/>
      <c r="AH5" s="138"/>
      <c r="AI5" s="138"/>
      <c r="AJ5" s="138"/>
      <c r="AK5" s="138"/>
      <c r="AL5" s="138"/>
      <c r="AM5" s="138"/>
      <c r="AN5" s="138"/>
      <c r="AO5" s="138"/>
      <c r="AP5" s="138"/>
      <c r="AQ5" s="138"/>
      <c r="AR5" s="138"/>
      <c r="AS5" s="138"/>
      <c r="AT5" s="138"/>
      <c r="AU5" s="138"/>
      <c r="AV5" s="138"/>
      <c r="AW5" s="138"/>
      <c r="AX5" s="138"/>
      <c r="AY5" s="138"/>
      <c r="AZ5" s="138"/>
      <c r="BA5" s="138"/>
      <c r="BB5" s="138"/>
      <c r="BC5" s="138"/>
      <c r="BD5" s="138"/>
      <c r="BE5" s="138"/>
      <c r="BF5" s="138"/>
      <c r="BG5" s="138"/>
      <c r="BH5" s="138"/>
      <c r="BI5" s="138"/>
      <c r="BJ5" s="138"/>
      <c r="BK5" s="138"/>
      <c r="BL5" s="138"/>
      <c r="BM5" s="138"/>
      <c r="BN5" s="138"/>
      <c r="BO5" s="138"/>
      <c r="BP5" s="138"/>
    </row>
    <row r="7" spans="1:68">
      <c r="C7" s="101"/>
      <c r="D7" s="211" t="s">
        <v>302</v>
      </c>
      <c r="S7" s="167">
        <f>IF(Technology="BESS", INDEX('BESS_O&amp;M Costs_2026$'!$G$31:$J$31, 1, MATCH(CONE_Calculations!$E$13, 'BESS_O&amp;M Costs_2026$'!$G$1:$J$1, 0))/1000000 - SUM('Annual FOM'!S$9:S$11), INDEX('O&amp;M Costs_2026$'!$G$30:$N$30, 1, MATCH(CONE_Calculations!$E$13, 'O&amp;M Costs_2026$'!$G$1:$N$1,0))/1000000 - SUM('Annual FOM'!S$9:S$11))</f>
        <v>4.8086573332924818</v>
      </c>
      <c r="T7" s="152">
        <f>S7*(1+CONE_Calculations!Inflation)</f>
        <v>4.9486626348556424</v>
      </c>
      <c r="U7" s="152">
        <f>T7*(1+CONE_Calculations!Inflation)</f>
        <v>5.0927442269729424</v>
      </c>
      <c r="V7" s="152">
        <f>U7*(1+CONE_Calculations!Inflation)</f>
        <v>5.241020791897812</v>
      </c>
      <c r="W7" s="152">
        <f>V7*(1+CONE_Calculations!Inflation)</f>
        <v>5.3936144673481765</v>
      </c>
      <c r="X7" s="152">
        <f>W7*(1+CONE_Calculations!Inflation)</f>
        <v>5.5506509471131977</v>
      </c>
      <c r="Y7" s="152">
        <f>X7*(1+CONE_Calculations!Inflation)</f>
        <v>5.7122595845892086</v>
      </c>
      <c r="Z7" s="152">
        <f>Y7*(1+CONE_Calculations!Inflation)</f>
        <v>5.8785734993301206</v>
      </c>
      <c r="AA7" s="152">
        <f>Z7*(1+CONE_Calculations!Inflation)</f>
        <v>6.0497296867000765</v>
      </c>
      <c r="AB7" s="152">
        <f>AA7*(1+CONE_Calculations!Inflation)</f>
        <v>6.2258691307186655</v>
      </c>
      <c r="AC7" s="152">
        <f>AB7*(1+CONE_Calculations!Inflation)</f>
        <v>6.4071369201916619</v>
      </c>
      <c r="AD7" s="152">
        <f>AC7*(1+CONE_Calculations!Inflation)</f>
        <v>6.5936823682229315</v>
      </c>
      <c r="AE7" s="152">
        <f>AD7*(1+CONE_Calculations!Inflation)</f>
        <v>6.7856591352059654</v>
      </c>
      <c r="AF7" s="152">
        <f>AE7*(1+CONE_Calculations!Inflation)</f>
        <v>6.9832253553963408</v>
      </c>
      <c r="AG7" s="152">
        <f>AF7*(1+CONE_Calculations!Inflation)</f>
        <v>7.1865437671693737</v>
      </c>
      <c r="AH7" s="152">
        <f>AG7*(1+CONE_Calculations!Inflation)</f>
        <v>7.3957818470702525</v>
      </c>
      <c r="AI7" s="152">
        <f>AH7*(1+CONE_Calculations!Inflation)</f>
        <v>7.6111119477670828</v>
      </c>
      <c r="AJ7" s="152">
        <f>AI7*(1+CONE_Calculations!Inflation)</f>
        <v>7.8327114400204625</v>
      </c>
      <c r="AK7" s="152">
        <f>AJ7*(1+CONE_Calculations!Inflation)</f>
        <v>8.0607628587865463</v>
      </c>
      <c r="AL7" s="152">
        <f>AK7*(1+CONE_Calculations!Inflation)</f>
        <v>8.2954540535739323</v>
      </c>
      <c r="AM7" s="152">
        <f>AL7*(1+CONE_Calculations!Inflation)</f>
        <v>8.5369783431782302</v>
      </c>
      <c r="AN7" s="152">
        <f>AM7*(1+CONE_Calculations!Inflation)</f>
        <v>8.7855346749217684</v>
      </c>
      <c r="AO7" s="152">
        <f>AN7*(1+CONE_Calculations!Inflation)</f>
        <v>9.0413277885296015</v>
      </c>
      <c r="AP7" s="152">
        <f>AO7*(1+CONE_Calculations!Inflation)</f>
        <v>9.3045683847768199</v>
      </c>
      <c r="AQ7" s="152">
        <f>AP7*(1+CONE_Calculations!Inflation)</f>
        <v>9.575473299046056</v>
      </c>
      <c r="AR7" s="152">
        <f>AQ7*(1+CONE_Calculations!Inflation)</f>
        <v>9.8542656799381696</v>
      </c>
      <c r="AS7" s="152">
        <f>AR7*(1+CONE_Calculations!Inflation)</f>
        <v>10.141175173083235</v>
      </c>
      <c r="AT7" s="152">
        <f>AS7*(1+CONE_Calculations!Inflation)</f>
        <v>10.43643811030322</v>
      </c>
      <c r="AU7" s="152">
        <f>AT7*(1+CONE_Calculations!Inflation)</f>
        <v>10.740297704282193</v>
      </c>
      <c r="AV7" s="152">
        <f>AU7*(1+CONE_Calculations!Inflation)</f>
        <v>11.053004248904404</v>
      </c>
      <c r="AW7" s="152">
        <f>AV7*(1+CONE_Calculations!Inflation)</f>
        <v>11.37481532542526</v>
      </c>
      <c r="AX7" s="152">
        <f>AW7*(1+CONE_Calculations!Inflation)</f>
        <v>11.705996014645013</v>
      </c>
      <c r="AY7" s="152">
        <f>AX7*(1+CONE_Calculations!Inflation)</f>
        <v>12.046819115259957</v>
      </c>
      <c r="AZ7" s="152">
        <f>AY7*(1+CONE_Calculations!Inflation)</f>
        <v>12.397565368570961</v>
      </c>
      <c r="BA7" s="152">
        <f>AZ7*(1+CONE_Calculations!Inflation)</f>
        <v>12.758523689734455</v>
      </c>
      <c r="BB7" s="152">
        <f>BA7*(1+CONE_Calculations!Inflation)</f>
        <v>13.129991405746349</v>
      </c>
      <c r="BC7" s="152">
        <f>BB7*(1+CONE_Calculations!Inflation)</f>
        <v>13.512274500354915</v>
      </c>
      <c r="BD7" s="152">
        <f>BC7*(1+CONE_Calculations!Inflation)</f>
        <v>13.905687866104371</v>
      </c>
      <c r="BE7" s="152">
        <f>BD7*(1+CONE_Calculations!Inflation)</f>
        <v>14.310555563716774</v>
      </c>
      <c r="BF7" s="152">
        <f>BE7*(1+CONE_Calculations!Inflation)</f>
        <v>14.727211089025895</v>
      </c>
      <c r="BG7" s="152">
        <f>BF7*(1+CONE_Calculations!Inflation)</f>
        <v>15.155997647682929</v>
      </c>
      <c r="BH7" s="152">
        <f>BG7*(1+CONE_Calculations!Inflation)</f>
        <v>15.597268437860345</v>
      </c>
      <c r="BI7" s="152">
        <f>BH7*(1+CONE_Calculations!Inflation)</f>
        <v>16.051386941186724</v>
      </c>
      <c r="BJ7" s="152">
        <f>BI7*(1+CONE_Calculations!Inflation)</f>
        <v>16.518727222152247</v>
      </c>
      <c r="BK7" s="152">
        <f>BJ7*(1+CONE_Calculations!Inflation)</f>
        <v>16.999674236231435</v>
      </c>
      <c r="BL7" s="152">
        <f>BK7*(1+CONE_Calculations!Inflation)</f>
        <v>17.494624146976992</v>
      </c>
      <c r="BM7" s="152">
        <f>BL7*(1+CONE_Calculations!Inflation)</f>
        <v>18.003984652345881</v>
      </c>
      <c r="BN7" s="152">
        <f>BM7*(1+CONE_Calculations!Inflation)</f>
        <v>18.528175320526497</v>
      </c>
      <c r="BO7" s="152">
        <f>BN7*(1+CONE_Calculations!Inflation)</f>
        <v>19.067627935543523</v>
      </c>
      <c r="BP7" s="152">
        <f>BO7*(1+CONE_Calculations!Inflation)</f>
        <v>19.622786852925159</v>
      </c>
    </row>
    <row r="8" spans="1:68">
      <c r="C8" s="101"/>
      <c r="D8" s="211" t="s">
        <v>735</v>
      </c>
      <c r="Q8" s="1486"/>
      <c r="R8" s="145"/>
      <c r="S8" s="167"/>
      <c r="T8" s="152"/>
      <c r="U8" s="152"/>
      <c r="V8" s="152"/>
      <c r="X8" s="1642">
        <f>IF(Technology="BESS",('Capital Costs Data BESS'!$E$27/2)/(10^6)*((1+X2)^(X3-2021)), 0)</f>
        <v>30.516316774493262</v>
      </c>
      <c r="Y8" s="152"/>
      <c r="Z8" s="152"/>
      <c r="AA8" s="152"/>
      <c r="AB8" s="152"/>
      <c r="AC8" s="1642">
        <f>IF(Technology="BESS", ('Capital Costs Data BESS'!$E$27/2)/(10^6)*((1+AC2)^(AC3-2021)), 0)</f>
        <v>33.056477210443326</v>
      </c>
      <c r="AD8" s="152"/>
      <c r="AE8" s="152"/>
      <c r="AF8" s="152"/>
      <c r="AG8" s="152"/>
      <c r="AH8" s="1642">
        <f>IF(Technology="BESS", ('Capital Costs Data BESS'!$E$27/2)/(10^6)*((1+AH2)^(AH3-2021)), 0)</f>
        <v>35.649682954977166</v>
      </c>
      <c r="AI8" s="152"/>
      <c r="AJ8" s="152"/>
      <c r="AK8" s="152"/>
      <c r="AL8" s="152"/>
      <c r="AM8" s="152"/>
      <c r="AN8" s="152"/>
      <c r="AO8" s="152"/>
      <c r="AP8" s="152"/>
      <c r="AQ8" s="152"/>
      <c r="AR8" s="152"/>
      <c r="AS8" s="152"/>
      <c r="AT8" s="152"/>
      <c r="AU8" s="152"/>
      <c r="AV8" s="152"/>
      <c r="AW8" s="152"/>
      <c r="AX8" s="152"/>
      <c r="AY8" s="152"/>
      <c r="AZ8" s="152"/>
      <c r="BA8" s="152"/>
      <c r="BB8" s="152"/>
      <c r="BC8" s="152"/>
      <c r="BD8" s="152"/>
      <c r="BE8" s="152"/>
      <c r="BF8" s="152"/>
      <c r="BG8" s="152"/>
      <c r="BH8" s="152"/>
      <c r="BI8" s="152"/>
      <c r="BJ8" s="152"/>
      <c r="BK8" s="152"/>
      <c r="BL8" s="152"/>
      <c r="BM8" s="152"/>
      <c r="BN8" s="152"/>
      <c r="BO8" s="152"/>
      <c r="BP8" s="152"/>
    </row>
    <row r="9" spans="1:68">
      <c r="C9" s="101"/>
      <c r="D9" s="211" t="s">
        <v>288</v>
      </c>
      <c r="Q9" s="1486"/>
      <c r="R9" s="145"/>
      <c r="S9" s="167">
        <f>INDEX('Annual FOM'!S$20:S$33, MATCH(CONE_Calculations!$E$13, 'Annual FOM'!$A$20:$A$33,0),1)</f>
        <v>2.2533426667075189</v>
      </c>
      <c r="T9" s="167">
        <f>INDEX('Annual FOM'!T$20:T$33, MATCH(CONE_Calculations!$E$13, 'Annual FOM'!$A$20:$A$33,0),1)</f>
        <v>2.3189493210626368</v>
      </c>
      <c r="U9" s="167">
        <f>INDEX('Annual FOM'!U$20:U$33, MATCH(CONE_Calculations!$E$13, 'Annual FOM'!$A$20:$A$33,0),1)</f>
        <v>2.3864661301222592</v>
      </c>
      <c r="V9" s="167">
        <f>INDEX('Annual FOM'!V$20:V$33, MATCH(CONE_Calculations!$E$13, 'Annual FOM'!$A$20:$A$33,0),1)</f>
        <v>2.4559487085344882</v>
      </c>
      <c r="W9" s="167">
        <f>INDEX('Annual FOM'!W$20:W$33, MATCH(CONE_Calculations!$E$13, 'Annual FOM'!$A$20:$A$33,0),1)</f>
        <v>2.5274542901822858</v>
      </c>
      <c r="X9" s="167">
        <f>INDEX('Annual FOM'!X$20:X$33, MATCH(CONE_Calculations!$E$13, 'Annual FOM'!$A$20:$A$33,0),1)</f>
        <v>2.6010417753279138</v>
      </c>
      <c r="Y9" s="167">
        <f>INDEX('Annual FOM'!Y$20:Y$33, MATCH(CONE_Calculations!$E$13, 'Annual FOM'!$A$20:$A$33,0),1)</f>
        <v>2.6767717791299983</v>
      </c>
      <c r="Z9" s="167">
        <f>INDEX('Annual FOM'!Z$20:Z$33, MATCH(CONE_Calculations!$E$13, 'Annual FOM'!$A$20:$A$33,0),1)</f>
        <v>2.7547066815731833</v>
      </c>
      <c r="AA9" s="167">
        <f>INDEX('Annual FOM'!AA$20:AA$33, MATCH(CONE_Calculations!$E$13, 'Annual FOM'!$A$20:$A$33,0),1)</f>
        <v>2.8349106788514908</v>
      </c>
      <c r="AB9" s="167">
        <f>INDEX('Annual FOM'!AB$20:AB$33, MATCH(CONE_Calculations!$E$13, 'Annual FOM'!$A$20:$A$33,0),1)</f>
        <v>2.9174498362477341</v>
      </c>
      <c r="AC9" s="167">
        <f>INDEX('Annual FOM'!AC$20:AC$33, MATCH(CONE_Calculations!$E$13, 'Annual FOM'!$A$20:$A$33,0),1)</f>
        <v>3.0023921425525146</v>
      </c>
      <c r="AD9" s="167">
        <f>INDEX('Annual FOM'!AD$20:AD$33, MATCH(CONE_Calculations!$E$13, 'Annual FOM'!$A$20:$A$33,0),1)</f>
        <v>3.0898075660676514</v>
      </c>
      <c r="AE9" s="167">
        <f>INDEX('Annual FOM'!AE$20:AE$33, MATCH(CONE_Calculations!$E$13, 'Annual FOM'!$A$20:$A$33,0),1)</f>
        <v>3.1797681122401609</v>
      </c>
      <c r="AF9" s="167">
        <f>INDEX('Annual FOM'!AF$20:AF$33, MATCH(CONE_Calculations!$E$13, 'Annual FOM'!$A$20:$A$33,0),1)</f>
        <v>3.2723478829742692</v>
      </c>
      <c r="AG9" s="167">
        <f>INDEX('Annual FOM'!AG$20:AG$33, MATCH(CONE_Calculations!$E$13, 'Annual FOM'!$A$20:$A$33,0),1)</f>
        <v>3.367623137670301</v>
      </c>
      <c r="AH9" s="167">
        <f>INDEX('Annual FOM'!AH$20:AH$33, MATCH(CONE_Calculations!$E$13, 'Annual FOM'!$A$20:$A$33,0),1)</f>
        <v>3.4656723560407401</v>
      </c>
      <c r="AI9" s="167">
        <f>INDEX('Annual FOM'!AI$20:AI$33, MATCH(CONE_Calculations!$E$13, 'Annual FOM'!$A$20:$A$33,0),1)</f>
        <v>3.5665763027551889</v>
      </c>
      <c r="AJ9" s="167">
        <f>INDEX('Annual FOM'!AJ$20:AJ$33, MATCH(CONE_Calculations!$E$13, 'Annual FOM'!$A$20:$A$33,0),1)</f>
        <v>3.6704180939674913</v>
      </c>
      <c r="AK9" s="167">
        <f>INDEX('Annual FOM'!AK$20:AK$33, MATCH(CONE_Calculations!$E$13, 'Annual FOM'!$A$20:$A$33,0),1)</f>
        <v>3.7772832657797957</v>
      </c>
      <c r="AL9" s="167">
        <f>INDEX('Annual FOM'!AL$20:AL$33, MATCH(CONE_Calculations!$E$13, 'Annual FOM'!$A$20:$A$33,0),1)</f>
        <v>3.887259844699984</v>
      </c>
      <c r="AM9" s="167">
        <f>INDEX('Annual FOM'!AM$20:AM$33, MATCH(CONE_Calculations!$E$13, 'Annual FOM'!$A$20:$A$33,0),1)</f>
        <v>4.0004384201504717</v>
      </c>
      <c r="AN9" s="167">
        <f>INDEX('Annual FOM'!AN$20:AN$33, MATCH(CONE_Calculations!$E$13, 'Annual FOM'!$A$20:$A$33,0),1)</f>
        <v>4.1169122190881335</v>
      </c>
      <c r="AO9" s="167">
        <f>INDEX('Annual FOM'!AO$20:AO$33, MATCH(CONE_Calculations!$E$13, 'Annual FOM'!$A$20:$A$33,0),1)</f>
        <v>4.2367771827967955</v>
      </c>
      <c r="AP9" s="167">
        <f>INDEX('Annual FOM'!AP$20:AP$33, MATCH(CONE_Calculations!$E$13, 'Annual FOM'!$A$20:$A$33,0),1)</f>
        <v>4.3601320459155701</v>
      </c>
      <c r="AQ9" s="167">
        <f>INDEX('Annual FOM'!AQ$20:AQ$33, MATCH(CONE_Calculations!$E$13, 'Annual FOM'!$A$20:$A$33,0),1)</f>
        <v>4.4870784177681129</v>
      </c>
      <c r="AR9" s="167">
        <f>INDEX('Annual FOM'!AR$20:AR$33, MATCH(CONE_Calculations!$E$13, 'Annual FOM'!$A$20:$A$33,0),1)</f>
        <v>4.6177208660598144</v>
      </c>
      <c r="AS9" s="167">
        <f>INDEX('Annual FOM'!AS$20:AS$33, MATCH(CONE_Calculations!$E$13, 'Annual FOM'!$A$20:$A$33,0),1)</f>
        <v>4.7521670030118397</v>
      </c>
      <c r="AT9" s="167">
        <f>INDEX('Annual FOM'!AT$20:AT$33, MATCH(CONE_Calculations!$E$13, 'Annual FOM'!$A$20:$A$33,0),1)</f>
        <v>4.8905275740029994</v>
      </c>
      <c r="AU9" s="167">
        <f>INDEX('Annual FOM'!AU$20:AU$33, MATCH(CONE_Calculations!$E$13, 'Annual FOM'!$A$20:$A$33,0),1)</f>
        <v>5.0329165487924401</v>
      </c>
      <c r="AV9" s="167">
        <f>INDEX('Annual FOM'!AV$20:AV$33, MATCH(CONE_Calculations!$E$13, 'Annual FOM'!$A$20:$A$33,0),1)</f>
        <v>5.1794512153983154</v>
      </c>
      <c r="AW9" s="167">
        <f>INDEX('Annual FOM'!AW$20:AW$33, MATCH(CONE_Calculations!$E$13, 'Annual FOM'!$A$20:$A$33,0),1)</f>
        <v>5.3302522767097491</v>
      </c>
      <c r="AX9" s="167">
        <f>INDEX('Annual FOM'!AX$20:AX$33, MATCH(CONE_Calculations!$E$13, 'Annual FOM'!$A$20:$A$33,0),1)</f>
        <v>5.4854439499116969</v>
      </c>
      <c r="AY9" s="167">
        <f>INDEX('Annual FOM'!AY$20:AY$33, MATCH(CONE_Calculations!$E$13, 'Annual FOM'!$A$20:$A$33,0),1)</f>
        <v>5.6451540688045627</v>
      </c>
      <c r="AZ9" s="167">
        <f>INDEX('Annual FOM'!AZ$20:AZ$33, MATCH(CONE_Calculations!$E$13, 'Annual FOM'!$A$20:$A$33,0),1)</f>
        <v>5.8095141891029112</v>
      </c>
      <c r="BA9" s="167">
        <f>INDEX('Annual FOM'!BA$20:BA$33, MATCH(CONE_Calculations!$E$13, 'Annual FOM'!$A$20:$A$33,0),1)</f>
        <v>5.9786596967999426</v>
      </c>
      <c r="BB9" s="167">
        <f>INDEX('Annual FOM'!BB$20:BB$33, MATCH(CONE_Calculations!$E$13, 'Annual FOM'!$A$20:$A$33,0),1)</f>
        <v>6.1527299196870597</v>
      </c>
      <c r="BC9" s="167">
        <f>INDEX('Annual FOM'!BC$20:BC$33, MATCH(CONE_Calculations!$E$13, 'Annual FOM'!$A$20:$A$33,0),1)</f>
        <v>6.3318682421203318</v>
      </c>
      <c r="BD9" s="167">
        <f>INDEX('Annual FOM'!BD$20:BD$33, MATCH(CONE_Calculations!$E$13, 'Annual FOM'!$A$20:$A$33,0),1)</f>
        <v>6.5162222231284312</v>
      </c>
      <c r="BE9" s="167">
        <f>INDEX('Annual FOM'!BE$20:BE$33, MATCH(CONE_Calculations!$E$13, 'Annual FOM'!$A$20:$A$33,0),1)</f>
        <v>6.7059437179592978</v>
      </c>
      <c r="BF9" s="167">
        <f>INDEX('Annual FOM'!BF$20:BF$33, MATCH(CONE_Calculations!$E$13, 'Annual FOM'!$A$20:$A$33,0),1)</f>
        <v>6.901189003165686</v>
      </c>
      <c r="BG9" s="167">
        <f>INDEX('Annual FOM'!BG$20:BG$33, MATCH(CONE_Calculations!$E$13, 'Annual FOM'!$A$20:$A$33,0),1)</f>
        <v>7.1021189053325795</v>
      </c>
      <c r="BH9" s="167">
        <f>INDEX('Annual FOM'!BH$20:BH$33, MATCH(CONE_Calculations!$E$13, 'Annual FOM'!$A$20:$A$33,0),1)</f>
        <v>7.3088989335525767</v>
      </c>
      <c r="BI9" s="167">
        <f>INDEX('Annual FOM'!BI$20:BI$33, MATCH(CONE_Calculations!$E$13, 'Annual FOM'!$A$20:$A$33,0),1)</f>
        <v>7.5216994157582917</v>
      </c>
      <c r="BJ9" s="167">
        <f>INDEX('Annual FOM'!BJ$20:BJ$33, MATCH(CONE_Calculations!$E$13, 'Annual FOM'!$A$20:$A$33,0),1)</f>
        <v>7.7406956390241426</v>
      </c>
      <c r="BK9" s="167">
        <f>INDEX('Annual FOM'!BK$20:BK$33, MATCH(CONE_Calculations!$E$13, 'Annual FOM'!$A$20:$A$33,0),1)</f>
        <v>7.9660679939530352</v>
      </c>
      <c r="BL9" s="167">
        <f>INDEX('Annual FOM'!BL$20:BL$33, MATCH(CONE_Calculations!$E$13, 'Annual FOM'!$A$20:$A$33,0),1)</f>
        <v>8.1980021232669245</v>
      </c>
      <c r="BM9" s="167">
        <f>INDEX('Annual FOM'!BM$20:BM$33, MATCH(CONE_Calculations!$E$13, 'Annual FOM'!$A$20:$A$33,0),1)</f>
        <v>8.4366890747236081</v>
      </c>
      <c r="BN9" s="167">
        <f>INDEX('Annual FOM'!BN$20:BN$33, MATCH(CONE_Calculations!$E$13, 'Annual FOM'!$A$20:$A$33,0),1)</f>
        <v>8.6823254584857565</v>
      </c>
      <c r="BO9" s="167">
        <f>INDEX('Annual FOM'!BO$20:BO$33, MATCH(CONE_Calculations!$E$13, 'Annual FOM'!$A$20:$A$33,0),1)</f>
        <v>8.9351136090717542</v>
      </c>
      <c r="BP9" s="167">
        <f>INDEX('Annual FOM'!BP$20:BP$33, MATCH(CONE_Calculations!$E$13, 'Annual FOM'!$A$20:$A$33,0),1)</f>
        <v>9.195261752021807</v>
      </c>
    </row>
    <row r="10" spans="1:68">
      <c r="C10" s="166"/>
      <c r="D10" s="211" t="s">
        <v>754</v>
      </c>
      <c r="S10" s="167">
        <v>0</v>
      </c>
      <c r="T10" s="167">
        <v>0</v>
      </c>
      <c r="U10" s="167">
        <v>0</v>
      </c>
      <c r="V10" s="167">
        <v>0</v>
      </c>
      <c r="W10" s="167">
        <v>0</v>
      </c>
      <c r="X10" s="167">
        <v>0</v>
      </c>
      <c r="Y10" s="167">
        <v>0</v>
      </c>
      <c r="Z10" s="167">
        <v>0</v>
      </c>
      <c r="AA10" s="167">
        <v>0</v>
      </c>
      <c r="AB10" s="167">
        <v>0</v>
      </c>
      <c r="AC10" s="167">
        <v>0</v>
      </c>
      <c r="AD10" s="167">
        <v>0</v>
      </c>
      <c r="AE10" s="167">
        <v>0</v>
      </c>
      <c r="AF10" s="167">
        <v>0</v>
      </c>
      <c r="AG10" s="167">
        <v>0</v>
      </c>
      <c r="AH10" s="167">
        <v>0</v>
      </c>
      <c r="AI10" s="167">
        <v>0</v>
      </c>
      <c r="AJ10" s="167">
        <v>0</v>
      </c>
      <c r="AK10" s="167">
        <v>0</v>
      </c>
      <c r="AL10" s="167">
        <v>0</v>
      </c>
      <c r="AM10" s="167">
        <v>0</v>
      </c>
      <c r="AN10" s="167">
        <v>0</v>
      </c>
      <c r="AO10" s="167">
        <v>0</v>
      </c>
      <c r="AP10" s="167">
        <v>0</v>
      </c>
      <c r="AQ10" s="167">
        <v>0</v>
      </c>
      <c r="AR10" s="167">
        <v>0</v>
      </c>
      <c r="AS10" s="167">
        <v>0</v>
      </c>
      <c r="AT10" s="167">
        <v>0</v>
      </c>
      <c r="AU10" s="167">
        <v>0</v>
      </c>
      <c r="AV10" s="167">
        <v>0</v>
      </c>
      <c r="AW10" s="167">
        <v>0</v>
      </c>
      <c r="AX10" s="167">
        <v>0</v>
      </c>
      <c r="AY10" s="167">
        <v>0</v>
      </c>
      <c r="AZ10" s="167">
        <v>0</v>
      </c>
      <c r="BA10" s="167">
        <v>0</v>
      </c>
      <c r="BB10" s="167">
        <v>0</v>
      </c>
      <c r="BC10" s="167">
        <v>0</v>
      </c>
      <c r="BD10" s="167">
        <v>0</v>
      </c>
      <c r="BE10" s="167">
        <v>0</v>
      </c>
      <c r="BF10" s="167">
        <v>0</v>
      </c>
      <c r="BG10" s="167">
        <v>0</v>
      </c>
      <c r="BH10" s="167">
        <v>0</v>
      </c>
      <c r="BI10" s="167">
        <v>0</v>
      </c>
      <c r="BJ10" s="167">
        <v>0</v>
      </c>
      <c r="BK10" s="167">
        <v>0</v>
      </c>
      <c r="BL10" s="167">
        <v>0</v>
      </c>
      <c r="BM10" s="167">
        <v>0</v>
      </c>
      <c r="BN10" s="167">
        <v>0</v>
      </c>
      <c r="BO10" s="167">
        <v>0</v>
      </c>
      <c r="BP10" s="167">
        <v>0</v>
      </c>
    </row>
    <row r="11" spans="1:68">
      <c r="C11" s="101"/>
      <c r="D11" s="211" t="s">
        <v>153</v>
      </c>
      <c r="S11" s="167">
        <f>IF(Technology="BESS", 0, overnight_cost*'Additional Estimates'!$C$6*'Additional Estimates'!$C$7)</f>
        <v>0</v>
      </c>
      <c r="T11" s="152">
        <f>S11*(1+CONE_Calculations!Inflation)</f>
        <v>0</v>
      </c>
      <c r="U11" s="152">
        <f>T11*(1+CONE_Calculations!Inflation)</f>
        <v>0</v>
      </c>
      <c r="V11" s="152">
        <f>U11*(1+CONE_Calculations!Inflation)</f>
        <v>0</v>
      </c>
      <c r="W11" s="152">
        <f>V11*(1+CONE_Calculations!Inflation)</f>
        <v>0</v>
      </c>
      <c r="X11" s="152">
        <f>W11*(1+CONE_Calculations!Inflation)</f>
        <v>0</v>
      </c>
      <c r="Y11" s="152">
        <f>X11*(1+CONE_Calculations!Inflation)</f>
        <v>0</v>
      </c>
      <c r="Z11" s="152">
        <f>Y11*(1+CONE_Calculations!Inflation)</f>
        <v>0</v>
      </c>
      <c r="AA11" s="152">
        <f>Z11*(1+CONE_Calculations!Inflation)</f>
        <v>0</v>
      </c>
      <c r="AB11" s="152">
        <f>AA11*(1+CONE_Calculations!Inflation)</f>
        <v>0</v>
      </c>
      <c r="AC11" s="152">
        <f>AB11*(1+CONE_Calculations!Inflation)</f>
        <v>0</v>
      </c>
      <c r="AD11" s="152">
        <f>AC11*(1+CONE_Calculations!Inflation)</f>
        <v>0</v>
      </c>
      <c r="AE11" s="152">
        <f>AD11*(1+CONE_Calculations!Inflation)</f>
        <v>0</v>
      </c>
      <c r="AF11" s="152">
        <f>AE11*(1+CONE_Calculations!Inflation)</f>
        <v>0</v>
      </c>
      <c r="AG11" s="152">
        <f>AF11*(1+CONE_Calculations!Inflation)</f>
        <v>0</v>
      </c>
      <c r="AH11" s="152">
        <f>AG11*(1+CONE_Calculations!Inflation)</f>
        <v>0</v>
      </c>
      <c r="AI11" s="152">
        <f>AH11*(1+CONE_Calculations!Inflation)</f>
        <v>0</v>
      </c>
      <c r="AJ11" s="152">
        <f>AI11*(1+CONE_Calculations!Inflation)</f>
        <v>0</v>
      </c>
      <c r="AK11" s="152">
        <f>AJ11*(1+CONE_Calculations!Inflation)</f>
        <v>0</v>
      </c>
      <c r="AL11" s="152">
        <f>AK11*(1+CONE_Calculations!Inflation)</f>
        <v>0</v>
      </c>
      <c r="AM11" s="152">
        <f>AL11*(1+CONE_Calculations!Inflation)</f>
        <v>0</v>
      </c>
      <c r="AN11" s="152">
        <f>AM11*(1+CONE_Calculations!Inflation)</f>
        <v>0</v>
      </c>
      <c r="AO11" s="152">
        <f>AN11*(1+CONE_Calculations!Inflation)</f>
        <v>0</v>
      </c>
      <c r="AP11" s="152">
        <f>AO11*(1+CONE_Calculations!Inflation)</f>
        <v>0</v>
      </c>
      <c r="AQ11" s="152">
        <f>AP11*(1+CONE_Calculations!Inflation)</f>
        <v>0</v>
      </c>
      <c r="AR11" s="152">
        <f>AQ11*(1+CONE_Calculations!Inflation)</f>
        <v>0</v>
      </c>
      <c r="AS11" s="152">
        <f>AR11*(1+CONE_Calculations!Inflation)</f>
        <v>0</v>
      </c>
      <c r="AT11" s="152">
        <f>AS11*(1+CONE_Calculations!Inflation)</f>
        <v>0</v>
      </c>
      <c r="AU11" s="152">
        <f>AT11*(1+CONE_Calculations!Inflation)</f>
        <v>0</v>
      </c>
      <c r="AV11" s="152">
        <f>AU11*(1+CONE_Calculations!Inflation)</f>
        <v>0</v>
      </c>
      <c r="AW11" s="152">
        <f>AV11*(1+CONE_Calculations!Inflation)</f>
        <v>0</v>
      </c>
      <c r="AX11" s="152">
        <f>AW11*(1+CONE_Calculations!Inflation)</f>
        <v>0</v>
      </c>
      <c r="AY11" s="152">
        <f>AX11*(1+CONE_Calculations!Inflation)</f>
        <v>0</v>
      </c>
      <c r="AZ11" s="152">
        <f>AY11*(1+CONE_Calculations!Inflation)</f>
        <v>0</v>
      </c>
      <c r="BA11" s="152">
        <f>AZ11*(1+CONE_Calculations!Inflation)</f>
        <v>0</v>
      </c>
      <c r="BB11" s="152">
        <f>BA11*(1+CONE_Calculations!Inflation)</f>
        <v>0</v>
      </c>
      <c r="BC11" s="152">
        <f>BB11*(1+CONE_Calculations!Inflation)</f>
        <v>0</v>
      </c>
      <c r="BD11" s="152">
        <f>BC11*(1+CONE_Calculations!Inflation)</f>
        <v>0</v>
      </c>
      <c r="BE11" s="152">
        <f>BD11*(1+CONE_Calculations!Inflation)</f>
        <v>0</v>
      </c>
      <c r="BF11" s="152">
        <f>BE11*(1+CONE_Calculations!Inflation)</f>
        <v>0</v>
      </c>
      <c r="BG11" s="152">
        <f>BF11*(1+CONE_Calculations!Inflation)</f>
        <v>0</v>
      </c>
      <c r="BH11" s="152">
        <f>BG11*(1+CONE_Calculations!Inflation)</f>
        <v>0</v>
      </c>
      <c r="BI11" s="152">
        <f>BH11*(1+CONE_Calculations!Inflation)</f>
        <v>0</v>
      </c>
      <c r="BJ11" s="152">
        <f>BI11*(1+CONE_Calculations!Inflation)</f>
        <v>0</v>
      </c>
      <c r="BK11" s="152">
        <f>BJ11*(1+CONE_Calculations!Inflation)</f>
        <v>0</v>
      </c>
      <c r="BL11" s="152">
        <f>BK11*(1+CONE_Calculations!Inflation)</f>
        <v>0</v>
      </c>
      <c r="BM11" s="152">
        <f>BL11*(1+CONE_Calculations!Inflation)</f>
        <v>0</v>
      </c>
      <c r="BN11" s="152">
        <f>BM11*(1+CONE_Calculations!Inflation)</f>
        <v>0</v>
      </c>
      <c r="BO11" s="152">
        <f>BN11*(1+CONE_Calculations!Inflation)</f>
        <v>0</v>
      </c>
      <c r="BP11" s="152">
        <f>BO11*(1+CONE_Calculations!Inflation)</f>
        <v>0</v>
      </c>
    </row>
    <row r="12" spans="1:68">
      <c r="C12" s="101"/>
      <c r="D12" s="211"/>
      <c r="S12" s="167"/>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152"/>
      <c r="BK12" s="152"/>
      <c r="BL12" s="152"/>
      <c r="BM12" s="152"/>
      <c r="BN12" s="152"/>
      <c r="BO12" s="152"/>
      <c r="BP12" s="152"/>
    </row>
    <row r="13" spans="1:68">
      <c r="C13" s="101"/>
      <c r="D13" s="151"/>
    </row>
    <row r="14" spans="1:68" s="70" customFormat="1">
      <c r="A14" s="189"/>
      <c r="C14" s="102"/>
      <c r="D14" s="169" t="s">
        <v>290</v>
      </c>
      <c r="H14" s="168"/>
      <c r="I14" s="168"/>
      <c r="J14" s="168"/>
      <c r="K14" s="168"/>
      <c r="L14" s="168"/>
      <c r="M14" s="168"/>
      <c r="P14" s="100"/>
      <c r="Q14" s="100"/>
      <c r="S14" s="170">
        <f>SUM(S7:S12)</f>
        <v>7.0620000000000012</v>
      </c>
      <c r="T14" s="170">
        <f>SUM(T7:T12)</f>
        <v>7.2676119559182792</v>
      </c>
      <c r="U14" s="170">
        <f t="shared" ref="U14:BP14" si="0">SUM(U7:U12)</f>
        <v>7.4792103570952015</v>
      </c>
      <c r="V14" s="170">
        <f t="shared" si="0"/>
        <v>7.6969695004323002</v>
      </c>
      <c r="W14" s="170">
        <f t="shared" si="0"/>
        <v>7.9210687575304624</v>
      </c>
      <c r="X14" s="170">
        <f t="shared" si="0"/>
        <v>38.668009496934374</v>
      </c>
      <c r="Y14" s="170">
        <f t="shared" si="0"/>
        <v>8.3890313637192069</v>
      </c>
      <c r="Z14" s="170">
        <f t="shared" si="0"/>
        <v>8.633280180903304</v>
      </c>
      <c r="AA14" s="170">
        <f t="shared" si="0"/>
        <v>8.8846403655515669</v>
      </c>
      <c r="AB14" s="170">
        <f t="shared" si="0"/>
        <v>9.1433189669663992</v>
      </c>
      <c r="AC14" s="170">
        <f t="shared" si="0"/>
        <v>42.466006273187503</v>
      </c>
      <c r="AD14" s="170">
        <f t="shared" si="0"/>
        <v>9.6834899342905825</v>
      </c>
      <c r="AE14" s="170">
        <f t="shared" si="0"/>
        <v>9.9654272474461258</v>
      </c>
      <c r="AF14" s="170">
        <f t="shared" si="0"/>
        <v>10.25557323837061</v>
      </c>
      <c r="AG14" s="170">
        <f t="shared" si="0"/>
        <v>10.554166904839676</v>
      </c>
      <c r="AH14" s="170">
        <f t="shared" si="0"/>
        <v>46.511137158088161</v>
      </c>
      <c r="AI14" s="170">
        <f t="shared" si="0"/>
        <v>11.177688250522271</v>
      </c>
      <c r="AJ14" s="170">
        <f t="shared" si="0"/>
        <v>11.503129533987954</v>
      </c>
      <c r="AK14" s="170">
        <f t="shared" si="0"/>
        <v>11.838046124566342</v>
      </c>
      <c r="AL14" s="170">
        <f t="shared" si="0"/>
        <v>12.182713898273917</v>
      </c>
      <c r="AM14" s="170">
        <f t="shared" si="0"/>
        <v>12.537416763328702</v>
      </c>
      <c r="AN14" s="170">
        <f t="shared" si="0"/>
        <v>12.902446894009902</v>
      </c>
      <c r="AO14" s="170">
        <f t="shared" si="0"/>
        <v>13.278104971326396</v>
      </c>
      <c r="AP14" s="170">
        <f t="shared" si="0"/>
        <v>13.66470043069239</v>
      </c>
      <c r="AQ14" s="170">
        <f t="shared" si="0"/>
        <v>14.06255171681417</v>
      </c>
      <c r="AR14" s="170">
        <f t="shared" si="0"/>
        <v>14.471986545997984</v>
      </c>
      <c r="AS14" s="170">
        <f t="shared" si="0"/>
        <v>14.893342176095075</v>
      </c>
      <c r="AT14" s="170">
        <f t="shared" si="0"/>
        <v>15.32696568430622</v>
      </c>
      <c r="AU14" s="170">
        <f t="shared" si="0"/>
        <v>15.773214253074634</v>
      </c>
      <c r="AV14" s="170">
        <f t="shared" si="0"/>
        <v>16.232455464302721</v>
      </c>
      <c r="AW14" s="170">
        <f t="shared" si="0"/>
        <v>16.70506760213501</v>
      </c>
      <c r="AX14" s="170">
        <f t="shared" si="0"/>
        <v>17.191439964556711</v>
      </c>
      <c r="AY14" s="170">
        <f t="shared" si="0"/>
        <v>17.691973184064519</v>
      </c>
      <c r="AZ14" s="170">
        <f t="shared" si="0"/>
        <v>18.207079557673872</v>
      </c>
      <c r="BA14" s="170">
        <f t="shared" si="0"/>
        <v>18.737183386534397</v>
      </c>
      <c r="BB14" s="170">
        <f t="shared" si="0"/>
        <v>19.282721325433407</v>
      </c>
      <c r="BC14" s="170">
        <f t="shared" si="0"/>
        <v>19.844142742475245</v>
      </c>
      <c r="BD14" s="170">
        <f t="shared" si="0"/>
        <v>20.421910089232803</v>
      </c>
      <c r="BE14" s="170">
        <f t="shared" si="0"/>
        <v>21.016499281676072</v>
      </c>
      <c r="BF14" s="170">
        <f t="shared" si="0"/>
        <v>21.62840009219158</v>
      </c>
      <c r="BG14" s="170">
        <f t="shared" si="0"/>
        <v>22.258116553015508</v>
      </c>
      <c r="BH14" s="170">
        <f t="shared" si="0"/>
        <v>22.90616737141292</v>
      </c>
      <c r="BI14" s="170">
        <f t="shared" si="0"/>
        <v>23.573086356945016</v>
      </c>
      <c r="BJ14" s="170">
        <f t="shared" si="0"/>
        <v>24.25942286117639</v>
      </c>
      <c r="BK14" s="170">
        <f t="shared" si="0"/>
        <v>24.965742230184471</v>
      </c>
      <c r="BL14" s="170">
        <f t="shared" si="0"/>
        <v>25.692626270243917</v>
      </c>
      <c r="BM14" s="170">
        <f t="shared" si="0"/>
        <v>26.440673727069488</v>
      </c>
      <c r="BN14" s="170">
        <f t="shared" si="0"/>
        <v>27.210500779012254</v>
      </c>
      <c r="BO14" s="170">
        <f t="shared" si="0"/>
        <v>28.002741544615276</v>
      </c>
      <c r="BP14" s="170">
        <f t="shared" si="0"/>
        <v>28.818048604946966</v>
      </c>
    </row>
    <row r="15" spans="1:68">
      <c r="F15" s="99"/>
      <c r="G15" s="99"/>
      <c r="S15" s="98">
        <v>8.3930000000000007</v>
      </c>
      <c r="T15" s="98">
        <v>8.3556268845937502</v>
      </c>
      <c r="U15" s="98">
        <v>8.3200623561883127</v>
      </c>
      <c r="V15" s="98">
        <v>8.2863425911031037</v>
      </c>
      <c r="W15" s="98">
        <v>8.2545044892869583</v>
      </c>
      <c r="X15" s="98">
        <v>36.060069545958527</v>
      </c>
      <c r="Y15" s="98">
        <v>8.1966245805433413</v>
      </c>
      <c r="Z15" s="98">
        <v>8.1706603233883754</v>
      </c>
      <c r="AA15" s="98">
        <v>8.1467328594683401</v>
      </c>
      <c r="AB15" s="98">
        <v>8.1248829298813874</v>
      </c>
      <c r="AC15" s="98">
        <v>36.929434734446517</v>
      </c>
      <c r="AD15" s="98">
        <v>8.0875827290993563</v>
      </c>
      <c r="AE15" s="98">
        <v>8.0722180803310231</v>
      </c>
      <c r="AF15" s="98">
        <v>8.0591022443369393</v>
      </c>
      <c r="AG15" s="98">
        <v>8.0482802032219016</v>
      </c>
      <c r="AH15" s="98">
        <v>37.75467395313499</v>
      </c>
      <c r="AI15" s="98">
        <v>8.0337019509151233</v>
      </c>
      <c r="AJ15" s="98">
        <v>8.0300402751552831</v>
      </c>
      <c r="AK15" s="98">
        <v>8.0288615022224707</v>
      </c>
      <c r="AL15" s="98">
        <v>8.0302152967108764</v>
      </c>
      <c r="AM15" s="98">
        <v>8.0341523166536657</v>
      </c>
      <c r="AN15" s="98">
        <v>8.0407242333950784</v>
      </c>
      <c r="AO15" s="98">
        <v>8.0499837518600295</v>
      </c>
      <c r="AP15" s="98">
        <v>8.0968370736854318</v>
      </c>
      <c r="AQ15" s="98">
        <v>8.2394264374901027</v>
      </c>
      <c r="AR15" s="98">
        <v>8.3848679281040148</v>
      </c>
      <c r="AS15" s="98">
        <v>8.5332185957028521</v>
      </c>
      <c r="AT15" s="98">
        <v>8.6845366316376982</v>
      </c>
      <c r="AU15" s="98">
        <v>8.8388813912624098</v>
      </c>
      <c r="AV15" s="98">
        <v>8.9963134172176371</v>
      </c>
      <c r="AW15" s="98">
        <v>9.1568944631805991</v>
      </c>
      <c r="AX15" s="98">
        <v>9.3206875180899402</v>
      </c>
      <c r="AY15" s="98">
        <v>9.4877568308552025</v>
      </c>
      <c r="AZ15" s="98">
        <v>9.6581679355605505</v>
      </c>
      <c r="BA15" s="98">
        <v>9.8319876771726928</v>
      </c>
      <c r="BB15" s="98">
        <v>10.009284237763051</v>
      </c>
      <c r="BC15" s="98">
        <v>10.190127163254477</v>
      </c>
      <c r="BD15" s="98">
        <v>10.374587390702997</v>
      </c>
      <c r="BE15" s="98">
        <v>10.562737276125318</v>
      </c>
      <c r="BF15" s="98">
        <v>10.754650622882975</v>
      </c>
      <c r="BG15" s="98">
        <v>10.950402710634279</v>
      </c>
      <c r="BH15" s="98">
        <v>11.150070324865419</v>
      </c>
      <c r="BI15" s="98">
        <v>11.353731787012299</v>
      </c>
      <c r="BJ15" s="98">
        <v>11.561466985184936</v>
      </c>
      <c r="BK15" s="98">
        <v>11.773357405506458</v>
      </c>
      <c r="BL15" s="98">
        <v>11.989486164079016</v>
      </c>
      <c r="BM15" s="98">
        <v>12.209938039589131</v>
      </c>
      <c r="BN15" s="98">
        <v>12.434799506565295</v>
      </c>
      <c r="BO15" s="98">
        <v>12.664158769300832</v>
      </c>
      <c r="BP15" s="98">
        <v>12.898105796455379</v>
      </c>
    </row>
    <row r="16" spans="1:68">
      <c r="C16" s="138" t="s">
        <v>287</v>
      </c>
      <c r="D16" s="138"/>
      <c r="E16" s="138"/>
      <c r="F16" s="138"/>
      <c r="G16" s="138"/>
      <c r="H16" s="148"/>
      <c r="I16" s="148"/>
      <c r="J16" s="148"/>
      <c r="K16" s="148"/>
      <c r="L16" s="148"/>
      <c r="M16" s="148"/>
      <c r="N16" s="148"/>
      <c r="O16" s="138"/>
      <c r="P16" s="147"/>
      <c r="Q16" s="147"/>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38"/>
      <c r="BD16" s="138"/>
      <c r="BE16" s="138"/>
      <c r="BF16" s="138"/>
      <c r="BG16" s="138"/>
      <c r="BH16" s="138"/>
      <c r="BI16" s="138"/>
      <c r="BJ16" s="138"/>
      <c r="BK16" s="138"/>
      <c r="BL16" s="138"/>
      <c r="BM16" s="138"/>
      <c r="BN16" s="138"/>
      <c r="BO16" s="138"/>
      <c r="BP16" s="138"/>
    </row>
    <row r="17" spans="1:68" ht="6" customHeight="1"/>
    <row r="18" spans="1:68" s="139" customFormat="1">
      <c r="A18" s="190"/>
      <c r="C18" s="101" t="s">
        <v>214</v>
      </c>
      <c r="D18" s="101" t="s">
        <v>99</v>
      </c>
      <c r="F18" s="140" t="s">
        <v>265</v>
      </c>
      <c r="G18" s="140" t="s">
        <v>266</v>
      </c>
      <c r="H18" s="149" t="s">
        <v>267</v>
      </c>
      <c r="I18" s="149" t="s">
        <v>268</v>
      </c>
      <c r="J18" s="149" t="s">
        <v>269</v>
      </c>
      <c r="K18" s="149" t="s">
        <v>270</v>
      </c>
      <c r="L18" s="149" t="s">
        <v>271</v>
      </c>
      <c r="M18" s="149" t="s">
        <v>271</v>
      </c>
      <c r="N18" s="149" t="s">
        <v>272</v>
      </c>
      <c r="P18" s="140" t="s">
        <v>278</v>
      </c>
      <c r="Q18" s="140" t="s">
        <v>279</v>
      </c>
      <c r="S18" s="140" t="s">
        <v>215</v>
      </c>
      <c r="T18" s="140" t="s">
        <v>216</v>
      </c>
      <c r="U18" s="140" t="s">
        <v>217</v>
      </c>
      <c r="V18" s="140" t="s">
        <v>218</v>
      </c>
      <c r="W18" s="140" t="s">
        <v>219</v>
      </c>
      <c r="X18" s="140" t="s">
        <v>220</v>
      </c>
      <c r="Y18" s="140" t="s">
        <v>221</v>
      </c>
      <c r="Z18" s="140" t="s">
        <v>222</v>
      </c>
      <c r="AA18" s="140" t="s">
        <v>223</v>
      </c>
      <c r="AB18" s="140" t="s">
        <v>224</v>
      </c>
      <c r="AC18" s="140" t="s">
        <v>225</v>
      </c>
      <c r="AD18" s="140" t="s">
        <v>226</v>
      </c>
      <c r="AE18" s="140" t="s">
        <v>227</v>
      </c>
      <c r="AF18" s="140" t="s">
        <v>228</v>
      </c>
      <c r="AG18" s="140" t="s">
        <v>229</v>
      </c>
      <c r="AH18" s="140" t="s">
        <v>230</v>
      </c>
      <c r="AI18" s="140" t="s">
        <v>231</v>
      </c>
      <c r="AJ18" s="140" t="s">
        <v>232</v>
      </c>
      <c r="AK18" s="140" t="s">
        <v>233</v>
      </c>
      <c r="AL18" s="140" t="s">
        <v>234</v>
      </c>
      <c r="AM18" s="140" t="s">
        <v>235</v>
      </c>
      <c r="AN18" s="140" t="s">
        <v>236</v>
      </c>
      <c r="AO18" s="140" t="s">
        <v>237</v>
      </c>
      <c r="AP18" s="140" t="s">
        <v>238</v>
      </c>
      <c r="AQ18" s="140" t="s">
        <v>239</v>
      </c>
      <c r="AR18" s="140" t="s">
        <v>240</v>
      </c>
      <c r="AS18" s="140" t="s">
        <v>241</v>
      </c>
      <c r="AT18" s="140" t="s">
        <v>242</v>
      </c>
      <c r="AU18" s="140" t="s">
        <v>243</v>
      </c>
      <c r="AV18" s="140" t="s">
        <v>244</v>
      </c>
      <c r="AW18" s="140" t="s">
        <v>245</v>
      </c>
      <c r="AX18" s="140" t="s">
        <v>246</v>
      </c>
      <c r="AY18" s="140" t="s">
        <v>247</v>
      </c>
      <c r="AZ18" s="140" t="s">
        <v>248</v>
      </c>
      <c r="BA18" s="140" t="s">
        <v>249</v>
      </c>
      <c r="BB18" s="140" t="s">
        <v>250</v>
      </c>
      <c r="BC18" s="140" t="s">
        <v>251</v>
      </c>
      <c r="BD18" s="140" t="s">
        <v>252</v>
      </c>
      <c r="BE18" s="140" t="s">
        <v>253</v>
      </c>
      <c r="BF18" s="140" t="s">
        <v>254</v>
      </c>
      <c r="BG18" s="140" t="s">
        <v>255</v>
      </c>
      <c r="BH18" s="140" t="s">
        <v>256</v>
      </c>
      <c r="BI18" s="140" t="s">
        <v>257</v>
      </c>
      <c r="BJ18" s="140" t="s">
        <v>258</v>
      </c>
      <c r="BK18" s="140" t="s">
        <v>259</v>
      </c>
      <c r="BL18" s="140" t="s">
        <v>260</v>
      </c>
      <c r="BM18" s="140" t="s">
        <v>261</v>
      </c>
      <c r="BN18" s="140" t="s">
        <v>262</v>
      </c>
      <c r="BO18" s="140" t="s">
        <v>263</v>
      </c>
      <c r="BP18" s="140" t="s">
        <v>264</v>
      </c>
    </row>
    <row r="19" spans="1:68" s="143" customFormat="1">
      <c r="A19" s="191"/>
      <c r="C19" s="94"/>
      <c r="D19" s="94"/>
      <c r="E19" s="141"/>
      <c r="F19" s="142" t="s">
        <v>46</v>
      </c>
      <c r="G19" s="142" t="s">
        <v>46</v>
      </c>
      <c r="H19" s="150" t="s">
        <v>163</v>
      </c>
      <c r="I19" s="150" t="s">
        <v>163</v>
      </c>
      <c r="J19" s="150" t="s">
        <v>273</v>
      </c>
      <c r="K19" s="150" t="s">
        <v>274</v>
      </c>
      <c r="L19" s="150" t="s">
        <v>274</v>
      </c>
      <c r="M19" s="150" t="s">
        <v>273</v>
      </c>
      <c r="N19" s="150"/>
      <c r="O19" s="141"/>
      <c r="P19" s="142" t="s">
        <v>46</v>
      </c>
      <c r="Q19" s="142" t="s">
        <v>46</v>
      </c>
      <c r="R19" s="141"/>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2"/>
      <c r="BC19" s="142"/>
      <c r="BD19" s="142"/>
      <c r="BE19" s="142"/>
      <c r="BF19" s="142"/>
      <c r="BG19" s="142"/>
      <c r="BH19" s="142"/>
      <c r="BI19" s="142"/>
      <c r="BJ19" s="142"/>
      <c r="BK19" s="142"/>
      <c r="BL19" s="142"/>
      <c r="BM19" s="142"/>
      <c r="BN19" s="142"/>
      <c r="BO19" s="142"/>
      <c r="BP19" s="142"/>
    </row>
    <row r="20" spans="1:68">
      <c r="A20" s="192" t="str">
        <f>C20&amp;"_"&amp;D20</f>
        <v>1_CT</v>
      </c>
      <c r="C20" s="137">
        <v>1</v>
      </c>
      <c r="D20" s="137" t="s">
        <v>76</v>
      </c>
      <c r="F20" s="176">
        <f ca="1">SUMIFS(OFFSET('Capital Costs_Nominal$'!$G:$G,0,MATCH('Annual FOM'!$C20&amp;"_"&amp;'Annual FOM'!$D20,'Capital Costs_Nominal$'!$H$1:$O$1,0)),'Capital Costs_Nominal$'!$R:$R,F$3)/1000000</f>
        <v>8.4730000000000008</v>
      </c>
      <c r="G20" s="176">
        <f ca="1">SUMIFS(OFFSET('Capital Costs_Nominal$'!$G:$G,0,MATCH('Annual FOM'!$C20&amp;"_"&amp;'Annual FOM'!$D20,'Capital Costs_Nominal$'!$H$1:$O$1,0)),'Capital Costs_Nominal$'!$R:$R,G$3)/1000000</f>
        <v>316.82600000000002</v>
      </c>
      <c r="H20" s="866">
        <f>IF(ISNUMBER('Property Tax for appendix'!E11),'Property Tax for appendix'!E11,0)</f>
        <v>3.9592217622386669E-2</v>
      </c>
      <c r="I20" s="866">
        <f>IF(ISNUMBER('Property Tax for appendix'!I11),'Property Tax for appendix'!I11,0)</f>
        <v>0</v>
      </c>
      <c r="J20" s="867">
        <v>0</v>
      </c>
      <c r="K20" s="866">
        <v>2.2499999999999999E-2</v>
      </c>
      <c r="L20" s="866">
        <f>IF(ISNUMBER('Property Tax for appendix'!F11),'Property Tax for appendix'!F11,0)</f>
        <v>0.96204899794570409</v>
      </c>
      <c r="M20" s="866">
        <f>IF(ISNUMBER('Property Tax for appendix'!J11),'Property Tax for appendix'!J11,0)</f>
        <v>0</v>
      </c>
      <c r="N20" s="866">
        <v>0</v>
      </c>
      <c r="P20" s="152">
        <f ca="1">F20*L20</f>
        <v>8.1514411595939507</v>
      </c>
      <c r="Q20" s="152">
        <f ca="1">G20*M20</f>
        <v>0</v>
      </c>
      <c r="S20" s="164">
        <f ca="1">$P20*(1+CONE_Calculations!Inflation)^('Annual FOM'!S$4-1)*'Annual FOM'!$H20</f>
        <v>0.32273363232672364</v>
      </c>
      <c r="T20" s="164">
        <f ca="1">$P20*(1+CONE_Calculations!Inflation)^('Annual FOM'!T$4-1)*'Annual FOM'!$H20</f>
        <v>0.33213010547644156</v>
      </c>
      <c r="U20" s="164">
        <f ca="1">$P20*(1+CONE_Calculations!Inflation)^('Annual FOM'!U$4-1)*'Annual FOM'!$H20</f>
        <v>0.34180015937142255</v>
      </c>
      <c r="V20" s="164">
        <f ca="1">$P20*(1+CONE_Calculations!Inflation)^('Annual FOM'!V$4-1)*'Annual FOM'!$H20</f>
        <v>0.3517517593858005</v>
      </c>
      <c r="W20" s="164">
        <f ca="1">$P20*(1+CONE_Calculations!Inflation)^('Annual FOM'!W$4-1)*'Annual FOM'!$H20</f>
        <v>0.36199310280763713</v>
      </c>
      <c r="X20" s="164">
        <f ca="1">$P20*(1+CONE_Calculations!Inflation)^('Annual FOM'!X$4-1)*'Annual FOM'!$H20</f>
        <v>0.37253262559115519</v>
      </c>
      <c r="Y20" s="164">
        <f ca="1">$P20*(1+CONE_Calculations!Inflation)^('Annual FOM'!Y$4-1)*'Annual FOM'!$H20</f>
        <v>0.38337900930556595</v>
      </c>
      <c r="Z20" s="164">
        <f ca="1">$P20*(1+CONE_Calculations!Inflation)^('Annual FOM'!Z$4-1)*'Annual FOM'!$H20</f>
        <v>0.39454118828621304</v>
      </c>
      <c r="AA20" s="164">
        <f ca="1">$P20*(1+CONE_Calculations!Inflation)^('Annual FOM'!AA$4-1)*'Annual FOM'!$H20</f>
        <v>0.40602835699392326</v>
      </c>
      <c r="AB20" s="164">
        <f ca="1">$P20*(1+CONE_Calculations!Inflation)^('Annual FOM'!AB$4-1)*'Annual FOM'!$H20</f>
        <v>0.41784997758862813</v>
      </c>
      <c r="AC20" s="164">
        <f ca="1">$P20*(1+CONE_Calculations!Inflation)^('Annual FOM'!AC$4-1)*'Annual FOM'!$H20</f>
        <v>0.43001578772349175</v>
      </c>
      <c r="AD20" s="164">
        <f ca="1">$P20*(1+CONE_Calculations!Inflation)^('Annual FOM'!AD$4-1)*'Annual FOM'!$H20</f>
        <v>0.44253580856596786</v>
      </c>
      <c r="AE20" s="164">
        <f ca="1">$P20*(1+CONE_Calculations!Inflation)^('Annual FOM'!AE$4-1)*'Annual FOM'!$H20</f>
        <v>0.45542035305239176</v>
      </c>
      <c r="AF20" s="164">
        <f ca="1">$P20*(1+CONE_Calculations!Inflation)^('Annual FOM'!AF$4-1)*'Annual FOM'!$H20</f>
        <v>0.46868003438290656</v>
      </c>
      <c r="AG20" s="164">
        <f ca="1">$P20*(1+CONE_Calculations!Inflation)^('Annual FOM'!AG$4-1)*'Annual FOM'!$H20</f>
        <v>0.48232577476372146</v>
      </c>
      <c r="AH20" s="164">
        <f ca="1">$P20*(1+CONE_Calculations!Inflation)^('Annual FOM'!AH$4-1)*'Annual FOM'!$H20</f>
        <v>0.49636881440390385</v>
      </c>
      <c r="AI20" s="164">
        <f ca="1">$P20*(1+CONE_Calculations!Inflation)^('Annual FOM'!AI$4-1)*'Annual FOM'!$H20</f>
        <v>0.51082072077411389</v>
      </c>
      <c r="AJ20" s="164">
        <f ca="1">$P20*(1+CONE_Calculations!Inflation)^('Annual FOM'!AJ$4-1)*'Annual FOM'!$H20</f>
        <v>0.52569339813491112</v>
      </c>
      <c r="AK20" s="164">
        <f ca="1">$P20*(1+CONE_Calculations!Inflation)^('Annual FOM'!AK$4-1)*'Annual FOM'!$H20</f>
        <v>0.5409990973424792</v>
      </c>
      <c r="AL20" s="164">
        <f ca="1">$P20*(1+CONE_Calculations!Inflation)^('Annual FOM'!AL$4-1)*'Annual FOM'!$H20</f>
        <v>0.5567504259398468</v>
      </c>
      <c r="AM20" s="164">
        <f ca="1">$P20*(1+CONE_Calculations!Inflation)^('Annual FOM'!AM$4-1)*'Annual FOM'!$H20</f>
        <v>0.57296035854191785</v>
      </c>
      <c r="AN20" s="164">
        <f ca="1">$P20*(1+CONE_Calculations!Inflation)^('Annual FOM'!AN$4-1)*'Annual FOM'!$H20</f>
        <v>0.5896422475228642</v>
      </c>
      <c r="AO20" s="164">
        <f ca="1">$P20*(1+CONE_Calculations!Inflation)^('Annual FOM'!AO$4-1)*'Annual FOM'!$H20</f>
        <v>0.60680983401468302</v>
      </c>
      <c r="AP20" s="164">
        <f ca="1">$P20*(1+CONE_Calculations!Inflation)^('Annual FOM'!AP$4-1)*'Annual FOM'!$H20</f>
        <v>0.62447725922598374</v>
      </c>
      <c r="AQ20" s="164">
        <f ca="1">$P20*(1+CONE_Calculations!Inflation)^('Annual FOM'!AQ$4-1)*'Annual FOM'!$H20</f>
        <v>0.64265907609031958</v>
      </c>
      <c r="AR20" s="164">
        <f ca="1">$P20*(1+CONE_Calculations!Inflation)^('Annual FOM'!AR$4-1)*'Annual FOM'!$H20</f>
        <v>0.66137026125366771</v>
      </c>
      <c r="AS20" s="164">
        <f ca="1">$P20*(1+CONE_Calculations!Inflation)^('Annual FOM'!AS$4-1)*'Annual FOM'!$H20</f>
        <v>0.68062622741092471</v>
      </c>
      <c r="AT20" s="164">
        <f ca="1">$P20*(1+CONE_Calculations!Inflation)^('Annual FOM'!AT$4-1)*'Annual FOM'!$H20</f>
        <v>0.70044283600158452</v>
      </c>
      <c r="AU20" s="164">
        <f ca="1">$P20*(1+CONE_Calculations!Inflation)^('Annual FOM'!AU$4-1)*'Annual FOM'!$H20</f>
        <v>0.72083641027505263</v>
      </c>
      <c r="AV20" s="164">
        <f ca="1">$P20*(1+CONE_Calculations!Inflation)^('Annual FOM'!AV$4-1)*'Annual FOM'!$H20</f>
        <v>0.7418237487363617</v>
      </c>
      <c r="AW20" s="164">
        <f ca="1">$P20*(1+CONE_Calculations!Inflation)^('Annual FOM'!AW$4-1)*'Annual FOM'!$H20</f>
        <v>0.76342213898336142</v>
      </c>
      <c r="AX20" s="164">
        <f ca="1">$P20*(1+CONE_Calculations!Inflation)^('Annual FOM'!AX$4-1)*'Annual FOM'!$H20</f>
        <v>0.78564937194678319</v>
      </c>
      <c r="AY20" s="164">
        <f ca="1">$P20*(1+CONE_Calculations!Inflation)^('Annual FOM'!AY$4-1)*'Annual FOM'!$H20</f>
        <v>0.80852375654490627</v>
      </c>
      <c r="AZ20" s="164">
        <f ca="1">$P20*(1+CONE_Calculations!Inflation)^('Annual FOM'!AZ$4-1)*'Annual FOM'!$H20</f>
        <v>0.83206413476489949</v>
      </c>
      <c r="BA20" s="164">
        <f ca="1">$P20*(1+CONE_Calculations!Inflation)^('Annual FOM'!BA$4-1)*'Annual FOM'!$H20</f>
        <v>0.85628989718325987</v>
      </c>
      <c r="BB20" s="164">
        <f ca="1">$P20*(1+CONE_Calculations!Inflation)^('Annual FOM'!BB$4-1)*'Annual FOM'!$H20</f>
        <v>0.88122099893813266</v>
      </c>
      <c r="BC20" s="164">
        <f ca="1">$P20*(1+CONE_Calculations!Inflation)^('Annual FOM'!BC$4-1)*'Annual FOM'!$H20</f>
        <v>0.90687797616666954</v>
      </c>
      <c r="BD20" s="164">
        <f ca="1">$P20*(1+CONE_Calculations!Inflation)^('Annual FOM'!BD$4-1)*'Annual FOM'!$H20</f>
        <v>0.93328196292096577</v>
      </c>
      <c r="BE20" s="164">
        <f ca="1">$P20*(1+CONE_Calculations!Inflation)^('Annual FOM'!BE$4-1)*'Annual FOM'!$H20</f>
        <v>0.9604547085765065</v>
      </c>
      <c r="BF20" s="164">
        <f ca="1">$P20*(1+CONE_Calculations!Inflation)^('Annual FOM'!BF$4-1)*'Annual FOM'!$H20</f>
        <v>0.98841859574746893</v>
      </c>
      <c r="BG20" s="164">
        <f ca="1">$P20*(1+CONE_Calculations!Inflation)^('Annual FOM'!BG$4-1)*'Annual FOM'!$H20</f>
        <v>1.0171966587236279</v>
      </c>
      <c r="BH20" s="164">
        <f ca="1">$P20*(1+CONE_Calculations!Inflation)^('Annual FOM'!BH$4-1)*'Annual FOM'!$H20</f>
        <v>1.0468126024440616</v>
      </c>
      <c r="BI20" s="164">
        <f ca="1">$P20*(1+CONE_Calculations!Inflation)^('Annual FOM'!BI$4-1)*'Annual FOM'!$H20</f>
        <v>1.077290822023278</v>
      </c>
      <c r="BJ20" s="164">
        <f ca="1">$P20*(1+CONE_Calculations!Inflation)^('Annual FOM'!BJ$4-1)*'Annual FOM'!$H20</f>
        <v>1.108656422845852</v>
      </c>
      <c r="BK20" s="164">
        <f ca="1">$P20*(1+CONE_Calculations!Inflation)^('Annual FOM'!BK$4-1)*'Annual FOM'!$H20</f>
        <v>1.1409352412461207</v>
      </c>
      <c r="BL20" s="164">
        <f ca="1">$P20*(1+CONE_Calculations!Inflation)^('Annual FOM'!BL$4-1)*'Annual FOM'!$H20</f>
        <v>1.1741538657899762</v>
      </c>
      <c r="BM20" s="164">
        <f ca="1">$P20*(1+CONE_Calculations!Inflation)^('Annual FOM'!BM$4-1)*'Annual FOM'!$H20</f>
        <v>1.2083396591762807</v>
      </c>
      <c r="BN20" s="164">
        <f ca="1">$P20*(1+CONE_Calculations!Inflation)^('Annual FOM'!BN$4-1)*'Annual FOM'!$H20</f>
        <v>1.2435207807759499</v>
      </c>
      <c r="BO20" s="164">
        <f ca="1">$P20*(1+CONE_Calculations!Inflation)^('Annual FOM'!BO$4-1)*'Annual FOM'!$H20</f>
        <v>1.2797262098272617</v>
      </c>
      <c r="BP20" s="164">
        <f ca="1">$P20*(1+CONE_Calculations!Inflation)^('Annual FOM'!BP$4-1)*'Annual FOM'!$H20</f>
        <v>1.3169857693065126</v>
      </c>
    </row>
    <row r="21" spans="1:68">
      <c r="A21" s="192" t="str">
        <f>C21&amp;"_"&amp;D21</f>
        <v>2_CT</v>
      </c>
      <c r="C21" s="137">
        <v>2</v>
      </c>
      <c r="D21" s="137" t="s">
        <v>76</v>
      </c>
      <c r="F21" s="176">
        <f ca="1">SUMIFS(OFFSET('Capital Costs_Nominal$'!$G:$G,0,MATCH('Annual FOM'!$C21&amp;"_"&amp;'Annual FOM'!$D21,'Capital Costs_Nominal$'!$H$1:$O$1,0)),'Capital Costs_Nominal$'!$R:$R,F$3)/1000000</f>
        <v>8.4019999999999992</v>
      </c>
      <c r="G21" s="176">
        <f ca="1">SUMIFS(OFFSET('Capital Costs_Nominal$'!$G:$G,0,MATCH('Annual FOM'!$C21&amp;"_"&amp;'Annual FOM'!$D21,'Capital Costs_Nominal$'!$H$1:$O$1,0)),'Capital Costs_Nominal$'!$R:$R,G$3)/1000000</f>
        <v>298.68700000000001</v>
      </c>
      <c r="H21" s="866">
        <f>IF(ISNUMBER('Property Tax for appendix'!E15),'Property Tax for appendix'!E15,0)</f>
        <v>1.0704999999999999E-2</v>
      </c>
      <c r="I21" s="866">
        <f>IF(ISNUMBER('Property Tax for appendix'!I15),'Property Tax for appendix'!I15,0)</f>
        <v>2.6762500000000002E-2</v>
      </c>
      <c r="J21" s="867">
        <f>'Property Tax for appendix'!L15</f>
        <v>3.3000000000000002E-2</v>
      </c>
      <c r="K21" s="866">
        <v>2.2499999999999999E-2</v>
      </c>
      <c r="L21" s="866">
        <f>IF(ISNUMBER('Property Tax for appendix'!F15),'Property Tax for appendix'!F15,0)</f>
        <v>1</v>
      </c>
      <c r="M21" s="866">
        <f>IF(ISNUMBER('Property Tax for appendix'!J15),'Property Tax for appendix'!J15,0)</f>
        <v>0.5</v>
      </c>
      <c r="N21" s="866">
        <v>0.25</v>
      </c>
      <c r="P21" s="152">
        <f ca="1">F21*L21</f>
        <v>8.4019999999999992</v>
      </c>
      <c r="Q21" s="152">
        <f ca="1">G21*M21</f>
        <v>149.34350000000001</v>
      </c>
      <c r="S21" s="165">
        <f ca="1">IF(S$4=1,$Q21*$I21+$P21*$H21,MAX($Q21*(1-($J21*(S$4-1))),$Q21*$N21)*$I21+$P21*(1+$K21)^(S$4-1)*$H21)</f>
        <v>4.0867488287500002</v>
      </c>
      <c r="T21" s="165">
        <f ca="1">IF(T$4=1,$Q21*$I21+$P21*$H21,MAX($Q21*(1-($J21*(T$4-1))),$Q21*$N21)*$I21+$P21*(1+$K21)^(T$4-1)*$H21)</f>
        <v>3.9568779766562505</v>
      </c>
      <c r="U21" s="165">
        <f t="shared" ref="U21:BP21" ca="1" si="1">IF(U$4=1,$Q21*$I21+$P21*$H21,MAX($Q21*(1-($J21*(U$4-1))),$Q21*$N21)*$I21+$P21*(1+$K21)^(U$4-1)*$H21)</f>
        <v>3.8270526584138125</v>
      </c>
      <c r="V21" s="165">
        <f t="shared" ca="1" si="1"/>
        <v>3.6972738985343421</v>
      </c>
      <c r="W21" s="165">
        <f t="shared" ca="1" si="1"/>
        <v>3.5675427445810053</v>
      </c>
      <c r="X21" s="165">
        <f t="shared" ca="1" si="1"/>
        <v>3.437860267687141</v>
      </c>
      <c r="Y21" s="165">
        <f t="shared" ca="1" si="1"/>
        <v>3.3082275630865863</v>
      </c>
      <c r="Z21" s="165">
        <f t="shared" ca="1" si="1"/>
        <v>3.17864575065594</v>
      </c>
      <c r="AA21" s="165">
        <f ca="1">IF(AA$4=1,$Q21*$I21+$P21*$H21,MAX($Q21*(1-($J21*(AA$4-1))),$Q21*$N21)*$I21+$P21*(1+$K21)^(AA$4-1)*$H21)</f>
        <v>3.0491159754690269</v>
      </c>
      <c r="AB21" s="165">
        <f t="shared" ca="1" si="1"/>
        <v>2.9196394083638295</v>
      </c>
      <c r="AC21" s="165">
        <f t="shared" ca="1" si="1"/>
        <v>2.7902172465221877</v>
      </c>
      <c r="AD21" s="165">
        <f t="shared" ca="1" si="1"/>
        <v>2.6608507140625313</v>
      </c>
      <c r="AE21" s="165">
        <f t="shared" ca="1" si="1"/>
        <v>2.5315410626459536</v>
      </c>
      <c r="AF21" s="165">
        <f t="shared" ca="1" si="1"/>
        <v>2.4022895720959245</v>
      </c>
      <c r="AG21" s="165">
        <f t="shared" ca="1" si="1"/>
        <v>2.2730975510319427</v>
      </c>
      <c r="AH21" s="165">
        <f t="shared" ca="1" si="1"/>
        <v>2.1439663375174427</v>
      </c>
      <c r="AI21" s="165">
        <f t="shared" ca="1" si="1"/>
        <v>2.0148972997222883</v>
      </c>
      <c r="AJ21" s="165">
        <f t="shared" ca="1" si="1"/>
        <v>1.8858918366001645</v>
      </c>
      <c r="AK21" s="165">
        <f t="shared" ca="1" si="1"/>
        <v>1.7569513785812148</v>
      </c>
      <c r="AL21" s="165">
        <f t="shared" ca="1" si="1"/>
        <v>1.6280773882802611</v>
      </c>
      <c r="AM21" s="165">
        <f t="shared" ca="1" si="1"/>
        <v>1.4992713612209576</v>
      </c>
      <c r="AN21" s="165">
        <f t="shared" ca="1" si="1"/>
        <v>1.3705348265762416</v>
      </c>
      <c r="AO21" s="165">
        <f t="shared" ca="1" si="1"/>
        <v>1.2418693479254417</v>
      </c>
      <c r="AP21" s="165">
        <f t="shared" ca="1" si="1"/>
        <v>1.1492477727971702</v>
      </c>
      <c r="AQ21" s="165">
        <f t="shared" ca="1" si="1"/>
        <v>1.1526238172046377</v>
      </c>
      <c r="AR21" s="165">
        <f t="shared" ca="1" si="1"/>
        <v>1.1560758226112733</v>
      </c>
      <c r="AS21" s="165">
        <f t="shared" ca="1" si="1"/>
        <v>1.159605498139558</v>
      </c>
      <c r="AT21" s="165">
        <f t="shared" ca="1" si="1"/>
        <v>1.1632145913672294</v>
      </c>
      <c r="AU21" s="165">
        <f t="shared" ca="1" si="1"/>
        <v>1.1669048891925233</v>
      </c>
      <c r="AV21" s="165">
        <f t="shared" ca="1" si="1"/>
        <v>1.1706782187188862</v>
      </c>
      <c r="AW21" s="165">
        <f t="shared" ca="1" si="1"/>
        <v>1.1745364481595926</v>
      </c>
      <c r="AX21" s="165">
        <f t="shared" ca="1" si="1"/>
        <v>1.1784814877627146</v>
      </c>
      <c r="AY21" s="165">
        <f t="shared" ca="1" si="1"/>
        <v>1.182515290756907</v>
      </c>
      <c r="AZ21" s="165">
        <f t="shared" ca="1" si="1"/>
        <v>1.1866398543184686</v>
      </c>
      <c r="BA21" s="165">
        <f t="shared" ca="1" si="1"/>
        <v>1.1908572205601653</v>
      </c>
      <c r="BB21" s="165">
        <f t="shared" ca="1" si="1"/>
        <v>1.1951694775423003</v>
      </c>
      <c r="BC21" s="165">
        <f t="shared" ca="1" si="1"/>
        <v>1.1995787603065333</v>
      </c>
      <c r="BD21" s="165">
        <f t="shared" ca="1" si="1"/>
        <v>1.2040872519329615</v>
      </c>
      <c r="BE21" s="165">
        <f t="shared" ca="1" si="1"/>
        <v>1.2086971846209844</v>
      </c>
      <c r="BF21" s="165">
        <f t="shared" ca="1" si="1"/>
        <v>1.2134108407944877</v>
      </c>
      <c r="BG21" s="165">
        <f t="shared" ca="1" si="1"/>
        <v>1.218230554231895</v>
      </c>
      <c r="BH21" s="165">
        <f t="shared" ca="1" si="1"/>
        <v>1.2231587112216438</v>
      </c>
      <c r="BI21" s="165">
        <f t="shared" ca="1" si="1"/>
        <v>1.228197751743662</v>
      </c>
      <c r="BJ21" s="165">
        <f t="shared" ca="1" si="1"/>
        <v>1.2333501706774257</v>
      </c>
      <c r="BK21" s="165">
        <f ca="1">IF(BK$4=1,$Q21*$I21+$P21*$H21,MAX($Q21*(1-($J21*(BK$4-1))),$Q21*$N21)*$I21+$P21*(1+$K21)^(BK$4-1)*$H21)</f>
        <v>1.238618519037199</v>
      </c>
      <c r="BL21" s="165">
        <f t="shared" ca="1" si="1"/>
        <v>1.2440054052350673</v>
      </c>
      <c r="BM21" s="165">
        <f t="shared" ca="1" si="1"/>
        <v>1.2495134963723875</v>
      </c>
      <c r="BN21" s="165">
        <f t="shared" ca="1" si="1"/>
        <v>1.2551455195602974</v>
      </c>
      <c r="BO21" s="165">
        <f t="shared" ca="1" si="1"/>
        <v>1.2609042632699352</v>
      </c>
      <c r="BP21" s="165">
        <f t="shared" ca="1" si="1"/>
        <v>1.2667925787130401</v>
      </c>
    </row>
    <row r="22" spans="1:68">
      <c r="A22" s="192" t="str">
        <f>C22&amp;"_"&amp;D22</f>
        <v>3_CT</v>
      </c>
      <c r="B22" s="209"/>
      <c r="C22" s="137">
        <v>3</v>
      </c>
      <c r="D22" s="137" t="s">
        <v>76</v>
      </c>
      <c r="F22" s="176">
        <f ca="1">SUMIFS(OFFSET('Capital Costs_Nominal$'!$G:$G,0,MATCH('Annual FOM'!$C22&amp;"_"&amp;'Annual FOM'!$D22,'Capital Costs_Nominal$'!$H$1:$O$1,0)),'Capital Costs_Nominal$'!$R:$R,F$3)/1000000</f>
        <v>8.2710000000000008</v>
      </c>
      <c r="G22" s="176">
        <f ca="1">SUMIFS(OFFSET('Capital Costs_Nominal$'!$G:$G,0,MATCH('Annual FOM'!$C22&amp;"_"&amp;'Annual FOM'!$D22,'Capital Costs_Nominal$'!$H$1:$O$1,0)),'Capital Costs_Nominal$'!$R:$R,G$3)/1000000</f>
        <v>303.154</v>
      </c>
      <c r="H22" s="868" t="s">
        <v>280</v>
      </c>
      <c r="I22" s="868"/>
      <c r="J22" s="868"/>
      <c r="K22" s="868"/>
      <c r="L22" s="868"/>
      <c r="M22" s="868"/>
      <c r="N22" s="868"/>
      <c r="P22" s="212" t="s">
        <v>280</v>
      </c>
      <c r="Q22" s="212"/>
      <c r="S22" s="152">
        <f ca="1">AVERAGE(S56+S57,S60)</f>
        <v>2.1685238390116215</v>
      </c>
      <c r="T22" s="152">
        <f ca="1">AVERAGE(T56+T57,T60)</f>
        <v>2.0934811981009291</v>
      </c>
      <c r="U22" s="152">
        <f ca="1">AVERAGE(U56+U57,U60)</f>
        <v>2.0186018203989846</v>
      </c>
      <c r="V22" s="152">
        <f ca="1">AVERAGE(V56+V57,V60)</f>
        <v>1.9438904593563235</v>
      </c>
      <c r="W22" s="152">
        <f ca="1">AVERAGE(W56+W57,W60)</f>
        <v>1.8693520068214229</v>
      </c>
      <c r="X22" s="152">
        <f t="shared" ref="X22:BP22" ca="1" si="2">AVERAGE(X56+X57,X60)</f>
        <v>1.7949914970701923</v>
      </c>
      <c r="Y22" s="152">
        <f t="shared" ca="1" si="2"/>
        <v>1.7208141109527866</v>
      </c>
      <c r="Z22" s="152">
        <f t="shared" ca="1" si="2"/>
        <v>1.646825180161152</v>
      </c>
      <c r="AA22" s="152">
        <f t="shared" ca="1" si="2"/>
        <v>1.5730301916208247</v>
      </c>
      <c r="AB22" s="152">
        <f t="shared" ca="1" si="2"/>
        <v>1.4994347920105964</v>
      </c>
      <c r="AC22" s="152">
        <f t="shared" ca="1" si="2"/>
        <v>1.4260447924137711</v>
      </c>
      <c r="AD22" s="152">
        <f t="shared" ca="1" si="2"/>
        <v>1.3528661731048475</v>
      </c>
      <c r="AE22" s="152">
        <f t="shared" ca="1" si="2"/>
        <v>1.2799050884755601</v>
      </c>
      <c r="AF22" s="152">
        <f t="shared" ca="1" si="2"/>
        <v>1.2071678721043517</v>
      </c>
      <c r="AG22" s="152">
        <f t="shared" ca="1" si="2"/>
        <v>1.1346610419734389</v>
      </c>
      <c r="AH22" s="152">
        <f t="shared" ca="1" si="2"/>
        <v>1.0623913058377754</v>
      </c>
      <c r="AI22" s="152">
        <f t="shared" ca="1" si="2"/>
        <v>0.9903655667503346</v>
      </c>
      <c r="AJ22" s="152">
        <f t="shared" ca="1" si="2"/>
        <v>0.91859092874826276</v>
      </c>
      <c r="AK22" s="152">
        <f t="shared" ca="1" si="2"/>
        <v>0.84707470270458329</v>
      </c>
      <c r="AL22" s="152">
        <f t="shared" ca="1" si="2"/>
        <v>0.77582441235027899</v>
      </c>
      <c r="AM22" s="152">
        <f t="shared" ca="1" si="2"/>
        <v>0.70484780047170492</v>
      </c>
      <c r="AN22" s="152">
        <f t="shared" ca="1" si="2"/>
        <v>0.65431536533325774</v>
      </c>
      <c r="AO22" s="152">
        <f t="shared" ca="1" si="2"/>
        <v>0.66456036724092171</v>
      </c>
      <c r="AP22" s="152">
        <f t="shared" ca="1" si="2"/>
        <v>0.67510365502802805</v>
      </c>
      <c r="AQ22" s="152">
        <f t="shared" ca="1" si="2"/>
        <v>0.68595391336507994</v>
      </c>
      <c r="AR22" s="152">
        <f t="shared" ca="1" si="2"/>
        <v>0.69712007977900814</v>
      </c>
      <c r="AS22" s="152">
        <f t="shared" ca="1" si="2"/>
        <v>0.70861135201515046</v>
      </c>
      <c r="AT22" s="152">
        <f t="shared" ca="1" si="2"/>
        <v>0.72043719561357888</v>
      </c>
      <c r="AU22" s="152">
        <f t="shared" ca="1" si="2"/>
        <v>0.7326073517060111</v>
      </c>
      <c r="AV22" s="152">
        <f t="shared" ca="1" si="2"/>
        <v>0.74513184503973429</v>
      </c>
      <c r="AW22" s="152">
        <f t="shared" ca="1" si="2"/>
        <v>0.75802099223514419</v>
      </c>
      <c r="AX22" s="152">
        <f t="shared" ca="1" si="2"/>
        <v>0.77128541028370701</v>
      </c>
      <c r="AY22" s="152">
        <f t="shared" ca="1" si="2"/>
        <v>0.78493602529334083</v>
      </c>
      <c r="AZ22" s="152">
        <f t="shared" ca="1" si="2"/>
        <v>0.79898408148842059</v>
      </c>
      <c r="BA22" s="152">
        <f t="shared" ca="1" si="2"/>
        <v>0.81344115047182075</v>
      </c>
      <c r="BB22" s="152">
        <f t="shared" ca="1" si="2"/>
        <v>0.82831914075662616</v>
      </c>
      <c r="BC22" s="152">
        <f t="shared" ca="1" si="2"/>
        <v>0.84363030757535817</v>
      </c>
      <c r="BD22" s="152">
        <f t="shared" ca="1" si="2"/>
        <v>0.85938726297480295</v>
      </c>
      <c r="BE22" s="152">
        <f t="shared" ca="1" si="2"/>
        <v>0.8756029862047483</v>
      </c>
      <c r="BF22" s="152">
        <f t="shared" ca="1" si="2"/>
        <v>0.89229083440919665</v>
      </c>
      <c r="BG22" s="152">
        <f t="shared" ca="1" si="2"/>
        <v>0.90946455362885059</v>
      </c>
      <c r="BH22" s="152">
        <f t="shared" ca="1" si="2"/>
        <v>0.92713829012394289</v>
      </c>
      <c r="BI22" s="152">
        <f t="shared" ca="1" si="2"/>
        <v>0.94532660202672969</v>
      </c>
      <c r="BJ22" s="152">
        <f t="shared" ca="1" si="2"/>
        <v>0.96404447133325277</v>
      </c>
      <c r="BK22" s="152">
        <f t="shared" ca="1" si="2"/>
        <v>0.98330731624424161</v>
      </c>
      <c r="BL22" s="152">
        <f t="shared" ca="1" si="2"/>
        <v>1.0031310038653263</v>
      </c>
      <c r="BM22" s="152">
        <f t="shared" ca="1" si="2"/>
        <v>1.0235318632770205</v>
      </c>
      <c r="BN22" s="152">
        <f t="shared" ca="1" si="2"/>
        <v>1.0445266989852389</v>
      </c>
      <c r="BO22" s="152">
        <f t="shared" ca="1" si="2"/>
        <v>1.0661328047634302</v>
      </c>
      <c r="BP22" s="152">
        <f t="shared" ca="1" si="2"/>
        <v>1.0883679778977289</v>
      </c>
    </row>
    <row r="23" spans="1:68">
      <c r="A23" s="192" t="str">
        <f>C23&amp;"_"&amp;D23</f>
        <v>4_CT</v>
      </c>
      <c r="C23" s="137">
        <v>4</v>
      </c>
      <c r="D23" s="137" t="s">
        <v>76</v>
      </c>
      <c r="F23" s="176">
        <f ca="1">SUMIFS(OFFSET('Capital Costs_Nominal$'!$G:$G,0,MATCH('Annual FOM'!$C23&amp;"_"&amp;'Annual FOM'!$D23,'Capital Costs_Nominal$'!$H$1:$O$1,0)),'Capital Costs_Nominal$'!$R:$R,F$3)/1000000</f>
        <v>8.4130000000000003</v>
      </c>
      <c r="G23" s="176">
        <f ca="1">SUMIFS(OFFSET('Capital Costs_Nominal$'!$G:$G,0,MATCH('Annual FOM'!$C23&amp;"_"&amp;'Annual FOM'!$D23,'Capital Costs_Nominal$'!$H$1:$O$1,0)),'Capital Costs_Nominal$'!$R:$R,G$3)/1000000</f>
        <v>308.59399999999999</v>
      </c>
      <c r="H23" s="866">
        <f>IF(ISNUMBER('Property Tax for appendix'!E25),'Property Tax for appendix'!E25,0)</f>
        <v>3.8068608595961999E-2</v>
      </c>
      <c r="I23" s="866">
        <f>IF(ISNUMBER('Property Tax for appendix'!I25),'Property Tax for appendix'!I25,0)</f>
        <v>0</v>
      </c>
      <c r="J23" s="866">
        <v>0</v>
      </c>
      <c r="K23" s="866">
        <v>2.2499999999999999E-2</v>
      </c>
      <c r="L23" s="866">
        <f>IF(ISNUMBER('Property Tax for appendix'!F25),'Property Tax for appendix'!F25,0)</f>
        <v>0.98999999999999988</v>
      </c>
      <c r="M23" s="866">
        <f>IF(ISNUMBER('Property Tax for appendix'!J25),'Property Tax for appendix'!J25,0)</f>
        <v>0</v>
      </c>
      <c r="N23" s="866">
        <v>0</v>
      </c>
      <c r="P23" s="152">
        <f ca="1">F23*L23</f>
        <v>8.3288699999999984</v>
      </c>
      <c r="Q23" s="152">
        <f ca="1">G23*M23</f>
        <v>0</v>
      </c>
      <c r="S23" s="164">
        <f ca="1">$P23*(1+CONE_Calculations!Inflation)^('Annual FOM'!S$4-1)*'Annual FOM'!$H23</f>
        <v>0.31706849207664994</v>
      </c>
      <c r="T23" s="164">
        <f ca="1">$P23*(1+CONE_Calculations!Inflation)^('Annual FOM'!T$4-1)*'Annual FOM'!$H23</f>
        <v>0.32630002320323437</v>
      </c>
      <c r="U23" s="164">
        <f ca="1">$P23*(1+CONE_Calculations!Inflation)^('Annual FOM'!U$4-1)*'Annual FOM'!$H23</f>
        <v>0.33580033274543158</v>
      </c>
      <c r="V23" s="164">
        <f ca="1">$P23*(1+CONE_Calculations!Inflation)^('Annual FOM'!V$4-1)*'Annual FOM'!$H23</f>
        <v>0.34557724625630626</v>
      </c>
      <c r="W23" s="164">
        <f ca="1">$P23*(1+CONE_Calculations!Inflation)^('Annual FOM'!W$4-1)*'Annual FOM'!$H23</f>
        <v>0.35563881713192386</v>
      </c>
      <c r="X23" s="164">
        <f ca="1">$P23*(1+CONE_Calculations!Inflation)^('Annual FOM'!X$4-1)*'Annual FOM'!$H23</f>
        <v>0.36599333324505867</v>
      </c>
      <c r="Y23" s="164">
        <f ca="1">$P23*(1+CONE_Calculations!Inflation)^('Annual FOM'!Y$4-1)*'Annual FOM'!$H23</f>
        <v>0.37664932377204341</v>
      </c>
      <c r="Z23" s="164">
        <f ca="1">$P23*(1+CONE_Calculations!Inflation)^('Annual FOM'!Z$4-1)*'Annual FOM'!$H23</f>
        <v>0.38761556621838539</v>
      </c>
      <c r="AA23" s="164">
        <f ca="1">$P23*(1+CONE_Calculations!Inflation)^('Annual FOM'!AA$4-1)*'Annual FOM'!$H23</f>
        <v>0.39890109364893384</v>
      </c>
      <c r="AB23" s="164">
        <f ca="1">$P23*(1+CONE_Calculations!Inflation)^('Annual FOM'!AB$4-1)*'Annual FOM'!$H23</f>
        <v>0.41051520212855686</v>
      </c>
      <c r="AC23" s="164">
        <f ca="1">$P23*(1+CONE_Calculations!Inflation)^('Annual FOM'!AC$4-1)*'Annual FOM'!$H23</f>
        <v>0.4224674583794546</v>
      </c>
      <c r="AD23" s="164">
        <f ca="1">$P23*(1+CONE_Calculations!Inflation)^('Annual FOM'!AD$4-1)*'Annual FOM'!$H23</f>
        <v>0.43476770766141781</v>
      </c>
      <c r="AE23" s="164">
        <f ca="1">$P23*(1+CONE_Calculations!Inflation)^('Annual FOM'!AE$4-1)*'Annual FOM'!$H23</f>
        <v>0.44742608188152116</v>
      </c>
      <c r="AF23" s="164">
        <f ca="1">$P23*(1+CONE_Calculations!Inflation)^('Annual FOM'!AF$4-1)*'Annual FOM'!$H23</f>
        <v>0.46045300793993399</v>
      </c>
      <c r="AG23" s="164">
        <f ca="1">$P23*(1+CONE_Calculations!Inflation)^('Annual FOM'!AG$4-1)*'Annual FOM'!$H23</f>
        <v>0.47385921631871963</v>
      </c>
      <c r="AH23" s="164">
        <f ca="1">$P23*(1+CONE_Calculations!Inflation)^('Annual FOM'!AH$4-1)*'Annual FOM'!$H23</f>
        <v>0.48765574992070132</v>
      </c>
      <c r="AI23" s="164">
        <f ca="1">$P23*(1+CONE_Calculations!Inflation)^('Annual FOM'!AI$4-1)*'Annual FOM'!$H23</f>
        <v>0.50185397316567304</v>
      </c>
      <c r="AJ23" s="164">
        <f ca="1">$P23*(1+CONE_Calculations!Inflation)^('Annual FOM'!AJ$4-1)*'Annual FOM'!$H23</f>
        <v>0.51646558135144938</v>
      </c>
      <c r="AK23" s="164">
        <f ca="1">$P23*(1+CONE_Calculations!Inflation)^('Annual FOM'!AK$4-1)*'Annual FOM'!$H23</f>
        <v>0.53150261028746504</v>
      </c>
      <c r="AL23" s="164">
        <f ca="1">$P23*(1+CONE_Calculations!Inflation)^('Annual FOM'!AL$4-1)*'Annual FOM'!$H23</f>
        <v>0.5469774462088578</v>
      </c>
      <c r="AM23" s="164">
        <f ca="1">$P23*(1+CONE_Calculations!Inflation)^('Annual FOM'!AM$4-1)*'Annual FOM'!$H23</f>
        <v>0.56290283597920443</v>
      </c>
      <c r="AN23" s="164">
        <f ca="1">$P23*(1+CONE_Calculations!Inflation)^('Annual FOM'!AN$4-1)*'Annual FOM'!$H23</f>
        <v>0.57929189759031052</v>
      </c>
      <c r="AO23" s="164">
        <f ca="1">$P23*(1+CONE_Calculations!Inflation)^('Annual FOM'!AO$4-1)*'Annual FOM'!$H23</f>
        <v>0.5961581309677042</v>
      </c>
      <c r="AP23" s="164">
        <f ca="1">$P23*(1+CONE_Calculations!Inflation)^('Annual FOM'!AP$4-1)*'Annual FOM'!$H23</f>
        <v>0.61351542909073664</v>
      </c>
      <c r="AQ23" s="164">
        <f ca="1">$P23*(1+CONE_Calculations!Inflation)^('Annual FOM'!AQ$4-1)*'Annual FOM'!$H23</f>
        <v>0.63137808943644436</v>
      </c>
      <c r="AR23" s="164">
        <f ca="1">$P23*(1+CONE_Calculations!Inflation)^('Annual FOM'!AR$4-1)*'Annual FOM'!$H23</f>
        <v>0.64976082575660477</v>
      </c>
      <c r="AS23" s="164">
        <f ca="1">$P23*(1+CONE_Calculations!Inflation)^('Annual FOM'!AS$4-1)*'Annual FOM'!$H23</f>
        <v>0.66867878019768257</v>
      </c>
      <c r="AT23" s="164">
        <f ca="1">$P23*(1+CONE_Calculations!Inflation)^('Annual FOM'!AT$4-1)*'Annual FOM'!$H23</f>
        <v>0.68814753577365173</v>
      </c>
      <c r="AU23" s="164">
        <f ca="1">$P23*(1+CONE_Calculations!Inflation)^('Annual FOM'!AU$4-1)*'Annual FOM'!$H23</f>
        <v>0.70818312920196724</v>
      </c>
      <c r="AV23" s="164">
        <f ca="1">$P23*(1+CONE_Calculations!Inflation)^('Annual FOM'!AV$4-1)*'Annual FOM'!$H23</f>
        <v>0.72880206411325932</v>
      </c>
      <c r="AW23" s="164">
        <f ca="1">$P23*(1+CONE_Calculations!Inflation)^('Annual FOM'!AW$4-1)*'Annual FOM'!$H23</f>
        <v>0.75002132464563043</v>
      </c>
      <c r="AX23" s="164">
        <f ca="1">$P23*(1+CONE_Calculations!Inflation)^('Annual FOM'!AX$4-1)*'Annual FOM'!$H23</f>
        <v>0.77185838943475615</v>
      </c>
      <c r="AY23" s="164">
        <f ca="1">$P23*(1+CONE_Calculations!Inflation)^('Annual FOM'!AY$4-1)*'Annual FOM'!$H23</f>
        <v>0.79433124601130833</v>
      </c>
      <c r="AZ23" s="164">
        <f ca="1">$P23*(1+CONE_Calculations!Inflation)^('Annual FOM'!AZ$4-1)*'Annual FOM'!$H23</f>
        <v>0.81745840561756555</v>
      </c>
      <c r="BA23" s="164">
        <f ca="1">$P23*(1+CONE_Calculations!Inflation)^('Annual FOM'!BA$4-1)*'Annual FOM'!$H23</f>
        <v>0.84125891845541101</v>
      </c>
      <c r="BB23" s="164">
        <f ca="1">$P23*(1+CONE_Calculations!Inflation)^('Annual FOM'!BB$4-1)*'Annual FOM'!$H23</f>
        <v>0.86575238937828181</v>
      </c>
      <c r="BC23" s="164">
        <f ca="1">$P23*(1+CONE_Calculations!Inflation)^('Annual FOM'!BC$4-1)*'Annual FOM'!$H23</f>
        <v>0.8909589940399909</v>
      </c>
      <c r="BD23" s="164">
        <f ca="1">$P23*(1+CONE_Calculations!Inflation)^('Annual FOM'!BD$4-1)*'Annual FOM'!$H23</f>
        <v>0.91689949551373007</v>
      </c>
      <c r="BE23" s="164">
        <f ca="1">$P23*(1+CONE_Calculations!Inflation)^('Annual FOM'!BE$4-1)*'Annual FOM'!$H23</f>
        <v>0.94359526139493355</v>
      </c>
      <c r="BF23" s="164">
        <f ca="1">$P23*(1+CONE_Calculations!Inflation)^('Annual FOM'!BF$4-1)*'Annual FOM'!$H23</f>
        <v>0.97106828140210333</v>
      </c>
      <c r="BG23" s="164">
        <f ca="1">$P23*(1+CONE_Calculations!Inflation)^('Annual FOM'!BG$4-1)*'Annual FOM'!$H23</f>
        <v>0.99934118549007944</v>
      </c>
      <c r="BH23" s="164">
        <f ca="1">$P23*(1+CONE_Calculations!Inflation)^('Annual FOM'!BH$4-1)*'Annual FOM'!$H23</f>
        <v>1.0284372624906892</v>
      </c>
      <c r="BI23" s="164">
        <f ca="1">$P23*(1+CONE_Calculations!Inflation)^('Annual FOM'!BI$4-1)*'Annual FOM'!$H23</f>
        <v>1.0583804792961198</v>
      </c>
      <c r="BJ23" s="164">
        <f ca="1">$P23*(1+CONE_Calculations!Inflation)^('Annual FOM'!BJ$4-1)*'Annual FOM'!$H23</f>
        <v>1.0891955006008212</v>
      </c>
      <c r="BK23" s="164">
        <f ca="1">$P23*(1+CONE_Calculations!Inflation)^('Annual FOM'!BK$4-1)*'Annual FOM'!$H23</f>
        <v>1.1209077092181992</v>
      </c>
      <c r="BL23" s="164">
        <f ca="1">$P23*(1+CONE_Calculations!Inflation)^('Annual FOM'!BL$4-1)*'Annual FOM'!$H23</f>
        <v>1.1535432269888348</v>
      </c>
      <c r="BM23" s="164">
        <f ca="1">$P23*(1+CONE_Calculations!Inflation)^('Annual FOM'!BM$4-1)*'Annual FOM'!$H23</f>
        <v>1.1871289362974524</v>
      </c>
      <c r="BN23" s="164">
        <f ca="1">$P23*(1+CONE_Calculations!Inflation)^('Annual FOM'!BN$4-1)*'Annual FOM'!$H23</f>
        <v>1.2216925022163572</v>
      </c>
      <c r="BO23" s="164">
        <f ca="1">$P23*(1+CONE_Calculations!Inflation)^('Annual FOM'!BO$4-1)*'Annual FOM'!$H23</f>
        <v>1.2572623952935871</v>
      </c>
      <c r="BP23" s="164">
        <f ca="1">$P23*(1+CONE_Calculations!Inflation)^('Annual FOM'!BP$4-1)*'Annual FOM'!$H23</f>
        <v>1.2938679150045493</v>
      </c>
    </row>
    <row r="24" spans="1:68">
      <c r="C24" s="137"/>
      <c r="D24" s="137"/>
      <c r="F24" s="176"/>
      <c r="G24" s="176"/>
      <c r="P24" s="145"/>
    </row>
    <row r="25" spans="1:68">
      <c r="A25" s="192" t="str">
        <f>C25&amp;"_"&amp;D25</f>
        <v>1_CC</v>
      </c>
      <c r="C25" s="137">
        <v>1</v>
      </c>
      <c r="D25" s="137" t="s">
        <v>77</v>
      </c>
      <c r="F25" s="176">
        <f ca="1">SUMIFS(OFFSET('Capital Costs_Nominal$'!$G:$G,0,MATCH('Annual FOM'!$C25&amp;"_"&amp;'Annual FOM'!$D25,'Capital Costs_Nominal$'!$H$1:$O$1,0)),'Capital Costs_Nominal$'!$R:$R,F$3)/1000000</f>
        <v>77.656999999999996</v>
      </c>
      <c r="G25" s="176">
        <f ca="1">SUMIFS(OFFSET('Capital Costs_Nominal$'!$G:$G,0,MATCH('Annual FOM'!$C25&amp;"_"&amp;'Annual FOM'!$D25,'Capital Costs_Nominal$'!$H$1:$O$1,0)),'Capital Costs_Nominal$'!$R:$R,G$3)/1000000</f>
        <v>1278.5809999999999</v>
      </c>
      <c r="H25" s="177">
        <f t="shared" ref="H25:N26" si="3">H20</f>
        <v>3.9592217622386669E-2</v>
      </c>
      <c r="I25" s="177">
        <f t="shared" si="3"/>
        <v>0</v>
      </c>
      <c r="J25" s="178">
        <f t="shared" si="3"/>
        <v>0</v>
      </c>
      <c r="K25" s="177">
        <f t="shared" si="3"/>
        <v>2.2499999999999999E-2</v>
      </c>
      <c r="L25" s="177">
        <f t="shared" si="3"/>
        <v>0.96204899794570409</v>
      </c>
      <c r="M25" s="177">
        <f t="shared" si="3"/>
        <v>0</v>
      </c>
      <c r="N25" s="177">
        <f t="shared" si="3"/>
        <v>0</v>
      </c>
      <c r="P25" s="152">
        <f ca="1">F25*L25</f>
        <v>74.709839033469535</v>
      </c>
      <c r="Q25" s="152">
        <f ca="1">G25*M25</f>
        <v>0</v>
      </c>
      <c r="S25" s="164">
        <f ca="1">$P25*(1+CONE_Calculations!Inflation)^('Annual FOM'!S$4-1)*'Annual FOM'!$H25</f>
        <v>2.9579282055466041</v>
      </c>
      <c r="T25" s="164">
        <f ca="1">$P25*(1+CONE_Calculations!Inflation)^('Annual FOM'!T$4-1)*'Annual FOM'!$H25</f>
        <v>3.0440490500394217</v>
      </c>
      <c r="U25" s="164">
        <f ca="1">$P25*(1+CONE_Calculations!Inflation)^('Annual FOM'!U$4-1)*'Annual FOM'!$H25</f>
        <v>3.1326773251866582</v>
      </c>
      <c r="V25" s="164">
        <f ca="1">$P25*(1+CONE_Calculations!Inflation)^('Annual FOM'!V$4-1)*'Annual FOM'!$H25</f>
        <v>3.2238860354801262</v>
      </c>
      <c r="W25" s="164">
        <f ca="1">$P25*(1+CONE_Calculations!Inflation)^('Annual FOM'!W$4-1)*'Annual FOM'!$H25</f>
        <v>3.3177503109562934</v>
      </c>
      <c r="X25" s="164">
        <f ca="1">$P25*(1+CONE_Calculations!Inflation)^('Annual FOM'!X$4-1)*'Annual FOM'!$H25</f>
        <v>3.4143474690820654</v>
      </c>
      <c r="Y25" s="164">
        <f ca="1">$P25*(1+CONE_Calculations!Inflation)^('Annual FOM'!Y$4-1)*'Annual FOM'!$H25</f>
        <v>3.5137570784423864</v>
      </c>
      <c r="Z25" s="164">
        <f ca="1">$P25*(1+CONE_Calculations!Inflation)^('Annual FOM'!Z$4-1)*'Annual FOM'!$H25</f>
        <v>3.6160610242821249</v>
      </c>
      <c r="AA25" s="164">
        <f ca="1">$P25*(1+CONE_Calculations!Inflation)^('Annual FOM'!AA$4-1)*'Annual FOM'!$H25</f>
        <v>3.7213435759562254</v>
      </c>
      <c r="AB25" s="164">
        <f ca="1">$P25*(1+CONE_Calculations!Inflation)^('Annual FOM'!AB$4-1)*'Annual FOM'!$H25</f>
        <v>3.8296914563436908</v>
      </c>
      <c r="AC25" s="164">
        <f ca="1">$P25*(1+CONE_Calculations!Inflation)^('Annual FOM'!AC$4-1)*'Annual FOM'!$H25</f>
        <v>3.9411939132825675</v>
      </c>
      <c r="AD25" s="164">
        <f ca="1">$P25*(1+CONE_Calculations!Inflation)^('Annual FOM'!AD$4-1)*'Annual FOM'!$H25</f>
        <v>4.0559427930847827</v>
      </c>
      <c r="AE25" s="164">
        <f ca="1">$P25*(1+CONE_Calculations!Inflation)^('Annual FOM'!AE$4-1)*'Annual FOM'!$H25</f>
        <v>4.1740326161913828</v>
      </c>
      <c r="AF25" s="164">
        <f ca="1">$P25*(1+CONE_Calculations!Inflation)^('Annual FOM'!AF$4-1)*'Annual FOM'!$H25</f>
        <v>4.295560655030493</v>
      </c>
      <c r="AG25" s="164">
        <f ca="1">$P25*(1+CONE_Calculations!Inflation)^('Annual FOM'!AG$4-1)*'Annual FOM'!$H25</f>
        <v>4.420627014142136</v>
      </c>
      <c r="AH25" s="164">
        <f ca="1">$P25*(1+CONE_Calculations!Inflation)^('Annual FOM'!AH$4-1)*'Annual FOM'!$H25</f>
        <v>4.5493347126358978</v>
      </c>
      <c r="AI25" s="164">
        <f ca="1">$P25*(1+CONE_Calculations!Inflation)^('Annual FOM'!AI$4-1)*'Annual FOM'!$H25</f>
        <v>4.6817897690493755</v>
      </c>
      <c r="AJ25" s="164">
        <f ca="1">$P25*(1+CONE_Calculations!Inflation)^('Annual FOM'!AJ$4-1)*'Annual FOM'!$H25</f>
        <v>4.8181012886773029</v>
      </c>
      <c r="AK25" s="164">
        <f ca="1">$P25*(1+CONE_Calculations!Inflation)^('Annual FOM'!AK$4-1)*'Annual FOM'!$H25</f>
        <v>4.9583815534432789</v>
      </c>
      <c r="AL25" s="164">
        <f ca="1">$P25*(1+CONE_Calculations!Inflation)^('Annual FOM'!AL$4-1)*'Annual FOM'!$H25</f>
        <v>5.1027461143881361</v>
      </c>
      <c r="AM25" s="164">
        <f ca="1">$P25*(1+CONE_Calculations!Inflation)^('Annual FOM'!AM$4-1)*'Annual FOM'!$H25</f>
        <v>5.2513138868511406</v>
      </c>
      <c r="AN25" s="164">
        <f ca="1">$P25*(1+CONE_Calculations!Inflation)^('Annual FOM'!AN$4-1)*'Annual FOM'!$H25</f>
        <v>5.4042072484224075</v>
      </c>
      <c r="AO25" s="164">
        <f ca="1">$P25*(1+CONE_Calculations!Inflation)^('Annual FOM'!AO$4-1)*'Annual FOM'!$H25</f>
        <v>5.5615521397472252</v>
      </c>
      <c r="AP25" s="164">
        <f ca="1">$P25*(1+CONE_Calculations!Inflation)^('Annual FOM'!AP$4-1)*'Annual FOM'!$H25</f>
        <v>5.7234781682653386</v>
      </c>
      <c r="AQ25" s="164">
        <f ca="1">$P25*(1+CONE_Calculations!Inflation)^('Annual FOM'!AQ$4-1)*'Annual FOM'!$H25</f>
        <v>5.8901187149706056</v>
      </c>
      <c r="AR25" s="164">
        <f ca="1">$P25*(1+CONE_Calculations!Inflation)^('Annual FOM'!AR$4-1)*'Annual FOM'!$H25</f>
        <v>6.0616110442790117</v>
      </c>
      <c r="AS25" s="164">
        <f ca="1">$P25*(1+CONE_Calculations!Inflation)^('Annual FOM'!AS$4-1)*'Annual FOM'!$H25</f>
        <v>6.2380964170955009</v>
      </c>
      <c r="AT25" s="164">
        <f ca="1">$P25*(1+CONE_Calculations!Inflation)^('Annual FOM'!AT$4-1)*'Annual FOM'!$H25</f>
        <v>6.419720207172789</v>
      </c>
      <c r="AU25" s="164">
        <f ca="1">$P25*(1+CONE_Calculations!Inflation)^('Annual FOM'!AU$4-1)*'Annual FOM'!$H25</f>
        <v>6.6066320208579912</v>
      </c>
      <c r="AV25" s="164">
        <f ca="1">$P25*(1+CONE_Calculations!Inflation)^('Annual FOM'!AV$4-1)*'Annual FOM'!$H25</f>
        <v>6.7989858203256981</v>
      </c>
      <c r="AW25" s="164">
        <f ca="1">$P25*(1+CONE_Calculations!Inflation)^('Annual FOM'!AW$4-1)*'Annual FOM'!$H25</f>
        <v>6.9969400503990204</v>
      </c>
      <c r="AX25" s="164">
        <f ca="1">$P25*(1+CONE_Calculations!Inflation)^('Annual FOM'!AX$4-1)*'Annual FOM'!$H25</f>
        <v>7.2006577690630644</v>
      </c>
      <c r="AY25" s="164">
        <f ca="1">$P25*(1+CONE_Calculations!Inflation)^('Annual FOM'!AY$4-1)*'Annual FOM'!$H25</f>
        <v>7.4103067817783277</v>
      </c>
      <c r="AZ25" s="164">
        <f ca="1">$P25*(1+CONE_Calculations!Inflation)^('Annual FOM'!AZ$4-1)*'Annual FOM'!$H25</f>
        <v>7.6260597797046845</v>
      </c>
      <c r="BA25" s="164">
        <f ca="1">$P25*(1+CONE_Calculations!Inflation)^('Annual FOM'!BA$4-1)*'Annual FOM'!$H25</f>
        <v>7.8480944819497704</v>
      </c>
      <c r="BB25" s="164">
        <f ca="1">$P25*(1+CONE_Calculations!Inflation)^('Annual FOM'!BB$4-1)*'Annual FOM'!$H25</f>
        <v>8.0765937819589944</v>
      </c>
      <c r="BC25" s="164">
        <f ca="1">$P25*(1+CONE_Calculations!Inflation)^('Annual FOM'!BC$4-1)*'Annual FOM'!$H25</f>
        <v>8.3117458981677146</v>
      </c>
      <c r="BD25" s="164">
        <f ca="1">$P25*(1+CONE_Calculations!Inflation)^('Annual FOM'!BD$4-1)*'Annual FOM'!$H25</f>
        <v>8.5537445290397063</v>
      </c>
      <c r="BE25" s="164">
        <f ca="1">$P25*(1+CONE_Calculations!Inflation)^('Annual FOM'!BE$4-1)*'Annual FOM'!$H25</f>
        <v>8.8027890126195878</v>
      </c>
      <c r="BF25" s="164">
        <f ca="1">$P25*(1+CONE_Calculations!Inflation)^('Annual FOM'!BF$4-1)*'Annual FOM'!$H25</f>
        <v>9.0590844907306955</v>
      </c>
      <c r="BG25" s="164">
        <f ca="1">$P25*(1+CONE_Calculations!Inflation)^('Annual FOM'!BG$4-1)*'Annual FOM'!$H25</f>
        <v>9.3228420779535899</v>
      </c>
      <c r="BH25" s="164">
        <f ca="1">$P25*(1+CONE_Calculations!Inflation)^('Annual FOM'!BH$4-1)*'Annual FOM'!$H25</f>
        <v>9.5942790355244281</v>
      </c>
      <c r="BI25" s="164">
        <f ca="1">$P25*(1+CONE_Calculations!Inflation)^('Annual FOM'!BI$4-1)*'Annual FOM'!$H25</f>
        <v>9.873618950296434</v>
      </c>
      <c r="BJ25" s="164">
        <f ca="1">$P25*(1+CONE_Calculations!Inflation)^('Annual FOM'!BJ$4-1)*'Annual FOM'!$H25</f>
        <v>10.161091918911875</v>
      </c>
      <c r="BK25" s="164">
        <f ca="1">$P25*(1+CONE_Calculations!Inflation)^('Annual FOM'!BK$4-1)*'Annual FOM'!$H25</f>
        <v>10.456934737336242</v>
      </c>
      <c r="BL25" s="164">
        <f ca="1">$P25*(1+CONE_Calculations!Inflation)^('Annual FOM'!BL$4-1)*'Annual FOM'!$H25</f>
        <v>10.761391095910795</v>
      </c>
      <c r="BM25" s="164">
        <f ca="1">$P25*(1+CONE_Calculations!Inflation)^('Annual FOM'!BM$4-1)*'Annual FOM'!$H25</f>
        <v>11.074711780084082</v>
      </c>
      <c r="BN25" s="164">
        <f ca="1">$P25*(1+CONE_Calculations!Inflation)^('Annual FOM'!BN$4-1)*'Annual FOM'!$H25</f>
        <v>11.397154876987834</v>
      </c>
      <c r="BO25" s="164">
        <f ca="1">$P25*(1+CONE_Calculations!Inflation)^('Annual FOM'!BO$4-1)*'Annual FOM'!$H25</f>
        <v>11.728985988027341</v>
      </c>
      <c r="BP25" s="164">
        <f ca="1">$P25*(1+CONE_Calculations!Inflation)^('Annual FOM'!BP$4-1)*'Annual FOM'!$H25</f>
        <v>12.070478447661495</v>
      </c>
    </row>
    <row r="26" spans="1:68">
      <c r="A26" s="192" t="str">
        <f>C26&amp;"_"&amp;D26</f>
        <v>2_CC</v>
      </c>
      <c r="C26" s="137">
        <v>2</v>
      </c>
      <c r="D26" s="137" t="s">
        <v>77</v>
      </c>
      <c r="F26" s="176">
        <f ca="1">SUMIFS(OFFSET('Capital Costs_Nominal$'!$G:$G,0,MATCH('Annual FOM'!$C26&amp;"_"&amp;'Annual FOM'!$D26,'Capital Costs_Nominal$'!$H$1:$O$1,0)),'Capital Costs_Nominal$'!$R:$R,F$3)/1000000</f>
        <v>77.230999999999995</v>
      </c>
      <c r="G26" s="176">
        <f ca="1">SUMIFS(OFFSET('Capital Costs_Nominal$'!$G:$G,0,MATCH('Annual FOM'!$C26&amp;"_"&amp;'Annual FOM'!$D26,'Capital Costs_Nominal$'!$H$1:$O$1,0)),'Capital Costs_Nominal$'!$R:$R,G$3)/1000000</f>
        <v>1160.9549999999999</v>
      </c>
      <c r="H26" s="177">
        <f t="shared" si="3"/>
        <v>1.0704999999999999E-2</v>
      </c>
      <c r="I26" s="177">
        <f t="shared" si="3"/>
        <v>2.6762500000000002E-2</v>
      </c>
      <c r="J26" s="178">
        <f>J21</f>
        <v>3.3000000000000002E-2</v>
      </c>
      <c r="K26" s="177">
        <f t="shared" si="3"/>
        <v>2.2499999999999999E-2</v>
      </c>
      <c r="L26" s="177">
        <f t="shared" si="3"/>
        <v>1</v>
      </c>
      <c r="M26" s="177">
        <f t="shared" si="3"/>
        <v>0.5</v>
      </c>
      <c r="N26" s="177">
        <f t="shared" si="3"/>
        <v>0.25</v>
      </c>
      <c r="P26" s="152">
        <f ca="1">F26*L26</f>
        <v>77.230999999999995</v>
      </c>
      <c r="Q26" s="152">
        <f ca="1">G26*M26</f>
        <v>580.47749999999996</v>
      </c>
      <c r="S26" s="165">
        <f ca="1">IF(S$4=1,$Q26*$I26+$P26*$H26,MAX($Q26*(1-($J26*(S$4-1))),$Q26*$N26)*$I26+$P26*(1+$K26)^(S$4-1)*$H26)</f>
        <v>16.361786948749998</v>
      </c>
      <c r="T26" s="165">
        <f t="shared" ref="T26:BP26" ca="1" si="4">IF(T$4=1,$Q26*$I26+$P26*$H26,MAX($Q26*(1-($J26*(T$4-1))),$Q26*$N26)*$I26+$P26*(1+$K26)^(T$4-1)*$H26)</f>
        <v>15.867733040393748</v>
      </c>
      <c r="U26" s="165">
        <f t="shared" ca="1" si="4"/>
        <v>15.374097678201593</v>
      </c>
      <c r="V26" s="165">
        <f t="shared" ca="1" si="4"/>
        <v>14.880890279462221</v>
      </c>
      <c r="W26" s="165">
        <f t="shared" ca="1" si="4"/>
        <v>14.388120473353325</v>
      </c>
      <c r="X26" s="165">
        <f t="shared" ca="1" si="4"/>
        <v>13.895798105709087</v>
      </c>
      <c r="Y26" s="165">
        <f t="shared" ca="1" si="4"/>
        <v>13.403933243894967</v>
      </c>
      <c r="Z26" s="165">
        <f t="shared" ca="1" si="4"/>
        <v>12.912536181792133</v>
      </c>
      <c r="AA26" s="165">
        <f t="shared" ca="1" si="4"/>
        <v>12.421617444894096</v>
      </c>
      <c r="AB26" s="165">
        <f t="shared" ca="1" si="4"/>
        <v>11.931187795517962</v>
      </c>
      <c r="AC26" s="165">
        <f t="shared" ca="1" si="4"/>
        <v>11.441258238132976</v>
      </c>
      <c r="AD26" s="165">
        <f t="shared" ca="1" si="4"/>
        <v>10.951840024808938</v>
      </c>
      <c r="AE26" s="165">
        <f t="shared" ca="1" si="4"/>
        <v>10.462944660787217</v>
      </c>
      <c r="AF26" s="165">
        <f t="shared" ca="1" si="4"/>
        <v>9.9745839101771168</v>
      </c>
      <c r="AG26" s="165">
        <f t="shared" ca="1" si="4"/>
        <v>9.4867698017803992</v>
      </c>
      <c r="AH26" s="165">
        <f t="shared" ca="1" si="4"/>
        <v>8.9995146350468627</v>
      </c>
      <c r="AI26" s="165">
        <f t="shared" ca="1" si="4"/>
        <v>8.512830986163932</v>
      </c>
      <c r="AJ26" s="165">
        <f t="shared" ca="1" si="4"/>
        <v>8.0267317142832457</v>
      </c>
      <c r="AK26" s="165">
        <f t="shared" ca="1" si="4"/>
        <v>7.5412299678873538</v>
      </c>
      <c r="AL26" s="165">
        <f t="shared" ca="1" si="4"/>
        <v>7.0563391912996636</v>
      </c>
      <c r="AM26" s="165">
        <f t="shared" ca="1" si="4"/>
        <v>6.5720731313408578</v>
      </c>
      <c r="AN26" s="165">
        <f t="shared" ca="1" si="4"/>
        <v>6.088445844135089</v>
      </c>
      <c r="AO26" s="165">
        <f t="shared" ca="1" si="4"/>
        <v>5.6054717020693019</v>
      </c>
      <c r="AP26" s="165">
        <f t="shared" ca="1" si="4"/>
        <v>5.2629806627528923</v>
      </c>
      <c r="AQ26" s="165">
        <f t="shared" ca="1" si="4"/>
        <v>5.2940131890124889</v>
      </c>
      <c r="AR26" s="165">
        <f t="shared" ca="1" si="4"/>
        <v>5.3257439471129251</v>
      </c>
      <c r="AS26" s="165">
        <f t="shared" ca="1" si="4"/>
        <v>5.3581886472706231</v>
      </c>
      <c r="AT26" s="165">
        <f t="shared" ca="1" si="4"/>
        <v>5.3913633531818679</v>
      </c>
      <c r="AU26" s="165">
        <f t="shared" ca="1" si="4"/>
        <v>5.4252844899761161</v>
      </c>
      <c r="AV26" s="165">
        <f t="shared" ca="1" si="4"/>
        <v>5.4599688523482346</v>
      </c>
      <c r="AW26" s="165">
        <f t="shared" ca="1" si="4"/>
        <v>5.4954336128737262</v>
      </c>
      <c r="AX26" s="165">
        <f t="shared" ca="1" si="4"/>
        <v>5.5316963305110418</v>
      </c>
      <c r="AY26" s="165">
        <f t="shared" ca="1" si="4"/>
        <v>5.5687749592951956</v>
      </c>
      <c r="AZ26" s="165">
        <f t="shared" ca="1" si="4"/>
        <v>5.6066878572269943</v>
      </c>
      <c r="BA26" s="165">
        <f t="shared" ca="1" si="4"/>
        <v>5.6454537953622568</v>
      </c>
      <c r="BB26" s="165">
        <f t="shared" ca="1" si="4"/>
        <v>5.6850919671055635</v>
      </c>
      <c r="BC26" s="165">
        <f t="shared" ca="1" si="4"/>
        <v>5.7256219977130955</v>
      </c>
      <c r="BD26" s="165">
        <f t="shared" ca="1" si="4"/>
        <v>5.7670639540092967</v>
      </c>
      <c r="BE26" s="165">
        <f t="shared" ca="1" si="4"/>
        <v>5.8094383543221619</v>
      </c>
      <c r="BF26" s="165">
        <f t="shared" ca="1" si="4"/>
        <v>5.8527661786420664</v>
      </c>
      <c r="BG26" s="165">
        <f t="shared" ca="1" si="4"/>
        <v>5.8970688790091685</v>
      </c>
      <c r="BH26" s="165">
        <f t="shared" ca="1" si="4"/>
        <v>5.942368390134531</v>
      </c>
      <c r="BI26" s="165">
        <f t="shared" ca="1" si="4"/>
        <v>5.9886871402602146</v>
      </c>
      <c r="BJ26" s="165">
        <f t="shared" ca="1" si="4"/>
        <v>6.0360480622637258</v>
      </c>
      <c r="BK26" s="165">
        <f t="shared" ca="1" si="4"/>
        <v>6.084474605012316</v>
      </c>
      <c r="BL26" s="165">
        <f t="shared" ca="1" si="4"/>
        <v>6.1339907449727491</v>
      </c>
      <c r="BM26" s="165">
        <f t="shared" ca="1" si="4"/>
        <v>6.1846209980822913</v>
      </c>
      <c r="BN26" s="165">
        <f t="shared" ca="1" si="4"/>
        <v>6.2363904318868002</v>
      </c>
      <c r="BO26" s="165">
        <f t="shared" ca="1" si="4"/>
        <v>6.2893246779519085</v>
      </c>
      <c r="BP26" s="165">
        <f t="shared" ca="1" si="4"/>
        <v>6.3434499445534822</v>
      </c>
    </row>
    <row r="27" spans="1:68">
      <c r="A27" s="192" t="str">
        <f>C27&amp;"_"&amp;D27</f>
        <v>3_CC</v>
      </c>
      <c r="C27" s="137">
        <v>3</v>
      </c>
      <c r="D27" s="137" t="s">
        <v>77</v>
      </c>
      <c r="F27" s="176">
        <f ca="1">SUMIFS(OFFSET('Capital Costs_Nominal$'!$G:$G,0,MATCH('Annual FOM'!$C27&amp;"_"&amp;'Annual FOM'!$D27,'Capital Costs_Nominal$'!$H$1:$O$1,0)),'Capital Costs_Nominal$'!$R:$R,F$3)/1000000</f>
        <v>76.444999999999993</v>
      </c>
      <c r="G27" s="176">
        <f ca="1">SUMIFS(OFFSET('Capital Costs_Nominal$'!$G:$G,0,MATCH('Annual FOM'!$C27&amp;"_"&amp;'Annual FOM'!$D27,'Capital Costs_Nominal$'!$H$1:$O$1,0)),'Capital Costs_Nominal$'!$R:$R,G$3)/1000000</f>
        <v>1184.5250000000001</v>
      </c>
      <c r="H27" s="212" t="s">
        <v>280</v>
      </c>
      <c r="I27" s="212"/>
      <c r="J27" s="212"/>
      <c r="K27" s="212"/>
      <c r="L27" s="212"/>
      <c r="M27" s="212"/>
      <c r="N27" s="212"/>
      <c r="P27" s="212" t="s">
        <v>280</v>
      </c>
      <c r="Q27" s="212"/>
      <c r="S27" s="152">
        <f ca="1">AVERAGE(S44+S45,S49)</f>
        <v>9.5006915376965875</v>
      </c>
      <c r="T27" s="152">
        <f t="shared" ref="T27:BP27" ca="1" si="5">AVERAGE(T44+T45,T49)</f>
        <v>9.2373916154046132</v>
      </c>
      <c r="U27" s="152">
        <f ca="1">AVERAGE(U44+U45,U49)</f>
        <v>8.9756006588958321</v>
      </c>
      <c r="V27" s="152">
        <f ca="1">AVERAGE(V44+V45,V49)</f>
        <v>8.7153626020991677</v>
      </c>
      <c r="W27" s="152">
        <f ca="1">AVERAGE(W44+W45,W49)</f>
        <v>8.4567226580912518</v>
      </c>
      <c r="X27" s="152">
        <f t="shared" ca="1" si="5"/>
        <v>8.1997273563391317</v>
      </c>
      <c r="Y27" s="152">
        <f t="shared" ca="1" si="5"/>
        <v>7.9444245810273122</v>
      </c>
      <c r="Z27" s="152">
        <f t="shared" ca="1" si="5"/>
        <v>7.6908636105007169</v>
      </c>
      <c r="AA27" s="152">
        <f t="shared" ca="1" si="5"/>
        <v>7.4390951578560172</v>
      </c>
      <c r="AB27" s="152">
        <f t="shared" ca="1" si="5"/>
        <v>7.1891714127148143</v>
      </c>
      <c r="AC27" s="152">
        <f t="shared" ca="1" si="5"/>
        <v>6.9411460842130284</v>
      </c>
      <c r="AD27" s="152">
        <f t="shared" ca="1" si="5"/>
        <v>6.6950744452419642</v>
      </c>
      <c r="AE27" s="152">
        <f t="shared" ca="1" si="5"/>
        <v>6.4510133779774428</v>
      </c>
      <c r="AF27" s="152">
        <f t="shared" ca="1" si="5"/>
        <v>6.2090214207345475</v>
      </c>
      <c r="AG27" s="152">
        <f t="shared" ca="1" si="5"/>
        <v>5.9691588161865345</v>
      </c>
      <c r="AH27" s="152">
        <f t="shared" ca="1" si="5"/>
        <v>5.7314875609876736</v>
      </c>
      <c r="AI27" s="152">
        <f t="shared" ca="1" si="5"/>
        <v>5.4960714568408484</v>
      </c>
      <c r="AJ27" s="152">
        <f t="shared" ca="1" si="5"/>
        <v>5.2629761630520226</v>
      </c>
      <c r="AK27" s="152">
        <f t="shared" ca="1" si="5"/>
        <v>5.0322692506148261</v>
      </c>
      <c r="AL27" s="152">
        <f t="shared" ca="1" si="5"/>
        <v>4.8040202578698414</v>
      </c>
      <c r="AM27" s="152">
        <f t="shared" ca="1" si="5"/>
        <v>4.5783007477844135</v>
      </c>
      <c r="AN27" s="152">
        <f t="shared" ca="1" si="5"/>
        <v>4.4339661771396512</v>
      </c>
      <c r="AO27" s="152">
        <f t="shared" ca="1" si="5"/>
        <v>4.5286559571942249</v>
      </c>
      <c r="AP27" s="152">
        <f t="shared" ca="1" si="5"/>
        <v>4.6261026546776414</v>
      </c>
      <c r="AQ27" s="152">
        <f t="shared" ca="1" si="5"/>
        <v>4.7263865379536583</v>
      </c>
      <c r="AR27" s="152">
        <f t="shared" ca="1" si="5"/>
        <v>4.8295902124201966</v>
      </c>
      <c r="AS27" s="152">
        <f t="shared" ca="1" si="5"/>
        <v>4.9357986885526968</v>
      </c>
      <c r="AT27" s="152">
        <f t="shared" ca="1" si="5"/>
        <v>5.0450994519285706</v>
      </c>
      <c r="AU27" s="152">
        <f t="shared" ca="1" si="5"/>
        <v>5.1575825352904356</v>
      </c>
      <c r="AV27" s="152">
        <f t="shared" ca="1" si="5"/>
        <v>5.2733405927074912</v>
      </c>
      <c r="AW27" s="152">
        <f t="shared" ca="1" si="5"/>
        <v>5.3924689758961142</v>
      </c>
      <c r="AX27" s="152">
        <f t="shared" ca="1" si="5"/>
        <v>5.5150658127625629</v>
      </c>
      <c r="AY27" s="152">
        <f t="shared" ca="1" si="5"/>
        <v>5.641232088232452</v>
      </c>
      <c r="AZ27" s="152">
        <f t="shared" ca="1" si="5"/>
        <v>5.7710717274336201</v>
      </c>
      <c r="BA27" s="152">
        <f t="shared" ca="1" si="5"/>
        <v>5.9046916813008714</v>
      </c>
      <c r="BB27" s="152">
        <f t="shared" ca="1" si="5"/>
        <v>6.0422020146731299</v>
      </c>
      <c r="BC27" s="152">
        <f t="shared" ca="1" si="5"/>
        <v>6.1837159969555593</v>
      </c>
      <c r="BD27" s="152">
        <f t="shared" ca="1" si="5"/>
        <v>6.3293501954213491</v>
      </c>
      <c r="BE27" s="152">
        <f t="shared" ca="1" si="5"/>
        <v>6.4792245712299783</v>
      </c>
      <c r="BF27" s="152">
        <f t="shared" ca="1" si="5"/>
        <v>6.6334625782411063</v>
      </c>
      <c r="BG27" s="152">
        <f t="shared" ca="1" si="5"/>
        <v>6.7921912647054343</v>
      </c>
      <c r="BH27" s="152">
        <f t="shared" ca="1" si="5"/>
        <v>6.9555413779163313</v>
      </c>
      <c r="BI27" s="152">
        <f t="shared" ca="1" si="5"/>
        <v>7.1236474719084182</v>
      </c>
      <c r="BJ27" s="152">
        <f t="shared" ca="1" si="5"/>
        <v>7.2966480182918243</v>
      </c>
      <c r="BK27" s="152">
        <f t="shared" ca="1" si="5"/>
        <v>7.4746855203134093</v>
      </c>
      <c r="BL27" s="152">
        <f t="shared" ca="1" si="5"/>
        <v>7.6579066302389114</v>
      </c>
      <c r="BM27" s="152">
        <f t="shared" ca="1" si="5"/>
        <v>7.8464622701527027</v>
      </c>
      <c r="BN27" s="152">
        <f t="shared" ca="1" si="5"/>
        <v>8.0405077562746659</v>
      </c>
      <c r="BO27" s="152">
        <f t="shared" ca="1" si="5"/>
        <v>8.2402029268965755</v>
      </c>
      <c r="BP27" s="152">
        <f t="shared" ca="1" si="5"/>
        <v>8.4457122740434123</v>
      </c>
    </row>
    <row r="28" spans="1:68">
      <c r="A28" s="192" t="str">
        <f>C28&amp;"_"&amp;D28</f>
        <v>4_CC</v>
      </c>
      <c r="C28" s="137">
        <v>4</v>
      </c>
      <c r="D28" s="137" t="s">
        <v>77</v>
      </c>
      <c r="F28" s="176">
        <f ca="1">SUMIFS(OFFSET('Capital Costs_Nominal$'!$G:$G,0,MATCH('Annual FOM'!$C28&amp;"_"&amp;'Annual FOM'!$D28,'Capital Costs_Nominal$'!$H$1:$O$1,0)),'Capital Costs_Nominal$'!$R:$R,F$3)/1000000</f>
        <v>77.296999999999997</v>
      </c>
      <c r="G28" s="176">
        <f ca="1">SUMIFS(OFFSET('Capital Costs_Nominal$'!$G:$G,0,MATCH('Annual FOM'!$C28&amp;"_"&amp;'Annual FOM'!$D28,'Capital Costs_Nominal$'!$H$1:$O$1,0)),'Capital Costs_Nominal$'!$R:$R,G$3)/1000000</f>
        <v>1228.0129999999999</v>
      </c>
      <c r="H28" s="177">
        <f t="shared" ref="H28:N28" si="6">H23</f>
        <v>3.8068608595961999E-2</v>
      </c>
      <c r="I28" s="177">
        <f t="shared" si="6"/>
        <v>0</v>
      </c>
      <c r="J28" s="177">
        <f t="shared" si="6"/>
        <v>0</v>
      </c>
      <c r="K28" s="177">
        <f t="shared" si="6"/>
        <v>2.2499999999999999E-2</v>
      </c>
      <c r="L28" s="177">
        <f t="shared" si="6"/>
        <v>0.98999999999999988</v>
      </c>
      <c r="M28" s="177">
        <f t="shared" si="6"/>
        <v>0</v>
      </c>
      <c r="N28" s="177">
        <f t="shared" si="6"/>
        <v>0</v>
      </c>
      <c r="P28" s="152">
        <f ca="1">F28*L28</f>
        <v>76.524029999999982</v>
      </c>
      <c r="Q28" s="152">
        <f ca="1">G28*M28</f>
        <v>0</v>
      </c>
      <c r="S28" s="164">
        <f ca="1">$P28*(1+CONE_Calculations!Inflation)^('Annual FOM'!S$4-1)*'Annual FOM'!$H28</f>
        <v>2.913163346255653</v>
      </c>
      <c r="T28" s="164">
        <f ca="1">$P28*(1+CONE_Calculations!Inflation)^('Annual FOM'!T$4-1)*'Annual FOM'!$H28</f>
        <v>2.9979808502960186</v>
      </c>
      <c r="U28" s="164">
        <f ca="1">$P28*(1+CONE_Calculations!Inflation)^('Annual FOM'!U$4-1)*'Annual FOM'!$H28</f>
        <v>3.0852678378965441</v>
      </c>
      <c r="V28" s="164">
        <f ca="1">$P28*(1+CONE_Calculations!Inflation)^('Annual FOM'!V$4-1)*'Annual FOM'!$H28</f>
        <v>3.1750962087095806</v>
      </c>
      <c r="W28" s="164">
        <f ca="1">$P28*(1+CONE_Calculations!Inflation)^('Annual FOM'!W$4-1)*'Annual FOM'!$H28</f>
        <v>3.26753995576445</v>
      </c>
      <c r="X28" s="164">
        <f ca="1">$P28*(1+CONE_Calculations!Inflation)^('Annual FOM'!X$4-1)*'Annual FOM'!$H28</f>
        <v>3.3626752264166528</v>
      </c>
      <c r="Y28" s="164">
        <f ca="1">$P28*(1+CONE_Calculations!Inflation)^('Annual FOM'!Y$4-1)*'Annual FOM'!$H28</f>
        <v>3.4605803850716321</v>
      </c>
      <c r="Z28" s="164">
        <f ca="1">$P28*(1+CONE_Calculations!Inflation)^('Annual FOM'!Z$4-1)*'Annual FOM'!$H28</f>
        <v>3.5613360777347602</v>
      </c>
      <c r="AA28" s="164">
        <f ca="1">$P28*(1+CONE_Calculations!Inflation)^('Annual FOM'!AA$4-1)*'Annual FOM'!$H28</f>
        <v>3.6650252984407032</v>
      </c>
      <c r="AB28" s="164">
        <f ca="1">$P28*(1+CONE_Calculations!Inflation)^('Annual FOM'!AB$4-1)*'Annual FOM'!$H28</f>
        <v>3.7717334576169095</v>
      </c>
      <c r="AC28" s="164">
        <f ca="1">$P28*(1+CONE_Calculations!Inflation)^('Annual FOM'!AC$4-1)*'Annual FOM'!$H28</f>
        <v>3.8815484524375017</v>
      </c>
      <c r="AD28" s="164">
        <f ca="1">$P28*(1+CONE_Calculations!Inflation)^('Annual FOM'!AD$4-1)*'Annual FOM'!$H28</f>
        <v>3.9945607392255567</v>
      </c>
      <c r="AE28" s="164">
        <f ca="1">$P28*(1+CONE_Calculations!Inflation)^('Annual FOM'!AE$4-1)*'Annual FOM'!$H28</f>
        <v>4.1108634079633832</v>
      </c>
      <c r="AF28" s="164">
        <f ca="1">$P28*(1+CONE_Calculations!Inflation)^('Annual FOM'!AF$4-1)*'Annual FOM'!$H28</f>
        <v>4.2305522589721951</v>
      </c>
      <c r="AG28" s="164">
        <f ca="1">$P28*(1+CONE_Calculations!Inflation)^('Annual FOM'!AG$4-1)*'Annual FOM'!$H28</f>
        <v>4.3537258818243281</v>
      </c>
      <c r="AH28" s="164">
        <f ca="1">$P28*(1+CONE_Calculations!Inflation)^('Annual FOM'!AH$4-1)*'Annual FOM'!$H28</f>
        <v>4.4804857365530069</v>
      </c>
      <c r="AI28" s="164">
        <f ca="1">$P28*(1+CONE_Calculations!Inflation)^('Annual FOM'!AI$4-1)*'Annual FOM'!$H28</f>
        <v>4.6109362372265563</v>
      </c>
      <c r="AJ28" s="164">
        <f ca="1">$P28*(1+CONE_Calculations!Inflation)^('Annual FOM'!AJ$4-1)*'Annual FOM'!$H28</f>
        <v>4.7451848379558994</v>
      </c>
      <c r="AK28" s="164">
        <f ca="1">$P28*(1+CONE_Calculations!Inflation)^('Annual FOM'!AK$4-1)*'Annual FOM'!$H28</f>
        <v>4.8833421214061792</v>
      </c>
      <c r="AL28" s="164">
        <f ca="1">$P28*(1+CONE_Calculations!Inflation)^('Annual FOM'!AL$4-1)*'Annual FOM'!$H28</f>
        <v>5.0255218898854261</v>
      </c>
      <c r="AM28" s="164">
        <f ca="1">$P28*(1+CONE_Calculations!Inflation)^('Annual FOM'!AM$4-1)*'Annual FOM'!$H28</f>
        <v>5.1718412590852925</v>
      </c>
      <c r="AN28" s="164">
        <f ca="1">$P28*(1+CONE_Calculations!Inflation)^('Annual FOM'!AN$4-1)*'Annual FOM'!$H28</f>
        <v>5.3224207545510795</v>
      </c>
      <c r="AO28" s="164">
        <f ca="1">$P28*(1+CONE_Calculations!Inflation)^('Annual FOM'!AO$4-1)*'Annual FOM'!$H28</f>
        <v>5.4773844109604939</v>
      </c>
      <c r="AP28" s="164">
        <f ca="1">$P28*(1+CONE_Calculations!Inflation)^('Annual FOM'!AP$4-1)*'Annual FOM'!$H28</f>
        <v>5.6368598742929601</v>
      </c>
      <c r="AQ28" s="164">
        <f ca="1">$P28*(1+CONE_Calculations!Inflation)^('Annual FOM'!AQ$4-1)*'Annual FOM'!$H28</f>
        <v>5.8009785069735926</v>
      </c>
      <c r="AR28" s="164">
        <f ca="1">$P28*(1+CONE_Calculations!Inflation)^('Annual FOM'!AR$4-1)*'Annual FOM'!$H28</f>
        <v>5.9698754960784841</v>
      </c>
      <c r="AS28" s="164">
        <f ca="1">$P28*(1+CONE_Calculations!Inflation)^('Annual FOM'!AS$4-1)*'Annual FOM'!$H28</f>
        <v>6.1436899646903917</v>
      </c>
      <c r="AT28" s="164">
        <f ca="1">$P28*(1+CONE_Calculations!Inflation)^('Annual FOM'!AT$4-1)*'Annual FOM'!$H28</f>
        <v>6.3225650864966072</v>
      </c>
      <c r="AU28" s="164">
        <f ca="1">$P28*(1+CONE_Calculations!Inflation)^('Annual FOM'!AU$4-1)*'Annual FOM'!$H28</f>
        <v>6.5066482037233397</v>
      </c>
      <c r="AV28" s="164">
        <f ca="1">$P28*(1+CONE_Calculations!Inflation)^('Annual FOM'!AV$4-1)*'Annual FOM'!$H28</f>
        <v>6.6960909485038149</v>
      </c>
      <c r="AW28" s="164">
        <f ca="1">$P28*(1+CONE_Calculations!Inflation)^('Annual FOM'!AW$4-1)*'Annual FOM'!$H28</f>
        <v>6.8910493677800186</v>
      </c>
      <c r="AX28" s="164">
        <f ca="1">$P28*(1+CONE_Calculations!Inflation)^('Annual FOM'!AX$4-1)*'Annual FOM'!$H28</f>
        <v>7.0916840518410025</v>
      </c>
      <c r="AY28" s="164">
        <f ca="1">$P28*(1+CONE_Calculations!Inflation)^('Annual FOM'!AY$4-1)*'Annual FOM'!$H28</f>
        <v>7.2981602666036007</v>
      </c>
      <c r="AZ28" s="164">
        <f ca="1">$P28*(1+CONE_Calculations!Inflation)^('Annual FOM'!AZ$4-1)*'Annual FOM'!$H28</f>
        <v>7.5106480897445582</v>
      </c>
      <c r="BA28" s="164">
        <f ca="1">$P28*(1+CONE_Calculations!Inflation)^('Annual FOM'!BA$4-1)*'Annual FOM'!$H28</f>
        <v>7.7293225507961383</v>
      </c>
      <c r="BB28" s="164">
        <f ca="1">$P28*(1+CONE_Calculations!Inflation)^('Annual FOM'!BB$4-1)*'Annual FOM'!$H28</f>
        <v>7.954363775320699</v>
      </c>
      <c r="BC28" s="164">
        <f ca="1">$P28*(1+CONE_Calculations!Inflation)^('Annual FOM'!BC$4-1)*'Annual FOM'!$H28</f>
        <v>8.1859571332829173</v>
      </c>
      <c r="BD28" s="164">
        <f ca="1">$P28*(1+CONE_Calculations!Inflation)^('Annual FOM'!BD$4-1)*'Annual FOM'!$H28</f>
        <v>8.4242933917419212</v>
      </c>
      <c r="BE28" s="164">
        <f ca="1">$P28*(1+CONE_Calculations!Inflation)^('Annual FOM'!BE$4-1)*'Annual FOM'!$H28</f>
        <v>8.6695688719890871</v>
      </c>
      <c r="BF28" s="164">
        <f ca="1">$P28*(1+CONE_Calculations!Inflation)^('Annual FOM'!BF$4-1)*'Annual FOM'!$H28</f>
        <v>8.9219856112609506</v>
      </c>
      <c r="BG28" s="164">
        <f ca="1">$P28*(1+CONE_Calculations!Inflation)^('Annual FOM'!BG$4-1)*'Annual FOM'!$H28</f>
        <v>9.1817515291604259</v>
      </c>
      <c r="BH28" s="164">
        <f ca="1">$P28*(1+CONE_Calculations!Inflation)^('Annual FOM'!BH$4-1)*'Annual FOM'!$H28</f>
        <v>9.4490805989234286</v>
      </c>
      <c r="BI28" s="164">
        <f ca="1">$P28*(1+CONE_Calculations!Inflation)^('Annual FOM'!BI$4-1)*'Annual FOM'!$H28</f>
        <v>9.7241930236719547</v>
      </c>
      <c r="BJ28" s="164">
        <f ca="1">$P28*(1+CONE_Calculations!Inflation)^('Annual FOM'!BJ$4-1)*'Annual FOM'!$H28</f>
        <v>10.007315417798845</v>
      </c>
      <c r="BK28" s="164">
        <f ca="1">$P28*(1+CONE_Calculations!Inflation)^('Annual FOM'!BK$4-1)*'Annual FOM'!$H28</f>
        <v>10.298680993633559</v>
      </c>
      <c r="BL28" s="164">
        <f ca="1">$P28*(1+CONE_Calculations!Inflation)^('Annual FOM'!BL$4-1)*'Annual FOM'!$H28</f>
        <v>10.598529753542847</v>
      </c>
      <c r="BM28" s="164">
        <f ca="1">$P28*(1+CONE_Calculations!Inflation)^('Annual FOM'!BM$4-1)*'Annual FOM'!$H28</f>
        <v>10.907108687624412</v>
      </c>
      <c r="BN28" s="164">
        <f ca="1">$P28*(1+CONE_Calculations!Inflation)^('Annual FOM'!BN$4-1)*'Annual FOM'!$H28</f>
        <v>11.224671977156513</v>
      </c>
      <c r="BO28" s="164">
        <f ca="1">$P28*(1+CONE_Calculations!Inflation)^('Annual FOM'!BO$4-1)*'Annual FOM'!$H28</f>
        <v>11.551481203971045</v>
      </c>
      <c r="BP28" s="164">
        <f ca="1">$P28*(1+CONE_Calculations!Inflation)^('Annual FOM'!BP$4-1)*'Annual FOM'!$H28</f>
        <v>11.887805565922578</v>
      </c>
    </row>
    <row r="29" spans="1:68">
      <c r="K29" s="177"/>
      <c r="P29" s="145"/>
    </row>
    <row r="30" spans="1:68">
      <c r="A30" s="192" t="str">
        <f>C30&amp;"_"&amp;D30</f>
        <v>1_BESS</v>
      </c>
      <c r="C30" s="137">
        <v>1</v>
      </c>
      <c r="D30" s="137" t="s">
        <v>700</v>
      </c>
      <c r="F30" s="176">
        <f>('BESS_Capital Costs_Nominal$'!$H$23+'BESS_Capital Costs_Nominal$'!$H$38)/1000000</f>
        <v>59.158917765608606</v>
      </c>
      <c r="G30" s="176">
        <v>303.95</v>
      </c>
      <c r="H30" s="177">
        <v>3.9592217622386669E-2</v>
      </c>
      <c r="I30" s="177">
        <v>0</v>
      </c>
      <c r="J30" s="178">
        <v>0</v>
      </c>
      <c r="K30" s="177">
        <v>2.2499999999999999E-2</v>
      </c>
      <c r="L30" s="177">
        <f>L20</f>
        <v>0.96204899794570409</v>
      </c>
      <c r="M30" s="177">
        <v>0</v>
      </c>
      <c r="N30" s="177">
        <v>0</v>
      </c>
      <c r="P30" s="152">
        <f>F30*L30</f>
        <v>56.913777555956074</v>
      </c>
      <c r="Q30" s="152">
        <f>G30*M30</f>
        <v>0</v>
      </c>
      <c r="S30" s="164">
        <f>$P30*(1+CONE_Calculations!Inflation)^('Annual FOM'!S$4-1)*'Annual FOM'!$H30</f>
        <v>2.2533426667075189</v>
      </c>
      <c r="T30" s="164">
        <f>$P30*(1+CONE_Calculations!Inflation)^('Annual FOM'!T$4-1)*'Annual FOM'!$H30</f>
        <v>2.3189493210626368</v>
      </c>
      <c r="U30" s="164">
        <f>$P30*(1+CONE_Calculations!Inflation)^('Annual FOM'!U$4-1)*'Annual FOM'!$H30</f>
        <v>2.3864661301222592</v>
      </c>
      <c r="V30" s="164">
        <f>$P30*(1+CONE_Calculations!Inflation)^('Annual FOM'!V$4-1)*'Annual FOM'!$H30</f>
        <v>2.4559487085344882</v>
      </c>
      <c r="W30" s="164">
        <f>$P30*(1+CONE_Calculations!Inflation)^('Annual FOM'!W$4-1)*'Annual FOM'!$H30</f>
        <v>2.5274542901822858</v>
      </c>
      <c r="X30" s="164">
        <f>$P30*(1+CONE_Calculations!Inflation)^('Annual FOM'!X$4-1)*'Annual FOM'!$H30</f>
        <v>2.6010417753279138</v>
      </c>
      <c r="Y30" s="164">
        <f>$P30*(1+CONE_Calculations!Inflation)^('Annual FOM'!Y$4-1)*'Annual FOM'!$H30</f>
        <v>2.6767717791299983</v>
      </c>
      <c r="Z30" s="164">
        <f>$P30*(1+CONE_Calculations!Inflation)^('Annual FOM'!Z$4-1)*'Annual FOM'!$H30</f>
        <v>2.7547066815731833</v>
      </c>
      <c r="AA30" s="164">
        <f>$P30*(1+CONE_Calculations!Inflation)^('Annual FOM'!AA$4-1)*'Annual FOM'!$H30</f>
        <v>2.8349106788514908</v>
      </c>
      <c r="AB30" s="164">
        <f>$P30*(1+CONE_Calculations!Inflation)^('Annual FOM'!AB$4-1)*'Annual FOM'!$H30</f>
        <v>2.9174498362477341</v>
      </c>
      <c r="AC30" s="164">
        <f>$P30*(1+CONE_Calculations!Inflation)^('Annual FOM'!AC$4-1)*'Annual FOM'!$H30</f>
        <v>3.0023921425525146</v>
      </c>
      <c r="AD30" s="164">
        <f>$P30*(1+CONE_Calculations!Inflation)^('Annual FOM'!AD$4-1)*'Annual FOM'!$H30</f>
        <v>3.0898075660676514</v>
      </c>
      <c r="AE30" s="164">
        <f>$P30*(1+CONE_Calculations!Inflation)^('Annual FOM'!AE$4-1)*'Annual FOM'!$H30</f>
        <v>3.1797681122401609</v>
      </c>
      <c r="AF30" s="164">
        <f>$P30*(1+CONE_Calculations!Inflation)^('Annual FOM'!AF$4-1)*'Annual FOM'!$H30</f>
        <v>3.2723478829742692</v>
      </c>
      <c r="AG30" s="164">
        <f>$P30*(1+CONE_Calculations!Inflation)^('Annual FOM'!AG$4-1)*'Annual FOM'!$H30</f>
        <v>3.367623137670301</v>
      </c>
      <c r="AH30" s="164">
        <f>$P30*(1+CONE_Calculations!Inflation)^('Annual FOM'!AH$4-1)*'Annual FOM'!$H30</f>
        <v>3.4656723560407401</v>
      </c>
      <c r="AI30" s="164">
        <f>$P30*(1+CONE_Calculations!Inflation)^('Annual FOM'!AI$4-1)*'Annual FOM'!$H30</f>
        <v>3.5665763027551889</v>
      </c>
      <c r="AJ30" s="164">
        <f>$P30*(1+CONE_Calculations!Inflation)^('Annual FOM'!AJ$4-1)*'Annual FOM'!$H30</f>
        <v>3.6704180939674913</v>
      </c>
      <c r="AK30" s="164">
        <f>$P30*(1+CONE_Calculations!Inflation)^('Annual FOM'!AK$4-1)*'Annual FOM'!$H30</f>
        <v>3.7772832657797957</v>
      </c>
      <c r="AL30" s="164">
        <f>$P30*(1+CONE_Calculations!Inflation)^('Annual FOM'!AL$4-1)*'Annual FOM'!$H30</f>
        <v>3.887259844699984</v>
      </c>
      <c r="AM30" s="164">
        <f>$P30*(1+CONE_Calculations!Inflation)^('Annual FOM'!AM$4-1)*'Annual FOM'!$H30</f>
        <v>4.0004384201504717</v>
      </c>
      <c r="AN30" s="164">
        <f>$P30*(1+CONE_Calculations!Inflation)^('Annual FOM'!AN$4-1)*'Annual FOM'!$H30</f>
        <v>4.1169122190881335</v>
      </c>
      <c r="AO30" s="164">
        <f>$P30*(1+CONE_Calculations!Inflation)^('Annual FOM'!AO$4-1)*'Annual FOM'!$H30</f>
        <v>4.2367771827967955</v>
      </c>
      <c r="AP30" s="164">
        <f>$P30*(1+CONE_Calculations!Inflation)^('Annual FOM'!AP$4-1)*'Annual FOM'!$H30</f>
        <v>4.3601320459155701</v>
      </c>
      <c r="AQ30" s="164">
        <f>$P30*(1+CONE_Calculations!Inflation)^('Annual FOM'!AQ$4-1)*'Annual FOM'!$H30</f>
        <v>4.4870784177681129</v>
      </c>
      <c r="AR30" s="164">
        <f>$P30*(1+CONE_Calculations!Inflation)^('Annual FOM'!AR$4-1)*'Annual FOM'!$H30</f>
        <v>4.6177208660598144</v>
      </c>
      <c r="AS30" s="164">
        <f>$P30*(1+CONE_Calculations!Inflation)^('Annual FOM'!AS$4-1)*'Annual FOM'!$H30</f>
        <v>4.7521670030118397</v>
      </c>
      <c r="AT30" s="164">
        <f>$P30*(1+CONE_Calculations!Inflation)^('Annual FOM'!AT$4-1)*'Annual FOM'!$H30</f>
        <v>4.8905275740029994</v>
      </c>
      <c r="AU30" s="164">
        <f>$P30*(1+CONE_Calculations!Inflation)^('Annual FOM'!AU$4-1)*'Annual FOM'!$H30</f>
        <v>5.0329165487924401</v>
      </c>
      <c r="AV30" s="164">
        <f>$P30*(1+CONE_Calculations!Inflation)^('Annual FOM'!AV$4-1)*'Annual FOM'!$H30</f>
        <v>5.1794512153983154</v>
      </c>
      <c r="AW30" s="164">
        <f>$P30*(1+CONE_Calculations!Inflation)^('Annual FOM'!AW$4-1)*'Annual FOM'!$H30</f>
        <v>5.3302522767097491</v>
      </c>
      <c r="AX30" s="164">
        <f>$P30*(1+CONE_Calculations!Inflation)^('Annual FOM'!AX$4-1)*'Annual FOM'!$H30</f>
        <v>5.4854439499116969</v>
      </c>
      <c r="AY30" s="164">
        <f>$P30*(1+CONE_Calculations!Inflation)^('Annual FOM'!AY$4-1)*'Annual FOM'!$H30</f>
        <v>5.6451540688045627</v>
      </c>
      <c r="AZ30" s="164">
        <f>$P30*(1+CONE_Calculations!Inflation)^('Annual FOM'!AZ$4-1)*'Annual FOM'!$H30</f>
        <v>5.8095141891029112</v>
      </c>
      <c r="BA30" s="164">
        <f>$P30*(1+CONE_Calculations!Inflation)^('Annual FOM'!BA$4-1)*'Annual FOM'!$H30</f>
        <v>5.9786596967999426</v>
      </c>
      <c r="BB30" s="164">
        <f>$P30*(1+CONE_Calculations!Inflation)^('Annual FOM'!BB$4-1)*'Annual FOM'!$H30</f>
        <v>6.1527299196870597</v>
      </c>
      <c r="BC30" s="164">
        <f>$P30*(1+CONE_Calculations!Inflation)^('Annual FOM'!BC$4-1)*'Annual FOM'!$H30</f>
        <v>6.3318682421203318</v>
      </c>
      <c r="BD30" s="164">
        <f>$P30*(1+CONE_Calculations!Inflation)^('Annual FOM'!BD$4-1)*'Annual FOM'!$H30</f>
        <v>6.5162222231284312</v>
      </c>
      <c r="BE30" s="164">
        <f>$P30*(1+CONE_Calculations!Inflation)^('Annual FOM'!BE$4-1)*'Annual FOM'!$H30</f>
        <v>6.7059437179592978</v>
      </c>
      <c r="BF30" s="164">
        <f>$P30*(1+CONE_Calculations!Inflation)^('Annual FOM'!BF$4-1)*'Annual FOM'!$H30</f>
        <v>6.901189003165686</v>
      </c>
      <c r="BG30" s="164">
        <f>$P30*(1+CONE_Calculations!Inflation)^('Annual FOM'!BG$4-1)*'Annual FOM'!$H30</f>
        <v>7.1021189053325795</v>
      </c>
      <c r="BH30" s="164">
        <f>$P30*(1+CONE_Calculations!Inflation)^('Annual FOM'!BH$4-1)*'Annual FOM'!$H30</f>
        <v>7.3088989335525767</v>
      </c>
      <c r="BI30" s="164">
        <f>$P30*(1+CONE_Calculations!Inflation)^('Annual FOM'!BI$4-1)*'Annual FOM'!$H30</f>
        <v>7.5216994157582917</v>
      </c>
      <c r="BJ30" s="164">
        <f>$P30*(1+CONE_Calculations!Inflation)^('Annual FOM'!BJ$4-1)*'Annual FOM'!$H30</f>
        <v>7.7406956390241426</v>
      </c>
      <c r="BK30" s="164">
        <f>$P30*(1+CONE_Calculations!Inflation)^('Annual FOM'!BK$4-1)*'Annual FOM'!$H30</f>
        <v>7.9660679939530352</v>
      </c>
      <c r="BL30" s="164">
        <f>$P30*(1+CONE_Calculations!Inflation)^('Annual FOM'!BL$4-1)*'Annual FOM'!$H30</f>
        <v>8.1980021232669245</v>
      </c>
      <c r="BM30" s="164">
        <f>$P30*(1+CONE_Calculations!Inflation)^('Annual FOM'!BM$4-1)*'Annual FOM'!$H30</f>
        <v>8.4366890747236081</v>
      </c>
      <c r="BN30" s="164">
        <f>$P30*(1+CONE_Calculations!Inflation)^('Annual FOM'!BN$4-1)*'Annual FOM'!$H30</f>
        <v>8.6823254584857565</v>
      </c>
      <c r="BO30" s="164">
        <f>$P30*(1+CONE_Calculations!Inflation)^('Annual FOM'!BO$4-1)*'Annual FOM'!$H30</f>
        <v>8.9351136090717542</v>
      </c>
      <c r="BP30" s="164">
        <f>$P30*(1+CONE_Calculations!Inflation)^('Annual FOM'!BP$4-1)*'Annual FOM'!$H30</f>
        <v>9.195261752021807</v>
      </c>
    </row>
    <row r="31" spans="1:68">
      <c r="A31" s="192" t="str">
        <f t="shared" ref="A31:A33" si="7">C31&amp;"_"&amp;D31</f>
        <v>2_BESS</v>
      </c>
      <c r="C31" s="137">
        <v>2</v>
      </c>
      <c r="D31" s="137" t="s">
        <v>700</v>
      </c>
      <c r="F31" s="176">
        <f>('BESS_Capital Costs_Nominal$'!$I$23+'BESS_Capital Costs_Nominal$'!$I$38)/1000000</f>
        <v>47.212195879826901</v>
      </c>
      <c r="G31" s="176">
        <v>289.39699999999999</v>
      </c>
      <c r="H31" s="177">
        <v>1.0704999999999999E-2</v>
      </c>
      <c r="I31" s="177">
        <v>2.6762500000000002E-2</v>
      </c>
      <c r="J31" s="178">
        <v>3.3000000000000002E-2</v>
      </c>
      <c r="K31" s="177">
        <v>2.2499999999999999E-2</v>
      </c>
      <c r="L31" s="177">
        <f>L21</f>
        <v>1</v>
      </c>
      <c r="M31" s="177">
        <v>0.5</v>
      </c>
      <c r="N31" s="177">
        <v>0.25</v>
      </c>
      <c r="P31" s="152">
        <f>F31*L31</f>
        <v>47.212195879826901</v>
      </c>
      <c r="Q31" s="152">
        <f>G31*M31</f>
        <v>144.6985</v>
      </c>
      <c r="S31" s="165">
        <f>IF(S$4=1,$Q31*$I31+$P31*$H31,MAX($Q31*(1-($J31*(S$4-1))),$Q31*$N31)*$I31+$P31*(1+$K31)^(S$4-1)*$H31)</f>
        <v>4.377900163143547</v>
      </c>
      <c r="T31" s="165">
        <f t="shared" ref="T31:BP31" si="8">IF(T$4=1,$Q31*$I31+$P31*$H31,MAX($Q31*(1-($J31*(T$4-1))),$Q31*$N31)*$I31+$P31*(1+$K31)^(T$4-1)*$H31)</f>
        <v>4.2614795216674022</v>
      </c>
      <c r="U31" s="165">
        <f t="shared" si="8"/>
        <v>4.1453147422606831</v>
      </c>
      <c r="V31" s="165">
        <f t="shared" si="8"/>
        <v>4.0294115818199554</v>
      </c>
      <c r="W31" s="165">
        <f t="shared" si="8"/>
        <v>3.9137759267719514</v>
      </c>
      <c r="X31" s="165">
        <f t="shared" si="8"/>
        <v>3.798413795988008</v>
      </c>
      <c r="Y31" s="165">
        <f t="shared" si="8"/>
        <v>3.683331343764066</v>
      </c>
      <c r="Z31" s="165">
        <f t="shared" si="8"/>
        <v>3.5685348628677263</v>
      </c>
      <c r="AA31" s="165">
        <f t="shared" si="8"/>
        <v>3.4540307876538594</v>
      </c>
      <c r="AB31" s="165">
        <f t="shared" si="8"/>
        <v>3.3398256972503209</v>
      </c>
      <c r="AC31" s="165">
        <f t="shared" si="8"/>
        <v>3.2259263188153438</v>
      </c>
      <c r="AD31" s="165">
        <f t="shared" si="8"/>
        <v>3.1123395308682205</v>
      </c>
      <c r="AE31" s="165">
        <f t="shared" si="8"/>
        <v>2.9990723666949273</v>
      </c>
      <c r="AF31" s="165">
        <f t="shared" si="8"/>
        <v>2.8861320178303753</v>
      </c>
      <c r="AG31" s="165">
        <f t="shared" si="8"/>
        <v>2.7735258376190122</v>
      </c>
      <c r="AH31" s="165">
        <f t="shared" si="8"/>
        <v>2.661261344855534</v>
      </c>
      <c r="AI31" s="165">
        <f t="shared" si="8"/>
        <v>2.5493462275075176</v>
      </c>
      <c r="AJ31" s="165">
        <f t="shared" si="8"/>
        <v>2.4377883465218115</v>
      </c>
      <c r="AK31" s="165">
        <f t="shared" si="8"/>
        <v>2.3265957397165673</v>
      </c>
      <c r="AL31" s="165">
        <f t="shared" si="8"/>
        <v>2.2157766257608467</v>
      </c>
      <c r="AM31" s="165">
        <f t="shared" si="8"/>
        <v>2.1053394082437626</v>
      </c>
      <c r="AN31" s="165">
        <f t="shared" si="8"/>
        <v>1.9952926798351847</v>
      </c>
      <c r="AO31" s="165">
        <f t="shared" si="8"/>
        <v>1.8856452265400545</v>
      </c>
      <c r="AP31" s="165">
        <f t="shared" si="8"/>
        <v>1.8112584745046743</v>
      </c>
      <c r="AQ31" s="165">
        <f t="shared" si="8"/>
        <v>1.8302290136458732</v>
      </c>
      <c r="AR31" s="165">
        <f t="shared" si="8"/>
        <v>1.849626389917749</v>
      </c>
      <c r="AS31" s="165">
        <f t="shared" si="8"/>
        <v>1.869460207155742</v>
      </c>
      <c r="AT31" s="165">
        <f t="shared" si="8"/>
        <v>1.8897402852815899</v>
      </c>
      <c r="AU31" s="165">
        <f t="shared" si="8"/>
        <v>1.9104766651652694</v>
      </c>
      <c r="AV31" s="165">
        <f t="shared" si="8"/>
        <v>1.9316796135963319</v>
      </c>
      <c r="AW31" s="165">
        <f t="shared" si="8"/>
        <v>1.9533596283670931</v>
      </c>
      <c r="AX31" s="165">
        <f t="shared" si="8"/>
        <v>1.9755274434701962</v>
      </c>
      <c r="AY31" s="165">
        <f t="shared" si="8"/>
        <v>1.998194034413119</v>
      </c>
      <c r="AZ31" s="165">
        <f t="shared" si="8"/>
        <v>2.0213706236522579</v>
      </c>
      <c r="BA31" s="165">
        <f t="shared" si="8"/>
        <v>2.0450686861492775</v>
      </c>
      <c r="BB31" s="165">
        <f t="shared" si="8"/>
        <v>2.0692999550524798</v>
      </c>
      <c r="BC31" s="165">
        <f t="shared" si="8"/>
        <v>2.0940764275060042</v>
      </c>
      <c r="BD31" s="165">
        <f t="shared" si="8"/>
        <v>2.1194103705897334</v>
      </c>
      <c r="BE31" s="165">
        <f t="shared" si="8"/>
        <v>2.1453143273928461</v>
      </c>
      <c r="BF31" s="165">
        <f t="shared" si="8"/>
        <v>2.1718011232240286</v>
      </c>
      <c r="BG31" s="165">
        <f t="shared" si="8"/>
        <v>2.1988838719614128</v>
      </c>
      <c r="BH31" s="165">
        <f t="shared" si="8"/>
        <v>2.2265759825453886</v>
      </c>
      <c r="BI31" s="165">
        <f t="shared" si="8"/>
        <v>2.2548911656175035</v>
      </c>
      <c r="BJ31" s="165">
        <f t="shared" si="8"/>
        <v>2.2838434403087406</v>
      </c>
      <c r="BK31" s="165">
        <f t="shared" si="8"/>
        <v>2.3134471411805313</v>
      </c>
      <c r="BL31" s="165">
        <f t="shared" si="8"/>
        <v>2.343716925321937</v>
      </c>
      <c r="BM31" s="165">
        <f t="shared" si="8"/>
        <v>2.3746677796065239</v>
      </c>
      <c r="BN31" s="165">
        <f t="shared" si="8"/>
        <v>2.4063150281125143</v>
      </c>
      <c r="BO31" s="165">
        <f t="shared" si="8"/>
        <v>2.4386743397098893</v>
      </c>
      <c r="BP31" s="165">
        <f t="shared" si="8"/>
        <v>2.4717617358182062</v>
      </c>
    </row>
    <row r="32" spans="1:68">
      <c r="A32" s="192" t="str">
        <f t="shared" si="7"/>
        <v>3_BESS</v>
      </c>
      <c r="C32" s="137">
        <v>3</v>
      </c>
      <c r="D32" s="137" t="s">
        <v>700</v>
      </c>
      <c r="F32" s="176">
        <f>('BESS_Capital Costs_Nominal$'!$J$23+'BESS_Capital Costs_Nominal$'!$J$38)/1000000</f>
        <v>49.768971446415343</v>
      </c>
      <c r="G32" s="176">
        <v>292.71100000000001</v>
      </c>
      <c r="H32" s="212" t="s">
        <v>280</v>
      </c>
      <c r="I32" s="212"/>
      <c r="J32" s="212"/>
      <c r="K32" s="212"/>
      <c r="L32" s="212"/>
      <c r="M32" s="212"/>
      <c r="N32" s="212"/>
      <c r="P32" s="212" t="s">
        <v>280</v>
      </c>
      <c r="Q32" s="212"/>
      <c r="S32" s="152">
        <f ca="1">AVERAGE(S49+S50,S54)</f>
        <v>2.0772286598148146</v>
      </c>
      <c r="T32" s="152">
        <f t="shared" ref="T32" ca="1" si="9">AVERAGE(T49+T50,T54)</f>
        <v>2.1377077093240229</v>
      </c>
      <c r="U32" s="152">
        <f ca="1">AVERAGE(U49+U50,U54)</f>
        <v>2.199947621996877</v>
      </c>
      <c r="V32" s="152">
        <f ca="1">AVERAGE(V49+V50,V54)</f>
        <v>2.2639996658196671</v>
      </c>
      <c r="W32" s="152">
        <f ca="1">AVERAGE(W49+W50,W54)</f>
        <v>2.3299166014593595</v>
      </c>
      <c r="X32" s="152">
        <f t="shared" ref="X32:BP32" ca="1" si="10">AVERAGE(X49+X50,X54)</f>
        <v>2.3977527257233824</v>
      </c>
      <c r="Y32" s="152">
        <f t="shared" ca="1" si="10"/>
        <v>2.4675639162847478</v>
      </c>
      <c r="Z32" s="152">
        <f t="shared" ca="1" si="10"/>
        <v>2.5394076777093697</v>
      </c>
      <c r="AA32" s="152">
        <f t="shared" ca="1" si="10"/>
        <v>2.6133431888234608</v>
      </c>
      <c r="AB32" s="152">
        <f t="shared" ca="1" si="10"/>
        <v>2.6894313514600658</v>
      </c>
      <c r="AC32" s="152">
        <f t="shared" ca="1" si="10"/>
        <v>2.7677348406248412</v>
      </c>
      <c r="AD32" s="152">
        <f t="shared" ca="1" si="10"/>
        <v>2.8483181561224393</v>
      </c>
      <c r="AE32" s="152">
        <f t="shared" ca="1" si="10"/>
        <v>2.9312476756860018</v>
      </c>
      <c r="AF32" s="152">
        <f t="shared" ca="1" si="10"/>
        <v>3.0165917096535333</v>
      </c>
      <c r="AG32" s="152">
        <f t="shared" ca="1" si="10"/>
        <v>3.1044205572361907</v>
      </c>
      <c r="AH32" s="152">
        <f t="shared" ca="1" si="10"/>
        <v>3.1948065644248405</v>
      </c>
      <c r="AI32" s="152">
        <f t="shared" ca="1" si="10"/>
        <v>3.2878241835825781</v>
      </c>
      <c r="AJ32" s="152">
        <f t="shared" ca="1" si="10"/>
        <v>3.383550034772302</v>
      </c>
      <c r="AK32" s="152">
        <f t="shared" ca="1" si="10"/>
        <v>3.4820629688698519</v>
      </c>
      <c r="AL32" s="152">
        <f t="shared" ca="1" si="10"/>
        <v>3.5834441325147024</v>
      </c>
      <c r="AM32" s="152">
        <f t="shared" ca="1" si="10"/>
        <v>3.6877770349517207</v>
      </c>
      <c r="AN32" s="152">
        <f t="shared" ca="1" si="10"/>
        <v>3.7951476168190297</v>
      </c>
      <c r="AO32" s="152">
        <f t="shared" ca="1" si="10"/>
        <v>3.9056443209386491</v>
      </c>
      <c r="AP32" s="152">
        <f t="shared" ca="1" si="10"/>
        <v>4.0193581651682315</v>
      </c>
      <c r="AQ32" s="152">
        <f t="shared" ca="1" si="10"/>
        <v>4.136382817373887</v>
      </c>
      <c r="AR32" s="152">
        <f t="shared" ca="1" si="10"/>
        <v>4.2568146725858673</v>
      </c>
      <c r="AS32" s="152">
        <f t="shared" ca="1" si="10"/>
        <v>4.380752932400652</v>
      </c>
      <c r="AT32" s="152">
        <f t="shared" ca="1" si="10"/>
        <v>4.5082996866948513</v>
      </c>
      <c r="AU32" s="152">
        <f t="shared" ca="1" si="10"/>
        <v>4.6395599977182282</v>
      </c>
      <c r="AV32" s="152">
        <f t="shared" ca="1" si="10"/>
        <v>4.7746419866351149</v>
      </c>
      <c r="AW32" s="152">
        <f t="shared" ca="1" si="10"/>
        <v>4.9136569225854938</v>
      </c>
      <c r="AX32" s="152">
        <f t="shared" ca="1" si="10"/>
        <v>5.0567193143391318</v>
      </c>
      <c r="AY32" s="152">
        <f t="shared" ca="1" si="10"/>
        <v>5.2039470046182306</v>
      </c>
      <c r="AZ32" s="152">
        <f t="shared" ca="1" si="10"/>
        <v>5.355461267166322</v>
      </c>
      <c r="BA32" s="152">
        <f t="shared" ca="1" si="10"/>
        <v>5.5113869066433328</v>
      </c>
      <c r="BB32" s="152">
        <f t="shared" ca="1" si="10"/>
        <v>5.6718523614291341</v>
      </c>
      <c r="BC32" s="152">
        <f t="shared" ca="1" si="10"/>
        <v>5.836989809420233</v>
      </c>
      <c r="BD32" s="152">
        <f t="shared" ca="1" si="10"/>
        <v>6.0069352769067752</v>
      </c>
      <c r="BE32" s="152">
        <f t="shared" ca="1" si="10"/>
        <v>6.1818287506195055</v>
      </c>
      <c r="BF32" s="152">
        <f t="shared" ca="1" si="10"/>
        <v>6.3618142930390364</v>
      </c>
      <c r="BG32" s="152">
        <f t="shared" ca="1" si="10"/>
        <v>6.5470401610623465</v>
      </c>
      <c r="BH32" s="152">
        <f t="shared" ca="1" si="10"/>
        <v>6.7376589281243051</v>
      </c>
      <c r="BI32" s="152">
        <f t="shared" ca="1" si="10"/>
        <v>6.9338276098747844</v>
      </c>
      <c r="BJ32" s="152">
        <f t="shared" ca="1" si="10"/>
        <v>7.1357077935149045</v>
      </c>
      <c r="BK32" s="152">
        <f t="shared" ca="1" si="10"/>
        <v>7.3434657708989164</v>
      </c>
      <c r="BL32" s="152">
        <f t="shared" ca="1" si="10"/>
        <v>7.5572726755114141</v>
      </c>
      <c r="BM32" s="152">
        <f t="shared" ca="1" si="10"/>
        <v>7.7773046234326335</v>
      </c>
      <c r="BN32" s="152">
        <f t="shared" ca="1" si="10"/>
        <v>8.0037428584080317</v>
      </c>
      <c r="BO32" s="152">
        <f t="shared" ca="1" si="10"/>
        <v>8.2367739011415662</v>
      </c>
      <c r="BP32" s="152">
        <f t="shared" ca="1" si="10"/>
        <v>8.4765897029357244</v>
      </c>
    </row>
    <row r="33" spans="1:68">
      <c r="A33" s="192" t="str">
        <f t="shared" si="7"/>
        <v>4_BESS</v>
      </c>
      <c r="C33" s="137">
        <v>4</v>
      </c>
      <c r="D33" s="137" t="s">
        <v>700</v>
      </c>
      <c r="F33" s="176">
        <f>('BESS_Capital Costs_Nominal$'!$K$23+'BESS_Capital Costs_Nominal$'!$K$38)/1000000</f>
        <v>53.981328300992814</v>
      </c>
      <c r="G33" s="176">
        <v>297.68200000000002</v>
      </c>
      <c r="H33" s="177">
        <v>3.8068608595961999E-2</v>
      </c>
      <c r="I33" s="177">
        <v>0</v>
      </c>
      <c r="J33" s="177">
        <v>0</v>
      </c>
      <c r="K33" s="177">
        <v>2.2499999999999999E-2</v>
      </c>
      <c r="L33" s="177">
        <f>L23</f>
        <v>0.98999999999999988</v>
      </c>
      <c r="M33" s="177">
        <v>0</v>
      </c>
      <c r="N33" s="177">
        <v>0</v>
      </c>
      <c r="P33" s="152">
        <f>F33*L33</f>
        <v>53.44151501798288</v>
      </c>
      <c r="Q33" s="152">
        <f>G33*M33</f>
        <v>0</v>
      </c>
      <c r="S33" s="164">
        <f>$P33*(1+CONE_Calculations!Inflation)^('Annual FOM'!S$4-1)*'Annual FOM'!$H33</f>
        <v>2.0344441179948154</v>
      </c>
      <c r="T33" s="164">
        <f>$P33*(1+CONE_Calculations!Inflation)^('Annual FOM'!T$4-1)*'Annual FOM'!$H33</f>
        <v>2.0936774845067596</v>
      </c>
      <c r="U33" s="164">
        <f>$P33*(1+CONE_Calculations!Inflation)^('Annual FOM'!U$4-1)*'Annual FOM'!$H33</f>
        <v>2.1546354457998067</v>
      </c>
      <c r="V33" s="164">
        <f>$P33*(1+CONE_Calculations!Inflation)^('Annual FOM'!V$4-1)*'Annual FOM'!$H33</f>
        <v>2.2173682138969104</v>
      </c>
      <c r="W33" s="164">
        <f>$P33*(1+CONE_Calculations!Inflation)^('Annual FOM'!W$4-1)*'Annual FOM'!$H33</f>
        <v>2.281927462757058</v>
      </c>
      <c r="X33" s="164">
        <f>$P33*(1+CONE_Calculations!Inflation)^('Annual FOM'!X$4-1)*'Annual FOM'!$H33</f>
        <v>2.3483663708399121</v>
      </c>
      <c r="Y33" s="164">
        <f>$P33*(1+CONE_Calculations!Inflation)^('Annual FOM'!Y$4-1)*'Annual FOM'!$H33</f>
        <v>2.4167396649097368</v>
      </c>
      <c r="Z33" s="164">
        <f>$P33*(1+CONE_Calculations!Inflation)^('Annual FOM'!Z$4-1)*'Annual FOM'!$H33</f>
        <v>2.4871036651146898</v>
      </c>
      <c r="AA33" s="164">
        <f>$P33*(1+CONE_Calculations!Inflation)^('Annual FOM'!AA$4-1)*'Annual FOM'!$H33</f>
        <v>2.5595163313786018</v>
      </c>
      <c r="AB33" s="164">
        <f>$P33*(1+CONE_Calculations!Inflation)^('Annual FOM'!AB$4-1)*'Annual FOM'!$H33</f>
        <v>2.6340373111434752</v>
      </c>
      <c r="AC33" s="164">
        <f>$P33*(1+CONE_Calculations!Inflation)^('Annual FOM'!AC$4-1)*'Annual FOM'!$H33</f>
        <v>2.7107279885020041</v>
      </c>
      <c r="AD33" s="164">
        <f>$P33*(1+CONE_Calculations!Inflation)^('Annual FOM'!AD$4-1)*'Annual FOM'!$H33</f>
        <v>2.7896515347606163</v>
      </c>
      <c r="AE33" s="164">
        <f>$P33*(1+CONE_Calculations!Inflation)^('Annual FOM'!AE$4-1)*'Annual FOM'!$H33</f>
        <v>2.870872960474657</v>
      </c>
      <c r="AF33" s="164">
        <f>$P33*(1+CONE_Calculations!Inflation)^('Annual FOM'!AF$4-1)*'Annual FOM'!$H33</f>
        <v>2.9544591689986008</v>
      </c>
      <c r="AG33" s="164">
        <f>$P33*(1+CONE_Calculations!Inflation)^('Annual FOM'!AG$4-1)*'Annual FOM'!$H33</f>
        <v>3.0404790115953855</v>
      </c>
      <c r="AH33" s="164">
        <f>$P33*(1+CONE_Calculations!Inflation)^('Annual FOM'!AH$4-1)*'Annual FOM'!$H33</f>
        <v>3.1290033441502709</v>
      </c>
      <c r="AI33" s="164">
        <f>$P33*(1+CONE_Calculations!Inflation)^('Annual FOM'!AI$4-1)*'Annual FOM'!$H33</f>
        <v>3.2201050855359368</v>
      </c>
      <c r="AJ33" s="164">
        <f>$P33*(1+CONE_Calculations!Inflation)^('Annual FOM'!AJ$4-1)*'Annual FOM'!$H33</f>
        <v>3.3138592776768934</v>
      </c>
      <c r="AK33" s="164">
        <f>$P33*(1+CONE_Calculations!Inflation)^('Annual FOM'!AK$4-1)*'Annual FOM'!$H33</f>
        <v>3.4103431473626884</v>
      </c>
      <c r="AL33" s="164">
        <f>$P33*(1+CONE_Calculations!Inflation)^('Annual FOM'!AL$4-1)*'Annual FOM'!$H33</f>
        <v>3.5096361698608103</v>
      </c>
      <c r="AM33" s="164">
        <f>$P33*(1+CONE_Calculations!Inflation)^('Annual FOM'!AM$4-1)*'Annual FOM'!$H33</f>
        <v>3.6118201343817127</v>
      </c>
      <c r="AN33" s="164">
        <f>$P33*(1+CONE_Calculations!Inflation)^('Annual FOM'!AN$4-1)*'Annual FOM'!$H33</f>
        <v>3.7169792114498588</v>
      </c>
      <c r="AO33" s="164">
        <f>$P33*(1+CONE_Calculations!Inflation)^('Annual FOM'!AO$4-1)*'Annual FOM'!$H33</f>
        <v>3.8252000222362907</v>
      </c>
      <c r="AP33" s="164">
        <f>$P33*(1+CONE_Calculations!Inflation)^('Annual FOM'!AP$4-1)*'Annual FOM'!$H33</f>
        <v>3.9365717099098458</v>
      </c>
      <c r="AQ33" s="164">
        <f>$P33*(1+CONE_Calculations!Inflation)^('Annual FOM'!AQ$4-1)*'Annual FOM'!$H33</f>
        <v>4.0511860130657684</v>
      </c>
      <c r="AR33" s="164">
        <f>$P33*(1+CONE_Calculations!Inflation)^('Annual FOM'!AR$4-1)*'Annual FOM'!$H33</f>
        <v>4.169137341292223</v>
      </c>
      <c r="AS33" s="164">
        <f>$P33*(1+CONE_Calculations!Inflation)^('Annual FOM'!AS$4-1)*'Annual FOM'!$H33</f>
        <v>4.2905228529369452</v>
      </c>
      <c r="AT33" s="164">
        <f>$P33*(1+CONE_Calculations!Inflation)^('Annual FOM'!AT$4-1)*'Annual FOM'!$H33</f>
        <v>4.4154425351380837</v>
      </c>
      <c r="AU33" s="164">
        <f>$P33*(1+CONE_Calculations!Inflation)^('Annual FOM'!AU$4-1)*'Annual FOM'!$H33</f>
        <v>4.5439992861851666</v>
      </c>
      <c r="AV33" s="164">
        <f>$P33*(1+CONE_Calculations!Inflation)^('Annual FOM'!AV$4-1)*'Annual FOM'!$H33</f>
        <v>4.6762990002780302</v>
      </c>
      <c r="AW33" s="164">
        <f>$P33*(1+CONE_Calculations!Inflation)^('Annual FOM'!AW$4-1)*'Annual FOM'!$H33</f>
        <v>4.812450654753512</v>
      </c>
      <c r="AX33" s="164">
        <f>$P33*(1+CONE_Calculations!Inflation)^('Annual FOM'!AX$4-1)*'Annual FOM'!$H33</f>
        <v>4.9525663998517935</v>
      </c>
      <c r="AY33" s="164">
        <f>$P33*(1+CONE_Calculations!Inflation)^('Annual FOM'!AY$4-1)*'Annual FOM'!$H33</f>
        <v>5.096761651096295</v>
      </c>
      <c r="AZ33" s="164">
        <f>$P33*(1+CONE_Calculations!Inflation)^('Annual FOM'!AZ$4-1)*'Annual FOM'!$H33</f>
        <v>5.2451551843632425</v>
      </c>
      <c r="BA33" s="164">
        <f>$P33*(1+CONE_Calculations!Inflation)^('Annual FOM'!BA$4-1)*'Annual FOM'!$H33</f>
        <v>5.3978692337192076</v>
      </c>
      <c r="BB33" s="164">
        <f>$P33*(1+CONE_Calculations!Inflation)^('Annual FOM'!BB$4-1)*'Annual FOM'!$H33</f>
        <v>5.5550295921072141</v>
      </c>
      <c r="BC33" s="164">
        <f>$P33*(1+CONE_Calculations!Inflation)^('Annual FOM'!BC$4-1)*'Annual FOM'!$H33</f>
        <v>5.7167657149643478</v>
      </c>
      <c r="BD33" s="164">
        <f>$P33*(1+CONE_Calculations!Inflation)^('Annual FOM'!BD$4-1)*'Annual FOM'!$H33</f>
        <v>5.8832108268562164</v>
      </c>
      <c r="BE33" s="164">
        <f>$P33*(1+CONE_Calculations!Inflation)^('Annual FOM'!BE$4-1)*'Annual FOM'!$H33</f>
        <v>6.0545020312161002</v>
      </c>
      <c r="BF33" s="164">
        <f>$P33*(1+CONE_Calculations!Inflation)^('Annual FOM'!BF$4-1)*'Annual FOM'!$H33</f>
        <v>6.2307804232791888</v>
      </c>
      <c r="BG33" s="164">
        <f>$P33*(1+CONE_Calculations!Inflation)^('Annual FOM'!BG$4-1)*'Annual FOM'!$H33</f>
        <v>6.4121912063049251</v>
      </c>
      <c r="BH33" s="164">
        <f>$P33*(1+CONE_Calculations!Inflation)^('Annual FOM'!BH$4-1)*'Annual FOM'!$H33</f>
        <v>6.598883811183196</v>
      </c>
      <c r="BI33" s="164">
        <f>$P33*(1+CONE_Calculations!Inflation)^('Annual FOM'!BI$4-1)*'Annual FOM'!$H33</f>
        <v>6.7910120195228778</v>
      </c>
      <c r="BJ33" s="164">
        <f>$P33*(1+CONE_Calculations!Inflation)^('Annual FOM'!BJ$4-1)*'Annual FOM'!$H33</f>
        <v>6.9887340903241579</v>
      </c>
      <c r="BK33" s="164">
        <f>$P33*(1+CONE_Calculations!Inflation)^('Annual FOM'!BK$4-1)*'Annual FOM'!$H33</f>
        <v>7.1922128903389266</v>
      </c>
      <c r="BL33" s="164">
        <f>$P33*(1+CONE_Calculations!Inflation)^('Annual FOM'!BL$4-1)*'Annual FOM'!$H33</f>
        <v>7.4016160282266696</v>
      </c>
      <c r="BM33" s="164">
        <f>$P33*(1+CONE_Calculations!Inflation)^('Annual FOM'!BM$4-1)*'Annual FOM'!$H33</f>
        <v>7.6171159926163279</v>
      </c>
      <c r="BN33" s="164">
        <f>$P33*(1+CONE_Calculations!Inflation)^('Annual FOM'!BN$4-1)*'Annual FOM'!$H33</f>
        <v>7.8388902941878715</v>
      </c>
      <c r="BO33" s="164">
        <f>$P33*(1+CONE_Calculations!Inflation)^('Annual FOM'!BO$4-1)*'Annual FOM'!$H33</f>
        <v>8.0671216118906131</v>
      </c>
      <c r="BP33" s="164">
        <f>$P33*(1+CONE_Calculations!Inflation)^('Annual FOM'!BP$4-1)*'Annual FOM'!$H33</f>
        <v>8.3019979434187157</v>
      </c>
    </row>
    <row r="34" spans="1:68">
      <c r="K34" s="177"/>
      <c r="P34" s="145"/>
    </row>
    <row r="35" spans="1:68">
      <c r="K35" s="177"/>
      <c r="P35" s="145"/>
    </row>
    <row r="36" spans="1:68">
      <c r="K36" s="177"/>
      <c r="P36" s="145"/>
    </row>
    <row r="37" spans="1:68">
      <c r="K37" s="177"/>
      <c r="P37" s="145"/>
    </row>
    <row r="38" spans="1:68">
      <c r="K38" s="177"/>
      <c r="P38" s="145"/>
    </row>
    <row r="39" spans="1:68">
      <c r="P39" s="145"/>
    </row>
    <row r="40" spans="1:68">
      <c r="M40" s="171" t="s">
        <v>185</v>
      </c>
      <c r="N40" s="153"/>
      <c r="O40" s="155"/>
      <c r="P40" s="155"/>
      <c r="Q40" s="156"/>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7"/>
    </row>
    <row r="41" spans="1:68">
      <c r="M41" s="154" t="s">
        <v>511</v>
      </c>
      <c r="N41" s="153"/>
      <c r="O41" s="155"/>
      <c r="P41" s="155"/>
      <c r="Q41" s="156"/>
      <c r="R41" s="156" t="s">
        <v>284</v>
      </c>
      <c r="S41" s="158">
        <v>0.98</v>
      </c>
      <c r="T41" s="158">
        <v>0.94</v>
      </c>
      <c r="U41" s="158">
        <v>0.9</v>
      </c>
      <c r="V41" s="158">
        <v>0.86</v>
      </c>
      <c r="W41" s="158">
        <v>0.82</v>
      </c>
      <c r="X41" s="158">
        <v>0.78</v>
      </c>
      <c r="Y41" s="158">
        <v>0.74</v>
      </c>
      <c r="Z41" s="158">
        <v>0.7</v>
      </c>
      <c r="AA41" s="158">
        <v>0.66</v>
      </c>
      <c r="AB41" s="158">
        <v>0.62</v>
      </c>
      <c r="AC41" s="158">
        <v>0.57999999999999996</v>
      </c>
      <c r="AD41" s="158">
        <v>0.54</v>
      </c>
      <c r="AE41" s="158">
        <v>0.5</v>
      </c>
      <c r="AF41" s="158">
        <v>0.46</v>
      </c>
      <c r="AG41" s="158">
        <v>0.42</v>
      </c>
      <c r="AH41" s="163">
        <f>MAX(AG41-4%,15%)</f>
        <v>0.38</v>
      </c>
      <c r="AI41" s="163">
        <f t="shared" ref="AI41:BP41" si="11">MAX(AH41-4%,15%)</f>
        <v>0.34</v>
      </c>
      <c r="AJ41" s="163">
        <f>MAX(AI41-4%,15%)</f>
        <v>0.30000000000000004</v>
      </c>
      <c r="AK41" s="163">
        <f>MAX(AJ41-4%,15%)</f>
        <v>0.26000000000000006</v>
      </c>
      <c r="AL41" s="163">
        <f>MAX(AK41-4%,15%)</f>
        <v>0.22000000000000006</v>
      </c>
      <c r="AM41" s="163">
        <f>MAX(AL41-4%,15%)</f>
        <v>0.18000000000000005</v>
      </c>
      <c r="AN41" s="163">
        <f t="shared" si="11"/>
        <v>0.15</v>
      </c>
      <c r="AO41" s="163">
        <f t="shared" si="11"/>
        <v>0.15</v>
      </c>
      <c r="AP41" s="163">
        <f t="shared" si="11"/>
        <v>0.15</v>
      </c>
      <c r="AQ41" s="163">
        <f t="shared" si="11"/>
        <v>0.15</v>
      </c>
      <c r="AR41" s="163">
        <f t="shared" si="11"/>
        <v>0.15</v>
      </c>
      <c r="AS41" s="163">
        <f t="shared" si="11"/>
        <v>0.15</v>
      </c>
      <c r="AT41" s="163">
        <f t="shared" si="11"/>
        <v>0.15</v>
      </c>
      <c r="AU41" s="163">
        <f t="shared" si="11"/>
        <v>0.15</v>
      </c>
      <c r="AV41" s="163">
        <f t="shared" si="11"/>
        <v>0.15</v>
      </c>
      <c r="AW41" s="163">
        <f t="shared" si="11"/>
        <v>0.15</v>
      </c>
      <c r="AX41" s="163">
        <f t="shared" si="11"/>
        <v>0.15</v>
      </c>
      <c r="AY41" s="163">
        <f t="shared" si="11"/>
        <v>0.15</v>
      </c>
      <c r="AZ41" s="163">
        <f t="shared" si="11"/>
        <v>0.15</v>
      </c>
      <c r="BA41" s="163">
        <f t="shared" si="11"/>
        <v>0.15</v>
      </c>
      <c r="BB41" s="163">
        <f t="shared" si="11"/>
        <v>0.15</v>
      </c>
      <c r="BC41" s="163">
        <f t="shared" si="11"/>
        <v>0.15</v>
      </c>
      <c r="BD41" s="163">
        <f t="shared" si="11"/>
        <v>0.15</v>
      </c>
      <c r="BE41" s="163">
        <f t="shared" si="11"/>
        <v>0.15</v>
      </c>
      <c r="BF41" s="163">
        <f t="shared" si="11"/>
        <v>0.15</v>
      </c>
      <c r="BG41" s="163">
        <f t="shared" si="11"/>
        <v>0.15</v>
      </c>
      <c r="BH41" s="163">
        <f t="shared" si="11"/>
        <v>0.15</v>
      </c>
      <c r="BI41" s="163">
        <f t="shared" si="11"/>
        <v>0.15</v>
      </c>
      <c r="BJ41" s="163">
        <f t="shared" si="11"/>
        <v>0.15</v>
      </c>
      <c r="BK41" s="163">
        <f t="shared" si="11"/>
        <v>0.15</v>
      </c>
      <c r="BL41" s="163">
        <f t="shared" si="11"/>
        <v>0.15</v>
      </c>
      <c r="BM41" s="163">
        <f t="shared" si="11"/>
        <v>0.15</v>
      </c>
      <c r="BN41" s="163">
        <f t="shared" si="11"/>
        <v>0.15</v>
      </c>
      <c r="BO41" s="163">
        <f t="shared" si="11"/>
        <v>0.15</v>
      </c>
      <c r="BP41" s="163">
        <f t="shared" si="11"/>
        <v>0.15</v>
      </c>
    </row>
    <row r="42" spans="1:68">
      <c r="M42" s="153"/>
      <c r="N42" s="153"/>
      <c r="O42" s="157"/>
      <c r="P42" s="155"/>
      <c r="Q42" s="156"/>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row>
    <row r="43" spans="1:68">
      <c r="M43" s="153"/>
      <c r="N43" s="153"/>
      <c r="O43" s="155"/>
      <c r="P43" s="156" t="s">
        <v>281</v>
      </c>
      <c r="Q43" s="156" t="s">
        <v>282</v>
      </c>
      <c r="R43" s="156" t="s">
        <v>283</v>
      </c>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row>
    <row r="44" spans="1:68">
      <c r="M44" s="153"/>
      <c r="N44" s="153"/>
      <c r="O44" s="156" t="s">
        <v>286</v>
      </c>
      <c r="P44" s="869">
        <f>'Property Tax for appendix'!F19</f>
        <v>0.35</v>
      </c>
      <c r="Q44" s="870">
        <f>'Property Tax for appendix'!E19</f>
        <v>5.5424333410341878E-2</v>
      </c>
      <c r="R44" s="161">
        <f ca="1">$F$27</f>
        <v>76.444999999999993</v>
      </c>
      <c r="S44" s="162">
        <f ca="1">$R44*(1+CONE_Calculations!Inflation)^(S$4-1)*$P44*$Q44</f>
        <v>1.4829196086437544</v>
      </c>
      <c r="T44" s="162">
        <f ca="1">$R44*(1+CONE_Calculations!Inflation)^(T$4-1)*$P44*$Q44</f>
        <v>1.5260951964662992</v>
      </c>
      <c r="U44" s="162">
        <f ca="1">$R44*(1+CONE_Calculations!Inflation)^(U$4-1)*$P44*$Q44</f>
        <v>1.5705278526915789</v>
      </c>
      <c r="V44" s="162">
        <f ca="1">$R44*(1+CONE_Calculations!Inflation)^(V$4-1)*$P44*$Q44</f>
        <v>1.6162541771911612</v>
      </c>
      <c r="W44" s="162">
        <f ca="1">$R44*(1+CONE_Calculations!Inflation)^(W$4-1)*$P44*$Q44</f>
        <v>1.663311835451337</v>
      </c>
      <c r="X44" s="162">
        <f ca="1">$R44*(1+CONE_Calculations!Inflation)^(X$4-1)*$P44*$Q44</f>
        <v>1.7117395895987699</v>
      </c>
      <c r="Y44" s="162">
        <f ca="1">$R44*(1+CONE_Calculations!Inflation)^(Y$4-1)*$P44*$Q44</f>
        <v>1.7615773303294628</v>
      </c>
      <c r="Z44" s="162">
        <f ca="1">$R44*(1+CONE_Calculations!Inflation)^(Z$4-1)*$P44*$Q44</f>
        <v>1.8128661097673475</v>
      </c>
      <c r="AA44" s="162">
        <f ca="1">$R44*(1+CONE_Calculations!Inflation)^(AA$4-1)*$P44*$Q44</f>
        <v>1.8656481752795568</v>
      </c>
      <c r="AB44" s="162">
        <f ca="1">$R44*(1+CONE_Calculations!Inflation)^(AB$4-1)*$P44*$Q44</f>
        <v>1.9199670042762433</v>
      </c>
      <c r="AC44" s="162">
        <f ca="1">$R44*(1+CONE_Calculations!Inflation)^(AC$4-1)*$P44*$Q44</f>
        <v>1.9758673400235942</v>
      </c>
      <c r="AD44" s="162">
        <f ca="1">$R44*(1+CONE_Calculations!Inflation)^(AD$4-1)*$P44*$Q44</f>
        <v>2.0333952284995642</v>
      </c>
      <c r="AE44" s="162">
        <f ca="1">$R44*(1+CONE_Calculations!Inflation)^(AE$4-1)*$P44*$Q44</f>
        <v>2.0925980563226583</v>
      </c>
      <c r="AF44" s="162">
        <f ca="1">$R44*(1+CONE_Calculations!Inflation)^(AF$4-1)*$P44*$Q44</f>
        <v>2.1535245897850328</v>
      </c>
      <c r="AG44" s="162">
        <f ca="1">$R44*(1+CONE_Calculations!Inflation)^(AG$4-1)*$P44*$Q44</f>
        <v>2.2162250150220486</v>
      </c>
      <c r="AH44" s="162">
        <f ca="1">$R44*(1+CONE_Calculations!Inflation)^(AH$4-1)*$P44*$Q44</f>
        <v>2.2807509793513749</v>
      </c>
      <c r="AI44" s="162">
        <f ca="1">$R44*(1+CONE_Calculations!Inflation)^(AI$4-1)*$P44*$Q44</f>
        <v>2.3471556338156856</v>
      </c>
      <c r="AJ44" s="162">
        <f ca="1">$R44*(1+CONE_Calculations!Inflation)^(AJ$4-1)*$P44*$Q44</f>
        <v>2.4154936769640076</v>
      </c>
      <c r="AK44" s="162">
        <f ca="1">$R44*(1+CONE_Calculations!Inflation)^(AK$4-1)*$P44*$Q44</f>
        <v>2.4858213999077639</v>
      </c>
      <c r="AL44" s="162">
        <f ca="1">$R44*(1+CONE_Calculations!Inflation)^(AL$4-1)*$P44*$Q44</f>
        <v>2.5581967326886401</v>
      </c>
      <c r="AM44" s="162">
        <f ca="1">$R44*(1+CONE_Calculations!Inflation)^(AM$4-1)*$P44*$Q44</f>
        <v>2.6326792919964648</v>
      </c>
      <c r="AN44" s="162">
        <f ca="1">$R44*(1+CONE_Calculations!Inflation)^(AN$4-1)*$P44*$Q44</f>
        <v>2.7093304302764056</v>
      </c>
      <c r="AO44" s="162">
        <f ca="1">$R44*(1+CONE_Calculations!Inflation)^(AO$4-1)*$P44*$Q44</f>
        <v>2.788213286265933</v>
      </c>
      <c r="AP44" s="162">
        <f ca="1">$R44*(1+CONE_Calculations!Inflation)^(AP$4-1)*$P44*$Q44</f>
        <v>2.869392837003184</v>
      </c>
      <c r="AQ44" s="162">
        <f ca="1">$R44*(1+CONE_Calculations!Inflation)^(AQ$4-1)*$P44*$Q44</f>
        <v>2.9529359513495619</v>
      </c>
      <c r="AR44" s="162">
        <f ca="1">$R44*(1+CONE_Calculations!Inflation)^(AR$4-1)*$P44*$Q44</f>
        <v>3.0389114450706591</v>
      </c>
      <c r="AS44" s="162">
        <f ca="1">$R44*(1+CONE_Calculations!Inflation)^(AS$4-1)*$P44*$Q44</f>
        <v>3.1273901375208739</v>
      </c>
      <c r="AT44" s="162">
        <f ca="1">$R44*(1+CONE_Calculations!Inflation)^(AT$4-1)*$P44*$Q44</f>
        <v>3.2184449099784218</v>
      </c>
      <c r="AU44" s="162">
        <f ca="1">$R44*(1+CONE_Calculations!Inflation)^(AU$4-1)*$P44*$Q44</f>
        <v>3.3121507656787745</v>
      </c>
      <c r="AV44" s="162">
        <f ca="1">$R44*(1+CONE_Calculations!Inflation)^(AV$4-1)*$P44*$Q44</f>
        <v>3.4085848915959995</v>
      </c>
      <c r="AW44" s="162">
        <f ca="1">$R44*(1+CONE_Calculations!Inflation)^(AW$4-1)*$P44*$Q44</f>
        <v>3.5078267220228674</v>
      </c>
      <c r="AX44" s="162">
        <f ca="1">$R44*(1+CONE_Calculations!Inflation)^(AX$4-1)*$P44*$Q44</f>
        <v>3.6099580040021264</v>
      </c>
      <c r="AY44" s="162">
        <f ca="1">$R44*(1+CONE_Calculations!Inflation)^(AY$4-1)*$P44*$Q44</f>
        <v>3.7150628646628054</v>
      </c>
      <c r="AZ44" s="162">
        <f ca="1">$R44*(1+CONE_Calculations!Inflation)^(AZ$4-1)*$P44*$Q44</f>
        <v>3.8232278805170514</v>
      </c>
      <c r="BA44" s="162">
        <f ca="1">$R44*(1+CONE_Calculations!Inflation)^(BA$4-1)*$P44*$Q44</f>
        <v>3.9345421487745424</v>
      </c>
      <c r="BB44" s="162">
        <f ca="1">$R44*(1+CONE_Calculations!Inflation)^(BB$4-1)*$P44*$Q44</f>
        <v>4.0490973607332572</v>
      </c>
      <c r="BC44" s="162">
        <f ca="1">$R44*(1+CONE_Calculations!Inflation)^(BC$4-1)*$P44*$Q44</f>
        <v>4.166987877307017</v>
      </c>
      <c r="BD44" s="162">
        <f ca="1">$R44*(1+CONE_Calculations!Inflation)^(BD$4-1)*$P44*$Q44</f>
        <v>4.2883108067520554</v>
      </c>
      <c r="BE44" s="162">
        <f ca="1">$R44*(1+CONE_Calculations!Inflation)^(BE$4-1)*$P44*$Q44</f>
        <v>4.4131660846565834</v>
      </c>
      <c r="BF44" s="162">
        <f ca="1">$R44*(1+CONE_Calculations!Inflation)^(BF$4-1)*$P44*$Q44</f>
        <v>4.5416565562593094</v>
      </c>
      <c r="BG44" s="162">
        <f ca="1">$R44*(1+CONE_Calculations!Inflation)^(BG$4-1)*$P44*$Q44</f>
        <v>4.6738880611646545</v>
      </c>
      <c r="BH44" s="162">
        <f ca="1">$R44*(1+CONE_Calculations!Inflation)^(BH$4-1)*$P44*$Q44</f>
        <v>4.8099695205244899</v>
      </c>
      <c r="BI44" s="162">
        <f ca="1">$R44*(1+CONE_Calculations!Inflation)^(BI$4-1)*$P44*$Q44</f>
        <v>4.9500130267581834</v>
      </c>
      <c r="BJ44" s="162">
        <f ca="1">$R44*(1+CONE_Calculations!Inflation)^(BJ$4-1)*$P44*$Q44</f>
        <v>5.0941339358848774</v>
      </c>
      <c r="BK44" s="162">
        <f ca="1">$R44*(1+CONE_Calculations!Inflation)^(BK$4-1)*$P44*$Q44</f>
        <v>5.2424509625440336</v>
      </c>
      <c r="BL44" s="162">
        <f ca="1">$R44*(1+CONE_Calculations!Inflation)^(BL$4-1)*$P44*$Q44</f>
        <v>5.395086277782541</v>
      </c>
      <c r="BM44" s="162">
        <f ca="1">$R44*(1+CONE_Calculations!Inflation)^(BM$4-1)*$P44*$Q44</f>
        <v>5.5521656096889034</v>
      </c>
      <c r="BN44" s="162">
        <f ca="1">$R44*(1+CONE_Calculations!Inflation)^(BN$4-1)*$P44*$Q44</f>
        <v>5.7138183469574315</v>
      </c>
      <c r="BO44" s="162">
        <f ca="1">$R44*(1+CONE_Calculations!Inflation)^(BO$4-1)*$P44*$Q44</f>
        <v>5.8801776454677199</v>
      </c>
      <c r="BP44" s="162">
        <f ca="1">$R44*(1+CONE_Calculations!Inflation)^(BP$4-1)*$P44*$Q44</f>
        <v>6.0513805379672316</v>
      </c>
    </row>
    <row r="45" spans="1:68">
      <c r="M45" s="153"/>
      <c r="N45" s="153"/>
      <c r="O45" s="156" t="s">
        <v>285</v>
      </c>
      <c r="P45" s="869">
        <f>'Property Tax for appendix'!J19</f>
        <v>0.24</v>
      </c>
      <c r="Q45" s="870">
        <f>'Property Tax for appendix'!I19</f>
        <v>5.5424333410341878E-2</v>
      </c>
      <c r="R45" s="161">
        <f ca="1">$G$27</f>
        <v>1184.5250000000001</v>
      </c>
      <c r="S45" s="162">
        <f ca="1">$R45*S$41*$P45*$Q45</f>
        <v>15.441234806934606</v>
      </c>
      <c r="T45" s="162">
        <f t="shared" ref="T45:BP45" ca="1" si="12">$R45*T$41*$P45*$Q45</f>
        <v>14.810980325018903</v>
      </c>
      <c r="U45" s="162">
        <f t="shared" ca="1" si="12"/>
        <v>14.180725843103207</v>
      </c>
      <c r="V45" s="162">
        <f t="shared" ca="1" si="12"/>
        <v>13.550471361187508</v>
      </c>
      <c r="W45" s="162">
        <f t="shared" ca="1" si="12"/>
        <v>12.920216879271809</v>
      </c>
      <c r="X45" s="162">
        <f t="shared" ca="1" si="12"/>
        <v>12.289962397356113</v>
      </c>
      <c r="Y45" s="162">
        <f t="shared" ca="1" si="12"/>
        <v>11.659707915440414</v>
      </c>
      <c r="Z45" s="162">
        <f t="shared" ca="1" si="12"/>
        <v>11.029453433524717</v>
      </c>
      <c r="AA45" s="162">
        <f t="shared" ca="1" si="12"/>
        <v>10.399198951609018</v>
      </c>
      <c r="AB45" s="162">
        <f t="shared" ca="1" si="12"/>
        <v>9.7689444696933201</v>
      </c>
      <c r="AC45" s="162">
        <f t="shared" ca="1" si="12"/>
        <v>9.1386899877776209</v>
      </c>
      <c r="AD45" s="162">
        <f t="shared" ca="1" si="12"/>
        <v>8.5084355058619252</v>
      </c>
      <c r="AE45" s="162">
        <f t="shared" ca="1" si="12"/>
        <v>7.878181023946226</v>
      </c>
      <c r="AF45" s="162">
        <f t="shared" ca="1" si="12"/>
        <v>7.2479265420305286</v>
      </c>
      <c r="AG45" s="162">
        <f t="shared" ca="1" si="12"/>
        <v>6.6176720601148293</v>
      </c>
      <c r="AH45" s="162">
        <f t="shared" ca="1" si="12"/>
        <v>5.987417578199131</v>
      </c>
      <c r="AI45" s="162">
        <f t="shared" ca="1" si="12"/>
        <v>5.3571630962834336</v>
      </c>
      <c r="AJ45" s="162">
        <f t="shared" ca="1" si="12"/>
        <v>4.7269086143677361</v>
      </c>
      <c r="AK45" s="162">
        <f t="shared" ca="1" si="12"/>
        <v>4.0966541324520378</v>
      </c>
      <c r="AL45" s="162">
        <f t="shared" ca="1" si="12"/>
        <v>3.4663996505363404</v>
      </c>
      <c r="AM45" s="162">
        <f t="shared" ca="1" si="12"/>
        <v>2.836145168620642</v>
      </c>
      <c r="AN45" s="162">
        <f t="shared" ca="1" si="12"/>
        <v>2.3634543071838676</v>
      </c>
      <c r="AO45" s="162">
        <f t="shared" ca="1" si="12"/>
        <v>2.3634543071838676</v>
      </c>
      <c r="AP45" s="162">
        <f t="shared" ca="1" si="12"/>
        <v>2.3634543071838676</v>
      </c>
      <c r="AQ45" s="162">
        <f t="shared" ca="1" si="12"/>
        <v>2.3634543071838676</v>
      </c>
      <c r="AR45" s="162">
        <f t="shared" ca="1" si="12"/>
        <v>2.3634543071838676</v>
      </c>
      <c r="AS45" s="162">
        <f t="shared" ca="1" si="12"/>
        <v>2.3634543071838676</v>
      </c>
      <c r="AT45" s="162">
        <f t="shared" ca="1" si="12"/>
        <v>2.3634543071838676</v>
      </c>
      <c r="AU45" s="162">
        <f t="shared" ca="1" si="12"/>
        <v>2.3634543071838676</v>
      </c>
      <c r="AV45" s="162">
        <f t="shared" ca="1" si="12"/>
        <v>2.3634543071838676</v>
      </c>
      <c r="AW45" s="162">
        <f t="shared" ca="1" si="12"/>
        <v>2.3634543071838676</v>
      </c>
      <c r="AX45" s="162">
        <f t="shared" ca="1" si="12"/>
        <v>2.3634543071838676</v>
      </c>
      <c r="AY45" s="162">
        <f t="shared" ca="1" si="12"/>
        <v>2.3634543071838676</v>
      </c>
      <c r="AZ45" s="162">
        <f t="shared" ca="1" si="12"/>
        <v>2.3634543071838676</v>
      </c>
      <c r="BA45" s="162">
        <f t="shared" ca="1" si="12"/>
        <v>2.3634543071838676</v>
      </c>
      <c r="BB45" s="162">
        <f t="shared" ca="1" si="12"/>
        <v>2.3634543071838676</v>
      </c>
      <c r="BC45" s="162">
        <f t="shared" ca="1" si="12"/>
        <v>2.3634543071838676</v>
      </c>
      <c r="BD45" s="162">
        <f t="shared" ca="1" si="12"/>
        <v>2.3634543071838676</v>
      </c>
      <c r="BE45" s="162">
        <f t="shared" ca="1" si="12"/>
        <v>2.3634543071838676</v>
      </c>
      <c r="BF45" s="162">
        <f t="shared" ca="1" si="12"/>
        <v>2.3634543071838676</v>
      </c>
      <c r="BG45" s="162">
        <f t="shared" ca="1" si="12"/>
        <v>2.3634543071838676</v>
      </c>
      <c r="BH45" s="162">
        <f t="shared" ca="1" si="12"/>
        <v>2.3634543071838676</v>
      </c>
      <c r="BI45" s="162">
        <f t="shared" ca="1" si="12"/>
        <v>2.3634543071838676</v>
      </c>
      <c r="BJ45" s="162">
        <f t="shared" ca="1" si="12"/>
        <v>2.3634543071838676</v>
      </c>
      <c r="BK45" s="162">
        <f t="shared" ca="1" si="12"/>
        <v>2.3634543071838676</v>
      </c>
      <c r="BL45" s="162">
        <f t="shared" ca="1" si="12"/>
        <v>2.3634543071838676</v>
      </c>
      <c r="BM45" s="162">
        <f t="shared" ca="1" si="12"/>
        <v>2.3634543071838676</v>
      </c>
      <c r="BN45" s="162">
        <f t="shared" ca="1" si="12"/>
        <v>2.3634543071838676</v>
      </c>
      <c r="BO45" s="162">
        <f t="shared" ca="1" si="12"/>
        <v>2.3634543071838676</v>
      </c>
      <c r="BP45" s="162">
        <f t="shared" ca="1" si="12"/>
        <v>2.3634543071838676</v>
      </c>
    </row>
    <row r="46" spans="1:68">
      <c r="M46" s="153"/>
      <c r="N46" s="153"/>
      <c r="O46" s="156"/>
      <c r="P46" s="159"/>
      <c r="Q46" s="160"/>
      <c r="R46" s="161"/>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62"/>
      <c r="AU46" s="162"/>
      <c r="AV46" s="162"/>
      <c r="AW46" s="162"/>
      <c r="AX46" s="162"/>
      <c r="AY46" s="162"/>
      <c r="AZ46" s="162"/>
      <c r="BA46" s="162"/>
      <c r="BB46" s="162"/>
      <c r="BC46" s="162"/>
      <c r="BD46" s="162"/>
      <c r="BE46" s="162"/>
      <c r="BF46" s="162"/>
      <c r="BG46" s="162"/>
      <c r="BH46" s="162"/>
      <c r="BI46" s="162"/>
      <c r="BJ46" s="162"/>
      <c r="BK46" s="162"/>
      <c r="BL46" s="162"/>
      <c r="BM46" s="162"/>
      <c r="BN46" s="162"/>
      <c r="BO46" s="162"/>
      <c r="BP46" s="162"/>
    </row>
    <row r="47" spans="1:68">
      <c r="M47" s="154" t="s">
        <v>512</v>
      </c>
      <c r="N47" s="153"/>
      <c r="O47" s="156"/>
      <c r="P47" s="159"/>
      <c r="Q47" s="160"/>
      <c r="R47" s="161"/>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c r="BG47" s="162"/>
      <c r="BH47" s="162"/>
      <c r="BI47" s="162"/>
      <c r="BJ47" s="162"/>
      <c r="BK47" s="162"/>
      <c r="BL47" s="162"/>
      <c r="BM47" s="162"/>
      <c r="BN47" s="162"/>
      <c r="BO47" s="162"/>
      <c r="BP47" s="162"/>
    </row>
    <row r="48" spans="1:68">
      <c r="M48" s="153"/>
      <c r="N48" s="153"/>
      <c r="O48" s="155"/>
      <c r="P48" s="156" t="s">
        <v>281</v>
      </c>
      <c r="Q48" s="156" t="s">
        <v>282</v>
      </c>
      <c r="R48" s="156" t="s">
        <v>283</v>
      </c>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7"/>
    </row>
    <row r="49" spans="13:68">
      <c r="M49" s="153"/>
      <c r="N49" s="153"/>
      <c r="O49" s="156" t="s">
        <v>286</v>
      </c>
      <c r="P49" s="869">
        <f>'Property Tax for appendix'!F22</f>
        <v>1</v>
      </c>
      <c r="Q49" s="870">
        <f>'Property Tax for appendix'!E22</f>
        <v>2.7172851851851851E-2</v>
      </c>
      <c r="R49" s="161">
        <f ca="1">R44</f>
        <v>76.444999999999993</v>
      </c>
      <c r="S49" s="162">
        <f ca="1">$R49*(1+CONE_Calculations!Inflation)^(S$4-1)*$P49*$Q49</f>
        <v>2.0772286598148146</v>
      </c>
      <c r="T49" s="162">
        <f ca="1">$R49*(1+CONE_Calculations!Inflation)^(T$4-1)*$P49*$Q49</f>
        <v>2.1377077093240229</v>
      </c>
      <c r="U49" s="162">
        <f ca="1">$R49*(1+CONE_Calculations!Inflation)^(U$4-1)*$P49*$Q49</f>
        <v>2.199947621996877</v>
      </c>
      <c r="V49" s="162">
        <f ca="1">$R49*(1+CONE_Calculations!Inflation)^(V$4-1)*$P49*$Q49</f>
        <v>2.2639996658196671</v>
      </c>
      <c r="W49" s="162">
        <f ca="1">$R49*(1+CONE_Calculations!Inflation)^(W$4-1)*$P49*$Q49</f>
        <v>2.3299166014593595</v>
      </c>
      <c r="X49" s="162">
        <f ca="1">$R49*(1+CONE_Calculations!Inflation)^(X$4-1)*$P49*$Q49</f>
        <v>2.3977527257233824</v>
      </c>
      <c r="Y49" s="162">
        <f ca="1">$R49*(1+CONE_Calculations!Inflation)^(Y$4-1)*$P49*$Q49</f>
        <v>2.4675639162847478</v>
      </c>
      <c r="Z49" s="162">
        <f ca="1">$R49*(1+CONE_Calculations!Inflation)^(Z$4-1)*$P49*$Q49</f>
        <v>2.5394076777093697</v>
      </c>
      <c r="AA49" s="162">
        <f ca="1">$R49*(1+CONE_Calculations!Inflation)^(AA$4-1)*$P49*$Q49</f>
        <v>2.6133431888234608</v>
      </c>
      <c r="AB49" s="162">
        <f ca="1">$R49*(1+CONE_Calculations!Inflation)^(AB$4-1)*$P49*$Q49</f>
        <v>2.6894313514600658</v>
      </c>
      <c r="AC49" s="162">
        <f ca="1">$R49*(1+CONE_Calculations!Inflation)^(AC$4-1)*$P49*$Q49</f>
        <v>2.7677348406248412</v>
      </c>
      <c r="AD49" s="162">
        <f ca="1">$R49*(1+CONE_Calculations!Inflation)^(AD$4-1)*$P49*$Q49</f>
        <v>2.8483181561224393</v>
      </c>
      <c r="AE49" s="162">
        <f ca="1">$R49*(1+CONE_Calculations!Inflation)^(AE$4-1)*$P49*$Q49</f>
        <v>2.9312476756860018</v>
      </c>
      <c r="AF49" s="162">
        <f ca="1">$R49*(1+CONE_Calculations!Inflation)^(AF$4-1)*$P49*$Q49</f>
        <v>3.0165917096535333</v>
      </c>
      <c r="AG49" s="162">
        <f ca="1">$R49*(1+CONE_Calculations!Inflation)^(AG$4-1)*$P49*$Q49</f>
        <v>3.1044205572361907</v>
      </c>
      <c r="AH49" s="162">
        <f ca="1">$R49*(1+CONE_Calculations!Inflation)^(AH$4-1)*$P49*$Q49</f>
        <v>3.1948065644248405</v>
      </c>
      <c r="AI49" s="162">
        <f ca="1">$R49*(1+CONE_Calculations!Inflation)^(AI$4-1)*$P49*$Q49</f>
        <v>3.2878241835825781</v>
      </c>
      <c r="AJ49" s="162">
        <f ca="1">$R49*(1+CONE_Calculations!Inflation)^(AJ$4-1)*$P49*$Q49</f>
        <v>3.383550034772302</v>
      </c>
      <c r="AK49" s="162">
        <f ca="1">$R49*(1+CONE_Calculations!Inflation)^(AK$4-1)*$P49*$Q49</f>
        <v>3.4820629688698519</v>
      </c>
      <c r="AL49" s="162">
        <f ca="1">$R49*(1+CONE_Calculations!Inflation)^(AL$4-1)*$P49*$Q49</f>
        <v>3.5834441325147024</v>
      </c>
      <c r="AM49" s="162">
        <f ca="1">$R49*(1+CONE_Calculations!Inflation)^(AM$4-1)*$P49*$Q49</f>
        <v>3.6877770349517207</v>
      </c>
      <c r="AN49" s="162">
        <f ca="1">$R49*(1+CONE_Calculations!Inflation)^(AN$4-1)*$P49*$Q49</f>
        <v>3.7951476168190297</v>
      </c>
      <c r="AO49" s="162">
        <f ca="1">$R49*(1+CONE_Calculations!Inflation)^(AO$4-1)*$P49*$Q49</f>
        <v>3.9056443209386491</v>
      </c>
      <c r="AP49" s="162">
        <f ca="1">$R49*(1+CONE_Calculations!Inflation)^(AP$4-1)*$P49*$Q49</f>
        <v>4.0193581651682315</v>
      </c>
      <c r="AQ49" s="162">
        <f ca="1">$R49*(1+CONE_Calculations!Inflation)^(AQ$4-1)*$P49*$Q49</f>
        <v>4.136382817373887</v>
      </c>
      <c r="AR49" s="162">
        <f ca="1">$R49*(1+CONE_Calculations!Inflation)^(AR$4-1)*$P49*$Q49</f>
        <v>4.2568146725858673</v>
      </c>
      <c r="AS49" s="162">
        <f ca="1">$R49*(1+CONE_Calculations!Inflation)^(AS$4-1)*$P49*$Q49</f>
        <v>4.380752932400652</v>
      </c>
      <c r="AT49" s="162">
        <f ca="1">$R49*(1+CONE_Calculations!Inflation)^(AT$4-1)*$P49*$Q49</f>
        <v>4.5082996866948513</v>
      </c>
      <c r="AU49" s="162">
        <f ca="1">$R49*(1+CONE_Calculations!Inflation)^(AU$4-1)*$P49*$Q49</f>
        <v>4.6395599977182282</v>
      </c>
      <c r="AV49" s="162">
        <f ca="1">$R49*(1+CONE_Calculations!Inflation)^(AV$4-1)*$P49*$Q49</f>
        <v>4.7746419866351149</v>
      </c>
      <c r="AW49" s="162">
        <f ca="1">$R49*(1+CONE_Calculations!Inflation)^(AW$4-1)*$P49*$Q49</f>
        <v>4.9136569225854938</v>
      </c>
      <c r="AX49" s="162">
        <f ca="1">$R49*(1+CONE_Calculations!Inflation)^(AX$4-1)*$P49*$Q49</f>
        <v>5.0567193143391318</v>
      </c>
      <c r="AY49" s="162">
        <f ca="1">$R49*(1+CONE_Calculations!Inflation)^(AY$4-1)*$P49*$Q49</f>
        <v>5.2039470046182306</v>
      </c>
      <c r="AZ49" s="162">
        <f ca="1">$R49*(1+CONE_Calculations!Inflation)^(AZ$4-1)*$P49*$Q49</f>
        <v>5.355461267166322</v>
      </c>
      <c r="BA49" s="162">
        <f ca="1">$R49*(1+CONE_Calculations!Inflation)^(BA$4-1)*$P49*$Q49</f>
        <v>5.5113869066433328</v>
      </c>
      <c r="BB49" s="162">
        <f ca="1">$R49*(1+CONE_Calculations!Inflation)^(BB$4-1)*$P49*$Q49</f>
        <v>5.6718523614291341</v>
      </c>
      <c r="BC49" s="162">
        <f ca="1">$R49*(1+CONE_Calculations!Inflation)^(BC$4-1)*$P49*$Q49</f>
        <v>5.836989809420233</v>
      </c>
      <c r="BD49" s="162">
        <f ca="1">$R49*(1+CONE_Calculations!Inflation)^(BD$4-1)*$P49*$Q49</f>
        <v>6.0069352769067752</v>
      </c>
      <c r="BE49" s="162">
        <f ca="1">$R49*(1+CONE_Calculations!Inflation)^(BE$4-1)*$P49*$Q49</f>
        <v>6.1818287506195055</v>
      </c>
      <c r="BF49" s="162">
        <f ca="1">$R49*(1+CONE_Calculations!Inflation)^(BF$4-1)*$P49*$Q49</f>
        <v>6.3618142930390364</v>
      </c>
      <c r="BG49" s="162">
        <f ca="1">$R49*(1+CONE_Calculations!Inflation)^(BG$4-1)*$P49*$Q49</f>
        <v>6.5470401610623465</v>
      </c>
      <c r="BH49" s="162">
        <f ca="1">$R49*(1+CONE_Calculations!Inflation)^(BH$4-1)*$P49*$Q49</f>
        <v>6.7376589281243051</v>
      </c>
      <c r="BI49" s="162">
        <f ca="1">$R49*(1+CONE_Calculations!Inflation)^(BI$4-1)*$P49*$Q49</f>
        <v>6.9338276098747844</v>
      </c>
      <c r="BJ49" s="162">
        <f ca="1">$R49*(1+CONE_Calculations!Inflation)^(BJ$4-1)*$P49*$Q49</f>
        <v>7.1357077935149045</v>
      </c>
      <c r="BK49" s="162">
        <f ca="1">$R49*(1+CONE_Calculations!Inflation)^(BK$4-1)*$P49*$Q49</f>
        <v>7.3434657708989164</v>
      </c>
      <c r="BL49" s="162">
        <f ca="1">$R49*(1+CONE_Calculations!Inflation)^(BL$4-1)*$P49*$Q49</f>
        <v>7.5572726755114141</v>
      </c>
      <c r="BM49" s="162">
        <f ca="1">$R49*(1+CONE_Calculations!Inflation)^(BM$4-1)*$P49*$Q49</f>
        <v>7.7773046234326335</v>
      </c>
      <c r="BN49" s="162">
        <f ca="1">$R49*(1+CONE_Calculations!Inflation)^(BN$4-1)*$P49*$Q49</f>
        <v>8.0037428584080317</v>
      </c>
      <c r="BO49" s="162">
        <f ca="1">$R49*(1+CONE_Calculations!Inflation)^(BO$4-1)*$P49*$Q49</f>
        <v>8.2367739011415662</v>
      </c>
      <c r="BP49" s="162">
        <f ca="1">$R49*(1+CONE_Calculations!Inflation)^(BP$4-1)*$P49*$Q49</f>
        <v>8.4765897029357244</v>
      </c>
    </row>
    <row r="50" spans="13:68" ht="15" customHeight="1">
      <c r="M50" s="153"/>
      <c r="N50" s="153"/>
      <c r="O50" s="156"/>
      <c r="P50" s="159"/>
      <c r="Q50" s="160"/>
      <c r="R50" s="161"/>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row>
    <row r="51" spans="13:68" ht="15" customHeight="1">
      <c r="M51" s="153"/>
      <c r="N51" s="153"/>
      <c r="O51" s="157"/>
      <c r="P51" s="156"/>
      <c r="Q51" s="156"/>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N51" s="157"/>
      <c r="AO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7"/>
    </row>
    <row r="52" spans="13:68">
      <c r="M52" s="154" t="s">
        <v>513</v>
      </c>
      <c r="N52" s="153"/>
      <c r="O52" s="155"/>
      <c r="P52" s="155"/>
      <c r="Q52" s="156"/>
      <c r="R52" s="157"/>
      <c r="S52" s="157"/>
      <c r="T52" s="157"/>
      <c r="U52" s="157"/>
      <c r="V52" s="157"/>
      <c r="W52" s="157"/>
      <c r="X52" s="157"/>
      <c r="Y52" s="157"/>
      <c r="Z52" s="157"/>
      <c r="AA52" s="157"/>
      <c r="AB52" s="157"/>
      <c r="AC52" s="157"/>
      <c r="AD52" s="157"/>
      <c r="AE52" s="157"/>
      <c r="AF52" s="157"/>
      <c r="AG52" s="157"/>
      <c r="AH52" s="157"/>
      <c r="AI52" s="157"/>
      <c r="AJ52" s="157"/>
      <c r="AK52" s="157"/>
      <c r="AL52" s="157"/>
      <c r="AM52" s="157"/>
      <c r="AN52" s="157"/>
      <c r="AO52" s="157"/>
      <c r="AP52" s="157"/>
      <c r="AQ52" s="157"/>
      <c r="AR52" s="157"/>
      <c r="AS52" s="157"/>
      <c r="AT52" s="157"/>
      <c r="AU52" s="157"/>
      <c r="AV52" s="157"/>
      <c r="AW52" s="157"/>
      <c r="AX52" s="157"/>
      <c r="AY52" s="157"/>
      <c r="AZ52" s="157"/>
      <c r="BA52" s="157"/>
      <c r="BB52" s="157"/>
      <c r="BC52" s="157"/>
      <c r="BD52" s="157"/>
      <c r="BE52" s="157"/>
      <c r="BF52" s="157"/>
      <c r="BG52" s="157"/>
      <c r="BH52" s="157"/>
      <c r="BI52" s="157"/>
      <c r="BJ52" s="157"/>
      <c r="BK52" s="157"/>
      <c r="BL52" s="157"/>
      <c r="BM52" s="157"/>
      <c r="BN52" s="157"/>
      <c r="BO52" s="157"/>
      <c r="BP52" s="157"/>
    </row>
    <row r="53" spans="13:68">
      <c r="M53" s="153"/>
      <c r="N53" s="153"/>
      <c r="O53" s="157"/>
      <c r="P53" s="155"/>
      <c r="Q53" s="156"/>
      <c r="R53" s="156" t="s">
        <v>284</v>
      </c>
      <c r="S53" s="158">
        <v>0.98</v>
      </c>
      <c r="T53" s="158">
        <v>0.94</v>
      </c>
      <c r="U53" s="158">
        <v>0.9</v>
      </c>
      <c r="V53" s="158">
        <v>0.86</v>
      </c>
      <c r="W53" s="158">
        <v>0.82</v>
      </c>
      <c r="X53" s="158">
        <v>0.78</v>
      </c>
      <c r="Y53" s="158">
        <v>0.74</v>
      </c>
      <c r="Z53" s="158">
        <v>0.7</v>
      </c>
      <c r="AA53" s="158">
        <v>0.66</v>
      </c>
      <c r="AB53" s="158">
        <v>0.62</v>
      </c>
      <c r="AC53" s="158">
        <v>0.57999999999999996</v>
      </c>
      <c r="AD53" s="158">
        <v>0.54</v>
      </c>
      <c r="AE53" s="158">
        <v>0.5</v>
      </c>
      <c r="AF53" s="158">
        <v>0.46</v>
      </c>
      <c r="AG53" s="158">
        <v>0.42</v>
      </c>
      <c r="AH53" s="163">
        <f>MAX(AG53-4%,15%)</f>
        <v>0.38</v>
      </c>
      <c r="AI53" s="163">
        <f t="shared" ref="AI53:BP53" si="13">MAX(AH53-4%,15%)</f>
        <v>0.34</v>
      </c>
      <c r="AJ53" s="163">
        <f t="shared" si="13"/>
        <v>0.30000000000000004</v>
      </c>
      <c r="AK53" s="163">
        <f t="shared" si="13"/>
        <v>0.26000000000000006</v>
      </c>
      <c r="AL53" s="163">
        <f t="shared" si="13"/>
        <v>0.22000000000000006</v>
      </c>
      <c r="AM53" s="163">
        <f t="shared" si="13"/>
        <v>0.18000000000000005</v>
      </c>
      <c r="AN53" s="163">
        <f t="shared" si="13"/>
        <v>0.15</v>
      </c>
      <c r="AO53" s="163">
        <f t="shared" si="13"/>
        <v>0.15</v>
      </c>
      <c r="AP53" s="163">
        <f t="shared" si="13"/>
        <v>0.15</v>
      </c>
      <c r="AQ53" s="163">
        <f t="shared" si="13"/>
        <v>0.15</v>
      </c>
      <c r="AR53" s="163">
        <f t="shared" si="13"/>
        <v>0.15</v>
      </c>
      <c r="AS53" s="163">
        <f t="shared" si="13"/>
        <v>0.15</v>
      </c>
      <c r="AT53" s="163">
        <f t="shared" si="13"/>
        <v>0.15</v>
      </c>
      <c r="AU53" s="163">
        <f t="shared" si="13"/>
        <v>0.15</v>
      </c>
      <c r="AV53" s="163">
        <f t="shared" si="13"/>
        <v>0.15</v>
      </c>
      <c r="AW53" s="163">
        <f t="shared" si="13"/>
        <v>0.15</v>
      </c>
      <c r="AX53" s="163">
        <f t="shared" si="13"/>
        <v>0.15</v>
      </c>
      <c r="AY53" s="163">
        <f t="shared" si="13"/>
        <v>0.15</v>
      </c>
      <c r="AZ53" s="163">
        <f t="shared" si="13"/>
        <v>0.15</v>
      </c>
      <c r="BA53" s="163">
        <f t="shared" si="13"/>
        <v>0.15</v>
      </c>
      <c r="BB53" s="163">
        <f t="shared" si="13"/>
        <v>0.15</v>
      </c>
      <c r="BC53" s="163">
        <f t="shared" si="13"/>
        <v>0.15</v>
      </c>
      <c r="BD53" s="163">
        <f t="shared" si="13"/>
        <v>0.15</v>
      </c>
      <c r="BE53" s="163">
        <f t="shared" si="13"/>
        <v>0.15</v>
      </c>
      <c r="BF53" s="163">
        <f t="shared" si="13"/>
        <v>0.15</v>
      </c>
      <c r="BG53" s="163">
        <f t="shared" si="13"/>
        <v>0.15</v>
      </c>
      <c r="BH53" s="163">
        <f t="shared" si="13"/>
        <v>0.15</v>
      </c>
      <c r="BI53" s="163">
        <f t="shared" si="13"/>
        <v>0.15</v>
      </c>
      <c r="BJ53" s="163">
        <f t="shared" si="13"/>
        <v>0.15</v>
      </c>
      <c r="BK53" s="163">
        <f t="shared" si="13"/>
        <v>0.15</v>
      </c>
      <c r="BL53" s="163">
        <f t="shared" si="13"/>
        <v>0.15</v>
      </c>
      <c r="BM53" s="163">
        <f t="shared" si="13"/>
        <v>0.15</v>
      </c>
      <c r="BN53" s="163">
        <f t="shared" si="13"/>
        <v>0.15</v>
      </c>
      <c r="BO53" s="163">
        <f t="shared" si="13"/>
        <v>0.15</v>
      </c>
      <c r="BP53" s="163">
        <f t="shared" si="13"/>
        <v>0.15</v>
      </c>
    </row>
    <row r="54" spans="13:68">
      <c r="M54" s="153"/>
      <c r="N54" s="153"/>
      <c r="O54" s="157"/>
      <c r="P54" s="155"/>
      <c r="Q54" s="156"/>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7"/>
      <c r="AP54" s="157"/>
      <c r="AQ54" s="157"/>
      <c r="AR54" s="157"/>
      <c r="AS54" s="157"/>
      <c r="AT54" s="157"/>
      <c r="AU54" s="157"/>
      <c r="AV54" s="157"/>
      <c r="AW54" s="157"/>
      <c r="AX54" s="157"/>
      <c r="AY54" s="157"/>
      <c r="AZ54" s="157"/>
      <c r="BA54" s="157"/>
      <c r="BB54" s="157"/>
      <c r="BC54" s="157"/>
      <c r="BD54" s="157"/>
      <c r="BE54" s="157"/>
      <c r="BF54" s="157"/>
      <c r="BG54" s="157"/>
      <c r="BH54" s="157"/>
      <c r="BI54" s="157"/>
      <c r="BJ54" s="157"/>
      <c r="BK54" s="157"/>
      <c r="BL54" s="157"/>
      <c r="BM54" s="157"/>
      <c r="BN54" s="157"/>
      <c r="BO54" s="157"/>
      <c r="BP54" s="157"/>
    </row>
    <row r="55" spans="13:68">
      <c r="M55" s="153"/>
      <c r="N55" s="153"/>
      <c r="O55" s="155"/>
      <c r="P55" s="156" t="s">
        <v>281</v>
      </c>
      <c r="Q55" s="156" t="s">
        <v>282</v>
      </c>
      <c r="R55" s="156" t="s">
        <v>283</v>
      </c>
      <c r="S55" s="157"/>
      <c r="T55" s="157"/>
      <c r="U55" s="157"/>
      <c r="V55" s="157"/>
      <c r="W55" s="157"/>
      <c r="X55" s="157"/>
      <c r="Y55" s="157"/>
      <c r="Z55" s="157"/>
      <c r="AA55" s="157"/>
      <c r="AB55" s="157"/>
      <c r="AC55" s="157"/>
      <c r="AD55" s="157"/>
      <c r="AE55" s="157"/>
      <c r="AF55" s="157"/>
      <c r="AG55" s="157"/>
      <c r="AH55" s="157"/>
      <c r="AI55" s="157"/>
      <c r="AJ55" s="157"/>
      <c r="AK55" s="157"/>
      <c r="AL55" s="157"/>
      <c r="AM55" s="157"/>
      <c r="AN55" s="157"/>
      <c r="AO55" s="157"/>
      <c r="AP55" s="157"/>
      <c r="AQ55" s="157"/>
      <c r="AR55" s="157"/>
      <c r="AS55" s="157"/>
      <c r="AT55" s="157"/>
      <c r="AU55" s="157"/>
      <c r="AV55" s="157"/>
      <c r="AW55" s="157"/>
      <c r="AX55" s="157"/>
      <c r="AY55" s="157"/>
      <c r="AZ55" s="157"/>
      <c r="BA55" s="157"/>
      <c r="BB55" s="157"/>
      <c r="BC55" s="157"/>
      <c r="BD55" s="157"/>
      <c r="BE55" s="157"/>
      <c r="BF55" s="157"/>
      <c r="BG55" s="157"/>
      <c r="BH55" s="157"/>
      <c r="BI55" s="157"/>
      <c r="BJ55" s="157"/>
      <c r="BK55" s="157"/>
      <c r="BL55" s="157"/>
      <c r="BM55" s="157"/>
      <c r="BN55" s="157"/>
      <c r="BO55" s="157"/>
      <c r="BP55" s="157"/>
    </row>
    <row r="56" spans="13:68">
      <c r="M56" s="153"/>
      <c r="N56" s="153"/>
      <c r="O56" s="156" t="s">
        <v>286</v>
      </c>
      <c r="P56" s="159">
        <f>P44</f>
        <v>0.35</v>
      </c>
      <c r="Q56" s="160">
        <f>Q44</f>
        <v>5.5424333410341878E-2</v>
      </c>
      <c r="R56" s="161">
        <f ca="1">F22</f>
        <v>8.2710000000000008</v>
      </c>
      <c r="S56" s="162">
        <f ca="1">$R56*(1+CONE_Calculations!Inflation)^(S$4-1)*$P56*$Q56</f>
        <v>0.16044513157292817</v>
      </c>
      <c r="T56" s="162">
        <f ca="1">$R56*(1+CONE_Calculations!Inflation)^(T$4-1)*$P56*$Q56</f>
        <v>0.16511653306263016</v>
      </c>
      <c r="U56" s="162">
        <f ca="1">$R56*(1+CONE_Calculations!Inflation)^(U$4-1)*$P56*$Q56</f>
        <v>0.1699239436145209</v>
      </c>
      <c r="V56" s="162">
        <f ca="1">$R56*(1+CONE_Calculations!Inflation)^(V$4-1)*$P56*$Q56</f>
        <v>0.17487132316761195</v>
      </c>
      <c r="W56" s="162">
        <f ca="1">$R56*(1+CONE_Calculations!Inflation)^(W$4-1)*$P56*$Q56</f>
        <v>0.17996274695556294</v>
      </c>
      <c r="X56" s="162">
        <f ca="1">$R56*(1+CONE_Calculations!Inflation)^(X$4-1)*$P56*$Q56</f>
        <v>0.18520240886351533</v>
      </c>
      <c r="Y56" s="162">
        <f ca="1">$R56*(1+CONE_Calculations!Inflation)^(Y$4-1)*$P56*$Q56</f>
        <v>0.1905946248826606</v>
      </c>
      <c r="Z56" s="162">
        <f ca="1">$R56*(1+CONE_Calculations!Inflation)^(Z$4-1)*$P56*$Q56</f>
        <v>0.1961438366653899</v>
      </c>
      <c r="AA56" s="162">
        <f ca="1">$R56*(1+CONE_Calculations!Inflation)^(AA$4-1)*$P56*$Q56</f>
        <v>0.20185461518395212</v>
      </c>
      <c r="AB56" s="162">
        <f ca="1">$R56*(1+CONE_Calculations!Inflation)^(AB$4-1)*$P56*$Q56</f>
        <v>0.2077316644956349</v>
      </c>
      <c r="AC56" s="162">
        <f ca="1">$R56*(1+CONE_Calculations!Inflation)^(AC$4-1)*$P56*$Q56</f>
        <v>0.2137798256175702</v>
      </c>
      <c r="AD56" s="162">
        <f ca="1">$R56*(1+CONE_Calculations!Inflation)^(AD$4-1)*$P56*$Q56</f>
        <v>0.22000408051435541</v>
      </c>
      <c r="AE56" s="162">
        <f ca="1">$R56*(1+CONE_Calculations!Inflation)^(AE$4-1)*$P56*$Q56</f>
        <v>0.22640955620177522</v>
      </c>
      <c r="AF56" s="162">
        <f ca="1">$R56*(1+CONE_Calculations!Inflation)^(AF$4-1)*$P56*$Q56</f>
        <v>0.2330015289700047</v>
      </c>
      <c r="AG56" s="162">
        <f ca="1">$R56*(1+CONE_Calculations!Inflation)^(AG$4-1)*$P56*$Q56</f>
        <v>0.23978542872977132</v>
      </c>
      <c r="AH56" s="162">
        <f ca="1">$R56*(1+CONE_Calculations!Inflation)^(AH$4-1)*$P56*$Q56</f>
        <v>0.24676684348505756</v>
      </c>
      <c r="AI56" s="162">
        <f ca="1">$R56*(1+CONE_Calculations!Inflation)^(AI$4-1)*$P56*$Q56</f>
        <v>0.25395152393602644</v>
      </c>
      <c r="AJ56" s="162">
        <f ca="1">$R56*(1+CONE_Calculations!Inflation)^(AJ$4-1)*$P56*$Q56</f>
        <v>0.2613453882159632</v>
      </c>
      <c r="AK56" s="162">
        <f ca="1">$R56*(1+CONE_Calculations!Inflation)^(AK$4-1)*$P56*$Q56</f>
        <v>0.26895452676613402</v>
      </c>
      <c r="AL56" s="162">
        <f ca="1">$R56*(1+CONE_Calculations!Inflation)^(AL$4-1)*$P56*$Q56</f>
        <v>0.27678520735257695</v>
      </c>
      <c r="AM56" s="162">
        <f ca="1">$R56*(1+CONE_Calculations!Inflation)^(AM$4-1)*$P56*$Q56</f>
        <v>0.2848438802289589</v>
      </c>
      <c r="AN56" s="162">
        <f ca="1">$R56*(1+CONE_Calculations!Inflation)^(AN$4-1)*$P56*$Q56</f>
        <v>0.29313718344975026</v>
      </c>
      <c r="AO56" s="162">
        <f ca="1">$R56*(1+CONE_Calculations!Inflation)^(AO$4-1)*$P56*$Q56</f>
        <v>0.30167194833809319</v>
      </c>
      <c r="AP56" s="162">
        <f ca="1">$R56*(1+CONE_Calculations!Inflation)^(AP$4-1)*$P56*$Q56</f>
        <v>0.31045520511286995</v>
      </c>
      <c r="AQ56" s="162">
        <f ca="1">$R56*(1+CONE_Calculations!Inflation)^(AQ$4-1)*$P56*$Q56</f>
        <v>0.31949418867960278</v>
      </c>
      <c r="AR56" s="162">
        <f ca="1">$R56*(1+CONE_Calculations!Inflation)^(AR$4-1)*$P56*$Q56</f>
        <v>0.32879634458995916</v>
      </c>
      <c r="AS56" s="162">
        <f ca="1">$R56*(1+CONE_Calculations!Inflation)^(AS$4-1)*$P56*$Q56</f>
        <v>0.33836933517476819</v>
      </c>
      <c r="AT56" s="162">
        <f ca="1">$R56*(1+CONE_Calculations!Inflation)^(AT$4-1)*$P56*$Q56</f>
        <v>0.34822104585560254</v>
      </c>
      <c r="AU56" s="162">
        <f ca="1">$R56*(1+CONE_Calculations!Inflation)^(AU$4-1)*$P56*$Q56</f>
        <v>0.35835959164012232</v>
      </c>
      <c r="AV56" s="162">
        <f ca="1">$R56*(1+CONE_Calculations!Inflation)^(AV$4-1)*$P56*$Q56</f>
        <v>0.36879332380653435</v>
      </c>
      <c r="AW56" s="162">
        <f ca="1">$R56*(1+CONE_Calculations!Inflation)^(AW$4-1)*$P56*$Q56</f>
        <v>0.37953083678266919</v>
      </c>
      <c r="AX56" s="162">
        <f ca="1">$R56*(1+CONE_Calculations!Inflation)^(AX$4-1)*$P56*$Q56</f>
        <v>0.39058097522534624</v>
      </c>
      <c r="AY56" s="162">
        <f ca="1">$R56*(1+CONE_Calculations!Inflation)^(AY$4-1)*$P56*$Q56</f>
        <v>0.40195284130585479</v>
      </c>
      <c r="AZ56" s="162">
        <f ca="1">$R56*(1+CONE_Calculations!Inflation)^(AZ$4-1)*$P56*$Q56</f>
        <v>0.41365580220755493</v>
      </c>
      <c r="BA56" s="162">
        <f ca="1">$R56*(1+CONE_Calculations!Inflation)^(BA$4-1)*$P56*$Q56</f>
        <v>0.42569949784177186</v>
      </c>
      <c r="BB56" s="162">
        <f ca="1">$R56*(1+CONE_Calculations!Inflation)^(BB$4-1)*$P56*$Q56</f>
        <v>0.43809384878834162</v>
      </c>
      <c r="BC56" s="162">
        <f ca="1">$R56*(1+CONE_Calculations!Inflation)^(BC$4-1)*$P56*$Q56</f>
        <v>0.45084906446734713</v>
      </c>
      <c r="BD56" s="162">
        <f ca="1">$R56*(1+CONE_Calculations!Inflation)^(BD$4-1)*$P56*$Q56</f>
        <v>0.46397565154877701</v>
      </c>
      <c r="BE56" s="162">
        <f ca="1">$R56*(1+CONE_Calculations!Inflation)^(BE$4-1)*$P56*$Q56</f>
        <v>0.47748442260703267</v>
      </c>
      <c r="BF56" s="162">
        <f ca="1">$R56*(1+CONE_Calculations!Inflation)^(BF$4-1)*$P56*$Q56</f>
        <v>0.49138650502741532</v>
      </c>
      <c r="BG56" s="162">
        <f ca="1">$R56*(1+CONE_Calculations!Inflation)^(BG$4-1)*$P56*$Q56</f>
        <v>0.50569335017192574</v>
      </c>
      <c r="BH56" s="162">
        <f ca="1">$R56*(1+CONE_Calculations!Inflation)^(BH$4-1)*$P56*$Q56</f>
        <v>0.52041674281193107</v>
      </c>
      <c r="BI56" s="162">
        <f ca="1">$R56*(1+CONE_Calculations!Inflation)^(BI$4-1)*$P56*$Q56</f>
        <v>0.53556881083546259</v>
      </c>
      <c r="BJ56" s="162">
        <f ca="1">$R56*(1+CONE_Calculations!Inflation)^(BJ$4-1)*$P56*$Q56</f>
        <v>0.55116203523714857</v>
      </c>
      <c r="BK56" s="162">
        <f ca="1">$R56*(1+CONE_Calculations!Inflation)^(BK$4-1)*$P56*$Q56</f>
        <v>0.5672092603990021</v>
      </c>
      <c r="BL56" s="162">
        <f ca="1">$R56*(1+CONE_Calculations!Inflation)^(BL$4-1)*$P56*$Q56</f>
        <v>0.58372370467053969</v>
      </c>
      <c r="BM56" s="162">
        <f ca="1">$R56*(1+CONE_Calculations!Inflation)^(BM$4-1)*$P56*$Q56</f>
        <v>0.60071897125694196</v>
      </c>
      <c r="BN56" s="162">
        <f ca="1">$R56*(1+CONE_Calculations!Inflation)^(BN$4-1)*$P56*$Q56</f>
        <v>0.61820905942422555</v>
      </c>
      <c r="BO56" s="162">
        <f ca="1">$R56*(1+CONE_Calculations!Inflation)^(BO$4-1)*$P56*$Q56</f>
        <v>0.63620837603065616</v>
      </c>
      <c r="BP56" s="162">
        <f ca="1">$R56*(1+CONE_Calculations!Inflation)^(BP$4-1)*$P56*$Q56</f>
        <v>0.65473174739390383</v>
      </c>
    </row>
    <row r="57" spans="13:68">
      <c r="M57" s="153"/>
      <c r="N57" s="153"/>
      <c r="O57" s="156" t="s">
        <v>285</v>
      </c>
      <c r="P57" s="159">
        <f>P45</f>
        <v>0.24</v>
      </c>
      <c r="Q57" s="160">
        <f>Q45</f>
        <v>5.5424333410341878E-2</v>
      </c>
      <c r="R57" s="161">
        <f ca="1">G22</f>
        <v>303.154</v>
      </c>
      <c r="S57" s="162">
        <f ca="1">$R57*S$53*$P57*$Q57</f>
        <v>3.9518558887836486</v>
      </c>
      <c r="T57" s="162">
        <f t="shared" ref="T57:BP57" ca="1" si="14">$R57*T$53*$P57*$Q57</f>
        <v>3.7905556484251326</v>
      </c>
      <c r="U57" s="162">
        <f t="shared" ca="1" si="14"/>
        <v>3.6292554080666166</v>
      </c>
      <c r="V57" s="162">
        <f t="shared" ca="1" si="14"/>
        <v>3.4679551677081006</v>
      </c>
      <c r="W57" s="162">
        <f t="shared" ca="1" si="14"/>
        <v>3.3066549273495842</v>
      </c>
      <c r="X57" s="162">
        <f t="shared" ca="1" si="14"/>
        <v>3.1453546869910678</v>
      </c>
      <c r="Y57" s="162">
        <f t="shared" ca="1" si="14"/>
        <v>2.9840544466325514</v>
      </c>
      <c r="Z57" s="162">
        <f t="shared" ca="1" si="14"/>
        <v>2.8227542062740349</v>
      </c>
      <c r="AA57" s="162">
        <f t="shared" ca="1" si="14"/>
        <v>2.6614539659155185</v>
      </c>
      <c r="AB57" s="162">
        <f t="shared" ca="1" si="14"/>
        <v>2.5001537255570025</v>
      </c>
      <c r="AC57" s="162">
        <f t="shared" ca="1" si="14"/>
        <v>2.3388534851984861</v>
      </c>
      <c r="AD57" s="162">
        <f t="shared" ca="1" si="14"/>
        <v>2.1775532448399701</v>
      </c>
      <c r="AE57" s="162">
        <f t="shared" ca="1" si="14"/>
        <v>2.0162530044814537</v>
      </c>
      <c r="AF57" s="162">
        <f t="shared" ca="1" si="14"/>
        <v>1.8549527641229375</v>
      </c>
      <c r="AG57" s="162">
        <f t="shared" ca="1" si="14"/>
        <v>1.6936525237644211</v>
      </c>
      <c r="AH57" s="162">
        <f t="shared" ca="1" si="14"/>
        <v>1.5323522834059049</v>
      </c>
      <c r="AI57" s="162">
        <f t="shared" ca="1" si="14"/>
        <v>1.3710520430473885</v>
      </c>
      <c r="AJ57" s="162">
        <f t="shared" ca="1" si="14"/>
        <v>1.2097518026888725</v>
      </c>
      <c r="AK57" s="162">
        <f t="shared" ca="1" si="14"/>
        <v>1.0484515623303563</v>
      </c>
      <c r="AL57" s="162">
        <f t="shared" ca="1" si="14"/>
        <v>0.88715132197183999</v>
      </c>
      <c r="AM57" s="162">
        <f t="shared" ca="1" si="14"/>
        <v>0.72585108161332357</v>
      </c>
      <c r="AN57" s="162">
        <f t="shared" ca="1" si="14"/>
        <v>0.60487590134443603</v>
      </c>
      <c r="AO57" s="162">
        <f t="shared" ca="1" si="14"/>
        <v>0.60487590134443603</v>
      </c>
      <c r="AP57" s="162">
        <f t="shared" ca="1" si="14"/>
        <v>0.60487590134443603</v>
      </c>
      <c r="AQ57" s="162">
        <f t="shared" ca="1" si="14"/>
        <v>0.60487590134443603</v>
      </c>
      <c r="AR57" s="162">
        <f t="shared" ca="1" si="14"/>
        <v>0.60487590134443603</v>
      </c>
      <c r="AS57" s="162">
        <f t="shared" ca="1" si="14"/>
        <v>0.60487590134443603</v>
      </c>
      <c r="AT57" s="162">
        <f t="shared" ca="1" si="14"/>
        <v>0.60487590134443603</v>
      </c>
      <c r="AU57" s="162">
        <f t="shared" ca="1" si="14"/>
        <v>0.60487590134443603</v>
      </c>
      <c r="AV57" s="162">
        <f t="shared" ca="1" si="14"/>
        <v>0.60487590134443603</v>
      </c>
      <c r="AW57" s="162">
        <f t="shared" ca="1" si="14"/>
        <v>0.60487590134443603</v>
      </c>
      <c r="AX57" s="162">
        <f t="shared" ca="1" si="14"/>
        <v>0.60487590134443603</v>
      </c>
      <c r="AY57" s="162">
        <f t="shared" ca="1" si="14"/>
        <v>0.60487590134443603</v>
      </c>
      <c r="AZ57" s="162">
        <f t="shared" ca="1" si="14"/>
        <v>0.60487590134443603</v>
      </c>
      <c r="BA57" s="162">
        <f t="shared" ca="1" si="14"/>
        <v>0.60487590134443603</v>
      </c>
      <c r="BB57" s="162">
        <f t="shared" ca="1" si="14"/>
        <v>0.60487590134443603</v>
      </c>
      <c r="BC57" s="162">
        <f t="shared" ca="1" si="14"/>
        <v>0.60487590134443603</v>
      </c>
      <c r="BD57" s="162">
        <f t="shared" ca="1" si="14"/>
        <v>0.60487590134443603</v>
      </c>
      <c r="BE57" s="162">
        <f t="shared" ca="1" si="14"/>
        <v>0.60487590134443603</v>
      </c>
      <c r="BF57" s="162">
        <f t="shared" ca="1" si="14"/>
        <v>0.60487590134443603</v>
      </c>
      <c r="BG57" s="162">
        <f t="shared" ca="1" si="14"/>
        <v>0.60487590134443603</v>
      </c>
      <c r="BH57" s="162">
        <f t="shared" ca="1" si="14"/>
        <v>0.60487590134443603</v>
      </c>
      <c r="BI57" s="162">
        <f t="shared" ca="1" si="14"/>
        <v>0.60487590134443603</v>
      </c>
      <c r="BJ57" s="162">
        <f t="shared" ca="1" si="14"/>
        <v>0.60487590134443603</v>
      </c>
      <c r="BK57" s="162">
        <f t="shared" ca="1" si="14"/>
        <v>0.60487590134443603</v>
      </c>
      <c r="BL57" s="162">
        <f t="shared" ca="1" si="14"/>
        <v>0.60487590134443603</v>
      </c>
      <c r="BM57" s="162">
        <f t="shared" ca="1" si="14"/>
        <v>0.60487590134443603</v>
      </c>
      <c r="BN57" s="162">
        <f t="shared" ca="1" si="14"/>
        <v>0.60487590134443603</v>
      </c>
      <c r="BO57" s="162">
        <f t="shared" ca="1" si="14"/>
        <v>0.60487590134443603</v>
      </c>
      <c r="BP57" s="162">
        <f t="shared" ca="1" si="14"/>
        <v>0.60487590134443603</v>
      </c>
    </row>
    <row r="58" spans="13:68">
      <c r="M58" s="153"/>
      <c r="N58" s="153"/>
      <c r="O58" s="156"/>
      <c r="P58" s="159"/>
      <c r="Q58" s="160"/>
      <c r="R58" s="161"/>
      <c r="S58" s="162"/>
      <c r="T58" s="162"/>
      <c r="U58" s="162"/>
      <c r="V58" s="162"/>
      <c r="W58" s="162"/>
      <c r="X58" s="162"/>
      <c r="Y58" s="162"/>
      <c r="Z58" s="162"/>
      <c r="AA58" s="162"/>
      <c r="AB58" s="162"/>
      <c r="AC58" s="162"/>
      <c r="AD58" s="162"/>
      <c r="AE58" s="162"/>
      <c r="AF58" s="162"/>
      <c r="AG58" s="162"/>
      <c r="AH58" s="162"/>
      <c r="AI58" s="162"/>
      <c r="AJ58" s="162"/>
      <c r="AK58" s="162"/>
      <c r="AL58" s="162"/>
      <c r="AM58" s="162"/>
      <c r="AN58" s="162"/>
      <c r="AO58" s="162"/>
      <c r="AP58" s="162"/>
      <c r="AQ58" s="162"/>
      <c r="AR58" s="162"/>
      <c r="AS58" s="162"/>
      <c r="AT58" s="162"/>
      <c r="AU58" s="162"/>
      <c r="AV58" s="162"/>
      <c r="AW58" s="162"/>
      <c r="AX58" s="162"/>
      <c r="AY58" s="162"/>
      <c r="AZ58" s="162"/>
      <c r="BA58" s="162"/>
      <c r="BB58" s="162"/>
      <c r="BC58" s="162"/>
      <c r="BD58" s="162"/>
      <c r="BE58" s="162"/>
      <c r="BF58" s="162"/>
      <c r="BG58" s="162"/>
      <c r="BH58" s="162"/>
      <c r="BI58" s="162"/>
      <c r="BJ58" s="162"/>
      <c r="BK58" s="162"/>
      <c r="BL58" s="162"/>
      <c r="BM58" s="162"/>
      <c r="BN58" s="162"/>
      <c r="BO58" s="162"/>
      <c r="BP58" s="162"/>
    </row>
    <row r="59" spans="13:68">
      <c r="M59" s="154" t="s">
        <v>514</v>
      </c>
      <c r="N59" s="153"/>
      <c r="O59" s="156"/>
      <c r="P59" s="156" t="s">
        <v>281</v>
      </c>
      <c r="Q59" s="156" t="s">
        <v>282</v>
      </c>
      <c r="R59" s="156" t="s">
        <v>283</v>
      </c>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2"/>
      <c r="BC59" s="162"/>
      <c r="BD59" s="162"/>
      <c r="BE59" s="162"/>
      <c r="BF59" s="162"/>
      <c r="BG59" s="162"/>
      <c r="BH59" s="162"/>
      <c r="BI59" s="162"/>
      <c r="BJ59" s="162"/>
      <c r="BK59" s="162"/>
      <c r="BL59" s="162"/>
      <c r="BM59" s="162"/>
      <c r="BN59" s="162"/>
      <c r="BO59" s="162"/>
      <c r="BP59" s="162"/>
    </row>
    <row r="60" spans="13:68">
      <c r="M60" s="153"/>
      <c r="N60" s="153"/>
      <c r="O60" s="156" t="s">
        <v>286</v>
      </c>
      <c r="P60" s="159">
        <f>P49</f>
        <v>1</v>
      </c>
      <c r="Q60" s="159">
        <f>Q49</f>
        <v>2.7172851851851851E-2</v>
      </c>
      <c r="R60" s="161">
        <f ca="1">R56</f>
        <v>8.2710000000000008</v>
      </c>
      <c r="S60" s="162">
        <f ca="1">$R60*(1+CONE_Calculations!Inflation)^(S$4-1)*$P60*$Q60</f>
        <v>0.22474665766666668</v>
      </c>
      <c r="T60" s="162">
        <f ca="1">$R60*(1+CONE_Calculations!Inflation)^(T$4-1)*$P60*$Q60</f>
        <v>0.23129021471409505</v>
      </c>
      <c r="U60" s="162">
        <f ca="1">$R60*(1+CONE_Calculations!Inflation)^(U$4-1)*$P60*$Q60</f>
        <v>0.23802428911683132</v>
      </c>
      <c r="V60" s="162">
        <f ca="1">$R60*(1+CONE_Calculations!Inflation)^(V$4-1)*$P60*$Q60</f>
        <v>0.24495442783693464</v>
      </c>
      <c r="W60" s="162">
        <f ca="1">$R60*(1+CONE_Calculations!Inflation)^(W$4-1)*$P60*$Q60</f>
        <v>0.25208633933769853</v>
      </c>
      <c r="X60" s="162">
        <f ca="1">$R60*(1+CONE_Calculations!Inflation)^(X$4-1)*$P60*$Q60</f>
        <v>0.25942589828580154</v>
      </c>
      <c r="Y60" s="162">
        <f ca="1">$R60*(1+CONE_Calculations!Inflation)^(Y$4-1)*$P60*$Q60</f>
        <v>0.26697915039036113</v>
      </c>
      <c r="Z60" s="162">
        <f ca="1">$R60*(1+CONE_Calculations!Inflation)^(Z$4-1)*$P60*$Q60</f>
        <v>0.27475231738287914</v>
      </c>
      <c r="AA60" s="162">
        <f ca="1">$R60*(1+CONE_Calculations!Inflation)^(AA$4-1)*$P60*$Q60</f>
        <v>0.28275180214217871</v>
      </c>
      <c r="AB60" s="162">
        <f ca="1">$R60*(1+CONE_Calculations!Inflation)^(AB$4-1)*$P60*$Q60</f>
        <v>0.29098419396855535</v>
      </c>
      <c r="AC60" s="162">
        <f ca="1">$R60*(1+CONE_Calculations!Inflation)^(AC$4-1)*$P60*$Q60</f>
        <v>0.29945627401148622</v>
      </c>
      <c r="AD60" s="162">
        <f ca="1">$R60*(1+CONE_Calculations!Inflation)^(AD$4-1)*$P60*$Q60</f>
        <v>0.30817502085536924</v>
      </c>
      <c r="AE60" s="162">
        <f ca="1">$R60*(1+CONE_Calculations!Inflation)^(AE$4-1)*$P60*$Q60</f>
        <v>0.31714761626789101</v>
      </c>
      <c r="AF60" s="162">
        <f ca="1">$R60*(1+CONE_Calculations!Inflation)^(AF$4-1)*$P60*$Q60</f>
        <v>0.32638145111576139</v>
      </c>
      <c r="AG60" s="162">
        <f ca="1">$R60*(1+CONE_Calculations!Inflation)^(AG$4-1)*$P60*$Q60</f>
        <v>0.33588413145268542</v>
      </c>
      <c r="AH60" s="162">
        <f ca="1">$R60*(1+CONE_Calculations!Inflation)^(AH$4-1)*$P60*$Q60</f>
        <v>0.34566348478458842</v>
      </c>
      <c r="AI60" s="162">
        <f ca="1">$R60*(1+CONE_Calculations!Inflation)^(AI$4-1)*$P60*$Q60</f>
        <v>0.35572756651725435</v>
      </c>
      <c r="AJ60" s="162">
        <f ca="1">$R60*(1+CONE_Calculations!Inflation)^(AJ$4-1)*$P60*$Q60</f>
        <v>0.36608466659168964</v>
      </c>
      <c r="AK60" s="162">
        <f ca="1">$R60*(1+CONE_Calculations!Inflation)^(AK$4-1)*$P60*$Q60</f>
        <v>0.37674331631267638</v>
      </c>
      <c r="AL60" s="162">
        <f ca="1">$R60*(1+CONE_Calculations!Inflation)^(AL$4-1)*$P60*$Q60</f>
        <v>0.3877122953761411</v>
      </c>
      <c r="AM60" s="162">
        <f ca="1">$R60*(1+CONE_Calculations!Inflation)^(AM$4-1)*$P60*$Q60</f>
        <v>0.39900063910112743</v>
      </c>
      <c r="AN60" s="162">
        <f ca="1">$R60*(1+CONE_Calculations!Inflation)^(AN$4-1)*$P60*$Q60</f>
        <v>0.41061764587232918</v>
      </c>
      <c r="AO60" s="162">
        <f ca="1">$R60*(1+CONE_Calculations!Inflation)^(AO$4-1)*$P60*$Q60</f>
        <v>0.42257288479931415</v>
      </c>
      <c r="AP60" s="162">
        <f ca="1">$R60*(1+CONE_Calculations!Inflation)^(AP$4-1)*$P60*$Q60</f>
        <v>0.43487620359875007</v>
      </c>
      <c r="AQ60" s="162">
        <f ca="1">$R60*(1+CONE_Calculations!Inflation)^(AQ$4-1)*$P60*$Q60</f>
        <v>0.44753773670612113</v>
      </c>
      <c r="AR60" s="162">
        <f ca="1">$R60*(1+CONE_Calculations!Inflation)^(AR$4-1)*$P60*$Q60</f>
        <v>0.46056791362362115</v>
      </c>
      <c r="AS60" s="162">
        <f ca="1">$R60*(1+CONE_Calculations!Inflation)^(AS$4-1)*$P60*$Q60</f>
        <v>0.47397746751109682</v>
      </c>
      <c r="AT60" s="162">
        <f ca="1">$R60*(1+CONE_Calculations!Inflation)^(AT$4-1)*$P60*$Q60</f>
        <v>0.48777744402711909</v>
      </c>
      <c r="AU60" s="162">
        <f ca="1">$R60*(1+CONE_Calculations!Inflation)^(AU$4-1)*$P60*$Q60</f>
        <v>0.50197921042746385</v>
      </c>
      <c r="AV60" s="162">
        <f ca="1">$R60*(1+CONE_Calculations!Inflation)^(AV$4-1)*$P60*$Q60</f>
        <v>0.51659446492849814</v>
      </c>
      <c r="AW60" s="162">
        <f ca="1">$R60*(1+CONE_Calculations!Inflation)^(AW$4-1)*$P60*$Q60</f>
        <v>0.53163524634318304</v>
      </c>
      <c r="AX60" s="162">
        <f ca="1">$R60*(1+CONE_Calculations!Inflation)^(AX$4-1)*$P60*$Q60</f>
        <v>0.54711394399763191</v>
      </c>
      <c r="AY60" s="162">
        <f ca="1">$R60*(1+CONE_Calculations!Inflation)^(AY$4-1)*$P60*$Q60</f>
        <v>0.56304330793639079</v>
      </c>
      <c r="AZ60" s="162">
        <f ca="1">$R60*(1+CONE_Calculations!Inflation)^(AZ$4-1)*$P60*$Q60</f>
        <v>0.57943645942485011</v>
      </c>
      <c r="BA60" s="162">
        <f ca="1">$R60*(1+CONE_Calculations!Inflation)^(BA$4-1)*$P60*$Q60</f>
        <v>0.59630690175743362</v>
      </c>
      <c r="BB60" s="162">
        <f ca="1">$R60*(1+CONE_Calculations!Inflation)^(BB$4-1)*$P60*$Q60</f>
        <v>0.6136685313804745</v>
      </c>
      <c r="BC60" s="162">
        <f ca="1">$R60*(1+CONE_Calculations!Inflation)^(BC$4-1)*$P60*$Q60</f>
        <v>0.63153564933893336</v>
      </c>
      <c r="BD60" s="162">
        <f ca="1">$R60*(1+CONE_Calculations!Inflation)^(BD$4-1)*$P60*$Q60</f>
        <v>0.64992297305639279</v>
      </c>
      <c r="BE60" s="162">
        <f ca="1">$R60*(1+CONE_Calculations!Inflation)^(BE$4-1)*$P60*$Q60</f>
        <v>0.66884564845802785</v>
      </c>
      <c r="BF60" s="162">
        <f ca="1">$R60*(1+CONE_Calculations!Inflation)^(BF$4-1)*$P60*$Q60</f>
        <v>0.68831926244654185</v>
      </c>
      <c r="BG60" s="162">
        <f ca="1">$R60*(1+CONE_Calculations!Inflation)^(BG$4-1)*$P60*$Q60</f>
        <v>0.70835985574133919</v>
      </c>
      <c r="BH60" s="162">
        <f ca="1">$R60*(1+CONE_Calculations!Inflation)^(BH$4-1)*$P60*$Q60</f>
        <v>0.72898393609151857</v>
      </c>
      <c r="BI60" s="162">
        <f ca="1">$R60*(1+CONE_Calculations!Inflation)^(BI$4-1)*$P60*$Q60</f>
        <v>0.75020849187356076</v>
      </c>
      <c r="BJ60" s="162">
        <f ca="1">$R60*(1+CONE_Calculations!Inflation)^(BJ$4-1)*$P60*$Q60</f>
        <v>0.77205100608492094</v>
      </c>
      <c r="BK60" s="162">
        <f ca="1">$R60*(1+CONE_Calculations!Inflation)^(BK$4-1)*$P60*$Q60</f>
        <v>0.79452947074504487</v>
      </c>
      <c r="BL60" s="162">
        <f ca="1">$R60*(1+CONE_Calculations!Inflation)^(BL$4-1)*$P60*$Q60</f>
        <v>0.81766240171567683</v>
      </c>
      <c r="BM60" s="162">
        <f ca="1">$R60*(1+CONE_Calculations!Inflation)^(BM$4-1)*$P60*$Q60</f>
        <v>0.84146885395266313</v>
      </c>
      <c r="BN60" s="162">
        <f ca="1">$R60*(1+CONE_Calculations!Inflation)^(BN$4-1)*$P60*$Q60</f>
        <v>0.86596843720181627</v>
      </c>
      <c r="BO60" s="162">
        <f ca="1">$R60*(1+CONE_Calculations!Inflation)^(BO$4-1)*$P60*$Q60</f>
        <v>0.89118133215176809</v>
      </c>
      <c r="BP60" s="162">
        <f ca="1">$R60*(1+CONE_Calculations!Inflation)^(BP$4-1)*$P60*$Q60</f>
        <v>0.91712830705711801</v>
      </c>
    </row>
    <row r="61" spans="13:68">
      <c r="M61" s="153"/>
      <c r="N61" s="153"/>
      <c r="O61" s="156"/>
      <c r="P61" s="159"/>
      <c r="Q61" s="160"/>
      <c r="R61" s="161"/>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row>
    <row r="72" spans="3:4" ht="15" customHeight="1">
      <c r="C72" s="101"/>
      <c r="D72" s="101"/>
    </row>
    <row r="73" spans="3:4" ht="15" customHeight="1">
      <c r="C73" s="101"/>
      <c r="D73" s="101"/>
    </row>
    <row r="74" spans="3:4" ht="15" customHeight="1">
      <c r="C74" s="101"/>
      <c r="D74" s="101"/>
    </row>
    <row r="75" spans="3:4" ht="15" customHeight="1">
      <c r="C75" s="101"/>
      <c r="D75" s="101"/>
    </row>
    <row r="76" spans="3:4">
      <c r="C76" s="101"/>
      <c r="D76" s="101"/>
    </row>
  </sheetData>
  <conditionalFormatting sqref="S35">
    <cfRule type="cellIs" dxfId="126" priority="3" operator="equal">
      <formula>$S$30</formula>
    </cfRule>
  </conditionalFormatting>
  <conditionalFormatting sqref="S14">
    <cfRule type="cellIs" dxfId="125" priority="1" operator="equal">
      <formula>S15</formula>
    </cfRule>
    <cfRule type="cellIs" dxfId="124" priority="2" operator="equal">
      <formula>$S$15</formula>
    </cfRule>
  </conditionalFormatting>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
  <sheetViews>
    <sheetView topLeftCell="A1048576" workbookViewId="0">
      <selection sqref="A1:XFD1048576"/>
    </sheetView>
  </sheetViews>
  <sheetFormatPr defaultRowHeight="12.75" zeroHeight="1"/>
  <sheetData>
    <row r="1" hidden="1"/>
  </sheetData>
  <pageMargins left="0.7" right="0.7" top="0.75" bottom="0.75" header="0.3" footer="0.3"/>
  <pageSetup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U63"/>
  <sheetViews>
    <sheetView zoomScale="110" zoomScaleNormal="110" workbookViewId="0">
      <selection activeCell="Q15" sqref="Q15"/>
    </sheetView>
  </sheetViews>
  <sheetFormatPr defaultColWidth="9.140625" defaultRowHeight="15" outlineLevelRow="1"/>
  <cols>
    <col min="1" max="1" width="9.140625" style="174"/>
    <col min="2" max="2" width="2.5703125" style="174" customWidth="1"/>
    <col min="3" max="3" width="14.85546875" style="174" customWidth="1"/>
    <col min="4" max="4" width="3.7109375" style="175" customWidth="1"/>
    <col min="5" max="5" width="13.42578125" style="174" bestFit="1" customWidth="1"/>
    <col min="6" max="6" width="13" style="174" bestFit="1" customWidth="1"/>
    <col min="7" max="7" width="13.140625" style="174" customWidth="1"/>
    <col min="8" max="8" width="2.5703125" style="174" customWidth="1"/>
    <col min="9" max="9" width="13.42578125" style="174" bestFit="1" customWidth="1"/>
    <col min="10" max="10" width="13" style="174" bestFit="1" customWidth="1"/>
    <col min="11" max="11" width="13.140625" style="174" bestFit="1" customWidth="1"/>
    <col min="12" max="12" width="37.42578125" style="174" bestFit="1" customWidth="1"/>
    <col min="13" max="16384" width="9.140625" style="174"/>
  </cols>
  <sheetData>
    <row r="1" spans="1:21">
      <c r="A1" s="225"/>
      <c r="B1" s="881"/>
      <c r="C1" s="881"/>
      <c r="D1" s="882"/>
      <c r="E1" s="881"/>
      <c r="F1" s="881"/>
      <c r="G1" s="881"/>
      <c r="H1" s="881"/>
      <c r="I1" s="881"/>
      <c r="J1" s="881"/>
      <c r="K1" s="881"/>
      <c r="L1" s="881"/>
      <c r="M1" s="912"/>
      <c r="N1" s="912"/>
      <c r="O1" s="912"/>
      <c r="P1" s="912"/>
      <c r="Q1" s="912"/>
      <c r="R1" s="912"/>
      <c r="S1" s="912"/>
      <c r="T1" s="912"/>
      <c r="U1" s="912"/>
    </row>
    <row r="2" spans="1:21" ht="4.5" customHeight="1" thickBot="1">
      <c r="A2" s="225"/>
      <c r="B2" s="883"/>
      <c r="C2" s="883"/>
      <c r="D2" s="884"/>
      <c r="E2" s="883"/>
      <c r="F2" s="883"/>
      <c r="G2" s="883"/>
      <c r="H2" s="883"/>
      <c r="I2" s="883"/>
      <c r="J2" s="883"/>
      <c r="K2" s="883"/>
      <c r="L2" s="883"/>
      <c r="M2" s="912"/>
      <c r="N2" s="912"/>
      <c r="O2" s="912"/>
      <c r="P2" s="912"/>
      <c r="Q2" s="912"/>
      <c r="R2" s="912"/>
      <c r="S2" s="912"/>
      <c r="T2" s="912"/>
      <c r="U2" s="912"/>
    </row>
    <row r="3" spans="1:21" ht="4.5" customHeight="1" thickTop="1">
      <c r="A3" s="225"/>
      <c r="B3" s="885"/>
      <c r="C3" s="885"/>
      <c r="D3" s="886"/>
      <c r="E3" s="881"/>
      <c r="F3" s="881"/>
      <c r="G3" s="881"/>
      <c r="H3" s="885"/>
      <c r="I3" s="885"/>
      <c r="J3" s="885"/>
      <c r="K3" s="885"/>
      <c r="L3" s="885"/>
      <c r="M3" s="912"/>
      <c r="N3" s="912"/>
      <c r="O3" s="912"/>
      <c r="P3" s="912"/>
      <c r="Q3" s="912"/>
      <c r="R3" s="912"/>
      <c r="S3" s="912"/>
      <c r="T3" s="912"/>
      <c r="U3" s="912"/>
    </row>
    <row r="4" spans="1:21" s="201" customFormat="1">
      <c r="A4" s="226"/>
      <c r="B4" s="887"/>
      <c r="C4" s="887"/>
      <c r="D4" s="888"/>
      <c r="E4" s="889" t="s">
        <v>477</v>
      </c>
      <c r="F4" s="889"/>
      <c r="G4" s="889"/>
      <c r="H4" s="887"/>
      <c r="I4" s="889" t="s">
        <v>478</v>
      </c>
      <c r="J4" s="889"/>
      <c r="K4" s="889"/>
      <c r="L4" s="889"/>
    </row>
    <row r="5" spans="1:21" s="202" customFormat="1" ht="30.75" customHeight="1">
      <c r="A5" s="227"/>
      <c r="B5" s="1910"/>
      <c r="C5" s="1910"/>
      <c r="D5" s="890"/>
      <c r="E5" s="890" t="s">
        <v>479</v>
      </c>
      <c r="F5" s="890" t="s">
        <v>480</v>
      </c>
      <c r="G5" s="890" t="s">
        <v>481</v>
      </c>
      <c r="H5" s="890"/>
      <c r="I5" s="890" t="s">
        <v>479</v>
      </c>
      <c r="J5" s="890" t="s">
        <v>480</v>
      </c>
      <c r="K5" s="890" t="s">
        <v>481</v>
      </c>
      <c r="L5" s="890" t="s">
        <v>269</v>
      </c>
    </row>
    <row r="6" spans="1:21" s="203" customFormat="1" ht="16.5" customHeight="1">
      <c r="A6" s="228"/>
      <c r="B6" s="891"/>
      <c r="C6" s="892"/>
      <c r="D6" s="892"/>
      <c r="E6" s="892" t="s">
        <v>482</v>
      </c>
      <c r="F6" s="892" t="s">
        <v>483</v>
      </c>
      <c r="G6" s="892" t="s">
        <v>484</v>
      </c>
      <c r="H6" s="892"/>
      <c r="I6" s="892" t="s">
        <v>485</v>
      </c>
      <c r="J6" s="892" t="s">
        <v>486</v>
      </c>
      <c r="K6" s="892" t="s">
        <v>487</v>
      </c>
      <c r="L6" s="892" t="s">
        <v>488</v>
      </c>
    </row>
    <row r="7" spans="1:21" s="204" customFormat="1">
      <c r="A7" s="229"/>
      <c r="B7" s="893"/>
      <c r="C7" s="894"/>
      <c r="D7" s="893"/>
      <c r="E7" s="893" t="s">
        <v>96</v>
      </c>
      <c r="F7" s="893" t="s">
        <v>96</v>
      </c>
      <c r="G7" s="893" t="s">
        <v>96</v>
      </c>
      <c r="H7" s="893"/>
      <c r="I7" s="893" t="s">
        <v>96</v>
      </c>
      <c r="J7" s="893" t="s">
        <v>96</v>
      </c>
      <c r="K7" s="893" t="s">
        <v>96</v>
      </c>
      <c r="L7" s="893"/>
    </row>
    <row r="8" spans="1:21" ht="5.25" customHeight="1">
      <c r="A8" s="210"/>
      <c r="B8" s="895"/>
      <c r="C8" s="896"/>
      <c r="D8" s="895"/>
      <c r="E8" s="896"/>
      <c r="F8" s="896"/>
      <c r="G8" s="896"/>
      <c r="H8" s="896"/>
      <c r="I8" s="896"/>
      <c r="J8" s="896"/>
      <c r="K8" s="896"/>
      <c r="L8" s="896"/>
    </row>
    <row r="9" spans="1:21" ht="5.25" customHeight="1">
      <c r="A9" s="210"/>
      <c r="B9" s="886"/>
      <c r="C9" s="885"/>
      <c r="D9" s="886"/>
      <c r="E9" s="885"/>
      <c r="F9" s="885"/>
      <c r="G9" s="885"/>
      <c r="H9" s="885"/>
      <c r="I9" s="885"/>
      <c r="J9" s="885"/>
      <c r="K9" s="885"/>
      <c r="L9" s="885"/>
    </row>
    <row r="10" spans="1:21">
      <c r="A10" s="210"/>
      <c r="B10" s="897">
        <v>1</v>
      </c>
      <c r="C10" s="898" t="s">
        <v>120</v>
      </c>
      <c r="D10" s="886"/>
      <c r="E10" s="885"/>
      <c r="F10" s="885"/>
      <c r="G10" s="885"/>
      <c r="H10" s="885"/>
      <c r="I10" s="885"/>
      <c r="J10" s="885"/>
      <c r="K10" s="885"/>
      <c r="L10" s="886"/>
    </row>
    <row r="11" spans="1:21">
      <c r="A11" s="210"/>
      <c r="B11" s="897"/>
      <c r="C11" s="899" t="s">
        <v>464</v>
      </c>
      <c r="D11" s="886" t="s">
        <v>497</v>
      </c>
      <c r="E11" s="1009">
        <v>3.9592217622386669E-2</v>
      </c>
      <c r="F11" s="907">
        <v>0.96204899794570409</v>
      </c>
      <c r="G11" s="1010">
        <v>3.8089653290065341E-2</v>
      </c>
      <c r="H11" s="901"/>
      <c r="I11" s="1008" t="s">
        <v>100</v>
      </c>
      <c r="J11" s="1008" t="s">
        <v>100</v>
      </c>
      <c r="K11" s="1008" t="s">
        <v>100</v>
      </c>
      <c r="L11" s="913" t="s">
        <v>100</v>
      </c>
    </row>
    <row r="12" spans="1:21" outlineLevel="1">
      <c r="A12" s="210"/>
      <c r="B12" s="897"/>
      <c r="C12" s="903" t="s">
        <v>465</v>
      </c>
      <c r="D12" s="886"/>
      <c r="E12" s="1009">
        <v>3.7200651460989539E-2</v>
      </c>
      <c r="F12" s="907">
        <v>0.98467907697248946</v>
      </c>
      <c r="G12" s="1009">
        <v>3.6630703143382473E-2</v>
      </c>
      <c r="H12" s="901"/>
      <c r="I12" s="1008" t="s">
        <v>100</v>
      </c>
      <c r="J12" s="1008" t="s">
        <v>100</v>
      </c>
      <c r="K12" s="1008" t="s">
        <v>100</v>
      </c>
      <c r="L12" s="913" t="s">
        <v>100</v>
      </c>
    </row>
    <row r="13" spans="1:21" outlineLevel="1">
      <c r="A13" s="210"/>
      <c r="B13" s="897"/>
      <c r="C13" s="903" t="s">
        <v>495</v>
      </c>
      <c r="D13" s="886"/>
      <c r="E13" s="1009">
        <v>4.1983783783783792E-2</v>
      </c>
      <c r="F13" s="907">
        <v>0.93941891891891882</v>
      </c>
      <c r="G13" s="1009">
        <v>3.9440360774287801E-2</v>
      </c>
      <c r="H13" s="901"/>
      <c r="I13" s="1008" t="s">
        <v>100</v>
      </c>
      <c r="J13" s="1008" t="s">
        <v>100</v>
      </c>
      <c r="K13" s="1008" t="s">
        <v>100</v>
      </c>
      <c r="L13" s="913" t="s">
        <v>100</v>
      </c>
    </row>
    <row r="14" spans="1:21">
      <c r="A14" s="210"/>
      <c r="B14" s="897">
        <v>2</v>
      </c>
      <c r="C14" s="904" t="s">
        <v>121</v>
      </c>
      <c r="D14" s="905"/>
      <c r="E14" s="1009"/>
      <c r="F14" s="907"/>
      <c r="G14" s="1009"/>
      <c r="H14" s="901"/>
      <c r="I14" s="1008"/>
      <c r="J14" s="902"/>
      <c r="K14" s="1008"/>
      <c r="L14" s="906"/>
    </row>
    <row r="15" spans="1:21">
      <c r="A15" s="210"/>
      <c r="B15" s="897"/>
      <c r="C15" s="899" t="s">
        <v>467</v>
      </c>
      <c r="D15" s="886" t="s">
        <v>498</v>
      </c>
      <c r="E15" s="1009">
        <v>1.0704999999999999E-2</v>
      </c>
      <c r="F15" s="907">
        <v>1</v>
      </c>
      <c r="G15" s="1009">
        <v>1.0999999999999999E-2</v>
      </c>
      <c r="H15" s="901"/>
      <c r="I15" s="1008">
        <v>2.6762500000000002E-2</v>
      </c>
      <c r="J15" s="902">
        <v>0.5</v>
      </c>
      <c r="K15" s="1008">
        <v>1.3381250000000001E-2</v>
      </c>
      <c r="L15" s="1188">
        <v>3.3000000000000002E-2</v>
      </c>
    </row>
    <row r="16" spans="1:21" outlineLevel="1">
      <c r="A16" s="210"/>
      <c r="B16" s="897"/>
      <c r="C16" s="903" t="s">
        <v>468</v>
      </c>
      <c r="D16" s="886"/>
      <c r="E16" s="1009">
        <v>1.141E-2</v>
      </c>
      <c r="F16" s="907">
        <v>1</v>
      </c>
      <c r="G16" s="1009">
        <v>1.2E-2</v>
      </c>
      <c r="H16" s="901"/>
      <c r="I16" s="1009">
        <v>2.8525000000000002E-2</v>
      </c>
      <c r="J16" s="907">
        <v>0.5</v>
      </c>
      <c r="K16" s="1009">
        <v>1.4262500000000001E-2</v>
      </c>
      <c r="L16" s="886"/>
    </row>
    <row r="17" spans="1:12" outlineLevel="1" collapsed="1">
      <c r="A17" s="210"/>
      <c r="B17" s="897"/>
      <c r="C17" s="903" t="s">
        <v>469</v>
      </c>
      <c r="D17" s="886"/>
      <c r="E17" s="1009">
        <v>0.01</v>
      </c>
      <c r="F17" s="907">
        <v>1</v>
      </c>
      <c r="G17" s="1009">
        <v>0.01</v>
      </c>
      <c r="H17" s="901"/>
      <c r="I17" s="1008">
        <v>2.5000000000000001E-2</v>
      </c>
      <c r="J17" s="902">
        <v>0.5</v>
      </c>
      <c r="K17" s="1008">
        <v>1.2500000000000001E-2</v>
      </c>
      <c r="L17" s="906"/>
    </row>
    <row r="18" spans="1:12">
      <c r="A18" s="210"/>
      <c r="B18" s="897">
        <v>3</v>
      </c>
      <c r="C18" s="898" t="s">
        <v>185</v>
      </c>
      <c r="D18" s="905"/>
      <c r="E18" s="1009"/>
      <c r="F18" s="907"/>
      <c r="G18" s="1009"/>
      <c r="H18" s="901"/>
      <c r="I18" s="1008"/>
      <c r="J18" s="902"/>
      <c r="K18" s="1008"/>
      <c r="L18" s="886"/>
    </row>
    <row r="19" spans="1:12">
      <c r="A19" s="210"/>
      <c r="B19" s="897"/>
      <c r="C19" s="899" t="s">
        <v>471</v>
      </c>
      <c r="D19" s="886" t="s">
        <v>499</v>
      </c>
      <c r="E19" s="1009">
        <v>5.5424333410341878E-2</v>
      </c>
      <c r="F19" s="907">
        <v>0.35</v>
      </c>
      <c r="G19" s="1009">
        <v>1.9398516693619656E-2</v>
      </c>
      <c r="H19" s="900"/>
      <c r="I19" s="1009">
        <v>5.5424333410341878E-2</v>
      </c>
      <c r="J19" s="907">
        <v>0.24</v>
      </c>
      <c r="K19" s="1009">
        <v>1.3301840018482051E-2</v>
      </c>
      <c r="L19" s="886" t="s">
        <v>585</v>
      </c>
    </row>
    <row r="20" spans="1:12" outlineLevel="1">
      <c r="A20" s="210"/>
      <c r="B20" s="897"/>
      <c r="C20" s="903" t="s">
        <v>472</v>
      </c>
      <c r="D20" s="886"/>
      <c r="E20" s="1009">
        <v>6.6420289098461538E-2</v>
      </c>
      <c r="F20" s="907">
        <v>0.35</v>
      </c>
      <c r="G20" s="1009">
        <v>2.3247101184461536E-2</v>
      </c>
      <c r="H20" s="901"/>
      <c r="I20" s="1008">
        <v>6.6420289098461538E-2</v>
      </c>
      <c r="J20" s="902">
        <v>0.24</v>
      </c>
      <c r="K20" s="1009">
        <v>1.5940869383630769E-2</v>
      </c>
      <c r="L20" s="906"/>
    </row>
    <row r="21" spans="1:12" outlineLevel="1">
      <c r="A21" s="210"/>
      <c r="B21" s="897"/>
      <c r="C21" s="903" t="s">
        <v>473</v>
      </c>
      <c r="D21" s="886"/>
      <c r="E21" s="1009">
        <v>4.4428377722222225E-2</v>
      </c>
      <c r="F21" s="907">
        <v>0.35</v>
      </c>
      <c r="G21" s="1009">
        <v>1.5549932202777778E-2</v>
      </c>
      <c r="H21" s="908"/>
      <c r="I21" s="1008">
        <v>4.4428377722222225E-2</v>
      </c>
      <c r="J21" s="902">
        <v>0.24</v>
      </c>
      <c r="K21" s="1010">
        <v>1.0662810653333334E-2</v>
      </c>
      <c r="L21" s="906"/>
    </row>
    <row r="22" spans="1:12">
      <c r="A22" s="210"/>
      <c r="B22" s="897"/>
      <c r="C22" s="885" t="s">
        <v>466</v>
      </c>
      <c r="D22" s="886" t="s">
        <v>500</v>
      </c>
      <c r="E22" s="1009">
        <v>2.7172851851851851E-2</v>
      </c>
      <c r="F22" s="907">
        <v>1</v>
      </c>
      <c r="G22" s="1009">
        <v>2.7172851851851851E-2</v>
      </c>
      <c r="H22" s="908"/>
      <c r="I22" s="1008" t="s">
        <v>100</v>
      </c>
      <c r="J22" s="1008" t="s">
        <v>100</v>
      </c>
      <c r="K22" s="1008" t="s">
        <v>100</v>
      </c>
      <c r="L22" s="913" t="s">
        <v>100</v>
      </c>
    </row>
    <row r="23" spans="1:12" outlineLevel="1">
      <c r="A23" s="210"/>
      <c r="B23" s="897"/>
      <c r="C23" s="903" t="s">
        <v>470</v>
      </c>
      <c r="D23" s="886"/>
      <c r="E23" s="1009">
        <v>2.7172851851851851E-2</v>
      </c>
      <c r="F23" s="907">
        <v>1</v>
      </c>
      <c r="G23" s="1009">
        <v>2.7172851851851851E-2</v>
      </c>
      <c r="H23" s="908"/>
      <c r="I23" s="1008" t="s">
        <v>100</v>
      </c>
      <c r="J23" s="1008" t="s">
        <v>100</v>
      </c>
      <c r="K23" s="1009" t="s">
        <v>100</v>
      </c>
      <c r="L23" s="906"/>
    </row>
    <row r="24" spans="1:12">
      <c r="A24" s="210"/>
      <c r="B24" s="897">
        <v>4</v>
      </c>
      <c r="C24" s="885" t="s">
        <v>122</v>
      </c>
      <c r="D24" s="886"/>
      <c r="E24" s="1011"/>
      <c r="F24" s="1009"/>
      <c r="G24" s="1009"/>
      <c r="H24" s="909"/>
      <c r="I24" s="1009"/>
      <c r="J24" s="1009"/>
      <c r="K24" s="1009"/>
      <c r="L24" s="882"/>
    </row>
    <row r="25" spans="1:12">
      <c r="A25" s="210"/>
      <c r="B25" s="897"/>
      <c r="C25" s="885" t="s">
        <v>466</v>
      </c>
      <c r="D25" s="886" t="s">
        <v>501</v>
      </c>
      <c r="E25" s="1009">
        <v>3.8068608595961999E-2</v>
      </c>
      <c r="F25" s="907">
        <v>0.98999999999999988</v>
      </c>
      <c r="G25" s="1009">
        <v>3.7687922510002372E-2</v>
      </c>
      <c r="H25" s="909"/>
      <c r="I25" s="1008" t="s">
        <v>100</v>
      </c>
      <c r="J25" s="1008" t="s">
        <v>100</v>
      </c>
      <c r="K25" s="1008" t="s">
        <v>100</v>
      </c>
      <c r="L25" s="913" t="s">
        <v>100</v>
      </c>
    </row>
    <row r="26" spans="1:12" outlineLevel="1">
      <c r="A26" s="210"/>
      <c r="B26" s="897"/>
      <c r="C26" s="903" t="s">
        <v>474</v>
      </c>
      <c r="D26" s="886"/>
      <c r="E26" s="900">
        <v>2.4814701315789476E-2</v>
      </c>
      <c r="F26" s="900">
        <v>0.97</v>
      </c>
      <c r="G26" s="900">
        <v>2.4070260276315789E-2</v>
      </c>
      <c r="H26" s="909"/>
      <c r="I26" s="907" t="s">
        <v>100</v>
      </c>
      <c r="J26" s="907" t="s">
        <v>100</v>
      </c>
      <c r="K26" s="907" t="s">
        <v>100</v>
      </c>
      <c r="L26" s="882"/>
    </row>
    <row r="27" spans="1:12" outlineLevel="1">
      <c r="A27" s="210"/>
      <c r="B27" s="897"/>
      <c r="C27" s="903" t="s">
        <v>475</v>
      </c>
      <c r="D27" s="886"/>
      <c r="E27" s="900">
        <v>2.519205192307692E-2</v>
      </c>
      <c r="F27" s="900">
        <v>1</v>
      </c>
      <c r="G27" s="900">
        <v>2.519205192307692E-2</v>
      </c>
      <c r="H27" s="909"/>
      <c r="I27" s="907" t="s">
        <v>100</v>
      </c>
      <c r="J27" s="907" t="s">
        <v>100</v>
      </c>
      <c r="K27" s="907" t="s">
        <v>100</v>
      </c>
      <c r="L27" s="882"/>
    </row>
    <row r="28" spans="1:12" outlineLevel="1">
      <c r="A28" s="210"/>
      <c r="B28" s="897"/>
      <c r="C28" s="903" t="s">
        <v>476</v>
      </c>
      <c r="D28" s="886"/>
      <c r="E28" s="900">
        <v>6.419907254901959E-2</v>
      </c>
      <c r="F28" s="900">
        <v>1</v>
      </c>
      <c r="G28" s="900">
        <v>6.419907254901959E-2</v>
      </c>
      <c r="H28" s="909"/>
      <c r="I28" s="907" t="s">
        <v>100</v>
      </c>
      <c r="J28" s="907" t="s">
        <v>100</v>
      </c>
      <c r="K28" s="907" t="s">
        <v>100</v>
      </c>
      <c r="L28" s="882"/>
    </row>
    <row r="29" spans="1:12" ht="4.5" customHeight="1" thickBot="1">
      <c r="A29" s="210"/>
      <c r="B29" s="884"/>
      <c r="C29" s="883"/>
      <c r="D29" s="884"/>
      <c r="E29" s="883"/>
      <c r="F29" s="883"/>
      <c r="G29" s="883"/>
      <c r="H29" s="883"/>
      <c r="I29" s="883"/>
      <c r="J29" s="883"/>
      <c r="K29" s="883"/>
      <c r="L29" s="883"/>
    </row>
    <row r="30" spans="1:12" ht="4.5" customHeight="1" thickTop="1">
      <c r="A30" s="210"/>
      <c r="B30" s="886"/>
      <c r="C30" s="885"/>
      <c r="D30" s="886"/>
      <c r="E30" s="885"/>
      <c r="F30" s="885"/>
      <c r="G30" s="885"/>
      <c r="H30" s="885"/>
      <c r="I30" s="885"/>
      <c r="J30" s="885"/>
      <c r="K30" s="885"/>
      <c r="L30" s="885"/>
    </row>
    <row r="31" spans="1:12" outlineLevel="1">
      <c r="A31" s="210"/>
      <c r="B31" s="910" t="s">
        <v>496</v>
      </c>
      <c r="C31" s="885"/>
      <c r="D31" s="886"/>
      <c r="E31" s="885"/>
      <c r="F31" s="911"/>
      <c r="G31" s="885"/>
      <c r="H31" s="885"/>
      <c r="I31" s="885"/>
      <c r="J31" s="885"/>
      <c r="K31" s="885"/>
      <c r="L31" s="885"/>
    </row>
    <row r="32" spans="1:12" outlineLevel="1">
      <c r="A32" s="225"/>
      <c r="B32" s="885"/>
      <c r="C32" s="885" t="s">
        <v>503</v>
      </c>
      <c r="D32" s="886"/>
      <c r="E32" s="885"/>
      <c r="F32" s="885"/>
      <c r="G32" s="885"/>
      <c r="H32" s="885"/>
      <c r="I32" s="885"/>
      <c r="J32" s="885"/>
      <c r="K32" s="885"/>
      <c r="L32" s="885"/>
    </row>
    <row r="33" spans="1:12" outlineLevel="1">
      <c r="A33" s="225"/>
      <c r="B33" s="885"/>
      <c r="C33" s="885"/>
      <c r="D33" s="1189" t="s">
        <v>586</v>
      </c>
      <c r="E33" s="885"/>
      <c r="F33" s="885"/>
      <c r="G33" s="885"/>
      <c r="H33" s="885"/>
      <c r="I33" s="885"/>
      <c r="J33" s="885"/>
      <c r="K33" s="885"/>
      <c r="L33" s="885"/>
    </row>
    <row r="34" spans="1:12" outlineLevel="1">
      <c r="A34" s="225"/>
      <c r="B34" s="885"/>
      <c r="C34" s="885"/>
      <c r="D34" s="1189" t="s">
        <v>587</v>
      </c>
      <c r="E34" s="885"/>
      <c r="F34" s="885"/>
      <c r="G34" s="885"/>
      <c r="H34" s="885"/>
      <c r="I34" s="885"/>
      <c r="J34" s="885"/>
      <c r="K34" s="885"/>
      <c r="L34" s="885"/>
    </row>
    <row r="35" spans="1:12" outlineLevel="1">
      <c r="A35" s="225"/>
      <c r="B35" s="885"/>
      <c r="C35" s="885"/>
      <c r="D35" s="1189" t="s">
        <v>588</v>
      </c>
      <c r="E35" s="885"/>
      <c r="F35" s="885"/>
      <c r="G35" s="885"/>
      <c r="H35" s="885"/>
      <c r="I35" s="885"/>
      <c r="J35" s="885"/>
      <c r="K35" s="885"/>
      <c r="L35" s="885"/>
    </row>
    <row r="36" spans="1:12" outlineLevel="1">
      <c r="A36" s="225"/>
      <c r="B36" s="885"/>
      <c r="C36" s="885"/>
      <c r="D36" s="1189" t="s">
        <v>589</v>
      </c>
      <c r="E36" s="885"/>
      <c r="F36" s="885"/>
      <c r="G36" s="885"/>
      <c r="H36" s="885"/>
      <c r="I36" s="885"/>
      <c r="J36" s="885"/>
      <c r="K36" s="885"/>
      <c r="L36" s="885"/>
    </row>
    <row r="37" spans="1:12" ht="15" customHeight="1" outlineLevel="1">
      <c r="A37" s="225"/>
      <c r="B37" s="1190"/>
      <c r="C37" s="885" t="s">
        <v>502</v>
      </c>
      <c r="D37" s="886"/>
      <c r="E37" s="885"/>
      <c r="F37" s="885"/>
      <c r="G37" s="885"/>
      <c r="H37" s="885"/>
      <c r="I37" s="885"/>
      <c r="J37" s="885"/>
      <c r="K37" s="885"/>
      <c r="L37" s="885"/>
    </row>
    <row r="38" spans="1:12" ht="15" customHeight="1" outlineLevel="1">
      <c r="A38" s="225"/>
      <c r="B38" s="885"/>
      <c r="C38" s="1911" t="s">
        <v>518</v>
      </c>
      <c r="D38" s="1911"/>
      <c r="E38" s="1911"/>
      <c r="F38" s="1911"/>
      <c r="G38" s="1911"/>
      <c r="H38" s="1911"/>
      <c r="I38" s="1911"/>
      <c r="J38" s="1911"/>
      <c r="K38" s="1911"/>
      <c r="L38" s="1911"/>
    </row>
    <row r="39" spans="1:12" s="175" customFormat="1" outlineLevel="1">
      <c r="A39" s="210"/>
      <c r="B39" s="885"/>
      <c r="C39" s="885" t="s">
        <v>550</v>
      </c>
      <c r="D39" s="1187"/>
      <c r="E39" s="1187"/>
      <c r="F39" s="1187"/>
      <c r="G39" s="1187"/>
      <c r="H39" s="1187"/>
      <c r="I39" s="1187"/>
      <c r="J39" s="1187"/>
      <c r="K39" s="1187"/>
      <c r="L39" s="1187"/>
    </row>
    <row r="40" spans="1:12" outlineLevel="1">
      <c r="B40" s="886"/>
      <c r="C40" s="885"/>
      <c r="D40" t="s">
        <v>590</v>
      </c>
      <c r="E40" s="886"/>
      <c r="F40" s="886"/>
      <c r="G40" s="886"/>
      <c r="H40" s="886"/>
      <c r="I40" s="886"/>
      <c r="J40" s="886"/>
      <c r="K40" s="886"/>
      <c r="L40" s="886"/>
    </row>
    <row r="41" spans="1:12" outlineLevel="1">
      <c r="B41" s="1190"/>
      <c r="C41" s="1191" t="s">
        <v>504</v>
      </c>
      <c r="D41" s="1192"/>
      <c r="E41" s="1190"/>
      <c r="F41" s="1190"/>
      <c r="G41" s="1190"/>
      <c r="H41" s="1190"/>
      <c r="I41" s="1190"/>
      <c r="J41" s="1190"/>
      <c r="K41" s="1190"/>
      <c r="L41" s="1190"/>
    </row>
    <row r="42" spans="1:12" outlineLevel="1">
      <c r="B42" s="1190"/>
      <c r="C42" s="1191" t="s">
        <v>551</v>
      </c>
      <c r="D42" s="1192"/>
      <c r="E42" s="1190"/>
      <c r="F42" s="1190"/>
      <c r="G42" s="1190"/>
      <c r="H42" s="1190"/>
      <c r="I42" s="1190"/>
      <c r="J42" s="1190"/>
      <c r="K42" s="1190"/>
      <c r="L42" s="1190"/>
    </row>
    <row r="43" spans="1:12" outlineLevel="1">
      <c r="B43" s="1190"/>
      <c r="C43" s="1191" t="s">
        <v>591</v>
      </c>
      <c r="D43" s="1192"/>
      <c r="E43" s="1190"/>
      <c r="F43" s="1190"/>
      <c r="G43" s="1190"/>
      <c r="H43" s="1190"/>
      <c r="I43" s="1190"/>
      <c r="J43" s="1190"/>
      <c r="K43" s="1190"/>
      <c r="L43" s="1190"/>
    </row>
    <row r="44" spans="1:12" outlineLevel="1">
      <c r="B44" s="1190"/>
      <c r="C44" s="1190"/>
      <c r="D44" t="s">
        <v>592</v>
      </c>
      <c r="E44" s="1190"/>
      <c r="F44" s="1190"/>
      <c r="G44" s="1190"/>
      <c r="H44" s="1190"/>
      <c r="I44" s="1190"/>
      <c r="J44" s="1190"/>
      <c r="K44" s="1190"/>
      <c r="L44" s="1190"/>
    </row>
    <row r="45" spans="1:12" outlineLevel="1">
      <c r="B45" s="1190"/>
      <c r="C45" s="1190"/>
      <c r="D45" s="899" t="s">
        <v>593</v>
      </c>
      <c r="E45" s="1190"/>
      <c r="F45" s="1190"/>
      <c r="G45" s="1190"/>
      <c r="H45" s="1190"/>
      <c r="I45" s="1190"/>
      <c r="J45" s="1190"/>
      <c r="K45" s="1190"/>
      <c r="L45" s="1190"/>
    </row>
    <row r="46" spans="1:12" outlineLevel="1">
      <c r="B46" s="1190"/>
      <c r="C46" s="1190"/>
      <c r="D46" t="s">
        <v>594</v>
      </c>
      <c r="E46" s="1190"/>
      <c r="F46" s="1190"/>
      <c r="G46" s="1190"/>
      <c r="H46" s="1190"/>
      <c r="I46" s="1190"/>
      <c r="J46" s="1190"/>
      <c r="K46" s="1190"/>
      <c r="L46" s="1190"/>
    </row>
    <row r="47" spans="1:12" outlineLevel="1">
      <c r="B47" s="1190"/>
      <c r="C47" s="1191" t="s">
        <v>595</v>
      </c>
      <c r="D47" s="1192"/>
      <c r="E47" s="1190"/>
      <c r="F47" s="1190"/>
      <c r="G47" s="1190"/>
      <c r="H47" s="1190"/>
      <c r="I47" s="1190"/>
      <c r="J47" s="1190"/>
      <c r="K47" s="1190"/>
      <c r="L47" s="1190"/>
    </row>
    <row r="48" spans="1:12" outlineLevel="1">
      <c r="B48" s="1190"/>
      <c r="C48" s="1190"/>
      <c r="D48" s="899" t="s">
        <v>505</v>
      </c>
      <c r="E48" s="1190"/>
      <c r="F48" s="1190"/>
      <c r="G48" s="1190"/>
      <c r="H48" s="1190"/>
      <c r="I48" s="1190"/>
      <c r="J48" s="1190"/>
      <c r="K48" s="1190"/>
      <c r="L48" s="1190"/>
    </row>
    <row r="49" spans="2:12" outlineLevel="1">
      <c r="B49" s="1190"/>
      <c r="C49" s="1190" t="s">
        <v>509</v>
      </c>
      <c r="D49" s="899"/>
      <c r="E49" s="1190"/>
      <c r="F49" s="1190"/>
      <c r="G49" s="1190"/>
      <c r="H49" s="1190"/>
      <c r="I49" s="1190"/>
      <c r="J49" s="1190"/>
      <c r="K49" s="1190"/>
      <c r="L49" s="1190"/>
    </row>
    <row r="50" spans="2:12" outlineLevel="1">
      <c r="B50" s="1190"/>
      <c r="C50" s="1190"/>
      <c r="D50" s="1190" t="s">
        <v>510</v>
      </c>
      <c r="E50" s="1190"/>
      <c r="F50" s="1190"/>
      <c r="G50" s="1190"/>
      <c r="H50" s="1190"/>
      <c r="I50" s="1190"/>
      <c r="J50" s="1190"/>
      <c r="K50" s="1190"/>
      <c r="L50" s="1190"/>
    </row>
    <row r="51" spans="2:12" outlineLevel="1">
      <c r="B51" s="1190"/>
      <c r="C51" s="1190" t="s">
        <v>506</v>
      </c>
      <c r="D51" s="1192"/>
      <c r="E51" s="1190"/>
      <c r="F51" s="1190"/>
      <c r="G51" s="1190"/>
      <c r="H51" s="1190"/>
      <c r="I51" s="1190"/>
      <c r="J51" s="1190"/>
      <c r="K51" s="1190"/>
      <c r="L51" s="1190"/>
    </row>
    <row r="52" spans="2:12" outlineLevel="1">
      <c r="B52" s="1190"/>
      <c r="C52" s="1190"/>
      <c r="D52" t="s">
        <v>596</v>
      </c>
      <c r="E52" s="1190"/>
      <c r="F52" s="1190"/>
      <c r="G52" s="1190"/>
      <c r="H52" s="1190"/>
      <c r="I52" s="1190"/>
      <c r="J52" s="1190"/>
      <c r="K52" s="1190"/>
      <c r="L52" s="1190"/>
    </row>
    <row r="53" spans="2:12" outlineLevel="1">
      <c r="B53" s="1190"/>
      <c r="C53" s="1191" t="s">
        <v>552</v>
      </c>
      <c r="D53" s="1192"/>
      <c r="E53" s="1190"/>
      <c r="F53" s="1190"/>
      <c r="G53" s="1190"/>
      <c r="H53" s="1190"/>
      <c r="I53" s="1190"/>
      <c r="J53" s="1190"/>
      <c r="K53" s="1190"/>
      <c r="L53" s="1190"/>
    </row>
    <row r="54" spans="2:12" outlineLevel="1">
      <c r="B54" s="1190"/>
      <c r="C54" s="1190"/>
      <c r="D54" s="899" t="s">
        <v>507</v>
      </c>
      <c r="E54" s="1190"/>
      <c r="F54" s="1190"/>
      <c r="G54" s="1190"/>
      <c r="H54" s="1190"/>
      <c r="I54" s="1190"/>
      <c r="J54" s="1190"/>
      <c r="K54" s="1190"/>
      <c r="L54" s="1190"/>
    </row>
    <row r="55" spans="2:12" outlineLevel="1">
      <c r="B55" s="1190"/>
      <c r="C55" s="1191" t="s">
        <v>602</v>
      </c>
      <c r="D55" s="899"/>
      <c r="E55" s="1190"/>
      <c r="F55" s="1190"/>
      <c r="G55" s="1190"/>
      <c r="H55" s="1190"/>
      <c r="I55" s="1190"/>
      <c r="J55" s="1190"/>
      <c r="K55" s="1190"/>
      <c r="L55" s="1190"/>
    </row>
    <row r="56" spans="2:12" outlineLevel="1">
      <c r="B56" s="1190"/>
      <c r="C56" s="1190" t="s">
        <v>508</v>
      </c>
      <c r="D56" s="1192"/>
      <c r="E56" s="1190"/>
      <c r="F56" s="1190"/>
      <c r="G56" s="1190"/>
      <c r="H56" s="1190"/>
      <c r="I56" s="1190"/>
      <c r="J56" s="1190"/>
      <c r="K56" s="1190"/>
      <c r="L56" s="1190"/>
    </row>
    <row r="57" spans="2:12" outlineLevel="1">
      <c r="B57" s="1190"/>
      <c r="C57" s="1190"/>
      <c r="D57" t="s">
        <v>597</v>
      </c>
      <c r="E57" s="1190"/>
      <c r="F57" s="1190"/>
      <c r="G57" s="1190"/>
      <c r="H57" s="1190"/>
      <c r="I57" s="1190"/>
      <c r="J57" s="1190"/>
      <c r="K57" s="1190"/>
      <c r="L57" s="1190"/>
    </row>
    <row r="58" spans="2:12" outlineLevel="1">
      <c r="B58" s="1190"/>
      <c r="C58" s="1190"/>
      <c r="D58" t="s">
        <v>598</v>
      </c>
      <c r="E58" s="1190"/>
      <c r="F58" s="1190"/>
      <c r="G58" s="1190"/>
      <c r="H58" s="1190"/>
      <c r="I58" s="1190"/>
      <c r="J58" s="1190"/>
      <c r="K58" s="1190"/>
      <c r="L58" s="1190"/>
    </row>
    <row r="59" spans="2:12" outlineLevel="1">
      <c r="B59" s="1190"/>
      <c r="C59" s="1190"/>
      <c r="D59" t="s">
        <v>599</v>
      </c>
      <c r="E59" s="1190"/>
      <c r="F59" s="1190"/>
      <c r="G59" s="1190"/>
      <c r="H59" s="1190"/>
      <c r="I59" s="1190"/>
      <c r="J59" s="1190"/>
      <c r="K59" s="1190"/>
      <c r="L59" s="1190"/>
    </row>
    <row r="60" spans="2:12" outlineLevel="1">
      <c r="B60" s="1190"/>
      <c r="C60" s="1191" t="s">
        <v>553</v>
      </c>
      <c r="D60" s="1192"/>
      <c r="E60" s="1190"/>
      <c r="F60" s="1190"/>
      <c r="G60" s="1190"/>
      <c r="H60" s="1190"/>
      <c r="I60" s="1190"/>
      <c r="J60" s="1190"/>
      <c r="K60" s="1190"/>
      <c r="L60" s="1190"/>
    </row>
    <row r="61" spans="2:12" outlineLevel="1">
      <c r="B61" s="1190"/>
      <c r="C61" s="1191"/>
      <c r="D61" t="s">
        <v>507</v>
      </c>
      <c r="E61" s="1190"/>
      <c r="F61" s="1190"/>
      <c r="G61" s="1190"/>
      <c r="H61" s="1190"/>
      <c r="I61" s="1190"/>
      <c r="J61" s="1190"/>
      <c r="K61" s="1190"/>
      <c r="L61" s="1190"/>
    </row>
    <row r="62" spans="2:12">
      <c r="B62" s="1190"/>
      <c r="C62" s="1190"/>
      <c r="D62" s="1191" t="s">
        <v>600</v>
      </c>
      <c r="E62" s="1190"/>
      <c r="F62" s="1190"/>
      <c r="G62" s="1190"/>
      <c r="H62" s="1190"/>
      <c r="I62" s="1190"/>
      <c r="J62" s="1190"/>
      <c r="K62" s="1190"/>
      <c r="L62" s="1190"/>
    </row>
    <row r="63" spans="2:12">
      <c r="B63" s="1190"/>
      <c r="C63" s="1191" t="s">
        <v>601</v>
      </c>
      <c r="D63" s="1192"/>
      <c r="E63" s="1190"/>
      <c r="F63" s="1190"/>
      <c r="G63" s="1190"/>
      <c r="H63" s="1190"/>
      <c r="I63" s="1190"/>
      <c r="J63" s="1190"/>
      <c r="K63" s="1190"/>
      <c r="L63" s="1190"/>
    </row>
  </sheetData>
  <mergeCells count="2">
    <mergeCell ref="B5:C5"/>
    <mergeCell ref="C38:L38"/>
  </mergeCells>
  <hyperlinks>
    <hyperlink ref="D35" r:id="rId1" display="http://www.camdencounty.com/service/board-of-taxation/"/>
  </hyperlinks>
  <pageMargins left="0.7" right="0.7" top="0.75" bottom="0.75" header="0.3" footer="0.3"/>
  <pageSetup orientation="portrait" blackAndWhite="1"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O107"/>
  <sheetViews>
    <sheetView zoomScaleNormal="100" workbookViewId="0">
      <selection activeCell="F27" sqref="F27"/>
    </sheetView>
  </sheetViews>
  <sheetFormatPr defaultColWidth="9.140625" defaultRowHeight="15"/>
  <cols>
    <col min="1" max="1" width="32.7109375" style="219" customWidth="1"/>
    <col min="2" max="2" width="11.42578125" style="219" customWidth="1"/>
    <col min="3" max="3" width="12.42578125" style="219" customWidth="1"/>
    <col min="4" max="4" width="25.42578125" style="219" customWidth="1"/>
    <col min="5" max="5" width="12.28515625" style="219" customWidth="1"/>
    <col min="6" max="6" width="14" style="219" bestFit="1" customWidth="1"/>
    <col min="7" max="7" width="15.140625" style="219" bestFit="1" customWidth="1"/>
    <col min="8" max="8" width="18.140625" style="219" customWidth="1"/>
    <col min="9" max="9" width="19.140625" style="219" bestFit="1" customWidth="1"/>
    <col min="10" max="10" width="14.42578125" style="219" bestFit="1" customWidth="1"/>
    <col min="11" max="11" width="13.42578125" style="219" bestFit="1" customWidth="1"/>
    <col min="12" max="12" width="9.140625" style="219"/>
    <col min="13" max="13" width="13.7109375" style="219" bestFit="1" customWidth="1"/>
    <col min="14" max="14" width="19.140625" style="219" bestFit="1" customWidth="1"/>
    <col min="15" max="15" width="12.28515625" style="219" bestFit="1" customWidth="1"/>
    <col min="16" max="16384" width="9.140625" style="219"/>
  </cols>
  <sheetData>
    <row r="1" spans="1:7">
      <c r="B1" s="928" t="s">
        <v>516</v>
      </c>
      <c r="C1" s="928"/>
      <c r="D1" s="928"/>
      <c r="E1" s="928"/>
    </row>
    <row r="2" spans="1:7">
      <c r="A2" s="534" t="s">
        <v>153</v>
      </c>
      <c r="B2" s="534"/>
      <c r="C2" s="534"/>
      <c r="D2" s="534"/>
      <c r="E2" s="534"/>
      <c r="F2" s="534"/>
      <c r="G2" s="534"/>
    </row>
    <row r="4" spans="1:7">
      <c r="A4" s="535"/>
      <c r="B4" s="931">
        <v>0.11899999999999999</v>
      </c>
      <c r="C4" s="808" t="s">
        <v>517</v>
      </c>
    </row>
    <row r="6" spans="1:7">
      <c r="A6" s="536"/>
      <c r="B6" s="1168" t="s">
        <v>570</v>
      </c>
      <c r="C6" s="1181">
        <f>4.24192156509953%*$B$4</f>
        <v>5.0478866624684409E-3</v>
      </c>
      <c r="D6" s="930"/>
    </row>
    <row r="7" spans="1:7">
      <c r="A7" s="536"/>
      <c r="B7" s="1168" t="s">
        <v>571</v>
      </c>
      <c r="C7" s="1182">
        <f>2.18939333333333/100</f>
        <v>2.1893933333333303E-2</v>
      </c>
      <c r="D7" s="930"/>
    </row>
    <row r="8" spans="1:7">
      <c r="A8" s="1116"/>
      <c r="B8" s="444"/>
      <c r="C8" s="952"/>
      <c r="D8" s="930"/>
    </row>
    <row r="10" spans="1:7">
      <c r="A10" s="534" t="s">
        <v>289</v>
      </c>
      <c r="B10" s="534"/>
      <c r="C10" s="534"/>
      <c r="D10" s="534"/>
      <c r="E10" s="534"/>
      <c r="F10" s="534"/>
      <c r="G10" s="534"/>
    </row>
    <row r="11" spans="1:7">
      <c r="B11" s="219" t="s">
        <v>120</v>
      </c>
      <c r="C11" s="219" t="s">
        <v>121</v>
      </c>
      <c r="D11" s="219" t="s">
        <v>111</v>
      </c>
      <c r="E11" s="219" t="s">
        <v>122</v>
      </c>
    </row>
    <row r="12" spans="1:7" s="444" customFormat="1">
      <c r="A12" s="536" t="s">
        <v>742</v>
      </c>
      <c r="B12" s="927">
        <v>10025367.326893417</v>
      </c>
      <c r="C12" s="927">
        <v>12441680.580230659</v>
      </c>
      <c r="D12" s="927">
        <v>16392459.230156075</v>
      </c>
      <c r="E12" s="927">
        <v>14506339.542564631</v>
      </c>
      <c r="F12" s="444" t="s">
        <v>577</v>
      </c>
      <c r="G12" s="1012"/>
    </row>
    <row r="13" spans="1:7" s="444" customFormat="1">
      <c r="A13" s="536" t="s">
        <v>743</v>
      </c>
      <c r="B13" s="927">
        <v>10024922.915465051</v>
      </c>
      <c r="C13" s="927">
        <v>12442615.262033006</v>
      </c>
      <c r="D13" s="927">
        <v>16393004.85637969</v>
      </c>
      <c r="E13" s="927">
        <v>14507246.720199436</v>
      </c>
      <c r="G13" s="1012"/>
    </row>
    <row r="14" spans="1:7" s="444" customFormat="1">
      <c r="A14" s="536" t="s">
        <v>744</v>
      </c>
      <c r="B14" s="927">
        <v>4359095.7959905295</v>
      </c>
      <c r="C14" s="927">
        <v>5414195.8640128421</v>
      </c>
      <c r="D14" s="927">
        <v>7135984.7727972558</v>
      </c>
      <c r="E14" s="927">
        <v>6317505.3073965805</v>
      </c>
      <c r="G14" s="1012"/>
    </row>
    <row r="17" spans="1:7">
      <c r="A17" s="534" t="s">
        <v>298</v>
      </c>
      <c r="B17" s="534" t="s">
        <v>574</v>
      </c>
      <c r="C17" s="534"/>
      <c r="D17" s="534"/>
      <c r="E17" s="534"/>
      <c r="F17" s="534"/>
      <c r="G17" s="534"/>
    </row>
    <row r="19" spans="1:7">
      <c r="B19" s="790" t="s">
        <v>120</v>
      </c>
      <c r="C19" s="790" t="s">
        <v>121</v>
      </c>
      <c r="D19" s="790" t="s">
        <v>111</v>
      </c>
      <c r="E19" s="790" t="s">
        <v>122</v>
      </c>
    </row>
    <row r="20" spans="1:7">
      <c r="A20" s="537" t="s">
        <v>76</v>
      </c>
    </row>
    <row r="21" spans="1:7">
      <c r="A21" s="442" t="s">
        <v>741</v>
      </c>
      <c r="B21" s="1609">
        <v>0.29153068256118786</v>
      </c>
      <c r="C21" s="1609">
        <v>-0.5550599578383979</v>
      </c>
      <c r="D21" s="1609">
        <v>0.97750346004174737</v>
      </c>
      <c r="E21" s="1609">
        <v>0.28227001787993622</v>
      </c>
    </row>
    <row r="22" spans="1:7">
      <c r="A22" s="442" t="s">
        <v>740</v>
      </c>
      <c r="B22" s="1609">
        <v>-0.55145531885567678</v>
      </c>
      <c r="C22" s="1609">
        <v>-0.55504546083839745</v>
      </c>
      <c r="D22" s="1609">
        <v>0.1234817934624024</v>
      </c>
      <c r="E22" s="1609">
        <v>-0.53179698430655797</v>
      </c>
    </row>
    <row r="23" spans="1:7">
      <c r="B23" s="1609"/>
      <c r="C23" s="1609"/>
      <c r="D23" s="1609"/>
      <c r="E23" s="1609"/>
    </row>
    <row r="24" spans="1:7">
      <c r="A24" s="479" t="s">
        <v>77</v>
      </c>
      <c r="B24" s="1609"/>
      <c r="C24" s="1609"/>
      <c r="D24" s="1609"/>
      <c r="E24" s="1609"/>
      <c r="G24" s="444"/>
    </row>
    <row r="25" spans="1:7">
      <c r="A25" s="442" t="s">
        <v>746</v>
      </c>
      <c r="B25" s="1609">
        <v>-14.275866830668146</v>
      </c>
      <c r="C25" s="1609">
        <v>-14.354254876965879</v>
      </c>
      <c r="D25" s="1609">
        <v>-10.113634745804642</v>
      </c>
      <c r="E25" s="1609">
        <v>-13.850417197102566</v>
      </c>
      <c r="G25" s="444"/>
    </row>
    <row r="26" spans="1:7">
      <c r="A26" s="442" t="s">
        <v>747</v>
      </c>
      <c r="B26" s="1609">
        <v>-13.917542115677161</v>
      </c>
      <c r="C26" s="1609">
        <v>-13.993940896160307</v>
      </c>
      <c r="D26" s="1609">
        <v>-9.7836411246887813</v>
      </c>
      <c r="E26" s="1609">
        <v>-13.490054026236351</v>
      </c>
      <c r="G26" s="444"/>
    </row>
    <row r="27" spans="1:7">
      <c r="G27" s="444"/>
    </row>
    <row r="28" spans="1:7">
      <c r="A28" s="537" t="s">
        <v>76</v>
      </c>
      <c r="B28" s="538"/>
      <c r="C28" s="538"/>
      <c r="D28" s="538"/>
      <c r="E28" s="538"/>
      <c r="G28" s="444"/>
    </row>
    <row r="29" spans="1:7">
      <c r="A29" s="1611" t="str">
        <f>A22</f>
        <v>No Fuel Oil</v>
      </c>
      <c r="B29" s="1610">
        <f>'Additional Estimates'!B$22</f>
        <v>-0.55145531885567678</v>
      </c>
      <c r="C29" s="1610">
        <f>'Additional Estimates'!C$22</f>
        <v>-0.55504546083839745</v>
      </c>
      <c r="D29" s="1610">
        <f>'Additional Estimates'!D$22</f>
        <v>0.1234817934624024</v>
      </c>
      <c r="E29" s="1610">
        <f>'Additional Estimates'!E$22</f>
        <v>-0.53179698430655797</v>
      </c>
      <c r="G29" s="444"/>
    </row>
    <row r="30" spans="1:7">
      <c r="A30" s="537" t="s">
        <v>77</v>
      </c>
      <c r="B30" s="775"/>
      <c r="C30" s="775"/>
      <c r="D30" s="775"/>
      <c r="E30" s="775"/>
      <c r="G30" s="444"/>
    </row>
    <row r="31" spans="1:7">
      <c r="A31" s="1611" t="str">
        <f>A26</f>
        <v>ACC and Firm Gas</v>
      </c>
      <c r="B31" s="1610">
        <f>'Additional Estimates'!B$26</f>
        <v>-13.917542115677161</v>
      </c>
      <c r="C31" s="1610">
        <f>'Additional Estimates'!C$26</f>
        <v>-13.993940896160307</v>
      </c>
      <c r="D31" s="1610">
        <f>'Additional Estimates'!D$26</f>
        <v>-9.7836411246887813</v>
      </c>
      <c r="E31" s="1610">
        <f>'Additional Estimates'!E$26</f>
        <v>-13.490054026236351</v>
      </c>
      <c r="G31" s="444"/>
    </row>
    <row r="32" spans="1:7">
      <c r="C32" s="444"/>
      <c r="D32" s="444"/>
      <c r="G32" s="444"/>
    </row>
    <row r="33" spans="1:8">
      <c r="C33" s="444"/>
      <c r="D33" s="444"/>
    </row>
    <row r="34" spans="1:8">
      <c r="A34" s="534" t="s">
        <v>576</v>
      </c>
      <c r="B34" s="534"/>
      <c r="C34" s="534"/>
      <c r="D34" s="534"/>
      <c r="E34" s="534"/>
      <c r="F34" s="534"/>
      <c r="G34" s="534"/>
    </row>
    <row r="35" spans="1:8">
      <c r="A35" s="549">
        <v>1000000</v>
      </c>
      <c r="B35" s="219" t="s">
        <v>530</v>
      </c>
    </row>
    <row r="36" spans="1:8" ht="15.75" thickBot="1">
      <c r="A36" s="926"/>
      <c r="B36" s="445"/>
      <c r="C36" s="445"/>
      <c r="D36" s="445"/>
      <c r="E36" s="445"/>
      <c r="F36" s="445"/>
      <c r="G36" s="445"/>
    </row>
    <row r="37" spans="1:8" ht="15.75" thickTop="1">
      <c r="A37" s="541"/>
      <c r="B37" s="541"/>
      <c r="C37" s="541"/>
      <c r="D37" s="541"/>
      <c r="E37" s="541"/>
      <c r="F37" s="541"/>
      <c r="G37" s="541"/>
      <c r="H37" s="541"/>
    </row>
    <row r="38" spans="1:8">
      <c r="A38" s="539"/>
      <c r="B38" s="925" t="s">
        <v>430</v>
      </c>
      <c r="C38" s="547" t="s">
        <v>300</v>
      </c>
      <c r="D38" s="547" t="s">
        <v>301</v>
      </c>
      <c r="E38" s="547"/>
      <c r="F38" s="547" t="s">
        <v>300</v>
      </c>
      <c r="G38" s="547" t="s">
        <v>301</v>
      </c>
    </row>
    <row r="39" spans="1:8">
      <c r="A39" s="540"/>
      <c r="B39" s="790" t="s">
        <v>431</v>
      </c>
      <c r="C39" s="790" t="s">
        <v>432</v>
      </c>
      <c r="D39" s="790" t="s">
        <v>432</v>
      </c>
      <c r="E39" s="790"/>
      <c r="F39" s="790" t="s">
        <v>46</v>
      </c>
      <c r="G39" s="790" t="s">
        <v>46</v>
      </c>
    </row>
    <row r="40" spans="1:8" ht="6" customHeight="1"/>
    <row r="41" spans="1:8">
      <c r="A41" s="544" t="s">
        <v>120</v>
      </c>
      <c r="B41" s="1180">
        <v>36600</v>
      </c>
      <c r="C41" s="916">
        <v>10</v>
      </c>
      <c r="D41" s="542">
        <v>60</v>
      </c>
      <c r="E41" s="542"/>
      <c r="F41" s="543">
        <f>B41*C41/$A$35</f>
        <v>0.36599999999999999</v>
      </c>
      <c r="G41" s="543">
        <f>B41*D41/$A$35</f>
        <v>2.1960000000000002</v>
      </c>
      <c r="H41" s="929"/>
    </row>
    <row r="42" spans="1:8">
      <c r="A42" s="544" t="s">
        <v>121</v>
      </c>
      <c r="B42" s="1180">
        <v>29500</v>
      </c>
      <c r="C42" s="916">
        <v>10</v>
      </c>
      <c r="D42" s="542">
        <v>60</v>
      </c>
      <c r="E42" s="542"/>
      <c r="F42" s="543">
        <f>B42*C42/$A$35</f>
        <v>0.29499999999999998</v>
      </c>
      <c r="G42" s="543">
        <f>B42*D42/$A$35</f>
        <v>1.77</v>
      </c>
      <c r="H42" s="929"/>
    </row>
    <row r="43" spans="1:8">
      <c r="A43" s="544" t="s">
        <v>185</v>
      </c>
      <c r="B43" s="1180">
        <v>16400</v>
      </c>
      <c r="C43" s="916">
        <v>10</v>
      </c>
      <c r="D43" s="542">
        <v>60</v>
      </c>
      <c r="E43" s="542"/>
      <c r="F43" s="543">
        <f>B43*C43/$A$35</f>
        <v>0.16400000000000001</v>
      </c>
      <c r="G43" s="543">
        <f>B43*D43/$A$35</f>
        <v>0.98399999999999999</v>
      </c>
      <c r="H43" s="929"/>
    </row>
    <row r="44" spans="1:8">
      <c r="A44" s="544" t="s">
        <v>122</v>
      </c>
      <c r="B44" s="1180">
        <v>30600</v>
      </c>
      <c r="C44" s="916">
        <v>10</v>
      </c>
      <c r="D44" s="542">
        <v>60</v>
      </c>
      <c r="E44" s="542"/>
      <c r="F44" s="543">
        <f>B44*C44/$A$35</f>
        <v>0.30599999999999999</v>
      </c>
      <c r="G44" s="543">
        <f>B44*D44/$A$35</f>
        <v>1.8360000000000001</v>
      </c>
      <c r="H44" s="929"/>
    </row>
    <row r="45" spans="1:8" ht="6" customHeight="1" thickBot="1">
      <c r="A45" s="445"/>
      <c r="B45" s="445"/>
      <c r="C45" s="445"/>
      <c r="D45" s="445"/>
      <c r="E45" s="445"/>
      <c r="F45" s="445"/>
      <c r="G45" s="445"/>
    </row>
    <row r="46" spans="1:8" ht="6" customHeight="1" thickTop="1"/>
    <row r="47" spans="1:8">
      <c r="A47" s="332" t="s">
        <v>433</v>
      </c>
    </row>
    <row r="48" spans="1:8">
      <c r="A48" s="332" t="s">
        <v>575</v>
      </c>
    </row>
    <row r="51" spans="1:7">
      <c r="A51" s="534" t="s">
        <v>580</v>
      </c>
      <c r="B51" s="534"/>
      <c r="C51" s="534"/>
      <c r="D51" s="534"/>
      <c r="E51" s="534"/>
      <c r="F51" s="534"/>
      <c r="G51" s="534"/>
    </row>
    <row r="53" spans="1:7" ht="15.75" thickBot="1">
      <c r="A53" s="545"/>
      <c r="B53" s="546"/>
      <c r="C53" s="445"/>
      <c r="D53" s="445"/>
      <c r="E53" s="445"/>
    </row>
    <row r="54" spans="1:7" ht="15.75" thickTop="1">
      <c r="A54" s="548"/>
      <c r="B54" s="547"/>
      <c r="D54" s="540"/>
      <c r="E54" s="540"/>
    </row>
    <row r="55" spans="1:7">
      <c r="A55" s="219" t="s">
        <v>438</v>
      </c>
      <c r="B55" s="547" t="s">
        <v>439</v>
      </c>
      <c r="C55" s="547"/>
      <c r="D55" s="792" t="s">
        <v>437</v>
      </c>
      <c r="E55" s="792"/>
    </row>
    <row r="56" spans="1:7">
      <c r="A56" s="540"/>
      <c r="B56" s="790" t="s">
        <v>440</v>
      </c>
      <c r="C56" s="791"/>
      <c r="D56" s="790" t="s">
        <v>578</v>
      </c>
      <c r="E56" s="790" t="s">
        <v>579</v>
      </c>
    </row>
    <row r="57" spans="1:7">
      <c r="A57" s="544" t="s">
        <v>434</v>
      </c>
      <c r="B57" s="917">
        <v>5</v>
      </c>
      <c r="D57" s="1183">
        <v>7.233387088567139</v>
      </c>
      <c r="E57" s="1185">
        <v>18.326712022437039</v>
      </c>
    </row>
    <row r="58" spans="1:7">
      <c r="A58" s="544" t="s">
        <v>435</v>
      </c>
      <c r="B58" s="917">
        <v>5</v>
      </c>
      <c r="D58" s="1183">
        <v>12.154347281179028</v>
      </c>
      <c r="E58" s="1185">
        <v>20.740455183651701</v>
      </c>
    </row>
    <row r="59" spans="1:7">
      <c r="A59" s="544" t="s">
        <v>436</v>
      </c>
      <c r="B59" s="917">
        <v>7</v>
      </c>
      <c r="D59" s="1183">
        <v>23.92973131604699</v>
      </c>
      <c r="E59" s="1185">
        <v>18.252384567306933</v>
      </c>
    </row>
    <row r="60" spans="1:7" ht="6" customHeight="1">
      <c r="A60" s="921"/>
      <c r="B60" s="922"/>
      <c r="C60" s="540"/>
      <c r="D60" s="923"/>
      <c r="E60" s="924"/>
    </row>
    <row r="61" spans="1:7" ht="6" customHeight="1">
      <c r="A61" s="544"/>
      <c r="B61" s="917"/>
      <c r="D61" s="919"/>
      <c r="E61" s="918"/>
    </row>
    <row r="62" spans="1:7">
      <c r="A62" s="333" t="s">
        <v>437</v>
      </c>
      <c r="B62" s="920">
        <v>17</v>
      </c>
      <c r="C62" s="333"/>
      <c r="D62" s="1184">
        <v>18.787312533512448</v>
      </c>
      <c r="E62" s="1186">
        <v>18.878745093326621</v>
      </c>
    </row>
    <row r="63" spans="1:7" ht="6" customHeight="1" thickBot="1">
      <c r="A63" s="545"/>
      <c r="B63" s="545"/>
      <c r="C63" s="545"/>
      <c r="D63" s="545"/>
      <c r="E63" s="545"/>
    </row>
    <row r="64" spans="1:7" ht="6" customHeight="1" thickTop="1">
      <c r="A64" s="544"/>
      <c r="B64" s="544"/>
      <c r="C64" s="544"/>
      <c r="D64" s="544"/>
      <c r="E64" s="544"/>
    </row>
    <row r="66" spans="1:15">
      <c r="A66" s="534" t="s">
        <v>584</v>
      </c>
      <c r="B66" s="534"/>
      <c r="C66" s="534"/>
      <c r="D66" s="534"/>
      <c r="E66" s="534"/>
      <c r="F66" s="534"/>
      <c r="G66" s="534"/>
      <c r="H66" s="534"/>
      <c r="I66" s="534"/>
      <c r="J66" s="534"/>
      <c r="K66" s="534"/>
      <c r="L66" s="534"/>
      <c r="M66" s="534"/>
      <c r="N66" s="534"/>
      <c r="O66" s="534"/>
    </row>
    <row r="68" spans="1:15" ht="15.75" thickBot="1">
      <c r="A68" s="1117"/>
      <c r="B68" s="1118"/>
      <c r="C68" s="1117"/>
      <c r="D68" s="1117"/>
      <c r="E68" s="1117"/>
      <c r="F68" s="1117"/>
      <c r="G68" s="1117"/>
      <c r="H68" s="1119"/>
      <c r="I68" s="1117"/>
      <c r="J68" s="1117"/>
      <c r="K68" s="1117"/>
      <c r="L68" s="1118"/>
      <c r="M68" s="1117"/>
      <c r="N68" s="1117"/>
    </row>
    <row r="69" spans="1:15" ht="15.75" thickTop="1">
      <c r="A69" s="1120"/>
      <c r="B69" s="1121"/>
      <c r="C69" s="1120"/>
      <c r="D69" s="1120"/>
      <c r="E69" s="1120"/>
      <c r="F69" s="1120"/>
      <c r="G69" s="1120"/>
      <c r="H69" s="1122"/>
      <c r="I69" s="1120"/>
      <c r="J69" s="1120"/>
      <c r="K69" s="1120"/>
      <c r="L69" s="1121"/>
      <c r="M69" s="1120"/>
      <c r="N69" s="1120"/>
    </row>
    <row r="70" spans="1:15" ht="30">
      <c r="A70" s="1123" t="s">
        <v>441</v>
      </c>
      <c r="B70" s="1124"/>
      <c r="C70" s="1124" t="s">
        <v>442</v>
      </c>
      <c r="D70" s="1124" t="s">
        <v>443</v>
      </c>
      <c r="E70" s="1125"/>
      <c r="F70" s="1124" t="s">
        <v>444</v>
      </c>
      <c r="G70" s="1124" t="s">
        <v>445</v>
      </c>
      <c r="H70" s="1126" t="s">
        <v>446</v>
      </c>
      <c r="I70" s="1126" t="s">
        <v>446</v>
      </c>
      <c r="J70" s="1124" t="s">
        <v>389</v>
      </c>
      <c r="K70" s="1124"/>
      <c r="L70" s="1124" t="s">
        <v>447</v>
      </c>
      <c r="M70" s="1124" t="s">
        <v>448</v>
      </c>
      <c r="N70" s="1124" t="s">
        <v>540</v>
      </c>
    </row>
    <row r="71" spans="1:15">
      <c r="A71" s="1127"/>
      <c r="B71" s="1128"/>
      <c r="C71" s="1129"/>
      <c r="D71" s="1129"/>
      <c r="E71" s="1129"/>
      <c r="F71" s="1130" t="s">
        <v>449</v>
      </c>
      <c r="G71" s="1130" t="s">
        <v>450</v>
      </c>
      <c r="H71" s="1131" t="s">
        <v>451</v>
      </c>
      <c r="I71" s="1130" t="s">
        <v>578</v>
      </c>
      <c r="J71" s="1130" t="s">
        <v>452</v>
      </c>
      <c r="K71" s="1130"/>
      <c r="L71" s="1130" t="s">
        <v>453</v>
      </c>
      <c r="M71" s="1130" t="s">
        <v>451</v>
      </c>
      <c r="N71" s="1130" t="s">
        <v>578</v>
      </c>
    </row>
    <row r="72" spans="1:15">
      <c r="A72" s="1132"/>
      <c r="B72" s="1133"/>
      <c r="C72" s="1134"/>
      <c r="D72" s="1134"/>
      <c r="E72" s="1134"/>
      <c r="F72" s="1135"/>
      <c r="G72" s="1135"/>
      <c r="H72" s="1136"/>
      <c r="I72" s="1135"/>
      <c r="J72" s="1135"/>
      <c r="K72" s="1135"/>
      <c r="L72" s="1135"/>
      <c r="M72" s="1135"/>
      <c r="N72" s="1135"/>
    </row>
    <row r="73" spans="1:15">
      <c r="A73" s="1755" t="s">
        <v>581</v>
      </c>
      <c r="B73" s="1756"/>
      <c r="C73" s="1756" t="s">
        <v>456</v>
      </c>
      <c r="D73" s="1756">
        <v>2014</v>
      </c>
      <c r="E73" s="1757"/>
      <c r="F73" s="1756">
        <v>16</v>
      </c>
      <c r="G73" s="1758">
        <v>16.5</v>
      </c>
      <c r="H73" s="1759">
        <v>26.3</v>
      </c>
      <c r="I73" s="1760">
        <v>31.049559624867921</v>
      </c>
      <c r="J73" s="1761">
        <v>1.8817914924162376</v>
      </c>
      <c r="K73" s="1762"/>
      <c r="L73" s="1756" t="s">
        <v>515</v>
      </c>
      <c r="M73" s="1763">
        <v>2.2103999999999999</v>
      </c>
      <c r="N73" s="1764">
        <v>2.6095797184337659</v>
      </c>
    </row>
    <row r="74" spans="1:15">
      <c r="A74" s="1755" t="s">
        <v>461</v>
      </c>
      <c r="B74" s="1756"/>
      <c r="C74" s="1756" t="s">
        <v>455</v>
      </c>
      <c r="D74" s="1756">
        <v>2015</v>
      </c>
      <c r="E74" s="1757"/>
      <c r="F74" s="1756">
        <v>20</v>
      </c>
      <c r="G74" s="1758">
        <v>2.4</v>
      </c>
      <c r="H74" s="1759">
        <v>32</v>
      </c>
      <c r="I74" s="1760">
        <v>36.893488147419099</v>
      </c>
      <c r="J74" s="1761">
        <v>15.372286728091291</v>
      </c>
      <c r="K74" s="1762"/>
      <c r="L74" s="1756" t="s">
        <v>515</v>
      </c>
      <c r="M74" s="1763">
        <v>3.4545249999999998</v>
      </c>
      <c r="N74" s="1764">
        <v>3.9827961607019673</v>
      </c>
    </row>
    <row r="75" spans="1:15">
      <c r="A75" s="1755" t="s">
        <v>459</v>
      </c>
      <c r="B75" s="1756"/>
      <c r="C75" s="1756" t="s">
        <v>460</v>
      </c>
      <c r="D75" s="1756">
        <v>2016</v>
      </c>
      <c r="E75" s="1757"/>
      <c r="F75" s="1756">
        <v>20</v>
      </c>
      <c r="G75" s="1758">
        <v>11</v>
      </c>
      <c r="H75" s="1759">
        <v>80</v>
      </c>
      <c r="I75" s="1760">
        <v>90.071992547409934</v>
      </c>
      <c r="J75" s="1761">
        <v>8.1883629588554481</v>
      </c>
      <c r="K75" s="1762"/>
      <c r="L75" s="1756" t="s">
        <v>515</v>
      </c>
      <c r="M75" s="1763">
        <v>3.2579189999999998</v>
      </c>
      <c r="N75" s="1764">
        <v>3.6680906986008148</v>
      </c>
    </row>
    <row r="76" spans="1:15">
      <c r="A76" s="1755" t="s">
        <v>457</v>
      </c>
      <c r="B76" s="1756"/>
      <c r="C76" s="1756" t="s">
        <v>458</v>
      </c>
      <c r="D76" s="1756">
        <v>2016</v>
      </c>
      <c r="E76" s="1757"/>
      <c r="F76" s="1756">
        <v>24</v>
      </c>
      <c r="G76" s="1758">
        <v>22.5</v>
      </c>
      <c r="H76" s="1759">
        <v>81</v>
      </c>
      <c r="I76" s="1760">
        <v>91.197892454252553</v>
      </c>
      <c r="J76" s="1761">
        <v>4.0532396646334465</v>
      </c>
      <c r="K76" s="1762"/>
      <c r="L76" s="1756" t="s">
        <v>515</v>
      </c>
      <c r="M76" s="1763">
        <v>4.7679999999999998</v>
      </c>
      <c r="N76" s="1764">
        <v>5.3682907558256314</v>
      </c>
    </row>
    <row r="77" spans="1:15">
      <c r="A77" s="1755" t="s">
        <v>582</v>
      </c>
      <c r="B77" s="1756"/>
      <c r="C77" s="1756" t="s">
        <v>454</v>
      </c>
      <c r="D77" s="1756">
        <v>2017</v>
      </c>
      <c r="E77" s="1757"/>
      <c r="F77" s="1756">
        <v>20</v>
      </c>
      <c r="G77" s="1758">
        <v>35</v>
      </c>
      <c r="H77" s="1759">
        <v>178</v>
      </c>
      <c r="I77" s="1760">
        <v>195.71306974412801</v>
      </c>
      <c r="J77" s="1761">
        <v>5.5918019926893718</v>
      </c>
      <c r="K77" s="1762"/>
      <c r="L77" s="1756" t="s">
        <v>515</v>
      </c>
      <c r="M77" s="1765"/>
      <c r="N77" s="1764">
        <v>0</v>
      </c>
    </row>
    <row r="78" spans="1:15">
      <c r="A78" s="1755" t="s">
        <v>583</v>
      </c>
      <c r="B78" s="1756"/>
      <c r="C78" s="1756" t="s">
        <v>456</v>
      </c>
      <c r="D78" s="1756">
        <v>2020</v>
      </c>
      <c r="E78" s="1757"/>
      <c r="F78" s="1756">
        <v>24</v>
      </c>
      <c r="G78" s="1758">
        <v>19</v>
      </c>
      <c r="H78" s="1759">
        <v>96.177999999999997</v>
      </c>
      <c r="I78" s="1760">
        <v>98.486272</v>
      </c>
      <c r="J78" s="1761">
        <v>5.1834879999999997</v>
      </c>
      <c r="K78" s="1762"/>
      <c r="L78" s="1756" t="s">
        <v>515</v>
      </c>
      <c r="M78" s="1763">
        <v>4.344786</v>
      </c>
      <c r="N78" s="1764">
        <v>4.4490608639999998</v>
      </c>
    </row>
    <row r="79" spans="1:15">
      <c r="A79" s="1766"/>
      <c r="B79" s="1767"/>
      <c r="C79" s="1768"/>
      <c r="D79" s="1768"/>
      <c r="E79" s="1769"/>
      <c r="F79" s="1768"/>
      <c r="G79" s="1770"/>
      <c r="H79" s="1771"/>
      <c r="I79" s="1760"/>
      <c r="J79" s="1772"/>
      <c r="K79" s="1769"/>
      <c r="L79" s="1768"/>
      <c r="M79" s="1773"/>
      <c r="N79" s="1764"/>
    </row>
    <row r="80" spans="1:15">
      <c r="A80" s="1140"/>
      <c r="B80" s="1128"/>
      <c r="C80" s="1141"/>
      <c r="D80" s="1141"/>
      <c r="E80" s="1142"/>
      <c r="F80" s="1141"/>
      <c r="G80" s="1143"/>
      <c r="H80" s="1144"/>
      <c r="I80" s="1144"/>
      <c r="J80" s="1145"/>
      <c r="K80" s="1142"/>
      <c r="L80" s="1141"/>
      <c r="M80" s="1146"/>
      <c r="N80" s="1147"/>
    </row>
    <row r="81" spans="1:15">
      <c r="A81" s="1148"/>
      <c r="B81" s="1133"/>
      <c r="C81" s="1139"/>
      <c r="D81" s="1139"/>
      <c r="E81" s="1149"/>
      <c r="F81" s="1139"/>
      <c r="G81" s="1150"/>
      <c r="H81" s="1151"/>
      <c r="I81" s="1151"/>
      <c r="J81" s="1152"/>
      <c r="K81" s="1149"/>
      <c r="L81" s="1139"/>
      <c r="M81" s="1153"/>
      <c r="N81" s="1154"/>
    </row>
    <row r="82" spans="1:15">
      <c r="A82" s="1155" t="s">
        <v>462</v>
      </c>
      <c r="B82" s="1156"/>
      <c r="C82" s="1157"/>
      <c r="D82" s="1137"/>
      <c r="E82" s="1157"/>
      <c r="F82" s="1137"/>
      <c r="G82" s="1138">
        <f>AVERAGE(G73:G78)</f>
        <v>17.733333333333334</v>
      </c>
      <c r="H82" s="1158"/>
      <c r="I82" s="1138">
        <f>AVERAGE(I73:I78)</f>
        <v>90.568712419679585</v>
      </c>
      <c r="J82" s="1159">
        <f>I82/G82</f>
        <v>5.1072582191548639</v>
      </c>
      <c r="K82" s="1160"/>
      <c r="L82" s="1160"/>
      <c r="M82" s="1161"/>
      <c r="N82" s="1162">
        <v>4.0155636395124361</v>
      </c>
    </row>
    <row r="83" spans="1:15" ht="15.75" thickBot="1">
      <c r="A83" s="1117"/>
      <c r="B83" s="1118"/>
      <c r="C83" s="1117"/>
      <c r="D83" s="1117"/>
      <c r="E83" s="1117"/>
      <c r="F83" s="1117"/>
      <c r="G83" s="1117"/>
      <c r="H83" s="1119"/>
      <c r="I83" s="1117"/>
      <c r="J83" s="1117"/>
      <c r="K83" s="1117"/>
      <c r="L83" s="1118"/>
      <c r="M83" s="1117"/>
      <c r="N83" s="1117"/>
    </row>
    <row r="84" spans="1:15" ht="15.75" thickTop="1">
      <c r="A84" s="1120"/>
      <c r="B84" s="1121"/>
      <c r="C84" s="1120"/>
      <c r="D84" s="1120"/>
      <c r="E84" s="1120"/>
      <c r="F84" s="1120"/>
      <c r="G84" s="1120"/>
      <c r="H84" s="1122"/>
      <c r="I84" s="1120"/>
      <c r="J84" s="1120"/>
      <c r="K84" s="1120"/>
      <c r="L84" s="1121"/>
      <c r="M84" s="1120"/>
      <c r="N84" s="1120"/>
    </row>
    <row r="85" spans="1:15">
      <c r="J85" s="1313"/>
    </row>
    <row r="88" spans="1:15">
      <c r="A88" s="534" t="s">
        <v>537</v>
      </c>
      <c r="B88" s="534"/>
      <c r="C88" s="534"/>
      <c r="D88" s="534"/>
      <c r="E88" s="534"/>
      <c r="F88" s="534"/>
      <c r="G88" s="534"/>
      <c r="H88" s="534"/>
      <c r="I88" s="534"/>
      <c r="J88" s="534"/>
      <c r="K88" s="534"/>
      <c r="L88" s="534"/>
      <c r="M88" s="534"/>
      <c r="N88" s="534"/>
      <c r="O88" s="534"/>
    </row>
    <row r="90" spans="1:15" ht="15.75" thickBot="1">
      <c r="A90" s="1163"/>
      <c r="B90" s="1163"/>
      <c r="C90" s="1163"/>
      <c r="D90" s="1163"/>
      <c r="E90" s="1163"/>
      <c r="F90" s="1163"/>
      <c r="G90" s="1163"/>
    </row>
    <row r="91" spans="1:15" ht="15.75" thickTop="1">
      <c r="A91" s="1164"/>
      <c r="B91" s="1164"/>
      <c r="C91" s="1164"/>
      <c r="D91" s="1164"/>
      <c r="E91" s="1164"/>
      <c r="F91" s="1164"/>
      <c r="G91" s="1164"/>
    </row>
    <row r="92" spans="1:15" ht="45">
      <c r="A92" s="1165"/>
      <c r="B92" s="946" t="s">
        <v>189</v>
      </c>
      <c r="C92" s="947"/>
      <c r="D92" s="948" t="s">
        <v>531</v>
      </c>
      <c r="E92" s="947"/>
      <c r="F92" s="949" t="s">
        <v>532</v>
      </c>
      <c r="G92" s="945" t="s">
        <v>533</v>
      </c>
    </row>
    <row r="93" spans="1:15">
      <c r="A93" s="1164"/>
      <c r="B93" s="1164"/>
      <c r="C93" s="1164"/>
      <c r="D93" s="1164"/>
      <c r="E93" s="1164"/>
      <c r="F93" s="1166"/>
      <c r="G93" s="1166"/>
    </row>
    <row r="94" spans="1:15">
      <c r="A94" s="1164">
        <v>1</v>
      </c>
      <c r="B94" s="1164" t="s">
        <v>534</v>
      </c>
      <c r="C94" s="1164"/>
      <c r="D94" s="1164" t="s">
        <v>464</v>
      </c>
      <c r="E94" s="1164"/>
      <c r="F94" s="1167">
        <v>0.115</v>
      </c>
      <c r="G94" s="1171">
        <v>0</v>
      </c>
    </row>
    <row r="95" spans="1:15">
      <c r="A95" s="1164">
        <v>2</v>
      </c>
      <c r="B95" s="1164" t="s">
        <v>535</v>
      </c>
      <c r="C95" s="1164"/>
      <c r="D95" s="1164" t="s">
        <v>467</v>
      </c>
      <c r="E95" s="1164"/>
      <c r="F95" s="1167">
        <v>8.2500000000000004E-2</v>
      </c>
      <c r="G95" s="1171">
        <v>0</v>
      </c>
    </row>
    <row r="96" spans="1:15">
      <c r="A96" s="1164">
        <v>3</v>
      </c>
      <c r="B96" s="1164" t="s">
        <v>111</v>
      </c>
      <c r="C96" s="1164"/>
      <c r="D96" s="1164" t="s">
        <v>466</v>
      </c>
      <c r="E96" s="1164"/>
      <c r="F96" s="1167">
        <v>9.9900000000000003E-2</v>
      </c>
      <c r="G96" s="1171">
        <v>0</v>
      </c>
    </row>
    <row r="97" spans="1:15">
      <c r="A97" s="1164">
        <v>4</v>
      </c>
      <c r="B97" s="1164" t="s">
        <v>536</v>
      </c>
      <c r="C97" s="1164"/>
      <c r="D97" s="1164" t="s">
        <v>466</v>
      </c>
      <c r="E97" s="1164"/>
      <c r="F97" s="1167">
        <v>9.9900000000000003E-2</v>
      </c>
      <c r="G97" s="1171">
        <v>0</v>
      </c>
    </row>
    <row r="98" spans="1:15" ht="6" customHeight="1" thickBot="1">
      <c r="A98" s="1163"/>
      <c r="B98" s="1163"/>
      <c r="C98" s="1163"/>
      <c r="D98" s="1163"/>
      <c r="E98" s="1163"/>
      <c r="F98" s="1163"/>
      <c r="G98" s="1163"/>
    </row>
    <row r="99" spans="1:15" ht="6" customHeight="1" thickTop="1">
      <c r="A99" s="1164"/>
      <c r="B99" s="1164"/>
      <c r="C99" s="1164"/>
      <c r="D99" s="1164"/>
      <c r="E99" s="1164"/>
      <c r="F99" s="1164"/>
      <c r="G99" s="1164"/>
    </row>
    <row r="100" spans="1:15">
      <c r="A100" s="1172" t="s">
        <v>573</v>
      </c>
      <c r="B100" s="1164"/>
      <c r="C100" s="1164"/>
      <c r="D100" s="1164"/>
      <c r="E100" s="1164"/>
      <c r="F100" s="1164"/>
      <c r="G100" s="1164"/>
    </row>
    <row r="103" spans="1:15">
      <c r="A103" s="534" t="s">
        <v>612</v>
      </c>
      <c r="B103" s="534"/>
      <c r="C103" s="534"/>
      <c r="D103" s="534"/>
      <c r="E103" s="534"/>
      <c r="F103" s="534"/>
      <c r="G103" s="534"/>
      <c r="H103" s="534"/>
      <c r="I103" s="534"/>
      <c r="J103" s="534"/>
      <c r="K103" s="534"/>
      <c r="L103" s="534"/>
      <c r="M103" s="534"/>
      <c r="N103" s="534"/>
      <c r="O103" s="534"/>
    </row>
    <row r="105" spans="1:15">
      <c r="B105" s="790" t="s">
        <v>120</v>
      </c>
      <c r="C105" s="790" t="s">
        <v>121</v>
      </c>
      <c r="D105" s="790" t="s">
        <v>111</v>
      </c>
      <c r="E105" s="790" t="s">
        <v>122</v>
      </c>
    </row>
    <row r="106" spans="1:15">
      <c r="A106" s="219" t="s">
        <v>76</v>
      </c>
      <c r="B106" s="543">
        <v>13.824006045569911</v>
      </c>
      <c r="C106" s="543">
        <v>13.824006045569911</v>
      </c>
      <c r="D106" s="543">
        <v>13.824006045569911</v>
      </c>
      <c r="E106" s="543">
        <v>13.824006045569911</v>
      </c>
    </row>
    <row r="107" spans="1:15">
      <c r="A107" s="219" t="s">
        <v>77</v>
      </c>
      <c r="B107" s="543">
        <v>13.824006045569911</v>
      </c>
      <c r="C107" s="543">
        <v>13.824006045569911</v>
      </c>
      <c r="D107" s="543">
        <v>13.824006045569911</v>
      </c>
      <c r="E107" s="543">
        <v>13.824006045569911</v>
      </c>
    </row>
  </sheetData>
  <pageMargins left="0.7" right="0.7" top="0.75" bottom="0.75" header="0.3" footer="0.3"/>
  <pageSetup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sheetPr>
  <dimension ref="A1:Q57"/>
  <sheetViews>
    <sheetView zoomScaleNormal="100" workbookViewId="0">
      <pane ySplit="5" topLeftCell="A6" activePane="bottomLeft" state="frozen"/>
      <selection activeCell="X8" sqref="X8"/>
      <selection pane="bottomLeft" activeCell="D18" sqref="D18"/>
    </sheetView>
  </sheetViews>
  <sheetFormatPr defaultColWidth="8" defaultRowHeight="15" outlineLevelRow="1"/>
  <cols>
    <col min="1" max="1" width="7.42578125" style="808" bestFit="1" customWidth="1"/>
    <col min="2" max="12" width="14.5703125" style="808" customWidth="1"/>
    <col min="13" max="16384" width="8" style="808"/>
  </cols>
  <sheetData>
    <row r="1" spans="1:17" s="806" customFormat="1" hidden="1" outlineLevel="1">
      <c r="A1" s="805" t="s">
        <v>40</v>
      </c>
      <c r="B1" s="805" t="s">
        <v>41</v>
      </c>
      <c r="C1" s="805"/>
      <c r="D1" s="805"/>
      <c r="E1" s="805"/>
      <c r="F1" s="805"/>
      <c r="G1" s="805"/>
      <c r="H1" s="805"/>
      <c r="I1" s="805"/>
      <c r="J1" s="805"/>
      <c r="K1" s="805"/>
      <c r="L1" s="805"/>
      <c r="M1" s="805"/>
      <c r="N1" s="805"/>
      <c r="O1" s="805"/>
      <c r="P1" s="805"/>
      <c r="Q1" s="805"/>
    </row>
    <row r="2" spans="1:17" s="806" customFormat="1" hidden="1" outlineLevel="1">
      <c r="A2" s="805"/>
      <c r="B2" s="1193" t="s">
        <v>603</v>
      </c>
      <c r="C2" s="1193"/>
      <c r="D2" s="562"/>
      <c r="E2" s="805"/>
      <c r="F2" s="805" t="s">
        <v>604</v>
      </c>
      <c r="G2" s="805"/>
      <c r="H2" s="805"/>
      <c r="I2" s="805"/>
      <c r="J2" s="805"/>
      <c r="K2" s="805"/>
      <c r="L2" s="805"/>
      <c r="M2" s="805"/>
      <c r="N2" s="805"/>
      <c r="O2" s="805"/>
      <c r="P2" s="805"/>
      <c r="Q2" s="805"/>
    </row>
    <row r="3" spans="1:17" s="806" customFormat="1" hidden="1" outlineLevel="1">
      <c r="A3" s="805"/>
      <c r="B3" s="805"/>
      <c r="C3" s="805"/>
      <c r="D3" s="805"/>
      <c r="E3" s="805"/>
      <c r="F3" s="805"/>
      <c r="G3" s="805"/>
      <c r="H3" s="805"/>
      <c r="I3" s="805"/>
      <c r="J3" s="805"/>
      <c r="K3" s="805"/>
      <c r="L3" s="805"/>
      <c r="M3" s="805"/>
      <c r="N3" s="805"/>
      <c r="O3" s="805"/>
      <c r="P3" s="805"/>
      <c r="Q3" s="805"/>
    </row>
    <row r="4" spans="1:17" s="807" customFormat="1" collapsed="1">
      <c r="A4" s="807" t="s">
        <v>42</v>
      </c>
      <c r="B4" s="807" t="s">
        <v>7</v>
      </c>
      <c r="C4" s="807" t="s">
        <v>702</v>
      </c>
      <c r="D4" s="807" t="s">
        <v>8</v>
      </c>
      <c r="E4" s="807" t="s">
        <v>9</v>
      </c>
      <c r="F4" s="807" t="s">
        <v>10</v>
      </c>
      <c r="G4" s="807" t="s">
        <v>11</v>
      </c>
      <c r="H4" s="807" t="s">
        <v>12</v>
      </c>
      <c r="I4" s="807" t="s">
        <v>13</v>
      </c>
      <c r="J4" s="807" t="s">
        <v>14</v>
      </c>
      <c r="K4" s="807" t="s">
        <v>15</v>
      </c>
      <c r="L4" s="807" t="s">
        <v>16</v>
      </c>
    </row>
    <row r="5" spans="1:17" ht="6.75" customHeight="1"/>
    <row r="6" spans="1:17">
      <c r="A6" s="808">
        <v>1</v>
      </c>
      <c r="B6" s="809">
        <v>0.35</v>
      </c>
      <c r="C6" s="809">
        <v>0.25</v>
      </c>
      <c r="D6" s="809">
        <v>0.17499999999999999</v>
      </c>
      <c r="E6" s="809">
        <v>8.7499999999999994E-2</v>
      </c>
      <c r="F6" s="809">
        <v>6.5629999999999994E-2</v>
      </c>
      <c r="G6" s="809">
        <v>0.2</v>
      </c>
      <c r="H6" s="809">
        <v>0.1</v>
      </c>
      <c r="I6" s="809">
        <v>0.05</v>
      </c>
      <c r="J6" s="563">
        <v>3.3333333333333333E-2</v>
      </c>
      <c r="K6" s="809">
        <v>2.5000000000000001E-2</v>
      </c>
      <c r="L6" s="809">
        <v>0.02</v>
      </c>
      <c r="Q6" s="810"/>
    </row>
    <row r="7" spans="1:17">
      <c r="A7" s="808">
        <v>2</v>
      </c>
      <c r="B7" s="809">
        <v>0.26</v>
      </c>
      <c r="C7" s="809">
        <v>0.21429999999999999</v>
      </c>
      <c r="D7" s="809">
        <v>0.16500000000000001</v>
      </c>
      <c r="E7" s="809">
        <v>9.1300000000000006E-2</v>
      </c>
      <c r="F7" s="809">
        <v>7.0000000000000007E-2</v>
      </c>
      <c r="G7" s="809">
        <v>0.2</v>
      </c>
      <c r="H7" s="809">
        <v>0.1</v>
      </c>
      <c r="I7" s="809">
        <v>0.05</v>
      </c>
      <c r="J7" s="563">
        <v>3.3333333333333333E-2</v>
      </c>
      <c r="K7" s="809">
        <v>2.5000000000000001E-2</v>
      </c>
      <c r="L7" s="809">
        <v>0.02</v>
      </c>
      <c r="Q7" s="810"/>
    </row>
    <row r="8" spans="1:17">
      <c r="A8" s="808">
        <v>3</v>
      </c>
      <c r="B8" s="809">
        <v>0.156</v>
      </c>
      <c r="C8" s="809">
        <v>0.15310000000000001</v>
      </c>
      <c r="D8" s="809">
        <v>0.13200000000000001</v>
      </c>
      <c r="E8" s="809">
        <v>8.2100000000000006E-2</v>
      </c>
      <c r="F8" s="809">
        <v>6.4820000000000003E-2</v>
      </c>
      <c r="G8" s="809">
        <v>0.2</v>
      </c>
      <c r="H8" s="809">
        <v>0.1</v>
      </c>
      <c r="I8" s="809">
        <v>0.05</v>
      </c>
      <c r="J8" s="563">
        <v>3.3333333333333333E-2</v>
      </c>
      <c r="K8" s="809">
        <v>2.5000000000000001E-2</v>
      </c>
      <c r="L8" s="809">
        <v>0.02</v>
      </c>
      <c r="Q8" s="810"/>
    </row>
    <row r="9" spans="1:17">
      <c r="A9" s="808">
        <v>4</v>
      </c>
      <c r="B9" s="809">
        <v>0.1101</v>
      </c>
      <c r="C9" s="809">
        <v>0.10929999999999999</v>
      </c>
      <c r="D9" s="809">
        <v>0.1056</v>
      </c>
      <c r="E9" s="809">
        <v>7.3899999999999993E-2</v>
      </c>
      <c r="F9" s="809">
        <v>5.9959999999999999E-2</v>
      </c>
      <c r="G9" s="809">
        <v>0.2</v>
      </c>
      <c r="H9" s="809">
        <v>0.1</v>
      </c>
      <c r="I9" s="809">
        <v>0.05</v>
      </c>
      <c r="J9" s="563">
        <v>3.3333333333333333E-2</v>
      </c>
      <c r="K9" s="809">
        <v>2.5000000000000001E-2</v>
      </c>
      <c r="L9" s="809">
        <v>0.02</v>
      </c>
      <c r="Q9" s="810"/>
    </row>
    <row r="10" spans="1:17">
      <c r="A10" s="808">
        <v>5</v>
      </c>
      <c r="B10" s="809">
        <v>0.1101</v>
      </c>
      <c r="C10" s="809">
        <v>8.7499999999999994E-2</v>
      </c>
      <c r="D10" s="809">
        <v>8.4500000000000006E-2</v>
      </c>
      <c r="E10" s="809">
        <v>6.6500000000000004E-2</v>
      </c>
      <c r="F10" s="809">
        <v>5.5460000000000002E-2</v>
      </c>
      <c r="G10" s="809">
        <v>0.2</v>
      </c>
      <c r="H10" s="809">
        <v>0.1</v>
      </c>
      <c r="I10" s="809">
        <v>0.05</v>
      </c>
      <c r="J10" s="563">
        <v>3.3333333333333333E-2</v>
      </c>
      <c r="K10" s="809">
        <v>2.5000000000000001E-2</v>
      </c>
      <c r="L10" s="809">
        <v>0.02</v>
      </c>
      <c r="Q10" s="810"/>
    </row>
    <row r="11" spans="1:17">
      <c r="A11" s="808">
        <v>6</v>
      </c>
      <c r="B11" s="809">
        <v>1.38E-2</v>
      </c>
      <c r="C11" s="809">
        <v>8.7400000000000005E-2</v>
      </c>
      <c r="D11" s="809">
        <v>6.7599999999999993E-2</v>
      </c>
      <c r="E11" s="809">
        <v>5.9900000000000002E-2</v>
      </c>
      <c r="F11" s="809">
        <v>5.1299999999999998E-2</v>
      </c>
      <c r="G11" s="809">
        <v>0</v>
      </c>
      <c r="H11" s="809">
        <v>0.1</v>
      </c>
      <c r="I11" s="809">
        <v>0.05</v>
      </c>
      <c r="J11" s="563">
        <v>3.3333333333333333E-2</v>
      </c>
      <c r="K11" s="809">
        <v>2.5000000000000001E-2</v>
      </c>
      <c r="L11" s="809">
        <v>0.02</v>
      </c>
      <c r="Q11" s="810"/>
    </row>
    <row r="12" spans="1:17">
      <c r="A12" s="808">
        <v>7</v>
      </c>
      <c r="B12" s="809">
        <v>0</v>
      </c>
      <c r="C12" s="809">
        <v>8.7499999999999994E-2</v>
      </c>
      <c r="D12" s="809">
        <v>6.5500000000000003E-2</v>
      </c>
      <c r="E12" s="809">
        <v>5.8999999999999997E-2</v>
      </c>
      <c r="F12" s="809">
        <v>4.7460000000000002E-2</v>
      </c>
      <c r="G12" s="809">
        <v>0</v>
      </c>
      <c r="H12" s="809">
        <v>0.1</v>
      </c>
      <c r="I12" s="809">
        <v>0.05</v>
      </c>
      <c r="J12" s="563">
        <v>3.3333333333333333E-2</v>
      </c>
      <c r="K12" s="809">
        <v>2.5000000000000001E-2</v>
      </c>
      <c r="L12" s="809">
        <v>0.02</v>
      </c>
      <c r="Q12" s="810"/>
    </row>
    <row r="13" spans="1:17">
      <c r="A13" s="808">
        <v>8</v>
      </c>
      <c r="B13" s="809">
        <v>0</v>
      </c>
      <c r="C13" s="809">
        <v>1.09E-2</v>
      </c>
      <c r="D13" s="809">
        <v>6.5500000000000003E-2</v>
      </c>
      <c r="E13" s="809">
        <v>5.91E-2</v>
      </c>
      <c r="F13" s="809">
        <v>4.4589999999999998E-2</v>
      </c>
      <c r="G13" s="809">
        <v>0</v>
      </c>
      <c r="H13" s="809">
        <v>0.1</v>
      </c>
      <c r="I13" s="809">
        <v>0.05</v>
      </c>
      <c r="J13" s="563">
        <v>3.3333333333333333E-2</v>
      </c>
      <c r="K13" s="809">
        <v>2.5000000000000001E-2</v>
      </c>
      <c r="L13" s="809">
        <v>0.02</v>
      </c>
      <c r="Q13" s="810"/>
    </row>
    <row r="14" spans="1:17">
      <c r="A14" s="808">
        <v>9</v>
      </c>
      <c r="B14" s="809">
        <v>0</v>
      </c>
      <c r="C14" s="809">
        <v>0</v>
      </c>
      <c r="D14" s="809">
        <v>6.5600000000000006E-2</v>
      </c>
      <c r="E14" s="809">
        <v>5.8999999999999997E-2</v>
      </c>
      <c r="F14" s="809">
        <v>4.4589999999999998E-2</v>
      </c>
      <c r="G14" s="809">
        <v>0</v>
      </c>
      <c r="H14" s="809">
        <v>0.1</v>
      </c>
      <c r="I14" s="809">
        <v>0.05</v>
      </c>
      <c r="J14" s="563">
        <v>3.3333333333333333E-2</v>
      </c>
      <c r="K14" s="809">
        <v>2.5000000000000001E-2</v>
      </c>
      <c r="L14" s="809">
        <v>0.02</v>
      </c>
      <c r="Q14" s="810"/>
    </row>
    <row r="15" spans="1:17">
      <c r="A15" s="808">
        <v>10</v>
      </c>
      <c r="B15" s="809">
        <v>0</v>
      </c>
      <c r="C15" s="809">
        <v>0</v>
      </c>
      <c r="D15" s="809">
        <v>6.5500000000000003E-2</v>
      </c>
      <c r="E15" s="809">
        <v>5.91E-2</v>
      </c>
      <c r="F15" s="809">
        <v>4.4589999999999998E-2</v>
      </c>
      <c r="G15" s="809">
        <v>0</v>
      </c>
      <c r="H15" s="809">
        <v>0.1</v>
      </c>
      <c r="I15" s="809">
        <v>0.05</v>
      </c>
      <c r="J15" s="563">
        <v>3.3333333333333333E-2</v>
      </c>
      <c r="K15" s="809">
        <v>2.5000000000000001E-2</v>
      </c>
      <c r="L15" s="809">
        <v>0.02</v>
      </c>
      <c r="Q15" s="810"/>
    </row>
    <row r="16" spans="1:17">
      <c r="A16" s="808">
        <v>11</v>
      </c>
      <c r="B16" s="809">
        <v>0</v>
      </c>
      <c r="C16" s="809">
        <v>0</v>
      </c>
      <c r="D16" s="809">
        <v>8.2000000000000007E-3</v>
      </c>
      <c r="E16" s="809">
        <v>5.8999999999999997E-2</v>
      </c>
      <c r="F16" s="809">
        <v>4.4589999999999998E-2</v>
      </c>
      <c r="G16" s="809">
        <v>0</v>
      </c>
      <c r="H16" s="809">
        <v>0</v>
      </c>
      <c r="I16" s="809">
        <v>0.05</v>
      </c>
      <c r="J16" s="563">
        <v>3.3333333333333333E-2</v>
      </c>
      <c r="K16" s="809">
        <v>2.5000000000000001E-2</v>
      </c>
      <c r="L16" s="809">
        <v>0.02</v>
      </c>
      <c r="Q16" s="810"/>
    </row>
    <row r="17" spans="1:17">
      <c r="A17" s="808">
        <v>12</v>
      </c>
      <c r="B17" s="809">
        <v>0</v>
      </c>
      <c r="C17" s="809">
        <v>0</v>
      </c>
      <c r="D17" s="809">
        <v>0</v>
      </c>
      <c r="E17" s="809">
        <v>5.91E-2</v>
      </c>
      <c r="F17" s="809">
        <v>4.4600000000000001E-2</v>
      </c>
      <c r="G17" s="809">
        <v>0</v>
      </c>
      <c r="H17" s="809">
        <v>0</v>
      </c>
      <c r="I17" s="809">
        <v>0.05</v>
      </c>
      <c r="J17" s="563">
        <v>3.3333333333333333E-2</v>
      </c>
      <c r="K17" s="809">
        <v>2.5000000000000001E-2</v>
      </c>
      <c r="L17" s="809">
        <v>0.02</v>
      </c>
      <c r="Q17" s="810"/>
    </row>
    <row r="18" spans="1:17">
      <c r="A18" s="808">
        <v>13</v>
      </c>
      <c r="B18" s="809">
        <v>0</v>
      </c>
      <c r="C18" s="809">
        <v>0</v>
      </c>
      <c r="D18" s="809">
        <v>0</v>
      </c>
      <c r="E18" s="809">
        <v>5.8999999999999997E-2</v>
      </c>
      <c r="F18" s="809">
        <v>4.4589999999999998E-2</v>
      </c>
      <c r="G18" s="809">
        <v>0</v>
      </c>
      <c r="H18" s="809">
        <v>0</v>
      </c>
      <c r="I18" s="809">
        <v>0.05</v>
      </c>
      <c r="J18" s="563">
        <v>3.3333333333333333E-2</v>
      </c>
      <c r="K18" s="809">
        <v>2.5000000000000001E-2</v>
      </c>
      <c r="L18" s="809">
        <v>0.02</v>
      </c>
      <c r="Q18" s="810"/>
    </row>
    <row r="19" spans="1:17">
      <c r="A19" s="808">
        <v>14</v>
      </c>
      <c r="B19" s="809">
        <v>0</v>
      </c>
      <c r="C19" s="809">
        <v>0</v>
      </c>
      <c r="D19" s="809">
        <v>0</v>
      </c>
      <c r="E19" s="809">
        <v>5.91E-2</v>
      </c>
      <c r="F19" s="809">
        <v>4.4600000000000001E-2</v>
      </c>
      <c r="G19" s="809">
        <v>0</v>
      </c>
      <c r="H19" s="809">
        <v>0</v>
      </c>
      <c r="I19" s="809">
        <v>0.05</v>
      </c>
      <c r="J19" s="563">
        <v>3.3333333333333333E-2</v>
      </c>
      <c r="K19" s="809">
        <v>2.5000000000000001E-2</v>
      </c>
      <c r="L19" s="809">
        <v>0.02</v>
      </c>
      <c r="Q19" s="810"/>
    </row>
    <row r="20" spans="1:17">
      <c r="A20" s="808">
        <v>15</v>
      </c>
      <c r="B20" s="809">
        <v>0</v>
      </c>
      <c r="C20" s="809">
        <v>0</v>
      </c>
      <c r="D20" s="809">
        <v>0</v>
      </c>
      <c r="E20" s="809">
        <v>5.8999999999999997E-2</v>
      </c>
      <c r="F20" s="809">
        <v>4.4589999999999998E-2</v>
      </c>
      <c r="G20" s="809">
        <v>0</v>
      </c>
      <c r="H20" s="809">
        <v>0</v>
      </c>
      <c r="I20" s="809">
        <v>0.05</v>
      </c>
      <c r="J20" s="563">
        <v>3.3333333333333333E-2</v>
      </c>
      <c r="K20" s="809">
        <v>2.5000000000000001E-2</v>
      </c>
      <c r="L20" s="809">
        <v>0.02</v>
      </c>
      <c r="Q20" s="810"/>
    </row>
    <row r="21" spans="1:17">
      <c r="A21" s="808">
        <v>16</v>
      </c>
      <c r="B21" s="809">
        <v>0</v>
      </c>
      <c r="C21" s="809">
        <v>0</v>
      </c>
      <c r="D21" s="809">
        <v>0</v>
      </c>
      <c r="E21" s="809">
        <v>7.4000000000000003E-3</v>
      </c>
      <c r="F21" s="809">
        <v>4.4600000000000001E-2</v>
      </c>
      <c r="G21" s="809">
        <v>0</v>
      </c>
      <c r="H21" s="809">
        <v>0</v>
      </c>
      <c r="I21" s="809">
        <v>0.05</v>
      </c>
      <c r="J21" s="563">
        <v>3.3333333333333333E-2</v>
      </c>
      <c r="K21" s="809">
        <v>2.5000000000000001E-2</v>
      </c>
      <c r="L21" s="809">
        <v>0.02</v>
      </c>
      <c r="Q21" s="810"/>
    </row>
    <row r="22" spans="1:17">
      <c r="A22" s="808">
        <v>17</v>
      </c>
      <c r="B22" s="809">
        <v>0</v>
      </c>
      <c r="C22" s="809">
        <v>0</v>
      </c>
      <c r="D22" s="809">
        <v>0</v>
      </c>
      <c r="E22" s="809">
        <v>0</v>
      </c>
      <c r="F22" s="809">
        <v>4.4589999999999998E-2</v>
      </c>
      <c r="G22" s="809">
        <v>0</v>
      </c>
      <c r="H22" s="809">
        <v>0</v>
      </c>
      <c r="I22" s="809">
        <v>0.05</v>
      </c>
      <c r="J22" s="563">
        <v>3.3333333333333333E-2</v>
      </c>
      <c r="K22" s="809">
        <v>2.5000000000000001E-2</v>
      </c>
      <c r="L22" s="809">
        <v>0.02</v>
      </c>
      <c r="Q22" s="810"/>
    </row>
    <row r="23" spans="1:17">
      <c r="A23" s="808">
        <v>18</v>
      </c>
      <c r="B23" s="809">
        <v>0</v>
      </c>
      <c r="C23" s="809">
        <v>0</v>
      </c>
      <c r="D23" s="809">
        <v>0</v>
      </c>
      <c r="E23" s="809">
        <v>0</v>
      </c>
      <c r="F23" s="809">
        <v>4.4600000000000001E-2</v>
      </c>
      <c r="G23" s="809">
        <v>0</v>
      </c>
      <c r="H23" s="809">
        <v>0</v>
      </c>
      <c r="I23" s="809">
        <v>0.05</v>
      </c>
      <c r="J23" s="563">
        <v>3.3333333333333333E-2</v>
      </c>
      <c r="K23" s="809">
        <v>2.5000000000000001E-2</v>
      </c>
      <c r="L23" s="809">
        <v>0.02</v>
      </c>
      <c r="Q23" s="810"/>
    </row>
    <row r="24" spans="1:17">
      <c r="A24" s="808">
        <v>19</v>
      </c>
      <c r="B24" s="809">
        <v>0</v>
      </c>
      <c r="C24" s="809">
        <v>0</v>
      </c>
      <c r="D24" s="809">
        <v>0</v>
      </c>
      <c r="E24" s="809">
        <v>0</v>
      </c>
      <c r="F24" s="809">
        <v>4.4589999999999998E-2</v>
      </c>
      <c r="G24" s="809">
        <v>0</v>
      </c>
      <c r="H24" s="809">
        <v>0</v>
      </c>
      <c r="I24" s="809">
        <v>0.05</v>
      </c>
      <c r="J24" s="563">
        <v>3.3333333333333333E-2</v>
      </c>
      <c r="K24" s="809">
        <v>2.5000000000000001E-2</v>
      </c>
      <c r="L24" s="809">
        <v>0.02</v>
      </c>
      <c r="Q24" s="810"/>
    </row>
    <row r="25" spans="1:17">
      <c r="A25" s="808">
        <v>20</v>
      </c>
      <c r="B25" s="809">
        <v>0</v>
      </c>
      <c r="C25" s="809">
        <v>0</v>
      </c>
      <c r="D25" s="809">
        <v>0</v>
      </c>
      <c r="E25" s="809">
        <v>0</v>
      </c>
      <c r="F25" s="809">
        <v>4.4600000000000001E-2</v>
      </c>
      <c r="G25" s="809">
        <v>0</v>
      </c>
      <c r="H25" s="809">
        <v>0</v>
      </c>
      <c r="I25" s="809">
        <v>0.05</v>
      </c>
      <c r="J25" s="563">
        <v>3.3333333333333333E-2</v>
      </c>
      <c r="K25" s="809">
        <v>2.5000000000000001E-2</v>
      </c>
      <c r="L25" s="809">
        <v>0.02</v>
      </c>
      <c r="Q25" s="810"/>
    </row>
    <row r="26" spans="1:17">
      <c r="A26" s="808">
        <v>21</v>
      </c>
      <c r="B26" s="809">
        <v>0</v>
      </c>
      <c r="C26" s="809">
        <v>0</v>
      </c>
      <c r="D26" s="809">
        <v>0</v>
      </c>
      <c r="E26" s="809">
        <v>0</v>
      </c>
      <c r="F26" s="809">
        <v>5.6499999999999996E-3</v>
      </c>
      <c r="G26" s="809">
        <v>0</v>
      </c>
      <c r="H26" s="809">
        <v>0</v>
      </c>
      <c r="I26" s="809">
        <v>0</v>
      </c>
      <c r="J26" s="563">
        <v>3.3333333333333333E-2</v>
      </c>
      <c r="K26" s="809">
        <v>2.5000000000000001E-2</v>
      </c>
      <c r="L26" s="809">
        <v>0.02</v>
      </c>
    </row>
    <row r="27" spans="1:17">
      <c r="A27" s="808">
        <v>22</v>
      </c>
      <c r="B27" s="809">
        <v>0</v>
      </c>
      <c r="C27" s="809">
        <v>0</v>
      </c>
      <c r="D27" s="809">
        <v>0</v>
      </c>
      <c r="E27" s="809">
        <v>0</v>
      </c>
      <c r="F27" s="809">
        <v>0</v>
      </c>
      <c r="G27" s="809">
        <v>0</v>
      </c>
      <c r="H27" s="809">
        <v>0</v>
      </c>
      <c r="I27" s="809">
        <v>0</v>
      </c>
      <c r="J27" s="563">
        <v>3.3333333333333333E-2</v>
      </c>
      <c r="K27" s="809">
        <v>2.5000000000000001E-2</v>
      </c>
      <c r="L27" s="809">
        <v>0.02</v>
      </c>
    </row>
    <row r="28" spans="1:17">
      <c r="A28" s="808">
        <v>23</v>
      </c>
      <c r="B28" s="809">
        <v>0</v>
      </c>
      <c r="C28" s="809">
        <v>0</v>
      </c>
      <c r="D28" s="809">
        <v>0</v>
      </c>
      <c r="E28" s="809">
        <v>0</v>
      </c>
      <c r="F28" s="809">
        <v>0</v>
      </c>
      <c r="G28" s="809">
        <v>0</v>
      </c>
      <c r="H28" s="809">
        <v>0</v>
      </c>
      <c r="I28" s="809">
        <v>0</v>
      </c>
      <c r="J28" s="563">
        <v>3.3333333333333333E-2</v>
      </c>
      <c r="K28" s="809">
        <v>2.5000000000000001E-2</v>
      </c>
      <c r="L28" s="809">
        <v>0.02</v>
      </c>
    </row>
    <row r="29" spans="1:17">
      <c r="A29" s="808">
        <v>24</v>
      </c>
      <c r="B29" s="809">
        <v>0</v>
      </c>
      <c r="C29" s="809">
        <v>0</v>
      </c>
      <c r="D29" s="809">
        <v>0</v>
      </c>
      <c r="E29" s="809">
        <v>0</v>
      </c>
      <c r="F29" s="809">
        <v>0</v>
      </c>
      <c r="G29" s="809">
        <v>0</v>
      </c>
      <c r="H29" s="809">
        <v>0</v>
      </c>
      <c r="I29" s="809">
        <v>0</v>
      </c>
      <c r="J29" s="563">
        <v>3.3333333333333333E-2</v>
      </c>
      <c r="K29" s="809">
        <v>2.5000000000000001E-2</v>
      </c>
      <c r="L29" s="809">
        <v>0.02</v>
      </c>
    </row>
    <row r="30" spans="1:17">
      <c r="A30" s="808">
        <v>25</v>
      </c>
      <c r="B30" s="809">
        <v>0</v>
      </c>
      <c r="C30" s="809">
        <v>0</v>
      </c>
      <c r="D30" s="809">
        <v>0</v>
      </c>
      <c r="E30" s="809">
        <v>0</v>
      </c>
      <c r="F30" s="809">
        <v>0</v>
      </c>
      <c r="G30" s="809">
        <v>0</v>
      </c>
      <c r="H30" s="809">
        <v>0</v>
      </c>
      <c r="I30" s="809">
        <v>0</v>
      </c>
      <c r="J30" s="563">
        <v>3.3333333333333333E-2</v>
      </c>
      <c r="K30" s="809">
        <v>2.5000000000000001E-2</v>
      </c>
      <c r="L30" s="809">
        <v>0.02</v>
      </c>
    </row>
    <row r="31" spans="1:17">
      <c r="A31" s="808">
        <v>26</v>
      </c>
      <c r="B31" s="809">
        <v>0</v>
      </c>
      <c r="C31" s="809">
        <v>0</v>
      </c>
      <c r="D31" s="809">
        <v>0</v>
      </c>
      <c r="E31" s="809">
        <v>0</v>
      </c>
      <c r="F31" s="809">
        <v>0</v>
      </c>
      <c r="G31" s="809">
        <v>0</v>
      </c>
      <c r="H31" s="809">
        <v>0</v>
      </c>
      <c r="I31" s="809">
        <v>0</v>
      </c>
      <c r="J31" s="563">
        <v>3.3333333333333333E-2</v>
      </c>
      <c r="K31" s="809">
        <v>2.5000000000000001E-2</v>
      </c>
      <c r="L31" s="809">
        <v>0.02</v>
      </c>
    </row>
    <row r="32" spans="1:17">
      <c r="A32" s="808">
        <v>27</v>
      </c>
      <c r="B32" s="809">
        <v>0</v>
      </c>
      <c r="C32" s="809">
        <v>0</v>
      </c>
      <c r="D32" s="809">
        <v>0</v>
      </c>
      <c r="E32" s="809">
        <v>0</v>
      </c>
      <c r="F32" s="809">
        <v>0</v>
      </c>
      <c r="G32" s="809">
        <v>0</v>
      </c>
      <c r="H32" s="809">
        <v>0</v>
      </c>
      <c r="I32" s="809">
        <v>0</v>
      </c>
      <c r="J32" s="563">
        <v>3.3333333333333333E-2</v>
      </c>
      <c r="K32" s="809">
        <v>2.5000000000000001E-2</v>
      </c>
      <c r="L32" s="809">
        <v>0.02</v>
      </c>
    </row>
    <row r="33" spans="1:12">
      <c r="A33" s="808">
        <v>28</v>
      </c>
      <c r="B33" s="809">
        <v>0</v>
      </c>
      <c r="C33" s="809">
        <v>0</v>
      </c>
      <c r="D33" s="809">
        <v>0</v>
      </c>
      <c r="E33" s="809">
        <v>0</v>
      </c>
      <c r="F33" s="809">
        <v>0</v>
      </c>
      <c r="G33" s="809">
        <v>0</v>
      </c>
      <c r="H33" s="809">
        <v>0</v>
      </c>
      <c r="I33" s="809">
        <v>0</v>
      </c>
      <c r="J33" s="563">
        <v>3.3333333333333333E-2</v>
      </c>
      <c r="K33" s="809">
        <v>2.5000000000000001E-2</v>
      </c>
      <c r="L33" s="809">
        <v>0.02</v>
      </c>
    </row>
    <row r="34" spans="1:12">
      <c r="A34" s="808">
        <v>29</v>
      </c>
      <c r="B34" s="809">
        <v>0</v>
      </c>
      <c r="C34" s="809">
        <v>0</v>
      </c>
      <c r="D34" s="809">
        <v>0</v>
      </c>
      <c r="E34" s="809">
        <v>0</v>
      </c>
      <c r="F34" s="809">
        <v>0</v>
      </c>
      <c r="G34" s="809">
        <v>0</v>
      </c>
      <c r="H34" s="809">
        <v>0</v>
      </c>
      <c r="I34" s="809">
        <v>0</v>
      </c>
      <c r="J34" s="563">
        <v>3.3333333333333333E-2</v>
      </c>
      <c r="K34" s="809">
        <v>2.5000000000000001E-2</v>
      </c>
      <c r="L34" s="809">
        <v>0.02</v>
      </c>
    </row>
    <row r="35" spans="1:12">
      <c r="A35" s="808">
        <v>30</v>
      </c>
      <c r="B35" s="809">
        <v>0</v>
      </c>
      <c r="C35" s="809">
        <v>0</v>
      </c>
      <c r="D35" s="809">
        <v>0</v>
      </c>
      <c r="E35" s="809">
        <v>0</v>
      </c>
      <c r="F35" s="809">
        <v>0</v>
      </c>
      <c r="G35" s="809">
        <v>0</v>
      </c>
      <c r="H35" s="809">
        <v>0</v>
      </c>
      <c r="I35" s="809">
        <v>0</v>
      </c>
      <c r="J35" s="563">
        <v>3.3333333333333333E-2</v>
      </c>
      <c r="K35" s="809">
        <v>2.5000000000000001E-2</v>
      </c>
      <c r="L35" s="809">
        <v>0.02</v>
      </c>
    </row>
    <row r="36" spans="1:12">
      <c r="A36" s="808">
        <v>31</v>
      </c>
      <c r="B36" s="809">
        <v>0</v>
      </c>
      <c r="C36" s="809">
        <v>0</v>
      </c>
      <c r="D36" s="809">
        <v>0</v>
      </c>
      <c r="E36" s="809">
        <v>0</v>
      </c>
      <c r="F36" s="809">
        <v>0</v>
      </c>
      <c r="G36" s="809">
        <v>0</v>
      </c>
      <c r="H36" s="809">
        <v>0</v>
      </c>
      <c r="I36" s="809">
        <v>0</v>
      </c>
      <c r="J36" s="563">
        <v>0</v>
      </c>
      <c r="K36" s="809">
        <v>2.5000000000000001E-2</v>
      </c>
      <c r="L36" s="809">
        <v>0.02</v>
      </c>
    </row>
    <row r="37" spans="1:12">
      <c r="A37" s="808">
        <v>32</v>
      </c>
      <c r="B37" s="809">
        <v>0</v>
      </c>
      <c r="C37" s="809">
        <v>0</v>
      </c>
      <c r="D37" s="809">
        <v>0</v>
      </c>
      <c r="E37" s="809">
        <v>0</v>
      </c>
      <c r="F37" s="809">
        <v>0</v>
      </c>
      <c r="G37" s="809">
        <v>0</v>
      </c>
      <c r="H37" s="809">
        <v>0</v>
      </c>
      <c r="I37" s="809">
        <v>0</v>
      </c>
      <c r="J37" s="563">
        <v>0</v>
      </c>
      <c r="K37" s="809">
        <v>2.5000000000000001E-2</v>
      </c>
      <c r="L37" s="809">
        <v>0.02</v>
      </c>
    </row>
    <row r="38" spans="1:12">
      <c r="A38" s="808">
        <v>33</v>
      </c>
      <c r="B38" s="809">
        <v>0</v>
      </c>
      <c r="C38" s="809">
        <v>0</v>
      </c>
      <c r="D38" s="809">
        <v>0</v>
      </c>
      <c r="E38" s="809">
        <v>0</v>
      </c>
      <c r="F38" s="809">
        <v>0</v>
      </c>
      <c r="G38" s="809">
        <v>0</v>
      </c>
      <c r="H38" s="809">
        <v>0</v>
      </c>
      <c r="I38" s="809">
        <v>0</v>
      </c>
      <c r="J38" s="563">
        <v>0</v>
      </c>
      <c r="K38" s="809">
        <v>2.5000000000000001E-2</v>
      </c>
      <c r="L38" s="809">
        <v>0.02</v>
      </c>
    </row>
    <row r="39" spans="1:12">
      <c r="A39" s="808">
        <v>34</v>
      </c>
      <c r="B39" s="809">
        <v>0</v>
      </c>
      <c r="C39" s="809">
        <v>0</v>
      </c>
      <c r="D39" s="809">
        <v>0</v>
      </c>
      <c r="E39" s="809">
        <v>0</v>
      </c>
      <c r="F39" s="809">
        <v>0</v>
      </c>
      <c r="G39" s="809">
        <v>0</v>
      </c>
      <c r="H39" s="809">
        <v>0</v>
      </c>
      <c r="I39" s="809">
        <v>0</v>
      </c>
      <c r="J39" s="563">
        <v>0</v>
      </c>
      <c r="K39" s="809">
        <v>2.5000000000000001E-2</v>
      </c>
      <c r="L39" s="809">
        <v>0.02</v>
      </c>
    </row>
    <row r="40" spans="1:12">
      <c r="A40" s="808">
        <v>35</v>
      </c>
      <c r="B40" s="809">
        <v>0</v>
      </c>
      <c r="C40" s="809">
        <v>0</v>
      </c>
      <c r="D40" s="809">
        <v>0</v>
      </c>
      <c r="E40" s="809">
        <v>0</v>
      </c>
      <c r="F40" s="809">
        <v>0</v>
      </c>
      <c r="G40" s="809">
        <v>0</v>
      </c>
      <c r="H40" s="809">
        <v>0</v>
      </c>
      <c r="I40" s="809">
        <v>0</v>
      </c>
      <c r="J40" s="563">
        <v>0</v>
      </c>
      <c r="K40" s="809">
        <v>2.5000000000000001E-2</v>
      </c>
      <c r="L40" s="809">
        <v>0.02</v>
      </c>
    </row>
    <row r="41" spans="1:12">
      <c r="A41" s="808">
        <v>36</v>
      </c>
      <c r="B41" s="809">
        <v>0</v>
      </c>
      <c r="C41" s="809">
        <v>0</v>
      </c>
      <c r="D41" s="809">
        <v>0</v>
      </c>
      <c r="E41" s="809">
        <v>0</v>
      </c>
      <c r="F41" s="809">
        <v>0</v>
      </c>
      <c r="G41" s="809">
        <v>0</v>
      </c>
      <c r="H41" s="809">
        <v>0</v>
      </c>
      <c r="I41" s="809">
        <v>0</v>
      </c>
      <c r="J41" s="563">
        <v>0</v>
      </c>
      <c r="K41" s="809">
        <v>2.5000000000000001E-2</v>
      </c>
      <c r="L41" s="809">
        <v>0.02</v>
      </c>
    </row>
    <row r="42" spans="1:12">
      <c r="A42" s="808">
        <v>37</v>
      </c>
      <c r="B42" s="809">
        <v>0</v>
      </c>
      <c r="C42" s="809">
        <v>0</v>
      </c>
      <c r="D42" s="809">
        <v>0</v>
      </c>
      <c r="E42" s="809">
        <v>0</v>
      </c>
      <c r="F42" s="809">
        <v>0</v>
      </c>
      <c r="G42" s="809">
        <v>0</v>
      </c>
      <c r="H42" s="809">
        <v>0</v>
      </c>
      <c r="I42" s="809">
        <v>0</v>
      </c>
      <c r="J42" s="563">
        <v>0</v>
      </c>
      <c r="K42" s="809">
        <v>2.5000000000000001E-2</v>
      </c>
      <c r="L42" s="809">
        <v>0.02</v>
      </c>
    </row>
    <row r="43" spans="1:12">
      <c r="A43" s="808">
        <v>38</v>
      </c>
      <c r="B43" s="809">
        <v>0</v>
      </c>
      <c r="C43" s="809">
        <v>0</v>
      </c>
      <c r="D43" s="809">
        <v>0</v>
      </c>
      <c r="E43" s="809">
        <v>0</v>
      </c>
      <c r="F43" s="809">
        <v>0</v>
      </c>
      <c r="G43" s="809">
        <v>0</v>
      </c>
      <c r="H43" s="809">
        <v>0</v>
      </c>
      <c r="I43" s="809">
        <v>0</v>
      </c>
      <c r="J43" s="563">
        <v>0</v>
      </c>
      <c r="K43" s="809">
        <v>2.5000000000000001E-2</v>
      </c>
      <c r="L43" s="809">
        <v>0.02</v>
      </c>
    </row>
    <row r="44" spans="1:12">
      <c r="A44" s="808">
        <v>39</v>
      </c>
      <c r="B44" s="809">
        <v>0</v>
      </c>
      <c r="C44" s="809">
        <v>0</v>
      </c>
      <c r="D44" s="809">
        <v>0</v>
      </c>
      <c r="E44" s="809">
        <v>0</v>
      </c>
      <c r="F44" s="809">
        <v>0</v>
      </c>
      <c r="G44" s="809">
        <v>0</v>
      </c>
      <c r="H44" s="809">
        <v>0</v>
      </c>
      <c r="I44" s="809">
        <v>0</v>
      </c>
      <c r="J44" s="563">
        <v>0</v>
      </c>
      <c r="K44" s="809">
        <v>2.5000000000000001E-2</v>
      </c>
      <c r="L44" s="809">
        <v>0.02</v>
      </c>
    </row>
    <row r="45" spans="1:12">
      <c r="A45" s="808">
        <v>40</v>
      </c>
      <c r="B45" s="809">
        <v>0</v>
      </c>
      <c r="C45" s="809">
        <v>0</v>
      </c>
      <c r="D45" s="809">
        <v>0</v>
      </c>
      <c r="E45" s="809">
        <v>0</v>
      </c>
      <c r="F45" s="809">
        <v>0</v>
      </c>
      <c r="G45" s="809">
        <v>0</v>
      </c>
      <c r="H45" s="809">
        <v>0</v>
      </c>
      <c r="I45" s="809">
        <v>0</v>
      </c>
      <c r="J45" s="563">
        <v>0</v>
      </c>
      <c r="K45" s="809">
        <v>2.5000000000000001E-2</v>
      </c>
      <c r="L45" s="809">
        <v>0.02</v>
      </c>
    </row>
    <row r="46" spans="1:12">
      <c r="A46" s="808">
        <v>41</v>
      </c>
      <c r="B46" s="809">
        <v>0</v>
      </c>
      <c r="C46" s="809">
        <v>0</v>
      </c>
      <c r="D46" s="809">
        <v>0</v>
      </c>
      <c r="E46" s="809">
        <v>0</v>
      </c>
      <c r="F46" s="809">
        <v>0</v>
      </c>
      <c r="G46" s="809">
        <v>0</v>
      </c>
      <c r="H46" s="809">
        <v>0</v>
      </c>
      <c r="I46" s="809">
        <v>0</v>
      </c>
      <c r="J46" s="563">
        <v>0</v>
      </c>
      <c r="K46" s="563">
        <v>0</v>
      </c>
      <c r="L46" s="809">
        <v>0.02</v>
      </c>
    </row>
    <row r="47" spans="1:12">
      <c r="A47" s="808">
        <v>42</v>
      </c>
      <c r="B47" s="809">
        <v>0</v>
      </c>
      <c r="C47" s="809">
        <v>0</v>
      </c>
      <c r="D47" s="809">
        <v>0</v>
      </c>
      <c r="E47" s="809">
        <v>0</v>
      </c>
      <c r="F47" s="809">
        <v>0</v>
      </c>
      <c r="G47" s="809">
        <v>0</v>
      </c>
      <c r="H47" s="809">
        <v>0</v>
      </c>
      <c r="I47" s="809">
        <v>0</v>
      </c>
      <c r="J47" s="563">
        <v>0</v>
      </c>
      <c r="K47" s="563">
        <v>0</v>
      </c>
      <c r="L47" s="809">
        <v>0.02</v>
      </c>
    </row>
    <row r="48" spans="1:12">
      <c r="A48" s="808">
        <v>43</v>
      </c>
      <c r="B48" s="809">
        <v>0</v>
      </c>
      <c r="C48" s="809">
        <v>0</v>
      </c>
      <c r="D48" s="809">
        <v>0</v>
      </c>
      <c r="E48" s="809">
        <v>0</v>
      </c>
      <c r="F48" s="809">
        <v>0</v>
      </c>
      <c r="G48" s="809">
        <v>0</v>
      </c>
      <c r="H48" s="809">
        <v>0</v>
      </c>
      <c r="I48" s="809">
        <v>0</v>
      </c>
      <c r="J48" s="563">
        <v>0</v>
      </c>
      <c r="K48" s="563">
        <v>0</v>
      </c>
      <c r="L48" s="809">
        <v>0.02</v>
      </c>
    </row>
    <row r="49" spans="1:12">
      <c r="A49" s="808">
        <v>44</v>
      </c>
      <c r="B49" s="809">
        <v>0</v>
      </c>
      <c r="C49" s="809">
        <v>0</v>
      </c>
      <c r="D49" s="809">
        <v>0</v>
      </c>
      <c r="E49" s="809">
        <v>0</v>
      </c>
      <c r="F49" s="809">
        <v>0</v>
      </c>
      <c r="G49" s="809">
        <v>0</v>
      </c>
      <c r="H49" s="809">
        <v>0</v>
      </c>
      <c r="I49" s="809">
        <v>0</v>
      </c>
      <c r="J49" s="563">
        <v>0</v>
      </c>
      <c r="K49" s="563">
        <v>0</v>
      </c>
      <c r="L49" s="809">
        <v>0.02</v>
      </c>
    </row>
    <row r="50" spans="1:12">
      <c r="A50" s="808">
        <v>45</v>
      </c>
      <c r="B50" s="809">
        <v>0</v>
      </c>
      <c r="C50" s="809">
        <v>0</v>
      </c>
      <c r="D50" s="809">
        <v>0</v>
      </c>
      <c r="E50" s="809">
        <v>0</v>
      </c>
      <c r="F50" s="809">
        <v>0</v>
      </c>
      <c r="G50" s="809">
        <v>0</v>
      </c>
      <c r="H50" s="809">
        <v>0</v>
      </c>
      <c r="I50" s="809">
        <v>0</v>
      </c>
      <c r="J50" s="563">
        <v>0</v>
      </c>
      <c r="K50" s="563">
        <v>0</v>
      </c>
      <c r="L50" s="809">
        <v>0.02</v>
      </c>
    </row>
    <row r="51" spans="1:12">
      <c r="A51" s="808">
        <v>46</v>
      </c>
      <c r="B51" s="809">
        <v>0</v>
      </c>
      <c r="C51" s="809">
        <v>0</v>
      </c>
      <c r="D51" s="809">
        <v>0</v>
      </c>
      <c r="E51" s="809">
        <v>0</v>
      </c>
      <c r="F51" s="809">
        <v>0</v>
      </c>
      <c r="G51" s="809">
        <v>0</v>
      </c>
      <c r="H51" s="809">
        <v>0</v>
      </c>
      <c r="I51" s="809">
        <v>0</v>
      </c>
      <c r="J51" s="563">
        <v>0</v>
      </c>
      <c r="K51" s="563">
        <v>0</v>
      </c>
      <c r="L51" s="809">
        <v>0.02</v>
      </c>
    </row>
    <row r="52" spans="1:12">
      <c r="A52" s="808">
        <v>47</v>
      </c>
      <c r="B52" s="809">
        <v>0</v>
      </c>
      <c r="C52" s="809">
        <v>0</v>
      </c>
      <c r="D52" s="809">
        <v>0</v>
      </c>
      <c r="E52" s="809">
        <v>0</v>
      </c>
      <c r="F52" s="809">
        <v>0</v>
      </c>
      <c r="G52" s="809">
        <v>0</v>
      </c>
      <c r="H52" s="809">
        <v>0</v>
      </c>
      <c r="I52" s="809">
        <v>0</v>
      </c>
      <c r="J52" s="563">
        <v>0</v>
      </c>
      <c r="K52" s="563">
        <v>0</v>
      </c>
      <c r="L52" s="809">
        <v>0.02</v>
      </c>
    </row>
    <row r="53" spans="1:12">
      <c r="A53" s="808">
        <v>48</v>
      </c>
      <c r="B53" s="809">
        <v>0</v>
      </c>
      <c r="C53" s="809">
        <v>0</v>
      </c>
      <c r="D53" s="809">
        <v>0</v>
      </c>
      <c r="E53" s="809">
        <v>0</v>
      </c>
      <c r="F53" s="809">
        <v>0</v>
      </c>
      <c r="G53" s="809">
        <v>0</v>
      </c>
      <c r="H53" s="809">
        <v>0</v>
      </c>
      <c r="I53" s="809">
        <v>0</v>
      </c>
      <c r="J53" s="563">
        <v>0</v>
      </c>
      <c r="K53" s="563">
        <v>0</v>
      </c>
      <c r="L53" s="809">
        <v>0.02</v>
      </c>
    </row>
    <row r="54" spans="1:12">
      <c r="A54" s="808">
        <v>49</v>
      </c>
      <c r="B54" s="809">
        <v>0</v>
      </c>
      <c r="C54" s="809">
        <v>0</v>
      </c>
      <c r="D54" s="809">
        <v>0</v>
      </c>
      <c r="E54" s="809">
        <v>0</v>
      </c>
      <c r="F54" s="809">
        <v>0</v>
      </c>
      <c r="G54" s="809">
        <v>0</v>
      </c>
      <c r="H54" s="809">
        <v>0</v>
      </c>
      <c r="I54" s="809">
        <v>0</v>
      </c>
      <c r="J54" s="563">
        <v>0</v>
      </c>
      <c r="K54" s="563">
        <v>0</v>
      </c>
      <c r="L54" s="809">
        <v>0.02</v>
      </c>
    </row>
    <row r="55" spans="1:12">
      <c r="A55" s="808">
        <v>50</v>
      </c>
      <c r="B55" s="809">
        <v>0</v>
      </c>
      <c r="C55" s="809">
        <v>0</v>
      </c>
      <c r="D55" s="809">
        <v>0</v>
      </c>
      <c r="E55" s="809">
        <v>0</v>
      </c>
      <c r="F55" s="809">
        <v>0</v>
      </c>
      <c r="G55" s="809">
        <v>0</v>
      </c>
      <c r="H55" s="809">
        <v>0</v>
      </c>
      <c r="I55" s="809">
        <v>0</v>
      </c>
      <c r="J55" s="563">
        <v>0</v>
      </c>
      <c r="K55" s="563">
        <v>0</v>
      </c>
      <c r="L55" s="809">
        <v>0.02</v>
      </c>
    </row>
    <row r="56" spans="1:12">
      <c r="B56" s="811"/>
      <c r="C56" s="811"/>
      <c r="D56" s="811"/>
      <c r="E56" s="811"/>
      <c r="F56" s="811"/>
      <c r="G56" s="811"/>
      <c r="H56" s="811"/>
      <c r="I56" s="811"/>
      <c r="J56" s="811"/>
      <c r="K56" s="811"/>
      <c r="L56" s="811"/>
    </row>
    <row r="57" spans="1:12" s="812" customFormat="1">
      <c r="A57" s="812" t="s">
        <v>43</v>
      </c>
      <c r="B57" s="813">
        <f t="shared" ref="B57:K57" si="0">SUM(B6:B55)</f>
        <v>1</v>
      </c>
      <c r="C57" s="813">
        <f t="shared" si="0"/>
        <v>1</v>
      </c>
      <c r="D57" s="813">
        <f t="shared" si="0"/>
        <v>1</v>
      </c>
      <c r="E57" s="813">
        <f t="shared" si="0"/>
        <v>1.0000000000000004</v>
      </c>
      <c r="F57" s="813">
        <f>SUM(F6:F55)</f>
        <v>1</v>
      </c>
      <c r="G57" s="813">
        <f t="shared" si="0"/>
        <v>1</v>
      </c>
      <c r="H57" s="813">
        <f t="shared" si="0"/>
        <v>0.99999999999999989</v>
      </c>
      <c r="I57" s="813">
        <f t="shared" si="0"/>
        <v>1.0000000000000002</v>
      </c>
      <c r="J57" s="813">
        <f t="shared" si="0"/>
        <v>0.99999999999999989</v>
      </c>
      <c r="K57" s="813">
        <f t="shared" si="0"/>
        <v>1.0000000000000004</v>
      </c>
      <c r="L57" s="814"/>
    </row>
  </sheetData>
  <phoneticPr fontId="65" type="noConversion"/>
  <conditionalFormatting sqref="B6:K55">
    <cfRule type="cellIs" dxfId="123" priority="2" stopIfTrue="1" operator="equal">
      <formula>0</formula>
    </cfRule>
  </conditionalFormatting>
  <conditionalFormatting sqref="L6:L55">
    <cfRule type="cellIs" dxfId="122" priority="1" stopIfTrue="1" operator="equal">
      <formula>0</formula>
    </cfRule>
  </conditionalFormatting>
  <hyperlinks>
    <hyperlink ref="B2" r:id="rId1"/>
  </hyperlinks>
  <pageMargins left="0.75" right="0.75" top="1" bottom="1" header="0.5" footer="0.5"/>
  <pageSetup orientation="portrait" r:id="rId2"/>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autoPageBreaks="0"/>
  </sheetPr>
  <dimension ref="A1:DC218"/>
  <sheetViews>
    <sheetView zoomScaleNormal="100" workbookViewId="0">
      <selection activeCell="A3" sqref="A3"/>
    </sheetView>
  </sheetViews>
  <sheetFormatPr defaultColWidth="8.42578125" defaultRowHeight="15"/>
  <cols>
    <col min="1" max="1" width="4.28515625" style="1645" customWidth="1"/>
    <col min="2" max="3" width="8.42578125" style="1645"/>
    <col min="4" max="4" width="38" style="1645" customWidth="1"/>
    <col min="5" max="5" width="34.42578125" style="1645" bestFit="1" customWidth="1"/>
    <col min="6" max="16384" width="8.42578125" style="1645"/>
  </cols>
  <sheetData>
    <row r="1" spans="1:107" s="1643" customFormat="1" ht="18">
      <c r="A1" s="1912" t="s">
        <v>755</v>
      </c>
      <c r="B1" s="1912"/>
      <c r="C1" s="1912"/>
      <c r="D1" s="1912"/>
      <c r="E1" s="1912"/>
      <c r="F1" s="1912"/>
      <c r="G1" s="1912"/>
      <c r="H1" s="1912"/>
      <c r="I1" s="1912"/>
      <c r="J1" s="1912"/>
      <c r="L1" s="1644" t="s">
        <v>756</v>
      </c>
    </row>
    <row r="2" spans="1:107" s="1643" customFormat="1" ht="14.1" customHeight="1">
      <c r="A2" s="1645"/>
      <c r="B2" s="1645"/>
      <c r="C2" s="1645"/>
      <c r="D2" s="1645"/>
      <c r="E2" s="1645"/>
      <c r="F2" s="1646"/>
      <c r="G2" s="1646"/>
      <c r="H2" s="1646"/>
      <c r="I2" s="1646"/>
      <c r="J2" s="1646"/>
      <c r="K2" s="1646"/>
      <c r="L2" s="1646"/>
      <c r="M2" s="1646"/>
      <c r="N2" s="1646"/>
      <c r="O2" s="1646"/>
      <c r="P2" s="1646"/>
      <c r="Q2" s="1646"/>
      <c r="R2" s="1646"/>
      <c r="S2" s="1646"/>
      <c r="T2" s="1646"/>
      <c r="U2" s="1646"/>
      <c r="V2" s="1646"/>
      <c r="W2" s="1646"/>
      <c r="X2" s="1646"/>
      <c r="Y2" s="1646"/>
      <c r="Z2" s="1646"/>
      <c r="AA2" s="1646"/>
      <c r="AB2" s="1646"/>
      <c r="AC2" s="1646"/>
      <c r="AD2" s="1646"/>
      <c r="AE2" s="1646"/>
      <c r="AF2" s="1646"/>
      <c r="AG2" s="1646"/>
      <c r="AH2" s="1646"/>
      <c r="AI2" s="1646"/>
      <c r="AJ2" s="1646"/>
      <c r="AK2" s="1646"/>
      <c r="AL2" s="1646"/>
      <c r="AM2" s="1646"/>
      <c r="AN2" s="1646"/>
      <c r="AO2" s="1646"/>
      <c r="AP2" s="1646"/>
      <c r="AQ2" s="1646"/>
      <c r="AR2" s="1646"/>
      <c r="AS2" s="1646"/>
      <c r="AT2" s="1646"/>
      <c r="AU2" s="1646"/>
      <c r="AV2" s="1646"/>
      <c r="AW2" s="1646"/>
      <c r="AX2" s="1646"/>
      <c r="AY2" s="1646"/>
      <c r="AZ2" s="1646"/>
      <c r="BA2" s="1646"/>
      <c r="BB2" s="1646"/>
      <c r="BC2" s="1646"/>
      <c r="BD2" s="1646"/>
      <c r="BE2" s="1646"/>
      <c r="BF2" s="1646"/>
      <c r="BG2" s="1646"/>
      <c r="BH2" s="1646"/>
      <c r="BI2" s="1646"/>
      <c r="BJ2" s="1646"/>
      <c r="BK2" s="1646"/>
      <c r="BL2" s="1646"/>
      <c r="BM2" s="1646"/>
      <c r="BN2" s="1646"/>
      <c r="BO2" s="1646"/>
      <c r="BP2" s="1646"/>
      <c r="BQ2" s="1646"/>
      <c r="BR2" s="1646"/>
      <c r="BS2" s="1646"/>
      <c r="BT2" s="1646"/>
      <c r="BU2" s="1646"/>
      <c r="BV2" s="1646"/>
      <c r="BW2" s="1646"/>
      <c r="BX2" s="1646"/>
      <c r="BY2" s="1646"/>
      <c r="BZ2" s="1646"/>
      <c r="CA2" s="1646"/>
      <c r="CB2" s="1646"/>
      <c r="CC2" s="1646"/>
      <c r="CD2" s="1646"/>
      <c r="CE2" s="1646"/>
      <c r="CF2" s="1646"/>
      <c r="CG2" s="1646"/>
      <c r="CH2" s="1646"/>
      <c r="CI2" s="1646"/>
      <c r="CJ2" s="1646"/>
      <c r="CK2" s="1646"/>
      <c r="CL2" s="1646"/>
      <c r="CM2" s="1646"/>
      <c r="CN2" s="1646"/>
      <c r="CO2" s="1646"/>
      <c r="CP2" s="1646"/>
      <c r="CQ2" s="1646"/>
      <c r="CR2" s="1646"/>
      <c r="CS2" s="1646"/>
      <c r="CT2" s="1646"/>
      <c r="CU2" s="1646"/>
      <c r="CV2" s="1646"/>
      <c r="CW2" s="1646"/>
      <c r="CX2" s="1646"/>
      <c r="CY2" s="1646"/>
      <c r="CZ2" s="1646"/>
      <c r="DA2" s="1646"/>
      <c r="DB2" s="1646"/>
      <c r="DC2" s="1646"/>
    </row>
    <row r="3" spans="1:107" s="1643" customFormat="1" ht="14.1" customHeight="1">
      <c r="A3" s="1645"/>
      <c r="B3" s="1645"/>
      <c r="C3" s="1645"/>
      <c r="D3" s="1645"/>
      <c r="E3" s="1645"/>
      <c r="K3" s="1647" t="s">
        <v>757</v>
      </c>
    </row>
    <row r="4" spans="1:107" s="1643" customFormat="1" ht="14.1" customHeight="1">
      <c r="D4" s="1648" t="s">
        <v>758</v>
      </c>
      <c r="K4" s="1649" t="s">
        <v>759</v>
      </c>
    </row>
    <row r="5" spans="1:107">
      <c r="K5" s="1650"/>
    </row>
    <row r="6" spans="1:107" s="1643" customFormat="1" ht="14.1" customHeight="1">
      <c r="G6" s="1651"/>
      <c r="H6" s="1652"/>
      <c r="I6" s="1652"/>
      <c r="J6" s="1652"/>
      <c r="K6" s="1653"/>
      <c r="L6" s="1652"/>
      <c r="M6" s="1652"/>
      <c r="N6" s="1652"/>
      <c r="O6" s="1652"/>
      <c r="P6" s="1652"/>
      <c r="Q6" s="1652"/>
      <c r="R6" s="1652"/>
      <c r="S6" s="1652"/>
      <c r="T6" s="1652"/>
      <c r="U6" s="1652"/>
      <c r="V6" s="1652"/>
      <c r="W6" s="1652"/>
      <c r="X6" s="1652"/>
      <c r="Y6" s="1652"/>
      <c r="Z6" s="1652"/>
      <c r="AA6" s="1652"/>
      <c r="AB6" s="1652"/>
      <c r="AC6" s="1652"/>
      <c r="AD6" s="1654"/>
      <c r="AE6" s="1655"/>
    </row>
    <row r="7" spans="1:107" s="1643" customFormat="1" ht="14.1" customHeight="1">
      <c r="B7" s="1656" t="s">
        <v>745</v>
      </c>
      <c r="C7" s="1913" t="s">
        <v>0</v>
      </c>
      <c r="D7" s="1913"/>
      <c r="E7" s="1913"/>
      <c r="F7" s="1913"/>
      <c r="G7" s="1913"/>
      <c r="H7" s="1913"/>
      <c r="I7" s="1913"/>
      <c r="J7" s="1913"/>
      <c r="K7" s="1913"/>
      <c r="L7" s="1913"/>
      <c r="M7" s="1913"/>
      <c r="N7" s="1913"/>
      <c r="O7" s="1913"/>
      <c r="P7" s="1913"/>
      <c r="Q7" s="1657"/>
      <c r="R7" s="1657"/>
      <c r="S7" s="1657"/>
      <c r="T7" s="1657"/>
      <c r="U7" s="1657"/>
      <c r="V7" s="1657"/>
      <c r="W7" s="1657"/>
      <c r="X7" s="1657"/>
      <c r="Y7" s="1657"/>
      <c r="Z7" s="1658"/>
      <c r="AA7" s="1655"/>
    </row>
    <row r="8" spans="1:107" s="1643" customFormat="1" ht="14.1" customHeight="1" thickBot="1">
      <c r="N8" s="1659"/>
    </row>
    <row r="9" spans="1:107" s="1643" customFormat="1" ht="14.1" customHeight="1" thickBot="1">
      <c r="A9" s="1645"/>
      <c r="B9" s="1914" t="s">
        <v>99</v>
      </c>
      <c r="D9" s="1915" t="s">
        <v>760</v>
      </c>
      <c r="E9" s="1916"/>
      <c r="F9" s="1917">
        <v>2019</v>
      </c>
      <c r="G9" s="1918"/>
      <c r="H9" s="1918"/>
      <c r="I9" s="1918"/>
      <c r="J9" s="1918"/>
      <c r="K9" s="1918"/>
    </row>
    <row r="10" spans="1:107" s="1643" customFormat="1" ht="14.1" customHeight="1" thickBot="1">
      <c r="B10" s="1914"/>
      <c r="D10" s="1660" t="s">
        <v>761</v>
      </c>
      <c r="I10" s="1659"/>
    </row>
    <row r="11" spans="1:107" s="1643" customFormat="1" ht="13.5" customHeight="1" thickBot="1">
      <c r="B11" s="1914"/>
      <c r="D11" s="1919" t="s">
        <v>762</v>
      </c>
      <c r="E11" s="1920"/>
      <c r="F11" s="1920"/>
      <c r="G11" s="1920"/>
      <c r="H11" s="1920"/>
      <c r="I11" s="1920"/>
      <c r="J11" s="1920"/>
      <c r="K11" s="1920"/>
      <c r="V11" s="1661"/>
      <c r="W11" s="1662"/>
      <c r="X11" s="1662"/>
      <c r="Y11" s="1662"/>
      <c r="Z11" s="1662"/>
    </row>
    <row r="12" spans="1:107" s="1643" customFormat="1" ht="17.100000000000001" customHeight="1" thickBot="1">
      <c r="B12" s="1914"/>
      <c r="D12" s="1921" t="s">
        <v>763</v>
      </c>
      <c r="E12" s="1922"/>
      <c r="F12" s="1922"/>
      <c r="G12" s="1922"/>
      <c r="H12" s="1922"/>
      <c r="I12" s="1922"/>
      <c r="J12" s="1922"/>
      <c r="K12" s="1923"/>
      <c r="L12" s="1663"/>
      <c r="V12" s="1661"/>
      <c r="W12" s="1662"/>
      <c r="X12" s="1662"/>
      <c r="Y12" s="1662"/>
      <c r="Z12" s="1662"/>
    </row>
    <row r="13" spans="1:107" s="1643" customFormat="1" ht="13.5" customHeight="1" thickBot="1">
      <c r="B13" s="1914"/>
      <c r="D13" s="1924"/>
      <c r="E13" s="1925"/>
      <c r="F13" s="1925"/>
      <c r="G13" s="1925"/>
      <c r="H13" s="1925"/>
      <c r="I13" s="1925"/>
      <c r="J13" s="1925"/>
      <c r="K13" s="1926"/>
      <c r="V13" s="1661"/>
      <c r="W13" s="1662"/>
      <c r="X13" s="1662"/>
      <c r="Y13" s="1662"/>
      <c r="Z13" s="1662"/>
    </row>
    <row r="14" spans="1:107">
      <c r="B14" s="1914"/>
    </row>
    <row r="15" spans="1:107" ht="28.5" customHeight="1">
      <c r="B15" s="1914"/>
      <c r="C15" s="1927" t="s">
        <v>764</v>
      </c>
      <c r="D15" s="1927"/>
      <c r="E15" s="1927"/>
      <c r="F15" s="1927"/>
      <c r="G15" s="1927"/>
      <c r="H15" s="1927"/>
      <c r="I15" s="1927"/>
      <c r="J15" s="1927"/>
      <c r="K15" s="1927"/>
      <c r="L15" s="1927"/>
      <c r="M15" s="1927"/>
      <c r="N15" s="1927"/>
      <c r="O15" s="1927"/>
      <c r="P15" s="1664"/>
    </row>
    <row r="16" spans="1:107" ht="22.5" customHeight="1">
      <c r="B16" s="1914"/>
      <c r="C16" s="1927"/>
      <c r="D16" s="1927"/>
      <c r="E16" s="1927"/>
      <c r="F16" s="1927"/>
      <c r="G16" s="1927"/>
      <c r="H16" s="1927"/>
      <c r="I16" s="1927"/>
      <c r="J16" s="1927"/>
      <c r="K16" s="1927"/>
      <c r="L16" s="1927"/>
      <c r="M16" s="1927"/>
      <c r="N16" s="1927"/>
      <c r="O16" s="1927"/>
    </row>
    <row r="17" spans="2:43" ht="15" customHeight="1">
      <c r="B17" s="1914"/>
      <c r="C17" s="1665"/>
      <c r="D17" s="1928" t="s">
        <v>765</v>
      </c>
      <c r="E17" s="1666" t="s">
        <v>766</v>
      </c>
    </row>
    <row r="18" spans="2:43" ht="15" customHeight="1">
      <c r="B18" s="1914"/>
      <c r="C18" s="1665"/>
      <c r="D18" s="1929"/>
      <c r="F18" s="1645">
        <v>2019</v>
      </c>
      <c r="G18" s="1645">
        <v>2020</v>
      </c>
      <c r="H18" s="1645">
        <v>2021</v>
      </c>
      <c r="I18" s="1645">
        <v>2022</v>
      </c>
      <c r="J18" s="1645">
        <v>2023</v>
      </c>
      <c r="K18" s="1645">
        <v>2024</v>
      </c>
      <c r="L18" s="1645">
        <v>2025</v>
      </c>
      <c r="M18" s="1645">
        <v>2026</v>
      </c>
      <c r="N18" s="1645">
        <v>2027</v>
      </c>
      <c r="O18" s="1645">
        <v>2028</v>
      </c>
      <c r="P18" s="1645">
        <v>2029</v>
      </c>
      <c r="Q18" s="1645">
        <v>2030</v>
      </c>
      <c r="R18" s="1645">
        <v>2031</v>
      </c>
      <c r="S18" s="1645">
        <v>2032</v>
      </c>
      <c r="T18" s="1645">
        <v>2033</v>
      </c>
      <c r="U18" s="1645">
        <v>2034</v>
      </c>
      <c r="V18" s="1645">
        <v>2035</v>
      </c>
      <c r="W18" s="1645">
        <v>2036</v>
      </c>
      <c r="X18" s="1645">
        <v>2037</v>
      </c>
      <c r="Y18" s="1645">
        <v>2038</v>
      </c>
      <c r="Z18" s="1645">
        <v>2039</v>
      </c>
      <c r="AA18" s="1645">
        <v>2040</v>
      </c>
      <c r="AB18" s="1645">
        <v>2041</v>
      </c>
      <c r="AC18" s="1645">
        <v>2042</v>
      </c>
      <c r="AD18" s="1645">
        <v>2043</v>
      </c>
      <c r="AE18" s="1645">
        <v>2044</v>
      </c>
      <c r="AF18" s="1645">
        <v>2045</v>
      </c>
      <c r="AG18" s="1645">
        <v>2046</v>
      </c>
      <c r="AH18" s="1645">
        <v>2047</v>
      </c>
      <c r="AI18" s="1645">
        <v>2048</v>
      </c>
      <c r="AJ18" s="1645">
        <v>2049</v>
      </c>
      <c r="AK18" s="1645">
        <v>2050</v>
      </c>
    </row>
    <row r="19" spans="2:43" ht="15" customHeight="1">
      <c r="B19" s="1914"/>
      <c r="C19" s="1665"/>
      <c r="D19" s="1929"/>
      <c r="E19" s="1645" t="s">
        <v>767</v>
      </c>
      <c r="F19" s="1667">
        <v>290.41320000000002</v>
      </c>
      <c r="G19" s="1667">
        <v>276.62469505490964</v>
      </c>
      <c r="H19" s="1667">
        <v>252.8768</v>
      </c>
      <c r="I19" s="1667">
        <v>232.13300000000001</v>
      </c>
      <c r="J19" s="1667">
        <v>211.38920000000002</v>
      </c>
      <c r="K19" s="1667">
        <v>190.6454</v>
      </c>
      <c r="L19" s="1667">
        <v>169.9016</v>
      </c>
      <c r="M19" s="1667">
        <v>159.03579999999999</v>
      </c>
      <c r="N19" s="1667">
        <v>147.18219999999999</v>
      </c>
      <c r="O19" s="1667">
        <v>136.31639999999999</v>
      </c>
      <c r="P19" s="1667">
        <v>125.45060000000001</v>
      </c>
      <c r="Q19" s="1667">
        <v>114.5848</v>
      </c>
      <c r="R19" s="1667">
        <v>112.6092</v>
      </c>
      <c r="S19" s="1667">
        <v>110.6336</v>
      </c>
      <c r="T19" s="1667">
        <v>107.67019999999999</v>
      </c>
      <c r="U19" s="1667">
        <v>105.69460000000001</v>
      </c>
      <c r="V19" s="1667">
        <v>103.71899999999999</v>
      </c>
      <c r="W19" s="1667">
        <v>100.7556</v>
      </c>
      <c r="X19" s="1667">
        <v>98.78</v>
      </c>
      <c r="Y19" s="1667">
        <v>96.804400000000001</v>
      </c>
      <c r="Z19" s="1667">
        <v>94.828800000000001</v>
      </c>
      <c r="AA19" s="1667">
        <v>91.865399999999994</v>
      </c>
      <c r="AB19" s="1667">
        <v>89.889800000000008</v>
      </c>
      <c r="AC19" s="1667">
        <v>87.914199999999994</v>
      </c>
      <c r="AD19" s="1667">
        <v>85.938600000000008</v>
      </c>
      <c r="AE19" s="1667">
        <v>82.975200000000001</v>
      </c>
      <c r="AF19" s="1667">
        <v>80.999600000000001</v>
      </c>
      <c r="AG19" s="1667">
        <v>79.024000000000001</v>
      </c>
      <c r="AH19" s="1667">
        <v>77.048400000000001</v>
      </c>
      <c r="AI19" s="1667">
        <v>74.085000000000008</v>
      </c>
      <c r="AJ19" s="1667">
        <v>72.109399999999994</v>
      </c>
      <c r="AK19" s="1667">
        <v>70.133800000000008</v>
      </c>
    </row>
    <row r="20" spans="2:43" ht="15" customHeight="1">
      <c r="B20" s="1914"/>
      <c r="C20" s="1665"/>
      <c r="D20" s="1929"/>
      <c r="E20" s="1645" t="s">
        <v>768</v>
      </c>
      <c r="F20" s="1667">
        <v>290.41320000000002</v>
      </c>
      <c r="G20" s="1667">
        <v>276.62469505490964</v>
      </c>
      <c r="H20" s="1667">
        <v>259.2083494245868</v>
      </c>
      <c r="I20" s="1667">
        <v>241.79200379426393</v>
      </c>
      <c r="J20" s="1667">
        <v>224.37565816394113</v>
      </c>
      <c r="K20" s="1667">
        <v>206.95931253361834</v>
      </c>
      <c r="L20" s="1667">
        <v>189.54296690329548</v>
      </c>
      <c r="M20" s="1667">
        <v>180.9925111011114</v>
      </c>
      <c r="N20" s="1667">
        <v>172.4420552989273</v>
      </c>
      <c r="O20" s="1667">
        <v>163.89159949674328</v>
      </c>
      <c r="P20" s="1667">
        <v>155.34114369455918</v>
      </c>
      <c r="Q20" s="1667">
        <v>146.7906878923751</v>
      </c>
      <c r="R20" s="1667">
        <v>144.53354336916598</v>
      </c>
      <c r="S20" s="1667">
        <v>142.27639884595689</v>
      </c>
      <c r="T20" s="1667">
        <v>140.01925432274771</v>
      </c>
      <c r="U20" s="1667">
        <v>137.76210979953856</v>
      </c>
      <c r="V20" s="1667">
        <v>135.50496527632944</v>
      </c>
      <c r="W20" s="1667">
        <v>133.24782075312029</v>
      </c>
      <c r="X20" s="1667">
        <v>130.99067622991117</v>
      </c>
      <c r="Y20" s="1667">
        <v>128.73353170670205</v>
      </c>
      <c r="Z20" s="1667">
        <v>126.47638718349293</v>
      </c>
      <c r="AA20" s="1667">
        <v>124.21924266028375</v>
      </c>
      <c r="AB20" s="1667">
        <v>121.96209813707465</v>
      </c>
      <c r="AC20" s="1667">
        <v>119.7049536138655</v>
      </c>
      <c r="AD20" s="1667">
        <v>117.44780909065635</v>
      </c>
      <c r="AE20" s="1667">
        <v>115.19066456744724</v>
      </c>
      <c r="AF20" s="1667">
        <v>112.93352004423811</v>
      </c>
      <c r="AG20" s="1667">
        <v>110.67637552102896</v>
      </c>
      <c r="AH20" s="1667">
        <v>108.41923099781981</v>
      </c>
      <c r="AI20" s="1667">
        <v>106.16208647461073</v>
      </c>
      <c r="AJ20" s="1667">
        <v>103.90494195140158</v>
      </c>
      <c r="AK20" s="1667">
        <v>101.64779742819243</v>
      </c>
    </row>
    <row r="21" spans="2:43" ht="15" customHeight="1">
      <c r="B21" s="1914"/>
      <c r="C21" s="1665"/>
      <c r="D21" s="1929"/>
      <c r="E21" s="1645" t="s">
        <v>769</v>
      </c>
      <c r="F21" s="1667">
        <v>290.41320000000002</v>
      </c>
      <c r="G21" s="1667">
        <v>276.62469505490964</v>
      </c>
      <c r="H21" s="1667">
        <v>266.70600000000002</v>
      </c>
      <c r="I21" s="1667">
        <v>258.80360000000002</v>
      </c>
      <c r="J21" s="1667">
        <v>251.88900000000001</v>
      </c>
      <c r="K21" s="1667">
        <v>243.98660000000001</v>
      </c>
      <c r="L21" s="1667">
        <v>236.08419999999998</v>
      </c>
      <c r="M21" s="1667">
        <v>227.53972999999999</v>
      </c>
      <c r="N21" s="1667">
        <v>218.99526</v>
      </c>
      <c r="O21" s="1667">
        <v>210.45079000000001</v>
      </c>
      <c r="P21" s="1667">
        <v>201.90631999999999</v>
      </c>
      <c r="Q21" s="1667">
        <v>193.36185</v>
      </c>
      <c r="R21" s="1667">
        <v>193.36185</v>
      </c>
      <c r="S21" s="1667">
        <v>193.36185</v>
      </c>
      <c r="T21" s="1667">
        <v>193.36185</v>
      </c>
      <c r="U21" s="1667">
        <v>193.36185</v>
      </c>
      <c r="V21" s="1667">
        <v>193.36185</v>
      </c>
      <c r="W21" s="1667">
        <v>193.36185</v>
      </c>
      <c r="X21" s="1667">
        <v>193.36185</v>
      </c>
      <c r="Y21" s="1667">
        <v>193.36185</v>
      </c>
      <c r="Z21" s="1667">
        <v>193.36185</v>
      </c>
      <c r="AA21" s="1667">
        <v>193.36185</v>
      </c>
      <c r="AB21" s="1667">
        <v>193.36185</v>
      </c>
      <c r="AC21" s="1667">
        <v>193.36185</v>
      </c>
      <c r="AD21" s="1667">
        <v>193.36185</v>
      </c>
      <c r="AE21" s="1667">
        <v>193.36185</v>
      </c>
      <c r="AF21" s="1667">
        <v>193.36185</v>
      </c>
      <c r="AG21" s="1667">
        <v>193.36185</v>
      </c>
      <c r="AH21" s="1667">
        <v>193.36185</v>
      </c>
      <c r="AI21" s="1667">
        <v>193.36185</v>
      </c>
      <c r="AJ21" s="1667">
        <v>193.36185</v>
      </c>
      <c r="AK21" s="1667">
        <v>193.36185</v>
      </c>
    </row>
    <row r="22" spans="2:43" ht="15" customHeight="1">
      <c r="B22" s="1914"/>
      <c r="C22" s="1665"/>
      <c r="D22" s="1929"/>
      <c r="F22" s="1668"/>
      <c r="G22" s="1668"/>
      <c r="H22" s="1668"/>
      <c r="I22" s="1668"/>
      <c r="J22" s="1668"/>
      <c r="K22" s="1668"/>
      <c r="L22" s="1668"/>
      <c r="M22" s="1668"/>
      <c r="N22" s="1668"/>
      <c r="O22" s="1668"/>
      <c r="P22" s="1668"/>
      <c r="Q22" s="1668"/>
      <c r="R22" s="1668"/>
      <c r="S22" s="1668"/>
      <c r="T22" s="1668"/>
      <c r="U22" s="1668"/>
      <c r="V22" s="1668"/>
      <c r="W22" s="1668"/>
      <c r="X22" s="1668"/>
      <c r="Y22" s="1668"/>
      <c r="Z22" s="1668"/>
      <c r="AA22" s="1668"/>
      <c r="AB22" s="1668"/>
      <c r="AC22" s="1668"/>
      <c r="AD22" s="1668"/>
      <c r="AE22" s="1668"/>
      <c r="AF22" s="1668"/>
      <c r="AG22" s="1668"/>
      <c r="AH22" s="1668"/>
      <c r="AI22" s="1668"/>
      <c r="AJ22" s="1668"/>
      <c r="AK22" s="1668"/>
    </row>
    <row r="23" spans="2:43" ht="15" customHeight="1">
      <c r="B23" s="1914"/>
      <c r="C23" s="1665"/>
      <c r="D23" s="1929"/>
      <c r="E23" s="1666" t="s">
        <v>770</v>
      </c>
    </row>
    <row r="24" spans="2:43" ht="15" customHeight="1">
      <c r="B24" s="1914"/>
      <c r="C24" s="1665"/>
      <c r="D24" s="1929"/>
      <c r="F24" s="1645">
        <v>2019</v>
      </c>
      <c r="G24" s="1645">
        <v>2020</v>
      </c>
      <c r="H24" s="1645">
        <v>2021</v>
      </c>
      <c r="I24" s="1645">
        <v>2022</v>
      </c>
      <c r="J24" s="1645">
        <v>2023</v>
      </c>
      <c r="K24" s="1645">
        <v>2024</v>
      </c>
      <c r="L24" s="1645">
        <v>2025</v>
      </c>
      <c r="M24" s="1645">
        <v>2026</v>
      </c>
      <c r="N24" s="1645">
        <v>2027</v>
      </c>
      <c r="O24" s="1645">
        <v>2028</v>
      </c>
      <c r="P24" s="1645">
        <v>2029</v>
      </c>
      <c r="Q24" s="1645">
        <v>2030</v>
      </c>
      <c r="R24" s="1645">
        <v>2031</v>
      </c>
      <c r="S24" s="1645">
        <v>2032</v>
      </c>
      <c r="T24" s="1645">
        <v>2033</v>
      </c>
      <c r="U24" s="1645">
        <v>2034</v>
      </c>
      <c r="V24" s="1645">
        <v>2035</v>
      </c>
      <c r="W24" s="1645">
        <v>2036</v>
      </c>
      <c r="X24" s="1645">
        <v>2037</v>
      </c>
      <c r="Y24" s="1645">
        <v>2038</v>
      </c>
      <c r="Z24" s="1645">
        <v>2039</v>
      </c>
      <c r="AA24" s="1645">
        <v>2040</v>
      </c>
      <c r="AB24" s="1645">
        <v>2041</v>
      </c>
      <c r="AC24" s="1645">
        <v>2042</v>
      </c>
      <c r="AD24" s="1645">
        <v>2043</v>
      </c>
      <c r="AE24" s="1645">
        <v>2044</v>
      </c>
      <c r="AF24" s="1645">
        <v>2045</v>
      </c>
      <c r="AG24" s="1645">
        <v>2046</v>
      </c>
      <c r="AH24" s="1645">
        <v>2047</v>
      </c>
      <c r="AI24" s="1645">
        <v>2048</v>
      </c>
      <c r="AJ24" s="1645">
        <v>2049</v>
      </c>
      <c r="AK24" s="1645">
        <v>2050</v>
      </c>
    </row>
    <row r="25" spans="2:43" ht="15" customHeight="1">
      <c r="B25" s="1914"/>
      <c r="C25" s="1665"/>
      <c r="D25" s="1929"/>
      <c r="E25" s="1645" t="s">
        <v>767</v>
      </c>
      <c r="F25" s="1667">
        <v>272.63279999999997</v>
      </c>
      <c r="G25" s="1667">
        <v>256.78545399572664</v>
      </c>
      <c r="H25" s="1667">
        <v>238.0598</v>
      </c>
      <c r="I25" s="1667">
        <v>218.3038</v>
      </c>
      <c r="J25" s="1667">
        <v>198.5478</v>
      </c>
      <c r="K25" s="1667">
        <v>178.79179999999999</v>
      </c>
      <c r="L25" s="1667">
        <v>159.03579999999999</v>
      </c>
      <c r="M25" s="1667">
        <v>149.15780000000001</v>
      </c>
      <c r="N25" s="1667">
        <v>138.292</v>
      </c>
      <c r="O25" s="1667">
        <v>128.41399999999999</v>
      </c>
      <c r="P25" s="1667">
        <v>118.536</v>
      </c>
      <c r="Q25" s="1667">
        <v>107.67019999999999</v>
      </c>
      <c r="R25" s="1667">
        <v>105.69460000000001</v>
      </c>
      <c r="S25" s="1667">
        <v>103.71899999999999</v>
      </c>
      <c r="T25" s="1667">
        <v>101.74340000000001</v>
      </c>
      <c r="U25" s="1667">
        <v>99.767799999999994</v>
      </c>
      <c r="V25" s="1667">
        <v>96.804400000000001</v>
      </c>
      <c r="W25" s="1667">
        <v>94.828800000000001</v>
      </c>
      <c r="X25" s="1667">
        <v>92.853200000000001</v>
      </c>
      <c r="Y25" s="1667">
        <v>90.877600000000001</v>
      </c>
      <c r="Z25" s="1667">
        <v>88.902000000000001</v>
      </c>
      <c r="AA25" s="1667">
        <v>86.926400000000001</v>
      </c>
      <c r="AB25" s="1667">
        <v>84.950800000000001</v>
      </c>
      <c r="AC25" s="1667">
        <v>81.987400000000008</v>
      </c>
      <c r="AD25" s="1667">
        <v>80.011799999999994</v>
      </c>
      <c r="AE25" s="1667">
        <v>78.036200000000008</v>
      </c>
      <c r="AF25" s="1667">
        <v>76.060599999999994</v>
      </c>
      <c r="AG25" s="1667">
        <v>74.085000000000008</v>
      </c>
      <c r="AH25" s="1667">
        <v>72.109399999999994</v>
      </c>
      <c r="AI25" s="1667">
        <v>70.133800000000008</v>
      </c>
      <c r="AJ25" s="1667">
        <v>68.158199999999994</v>
      </c>
      <c r="AK25" s="1667">
        <v>65.194800000000001</v>
      </c>
    </row>
    <row r="26" spans="2:43" ht="15" customHeight="1">
      <c r="B26" s="1914"/>
      <c r="C26" s="1665"/>
      <c r="D26" s="1929"/>
      <c r="E26" s="1645" t="s">
        <v>768</v>
      </c>
      <c r="F26" s="1667">
        <v>272.63279999999997</v>
      </c>
      <c r="G26" s="1667">
        <v>256.78545399572664</v>
      </c>
      <c r="H26" s="1667">
        <v>244.97966714159767</v>
      </c>
      <c r="I26" s="1667">
        <v>233.17388028746916</v>
      </c>
      <c r="J26" s="1667">
        <v>221.36809343334016</v>
      </c>
      <c r="K26" s="1667">
        <v>209.5623065792112</v>
      </c>
      <c r="L26" s="1667">
        <v>197.7565197250822</v>
      </c>
      <c r="M26" s="1667">
        <v>197.59142980652393</v>
      </c>
      <c r="N26" s="1667">
        <v>197.4263398879659</v>
      </c>
      <c r="O26" s="1667">
        <v>197.2612499694074</v>
      </c>
      <c r="P26" s="1667">
        <v>197.09616005084933</v>
      </c>
      <c r="Q26" s="1667">
        <v>196.93107013229152</v>
      </c>
      <c r="R26" s="1667">
        <v>196.15847545385549</v>
      </c>
      <c r="S26" s="1667">
        <v>195.38588077541934</v>
      </c>
      <c r="T26" s="1667">
        <v>194.61328609698373</v>
      </c>
      <c r="U26" s="1667">
        <v>193.84069141854769</v>
      </c>
      <c r="V26" s="1667">
        <v>193.06809674011177</v>
      </c>
      <c r="W26" s="1667">
        <v>192.29550206167596</v>
      </c>
      <c r="X26" s="1667">
        <v>191.52290738323981</v>
      </c>
      <c r="Y26" s="1667">
        <v>190.75031270480397</v>
      </c>
      <c r="Z26" s="1667">
        <v>189.97771802636794</v>
      </c>
      <c r="AA26" s="1667">
        <v>189.20512334793219</v>
      </c>
      <c r="AB26" s="1667">
        <v>188.43252866949626</v>
      </c>
      <c r="AC26" s="1667">
        <v>187.65993399106048</v>
      </c>
      <c r="AD26" s="1667">
        <v>186.88733931262456</v>
      </c>
      <c r="AE26" s="1667">
        <v>186.11474463418853</v>
      </c>
      <c r="AF26" s="1667">
        <v>185.34214995575283</v>
      </c>
      <c r="AG26" s="1667">
        <v>184.56955527731694</v>
      </c>
      <c r="AH26" s="1667">
        <v>183.79696059888118</v>
      </c>
      <c r="AI26" s="1667">
        <v>183.02436592044515</v>
      </c>
      <c r="AJ26" s="1667">
        <v>182.25177124200923</v>
      </c>
      <c r="AK26" s="1667">
        <v>181.47917656357413</v>
      </c>
    </row>
    <row r="27" spans="2:43" ht="15" customHeight="1">
      <c r="B27" s="1914"/>
      <c r="C27" s="1665"/>
      <c r="D27" s="1929"/>
      <c r="E27" s="1645" t="s">
        <v>769</v>
      </c>
      <c r="F27" s="1667">
        <v>272.63279999999997</v>
      </c>
      <c r="G27" s="1667">
        <v>256.78545399572664</v>
      </c>
      <c r="H27" s="1667">
        <v>250.90120000000002</v>
      </c>
      <c r="I27" s="1667">
        <v>242.99880000000002</v>
      </c>
      <c r="J27" s="1667">
        <v>236.08420000000001</v>
      </c>
      <c r="K27" s="1667">
        <v>229.1696</v>
      </c>
      <c r="L27" s="1667">
        <v>222.255</v>
      </c>
      <c r="M27" s="1667">
        <v>219.29160000000002</v>
      </c>
      <c r="N27" s="1667">
        <v>216.32820000000001</v>
      </c>
      <c r="O27" s="1667">
        <v>213.3648</v>
      </c>
      <c r="P27" s="1667">
        <v>210.4014</v>
      </c>
      <c r="Q27" s="1667">
        <v>207.43799999999999</v>
      </c>
      <c r="R27" s="1667">
        <v>207.43799999999999</v>
      </c>
      <c r="S27" s="1667">
        <v>207.43799999999999</v>
      </c>
      <c r="T27" s="1667">
        <v>207.43799999999999</v>
      </c>
      <c r="U27" s="1667">
        <v>207.43799999999999</v>
      </c>
      <c r="V27" s="1667">
        <v>207.43799999999999</v>
      </c>
      <c r="W27" s="1667">
        <v>207.43799999999999</v>
      </c>
      <c r="X27" s="1667">
        <v>207.43799999999999</v>
      </c>
      <c r="Y27" s="1667">
        <v>207.43799999999999</v>
      </c>
      <c r="Z27" s="1667">
        <v>207.43799999999999</v>
      </c>
      <c r="AA27" s="1667">
        <v>207.43799999999999</v>
      </c>
      <c r="AB27" s="1667">
        <v>207.43799999999999</v>
      </c>
      <c r="AC27" s="1667">
        <v>207.43799999999999</v>
      </c>
      <c r="AD27" s="1667">
        <v>207.43799999999999</v>
      </c>
      <c r="AE27" s="1667">
        <v>207.43799999999999</v>
      </c>
      <c r="AF27" s="1667">
        <v>207.43799999999999</v>
      </c>
      <c r="AG27" s="1667">
        <v>207.43799999999999</v>
      </c>
      <c r="AH27" s="1667">
        <v>207.43799999999999</v>
      </c>
      <c r="AI27" s="1667">
        <v>207.43799999999999</v>
      </c>
      <c r="AJ27" s="1667">
        <v>207.43799999999999</v>
      </c>
      <c r="AK27" s="1667">
        <v>207.43799999999999</v>
      </c>
    </row>
    <row r="28" spans="2:43" ht="15" customHeight="1">
      <c r="C28" s="1665"/>
      <c r="D28" s="1665"/>
      <c r="F28" s="1668"/>
      <c r="G28" s="1668"/>
      <c r="H28" s="1668"/>
      <c r="I28" s="1668"/>
      <c r="J28" s="1668"/>
      <c r="K28" s="1668"/>
      <c r="L28" s="1668"/>
      <c r="M28" s="1668"/>
      <c r="N28" s="1668"/>
      <c r="O28" s="1668"/>
      <c r="P28" s="1668"/>
      <c r="Q28" s="1668"/>
      <c r="R28" s="1668"/>
      <c r="S28" s="1668"/>
      <c r="T28" s="1668"/>
      <c r="U28" s="1668"/>
      <c r="V28" s="1668"/>
      <c r="W28" s="1668"/>
      <c r="X28" s="1668"/>
      <c r="Y28" s="1668"/>
      <c r="Z28" s="1668"/>
      <c r="AA28" s="1668"/>
      <c r="AB28" s="1668"/>
      <c r="AC28" s="1668"/>
      <c r="AD28" s="1668"/>
      <c r="AE28" s="1668"/>
      <c r="AF28" s="1668"/>
      <c r="AG28" s="1668"/>
      <c r="AH28" s="1668"/>
      <c r="AI28" s="1668"/>
      <c r="AJ28" s="1668"/>
      <c r="AK28" s="1668"/>
      <c r="AL28" s="1668"/>
    </row>
    <row r="29" spans="2:43" ht="15" customHeight="1">
      <c r="C29" s="1665"/>
      <c r="D29" s="1665"/>
      <c r="E29" s="1666" t="s">
        <v>771</v>
      </c>
      <c r="F29" s="1668"/>
      <c r="G29" s="1668"/>
      <c r="H29" s="1668"/>
      <c r="I29" s="1668"/>
      <c r="J29" s="1668"/>
      <c r="K29" s="1668"/>
      <c r="L29" s="1668"/>
      <c r="M29" s="1668"/>
      <c r="N29" s="1668"/>
      <c r="O29" s="1668"/>
      <c r="P29" s="1668"/>
      <c r="Q29" s="1668"/>
      <c r="R29" s="1668"/>
      <c r="S29" s="1668"/>
      <c r="T29" s="1668"/>
      <c r="U29" s="1668"/>
      <c r="V29" s="1668"/>
      <c r="W29" s="1668"/>
      <c r="X29" s="1668"/>
      <c r="Y29" s="1668"/>
      <c r="Z29" s="1668"/>
      <c r="AA29" s="1668"/>
      <c r="AB29" s="1668"/>
      <c r="AC29" s="1668"/>
      <c r="AD29" s="1668"/>
      <c r="AE29" s="1668"/>
      <c r="AF29" s="1668"/>
      <c r="AG29" s="1668"/>
      <c r="AH29" s="1668"/>
      <c r="AI29" s="1668"/>
      <c r="AJ29" s="1668"/>
      <c r="AK29" s="1668"/>
      <c r="AL29" s="1668"/>
    </row>
    <row r="30" spans="2:43" ht="15" customHeight="1">
      <c r="C30" s="1665"/>
      <c r="D30" s="1665"/>
      <c r="E30" s="1666"/>
      <c r="F30" s="1668"/>
      <c r="G30" s="1668"/>
      <c r="H30" s="1668"/>
      <c r="I30" s="1668"/>
      <c r="J30" s="1668"/>
      <c r="K30" s="1668"/>
      <c r="L30" s="1668"/>
      <c r="M30" s="1668"/>
      <c r="N30" s="1668"/>
      <c r="O30" s="1668"/>
      <c r="P30" s="1668"/>
      <c r="Q30" s="1668"/>
      <c r="R30" s="1668"/>
      <c r="S30" s="1668"/>
      <c r="T30" s="1668"/>
      <c r="U30" s="1668"/>
      <c r="V30" s="1668"/>
      <c r="W30" s="1668"/>
      <c r="X30" s="1668"/>
      <c r="Y30" s="1668"/>
      <c r="Z30" s="1668"/>
      <c r="AA30" s="1668"/>
      <c r="AB30" s="1668"/>
      <c r="AC30" s="1668"/>
      <c r="AD30" s="1668"/>
      <c r="AE30" s="1668"/>
      <c r="AF30" s="1668"/>
      <c r="AG30" s="1668"/>
      <c r="AH30" s="1668"/>
      <c r="AI30" s="1668"/>
      <c r="AJ30" s="1668"/>
      <c r="AK30" s="1668"/>
      <c r="AL30" s="1668"/>
    </row>
    <row r="31" spans="2:43" s="1643" customFormat="1" ht="14.1" customHeight="1">
      <c r="C31" s="1913" t="s">
        <v>772</v>
      </c>
      <c r="D31" s="1913"/>
      <c r="E31" s="1913"/>
      <c r="F31" s="1913"/>
      <c r="G31" s="1913"/>
      <c r="H31" s="1913"/>
      <c r="I31" s="1913"/>
      <c r="J31" s="1913"/>
      <c r="K31" s="1913"/>
      <c r="L31" s="1913"/>
      <c r="M31" s="1913"/>
      <c r="N31" s="1913"/>
      <c r="O31" s="1913"/>
      <c r="P31" s="1913"/>
      <c r="Q31" s="1657"/>
      <c r="R31" s="1657"/>
      <c r="S31" s="1657"/>
      <c r="T31" s="1657"/>
      <c r="U31" s="1657"/>
      <c r="V31" s="1657"/>
      <c r="W31" s="1657"/>
      <c r="X31" s="1657"/>
      <c r="Y31" s="1669"/>
      <c r="Z31" s="1669"/>
      <c r="AA31" s="1669"/>
      <c r="AB31" s="1669"/>
      <c r="AC31" s="1669"/>
      <c r="AD31" s="1669"/>
      <c r="AE31" s="1669"/>
      <c r="AF31" s="1669"/>
      <c r="AG31" s="1669"/>
      <c r="AH31" s="1669"/>
      <c r="AI31" s="1669"/>
      <c r="AJ31" s="1669"/>
      <c r="AK31" s="1669"/>
      <c r="AL31" s="1669"/>
      <c r="AM31" s="1669"/>
      <c r="AN31" s="1669"/>
      <c r="AO31" s="1669"/>
      <c r="AP31" s="1669"/>
      <c r="AQ31" s="1669"/>
    </row>
    <row r="32" spans="2:43" s="1643" customFormat="1" ht="14.1" customHeight="1" thickBot="1"/>
    <row r="33" spans="2:75" ht="15.75" thickBot="1">
      <c r="D33" s="1660" t="s">
        <v>761</v>
      </c>
    </row>
    <row r="34" spans="2:75">
      <c r="D34" s="1645" t="s">
        <v>773</v>
      </c>
    </row>
    <row r="35" spans="2:75">
      <c r="F35" s="1645">
        <v>2019</v>
      </c>
      <c r="G35" s="1645">
        <v>2020</v>
      </c>
      <c r="H35" s="1645">
        <v>2021</v>
      </c>
      <c r="I35" s="1645">
        <v>2022</v>
      </c>
      <c r="J35" s="1645">
        <v>2023</v>
      </c>
      <c r="K35" s="1645">
        <v>2024</v>
      </c>
      <c r="L35" s="1645">
        <v>2025</v>
      </c>
      <c r="M35" s="1645">
        <v>2026</v>
      </c>
      <c r="N35" s="1645">
        <v>2027</v>
      </c>
      <c r="O35" s="1645">
        <v>2028</v>
      </c>
      <c r="P35" s="1645">
        <v>2029</v>
      </c>
      <c r="Q35" s="1645">
        <v>2030</v>
      </c>
      <c r="R35" s="1645">
        <v>2031</v>
      </c>
      <c r="S35" s="1645">
        <v>2032</v>
      </c>
      <c r="T35" s="1645">
        <v>2033</v>
      </c>
      <c r="U35" s="1645">
        <v>2034</v>
      </c>
      <c r="V35" s="1645">
        <v>2035</v>
      </c>
      <c r="W35" s="1645">
        <v>2036</v>
      </c>
      <c r="X35" s="1645">
        <v>2037</v>
      </c>
      <c r="Y35" s="1645">
        <v>2038</v>
      </c>
      <c r="Z35" s="1645">
        <v>2039</v>
      </c>
      <c r="AA35" s="1645">
        <v>2040</v>
      </c>
      <c r="AB35" s="1645">
        <v>2041</v>
      </c>
      <c r="AC35" s="1645">
        <v>2042</v>
      </c>
      <c r="AD35" s="1645">
        <v>2043</v>
      </c>
      <c r="AE35" s="1645">
        <v>2044</v>
      </c>
      <c r="AF35" s="1645">
        <v>2045</v>
      </c>
      <c r="AG35" s="1645">
        <v>2046</v>
      </c>
      <c r="AH35" s="1645">
        <v>2047</v>
      </c>
      <c r="AI35" s="1645">
        <v>2048</v>
      </c>
      <c r="AJ35" s="1645">
        <v>2049</v>
      </c>
      <c r="AK35" s="1645">
        <v>2050</v>
      </c>
    </row>
    <row r="36" spans="2:75" ht="15" customHeight="1">
      <c r="B36" s="1930" t="s">
        <v>774</v>
      </c>
      <c r="D36" s="1928" t="s">
        <v>775</v>
      </c>
      <c r="E36" s="1670" t="s">
        <v>776</v>
      </c>
      <c r="F36" s="1671">
        <v>853.45920000000001</v>
      </c>
      <c r="G36" s="1671">
        <v>810.03484410554597</v>
      </c>
      <c r="H36" s="1671">
        <v>743.8134</v>
      </c>
      <c r="I36" s="1671">
        <v>682.56979999999999</v>
      </c>
      <c r="J36" s="1671">
        <v>621.32619999999997</v>
      </c>
      <c r="K36" s="1671">
        <v>560.08259999999996</v>
      </c>
      <c r="L36" s="1671">
        <v>498.839</v>
      </c>
      <c r="M36" s="1671">
        <v>467.2294</v>
      </c>
      <c r="N36" s="1671">
        <v>432.65639999999996</v>
      </c>
      <c r="O36" s="1671">
        <v>401.04679999999996</v>
      </c>
      <c r="P36" s="1671">
        <v>369.43720000000002</v>
      </c>
      <c r="Q36" s="1671">
        <v>336.83979999999997</v>
      </c>
      <c r="R36" s="1671">
        <v>330.91300000000001</v>
      </c>
      <c r="S36" s="1671">
        <v>324.9862</v>
      </c>
      <c r="T36" s="1671">
        <v>317.0838</v>
      </c>
      <c r="U36" s="1671">
        <v>311.15700000000004</v>
      </c>
      <c r="V36" s="1671">
        <v>304.24239999999998</v>
      </c>
      <c r="W36" s="1671">
        <v>296.34000000000003</v>
      </c>
      <c r="X36" s="1671">
        <v>290.41320000000002</v>
      </c>
      <c r="Y36" s="1671">
        <v>284.4864</v>
      </c>
      <c r="Z36" s="1671">
        <v>278.55959999999999</v>
      </c>
      <c r="AA36" s="1671">
        <v>270.65719999999999</v>
      </c>
      <c r="AB36" s="1671">
        <v>264.73040000000003</v>
      </c>
      <c r="AC36" s="1671">
        <v>257.81579999999997</v>
      </c>
      <c r="AD36" s="1671">
        <v>251.88900000000001</v>
      </c>
      <c r="AE36" s="1671">
        <v>243.98660000000001</v>
      </c>
      <c r="AF36" s="1671">
        <v>238.0598</v>
      </c>
      <c r="AG36" s="1671">
        <v>232.13300000000001</v>
      </c>
      <c r="AH36" s="1671">
        <v>226.2062</v>
      </c>
      <c r="AI36" s="1671">
        <v>218.30380000000002</v>
      </c>
      <c r="AJ36" s="1671">
        <v>212.37699999999998</v>
      </c>
      <c r="AK36" s="1671">
        <v>205.4624</v>
      </c>
    </row>
    <row r="37" spans="2:75">
      <c r="B37" s="1930"/>
      <c r="D37" s="1929"/>
      <c r="E37" s="1672" t="s">
        <v>777</v>
      </c>
      <c r="F37" s="1671">
        <v>853.45920000000001</v>
      </c>
      <c r="G37" s="1671">
        <v>810.03484410554597</v>
      </c>
      <c r="H37" s="1671">
        <v>763.3963659907713</v>
      </c>
      <c r="I37" s="1671">
        <v>716.75788787599708</v>
      </c>
      <c r="J37" s="1671">
        <v>670.11940976122241</v>
      </c>
      <c r="K37" s="1671">
        <v>623.48093164644786</v>
      </c>
      <c r="L37" s="1671">
        <v>576.84245353167319</v>
      </c>
      <c r="M37" s="1671">
        <v>559.57645200874674</v>
      </c>
      <c r="N37" s="1671">
        <v>542.31045048582052</v>
      </c>
      <c r="O37" s="1671">
        <v>525.04444896289397</v>
      </c>
      <c r="P37" s="1671">
        <v>507.77844743996769</v>
      </c>
      <c r="Q37" s="1671">
        <v>490.51244591704176</v>
      </c>
      <c r="R37" s="1671">
        <v>485.22556219218745</v>
      </c>
      <c r="S37" s="1671">
        <v>479.93867846733315</v>
      </c>
      <c r="T37" s="1671">
        <v>474.65179474247918</v>
      </c>
      <c r="U37" s="1671">
        <v>469.36491101762482</v>
      </c>
      <c r="V37" s="1671">
        <v>464.07802729277068</v>
      </c>
      <c r="W37" s="1671">
        <v>458.79114356791655</v>
      </c>
      <c r="X37" s="1671">
        <v>453.50425984306219</v>
      </c>
      <c r="Y37" s="1671">
        <v>448.21737611820811</v>
      </c>
      <c r="Z37" s="1671">
        <v>442.9304923933538</v>
      </c>
      <c r="AA37" s="1671">
        <v>437.64360866849972</v>
      </c>
      <c r="AB37" s="1671">
        <v>432.35672494364553</v>
      </c>
      <c r="AC37" s="1671">
        <v>427.06984121879145</v>
      </c>
      <c r="AD37" s="1671">
        <v>421.78295749393726</v>
      </c>
      <c r="AE37" s="1671">
        <v>416.49607376908301</v>
      </c>
      <c r="AF37" s="1671">
        <v>411.20919004422905</v>
      </c>
      <c r="AG37" s="1671">
        <v>405.92230631937485</v>
      </c>
      <c r="AH37" s="1671">
        <v>400.63542259452083</v>
      </c>
      <c r="AI37" s="1671">
        <v>395.34853886966664</v>
      </c>
      <c r="AJ37" s="1671">
        <v>390.06165514481239</v>
      </c>
      <c r="AK37" s="1671">
        <v>384.774771419959</v>
      </c>
    </row>
    <row r="38" spans="2:75">
      <c r="B38" s="1930"/>
      <c r="D38" s="1929"/>
      <c r="E38" s="1673" t="s">
        <v>778</v>
      </c>
      <c r="F38" s="1671">
        <v>853.45920000000001</v>
      </c>
      <c r="G38" s="1671">
        <v>810.03484410554597</v>
      </c>
      <c r="H38" s="1671">
        <v>784.31320000000005</v>
      </c>
      <c r="I38" s="1671">
        <v>760.60599999999999</v>
      </c>
      <c r="J38" s="1671">
        <v>739.86220000000003</v>
      </c>
      <c r="K38" s="1671">
        <v>717.14280000000008</v>
      </c>
      <c r="L38" s="1671">
        <v>694.4233999999999</v>
      </c>
      <c r="M38" s="1671">
        <v>674.37105999999994</v>
      </c>
      <c r="N38" s="1671">
        <v>654.31871999999998</v>
      </c>
      <c r="O38" s="1671">
        <v>634.26638000000003</v>
      </c>
      <c r="P38" s="1671">
        <v>614.21403999999995</v>
      </c>
      <c r="Q38" s="1671">
        <v>594.1617</v>
      </c>
      <c r="R38" s="1671">
        <v>594.1617</v>
      </c>
      <c r="S38" s="1671">
        <v>594.1617</v>
      </c>
      <c r="T38" s="1671">
        <v>594.1617</v>
      </c>
      <c r="U38" s="1671">
        <v>594.1617</v>
      </c>
      <c r="V38" s="1671">
        <v>594.1617</v>
      </c>
      <c r="W38" s="1671">
        <v>594.1617</v>
      </c>
      <c r="X38" s="1671">
        <v>594.1617</v>
      </c>
      <c r="Y38" s="1671">
        <v>594.1617</v>
      </c>
      <c r="Z38" s="1671">
        <v>594.1617</v>
      </c>
      <c r="AA38" s="1671">
        <v>594.1617</v>
      </c>
      <c r="AB38" s="1671">
        <v>594.1617</v>
      </c>
      <c r="AC38" s="1671">
        <v>594.1617</v>
      </c>
      <c r="AD38" s="1671">
        <v>594.1617</v>
      </c>
      <c r="AE38" s="1671">
        <v>594.1617</v>
      </c>
      <c r="AF38" s="1671">
        <v>594.1617</v>
      </c>
      <c r="AG38" s="1671">
        <v>594.1617</v>
      </c>
      <c r="AH38" s="1671">
        <v>594.1617</v>
      </c>
      <c r="AI38" s="1671">
        <v>594.1617</v>
      </c>
      <c r="AJ38" s="1671">
        <v>594.1617</v>
      </c>
      <c r="AK38" s="1671">
        <v>594.1617</v>
      </c>
    </row>
    <row r="39" spans="2:75">
      <c r="B39" s="1930"/>
      <c r="D39" s="1929"/>
      <c r="E39" s="1670" t="s">
        <v>779</v>
      </c>
      <c r="F39" s="1671">
        <v>1434.2856000000002</v>
      </c>
      <c r="G39" s="1671">
        <v>1363.2842342153651</v>
      </c>
      <c r="H39" s="1671">
        <v>1249.567</v>
      </c>
      <c r="I39" s="1671">
        <v>1146.8358000000001</v>
      </c>
      <c r="J39" s="1671">
        <v>1044.1046000000001</v>
      </c>
      <c r="K39" s="1671">
        <v>941.37339999999995</v>
      </c>
      <c r="L39" s="1671">
        <v>838.6422</v>
      </c>
      <c r="M39" s="1671">
        <v>785.30099999999993</v>
      </c>
      <c r="N39" s="1671">
        <v>727.02080000000001</v>
      </c>
      <c r="O39" s="1671">
        <v>673.67959999999994</v>
      </c>
      <c r="P39" s="1671">
        <v>620.33840000000009</v>
      </c>
      <c r="Q39" s="1671">
        <v>566.00940000000003</v>
      </c>
      <c r="R39" s="1671">
        <v>556.13139999999999</v>
      </c>
      <c r="S39" s="1671">
        <v>546.25340000000006</v>
      </c>
      <c r="T39" s="1671">
        <v>532.42419999999993</v>
      </c>
      <c r="U39" s="1671">
        <v>522.5462</v>
      </c>
      <c r="V39" s="1671">
        <v>511.68039999999996</v>
      </c>
      <c r="W39" s="1671">
        <v>497.85120000000001</v>
      </c>
      <c r="X39" s="1671">
        <v>487.97320000000002</v>
      </c>
      <c r="Y39" s="1671">
        <v>478.09519999999998</v>
      </c>
      <c r="Z39" s="1671">
        <v>468.21719999999999</v>
      </c>
      <c r="AA39" s="1671">
        <v>454.38799999999998</v>
      </c>
      <c r="AB39" s="1671">
        <v>444.51000000000005</v>
      </c>
      <c r="AC39" s="1671">
        <v>433.64419999999996</v>
      </c>
      <c r="AD39" s="1671">
        <v>423.76620000000003</v>
      </c>
      <c r="AE39" s="1671">
        <v>409.93700000000001</v>
      </c>
      <c r="AF39" s="1671">
        <v>400.05899999999997</v>
      </c>
      <c r="AG39" s="1671">
        <v>390.18100000000004</v>
      </c>
      <c r="AH39" s="1671">
        <v>380.303</v>
      </c>
      <c r="AI39" s="1671">
        <v>366.47380000000004</v>
      </c>
      <c r="AJ39" s="1671">
        <v>356.59579999999994</v>
      </c>
      <c r="AK39" s="1671">
        <v>345.73</v>
      </c>
      <c r="AQ39" s="1668"/>
      <c r="AR39" s="1668"/>
      <c r="AS39" s="1668"/>
      <c r="AT39" s="1668"/>
      <c r="AU39" s="1668"/>
      <c r="AV39" s="1668"/>
      <c r="AW39" s="1668"/>
      <c r="AX39" s="1668"/>
      <c r="AY39" s="1668"/>
      <c r="AZ39" s="1668"/>
      <c r="BA39" s="1668"/>
      <c r="BB39" s="1668"/>
      <c r="BC39" s="1668"/>
      <c r="BD39" s="1668"/>
      <c r="BE39" s="1668"/>
      <c r="BF39" s="1668"/>
      <c r="BG39" s="1668"/>
      <c r="BH39" s="1668"/>
      <c r="BI39" s="1668"/>
      <c r="BJ39" s="1668"/>
      <c r="BK39" s="1668"/>
      <c r="BL39" s="1668"/>
      <c r="BM39" s="1668"/>
      <c r="BN39" s="1668"/>
      <c r="BO39" s="1668"/>
      <c r="BP39" s="1668"/>
      <c r="BQ39" s="1668"/>
      <c r="BR39" s="1668"/>
      <c r="BS39" s="1668"/>
      <c r="BT39" s="1668"/>
      <c r="BU39" s="1668"/>
      <c r="BV39" s="1668"/>
      <c r="BW39" s="1668"/>
    </row>
    <row r="40" spans="2:75">
      <c r="B40" s="1930"/>
      <c r="D40" s="1929"/>
      <c r="E40" s="1672" t="s">
        <v>780</v>
      </c>
      <c r="F40" s="1671">
        <v>1434.2856000000002</v>
      </c>
      <c r="G40" s="1671">
        <v>1363.2842342153651</v>
      </c>
      <c r="H40" s="1671">
        <v>1281.8130648399449</v>
      </c>
      <c r="I40" s="1671">
        <v>1200.3418954645249</v>
      </c>
      <c r="J40" s="1671">
        <v>1118.8707260891047</v>
      </c>
      <c r="K40" s="1671">
        <v>1037.3995567136847</v>
      </c>
      <c r="L40" s="1671">
        <v>955.92838733826409</v>
      </c>
      <c r="M40" s="1671">
        <v>921.56147421096955</v>
      </c>
      <c r="N40" s="1671">
        <v>887.19456108367513</v>
      </c>
      <c r="O40" s="1671">
        <v>852.82764795638059</v>
      </c>
      <c r="P40" s="1671">
        <v>818.46073482908605</v>
      </c>
      <c r="Q40" s="1671">
        <v>784.09382170179197</v>
      </c>
      <c r="R40" s="1671">
        <v>774.29264893051936</v>
      </c>
      <c r="S40" s="1671">
        <v>764.49147615924687</v>
      </c>
      <c r="T40" s="1671">
        <v>754.69030338797461</v>
      </c>
      <c r="U40" s="1671">
        <v>744.889130616702</v>
      </c>
      <c r="V40" s="1671">
        <v>735.08795784542951</v>
      </c>
      <c r="W40" s="1671">
        <v>725.28678507415714</v>
      </c>
      <c r="X40" s="1671">
        <v>715.48561230288453</v>
      </c>
      <c r="Y40" s="1671">
        <v>705.68443953161216</v>
      </c>
      <c r="Z40" s="1671">
        <v>695.88326676033967</v>
      </c>
      <c r="AA40" s="1671">
        <v>686.08209398906718</v>
      </c>
      <c r="AB40" s="1671">
        <v>676.28092121779491</v>
      </c>
      <c r="AC40" s="1671">
        <v>666.47974844652254</v>
      </c>
      <c r="AD40" s="1671">
        <v>656.67857567524993</v>
      </c>
      <c r="AE40" s="1671">
        <v>646.87740290397755</v>
      </c>
      <c r="AF40" s="1671">
        <v>637.07623013270529</v>
      </c>
      <c r="AG40" s="1671">
        <v>627.2750573614328</v>
      </c>
      <c r="AH40" s="1671">
        <v>617.47388459016042</v>
      </c>
      <c r="AI40" s="1671">
        <v>607.67271181888805</v>
      </c>
      <c r="AJ40" s="1671">
        <v>597.87153904761556</v>
      </c>
      <c r="AK40" s="1671">
        <v>588.07036627634386</v>
      </c>
      <c r="AQ40" s="1668"/>
      <c r="AR40" s="1668"/>
      <c r="AS40" s="1668"/>
      <c r="AT40" s="1668"/>
      <c r="AU40" s="1668"/>
      <c r="AV40" s="1668"/>
      <c r="AW40" s="1668"/>
      <c r="AX40" s="1668"/>
      <c r="AY40" s="1668"/>
      <c r="AZ40" s="1668"/>
      <c r="BA40" s="1668"/>
      <c r="BB40" s="1668"/>
      <c r="BC40" s="1668"/>
      <c r="BD40" s="1668"/>
      <c r="BE40" s="1668"/>
      <c r="BF40" s="1668"/>
      <c r="BG40" s="1668"/>
      <c r="BH40" s="1668"/>
      <c r="BI40" s="1668"/>
      <c r="BJ40" s="1668"/>
      <c r="BK40" s="1668"/>
      <c r="BL40" s="1668"/>
      <c r="BM40" s="1668"/>
      <c r="BN40" s="1668"/>
      <c r="BO40" s="1668"/>
      <c r="BP40" s="1668"/>
      <c r="BQ40" s="1668"/>
      <c r="BR40" s="1668"/>
      <c r="BS40" s="1668"/>
      <c r="BT40" s="1668"/>
      <c r="BU40" s="1668"/>
      <c r="BV40" s="1668"/>
      <c r="BW40" s="1668"/>
    </row>
    <row r="41" spans="2:75">
      <c r="B41" s="1930"/>
      <c r="D41" s="1929"/>
      <c r="E41" s="1673" t="s">
        <v>781</v>
      </c>
      <c r="F41" s="1671">
        <v>1434.2856000000002</v>
      </c>
      <c r="G41" s="1671">
        <v>1363.2842342153651</v>
      </c>
      <c r="H41" s="1671">
        <v>1317.7252000000001</v>
      </c>
      <c r="I41" s="1671">
        <v>1278.2132000000001</v>
      </c>
      <c r="J41" s="1671">
        <v>1243.6402</v>
      </c>
      <c r="K41" s="1671">
        <v>1205.116</v>
      </c>
      <c r="L41" s="1671">
        <v>1166.5917999999999</v>
      </c>
      <c r="M41" s="1671">
        <v>1129.4505199999999</v>
      </c>
      <c r="N41" s="1671">
        <v>1092.30924</v>
      </c>
      <c r="O41" s="1671">
        <v>1055.16796</v>
      </c>
      <c r="P41" s="1671">
        <v>1018.0266799999999</v>
      </c>
      <c r="Q41" s="1671">
        <v>980.8854</v>
      </c>
      <c r="R41" s="1671">
        <v>980.8854</v>
      </c>
      <c r="S41" s="1671">
        <v>980.8854</v>
      </c>
      <c r="T41" s="1671">
        <v>980.8854</v>
      </c>
      <c r="U41" s="1671">
        <v>980.8854</v>
      </c>
      <c r="V41" s="1671">
        <v>980.8854</v>
      </c>
      <c r="W41" s="1671">
        <v>980.8854</v>
      </c>
      <c r="X41" s="1671">
        <v>980.8854</v>
      </c>
      <c r="Y41" s="1671">
        <v>980.8854</v>
      </c>
      <c r="Z41" s="1671">
        <v>980.8854</v>
      </c>
      <c r="AA41" s="1671">
        <v>980.8854</v>
      </c>
      <c r="AB41" s="1671">
        <v>980.8854</v>
      </c>
      <c r="AC41" s="1671">
        <v>980.8854</v>
      </c>
      <c r="AD41" s="1671">
        <v>980.8854</v>
      </c>
      <c r="AE41" s="1671">
        <v>980.8854</v>
      </c>
      <c r="AF41" s="1671">
        <v>980.8854</v>
      </c>
      <c r="AG41" s="1671">
        <v>980.8854</v>
      </c>
      <c r="AH41" s="1671">
        <v>980.8854</v>
      </c>
      <c r="AI41" s="1671">
        <v>980.8854</v>
      </c>
      <c r="AJ41" s="1671">
        <v>980.8854</v>
      </c>
      <c r="AK41" s="1671">
        <v>980.8854</v>
      </c>
      <c r="AQ41" s="1668"/>
      <c r="AR41" s="1668"/>
      <c r="AS41" s="1668"/>
      <c r="AT41" s="1668"/>
      <c r="AU41" s="1668"/>
      <c r="AV41" s="1668"/>
      <c r="AW41" s="1668"/>
      <c r="AX41" s="1668"/>
      <c r="AY41" s="1668"/>
      <c r="AZ41" s="1668"/>
      <c r="BA41" s="1668"/>
      <c r="BB41" s="1668"/>
      <c r="BC41" s="1668"/>
      <c r="BD41" s="1668"/>
      <c r="BE41" s="1668"/>
      <c r="BF41" s="1668"/>
      <c r="BG41" s="1668"/>
      <c r="BH41" s="1668"/>
      <c r="BI41" s="1668"/>
      <c r="BJ41" s="1668"/>
      <c r="BK41" s="1668"/>
      <c r="BL41" s="1668"/>
      <c r="BM41" s="1668"/>
      <c r="BN41" s="1668"/>
      <c r="BO41" s="1668"/>
      <c r="BP41" s="1668"/>
      <c r="BQ41" s="1668"/>
      <c r="BR41" s="1668"/>
      <c r="BS41" s="1668"/>
      <c r="BT41" s="1668"/>
      <c r="BU41" s="1668"/>
      <c r="BV41" s="1668"/>
      <c r="BW41" s="1668"/>
    </row>
    <row r="42" spans="2:75">
      <c r="B42" s="1930"/>
      <c r="D42" s="1929"/>
      <c r="E42" s="1670" t="s">
        <v>782</v>
      </c>
      <c r="F42" s="1671">
        <v>2015.1120000000001</v>
      </c>
      <c r="G42" s="1671">
        <v>1916.5336243251845</v>
      </c>
      <c r="H42" s="1671">
        <v>1755.3206</v>
      </c>
      <c r="I42" s="1671">
        <v>1611.1017999999999</v>
      </c>
      <c r="J42" s="1671">
        <v>1466.883</v>
      </c>
      <c r="K42" s="1671">
        <v>1322.6641999999999</v>
      </c>
      <c r="L42" s="1671">
        <v>1178.4454000000001</v>
      </c>
      <c r="M42" s="1671">
        <v>1103.3725999999999</v>
      </c>
      <c r="N42" s="1671">
        <v>1021.3852000000001</v>
      </c>
      <c r="O42" s="1671">
        <v>946.31239999999991</v>
      </c>
      <c r="P42" s="1671">
        <v>871.23960000000011</v>
      </c>
      <c r="Q42" s="1671">
        <v>795.17900000000009</v>
      </c>
      <c r="R42" s="1671">
        <v>781.34980000000007</v>
      </c>
      <c r="S42" s="1671">
        <v>767.52060000000006</v>
      </c>
      <c r="T42" s="1671">
        <v>747.76459999999997</v>
      </c>
      <c r="U42" s="1671">
        <v>733.93539999999996</v>
      </c>
      <c r="V42" s="1671">
        <v>719.11839999999995</v>
      </c>
      <c r="W42" s="1671">
        <v>699.36239999999998</v>
      </c>
      <c r="X42" s="1671">
        <v>685.53320000000008</v>
      </c>
      <c r="Y42" s="1671">
        <v>671.70400000000006</v>
      </c>
      <c r="Z42" s="1671">
        <v>657.87480000000005</v>
      </c>
      <c r="AA42" s="1671">
        <v>638.11879999999996</v>
      </c>
      <c r="AB42" s="1671">
        <v>624.28959999999995</v>
      </c>
      <c r="AC42" s="1671">
        <v>609.47259999999994</v>
      </c>
      <c r="AD42" s="1671">
        <v>595.64340000000004</v>
      </c>
      <c r="AE42" s="1671">
        <v>575.88740000000007</v>
      </c>
      <c r="AF42" s="1671">
        <v>562.05820000000006</v>
      </c>
      <c r="AG42" s="1671">
        <v>548.22900000000004</v>
      </c>
      <c r="AH42" s="1671">
        <v>534.39979999999991</v>
      </c>
      <c r="AI42" s="1671">
        <v>514.64380000000006</v>
      </c>
      <c r="AJ42" s="1671">
        <v>500.81459999999993</v>
      </c>
      <c r="AK42" s="1671">
        <v>485.99760000000003</v>
      </c>
      <c r="AQ42" s="1668"/>
      <c r="AR42" s="1668"/>
      <c r="AS42" s="1668"/>
      <c r="AT42" s="1668"/>
      <c r="AU42" s="1668"/>
      <c r="AV42" s="1668"/>
      <c r="AW42" s="1668"/>
      <c r="AX42" s="1668"/>
      <c r="AY42" s="1668"/>
      <c r="AZ42" s="1668"/>
      <c r="BA42" s="1668"/>
      <c r="BB42" s="1668"/>
      <c r="BC42" s="1668"/>
      <c r="BD42" s="1668"/>
      <c r="BE42" s="1668"/>
      <c r="BF42" s="1668"/>
      <c r="BG42" s="1668"/>
      <c r="BH42" s="1668"/>
      <c r="BI42" s="1668"/>
      <c r="BJ42" s="1668"/>
      <c r="BK42" s="1668"/>
      <c r="BL42" s="1668"/>
      <c r="BM42" s="1668"/>
      <c r="BN42" s="1668"/>
      <c r="BO42" s="1668"/>
      <c r="BP42" s="1668"/>
      <c r="BQ42" s="1668"/>
      <c r="BR42" s="1668"/>
      <c r="BS42" s="1668"/>
      <c r="BT42" s="1668"/>
      <c r="BU42" s="1668"/>
      <c r="BV42" s="1668"/>
      <c r="BW42" s="1668"/>
    </row>
    <row r="43" spans="2:75">
      <c r="B43" s="1930"/>
      <c r="D43" s="1929"/>
      <c r="E43" s="1672" t="s">
        <v>783</v>
      </c>
      <c r="F43" s="1671">
        <v>2015.1120000000001</v>
      </c>
      <c r="G43" s="1671">
        <v>1916.5336243251845</v>
      </c>
      <c r="H43" s="1671">
        <v>1800.2297636891185</v>
      </c>
      <c r="I43" s="1671">
        <v>1683.9259030530529</v>
      </c>
      <c r="J43" s="1671">
        <v>1567.6220424169869</v>
      </c>
      <c r="K43" s="1671">
        <v>1451.3181817809213</v>
      </c>
      <c r="L43" s="1671">
        <v>1335.0143211448551</v>
      </c>
      <c r="M43" s="1671">
        <v>1283.5464964131925</v>
      </c>
      <c r="N43" s="1671">
        <v>1232.0786716815298</v>
      </c>
      <c r="O43" s="1671">
        <v>1180.610846949867</v>
      </c>
      <c r="P43" s="1671">
        <v>1129.1430222182044</v>
      </c>
      <c r="Q43" s="1671">
        <v>1077.6751974865422</v>
      </c>
      <c r="R43" s="1671">
        <v>1063.3597356688515</v>
      </c>
      <c r="S43" s="1671">
        <v>1049.0442738511606</v>
      </c>
      <c r="T43" s="1671">
        <v>1034.7288120334699</v>
      </c>
      <c r="U43" s="1671">
        <v>1020.413350215779</v>
      </c>
      <c r="V43" s="1671">
        <v>1006.0978883980883</v>
      </c>
      <c r="W43" s="1671">
        <v>991.78242658039767</v>
      </c>
      <c r="X43" s="1671">
        <v>977.46696476270688</v>
      </c>
      <c r="Y43" s="1671">
        <v>963.15150294501632</v>
      </c>
      <c r="Z43" s="1671">
        <v>948.83604112732553</v>
      </c>
      <c r="AA43" s="1671">
        <v>934.52057930963474</v>
      </c>
      <c r="AB43" s="1671">
        <v>920.20511749194418</v>
      </c>
      <c r="AC43" s="1671">
        <v>905.8896556742535</v>
      </c>
      <c r="AD43" s="1671">
        <v>891.57419385656272</v>
      </c>
      <c r="AE43" s="1671">
        <v>877.25873203887204</v>
      </c>
      <c r="AF43" s="1671">
        <v>862.94327022118148</v>
      </c>
      <c r="AG43" s="1671">
        <v>848.62780840349069</v>
      </c>
      <c r="AH43" s="1671">
        <v>834.31234658580001</v>
      </c>
      <c r="AI43" s="1671">
        <v>819.99688476810945</v>
      </c>
      <c r="AJ43" s="1671">
        <v>805.68142295041866</v>
      </c>
      <c r="AK43" s="1671">
        <v>791.36596113272867</v>
      </c>
      <c r="AQ43" s="1668"/>
      <c r="AR43" s="1668"/>
      <c r="AS43" s="1668"/>
      <c r="AT43" s="1668"/>
      <c r="AU43" s="1668"/>
      <c r="AV43" s="1668"/>
      <c r="AW43" s="1668"/>
      <c r="AX43" s="1668"/>
      <c r="AY43" s="1668"/>
      <c r="AZ43" s="1668"/>
      <c r="BA43" s="1668"/>
      <c r="BB43" s="1668"/>
      <c r="BC43" s="1668"/>
      <c r="BD43" s="1668"/>
      <c r="BE43" s="1668"/>
      <c r="BF43" s="1668"/>
      <c r="BG43" s="1668"/>
      <c r="BH43" s="1668"/>
      <c r="BI43" s="1668"/>
      <c r="BJ43" s="1668"/>
      <c r="BK43" s="1668"/>
      <c r="BL43" s="1668"/>
      <c r="BM43" s="1668"/>
      <c r="BN43" s="1668"/>
      <c r="BO43" s="1668"/>
      <c r="BP43" s="1668"/>
      <c r="BQ43" s="1668"/>
      <c r="BR43" s="1668"/>
      <c r="BS43" s="1668"/>
      <c r="BT43" s="1668"/>
      <c r="BU43" s="1668"/>
      <c r="BV43" s="1668"/>
      <c r="BW43" s="1668"/>
    </row>
    <row r="44" spans="2:75">
      <c r="B44" s="1930"/>
      <c r="D44" s="1929"/>
      <c r="E44" s="1673" t="s">
        <v>784</v>
      </c>
      <c r="F44" s="1671">
        <v>2015.1120000000001</v>
      </c>
      <c r="G44" s="1671">
        <v>1916.5336243251845</v>
      </c>
      <c r="H44" s="1671">
        <v>1851.1372000000001</v>
      </c>
      <c r="I44" s="1671">
        <v>1795.8204000000003</v>
      </c>
      <c r="J44" s="1671">
        <v>1747.4182000000001</v>
      </c>
      <c r="K44" s="1671">
        <v>1693.0892000000001</v>
      </c>
      <c r="L44" s="1671">
        <v>1638.7601999999997</v>
      </c>
      <c r="M44" s="1671">
        <v>1584.52998</v>
      </c>
      <c r="N44" s="1671">
        <v>1530.2997599999999</v>
      </c>
      <c r="O44" s="1671">
        <v>1476.0695400000002</v>
      </c>
      <c r="P44" s="1671">
        <v>1421.8393199999998</v>
      </c>
      <c r="Q44" s="1671">
        <v>1367.6091000000001</v>
      </c>
      <c r="R44" s="1671">
        <v>1367.6091000000001</v>
      </c>
      <c r="S44" s="1671">
        <v>1367.6091000000001</v>
      </c>
      <c r="T44" s="1671">
        <v>1367.6091000000001</v>
      </c>
      <c r="U44" s="1671">
        <v>1367.6091000000001</v>
      </c>
      <c r="V44" s="1671">
        <v>1367.6091000000001</v>
      </c>
      <c r="W44" s="1671">
        <v>1367.6091000000001</v>
      </c>
      <c r="X44" s="1671">
        <v>1367.6091000000001</v>
      </c>
      <c r="Y44" s="1671">
        <v>1367.6091000000001</v>
      </c>
      <c r="Z44" s="1671">
        <v>1367.6091000000001</v>
      </c>
      <c r="AA44" s="1671">
        <v>1367.6091000000001</v>
      </c>
      <c r="AB44" s="1671">
        <v>1367.6091000000001</v>
      </c>
      <c r="AC44" s="1671">
        <v>1367.6091000000001</v>
      </c>
      <c r="AD44" s="1671">
        <v>1367.6091000000001</v>
      </c>
      <c r="AE44" s="1671">
        <v>1367.6091000000001</v>
      </c>
      <c r="AF44" s="1671">
        <v>1367.6091000000001</v>
      </c>
      <c r="AG44" s="1671">
        <v>1367.6091000000001</v>
      </c>
      <c r="AH44" s="1671">
        <v>1367.6091000000001</v>
      </c>
      <c r="AI44" s="1671">
        <v>1367.6091000000001</v>
      </c>
      <c r="AJ44" s="1671">
        <v>1367.6091000000001</v>
      </c>
      <c r="AK44" s="1671">
        <v>1367.6091000000001</v>
      </c>
      <c r="AQ44" s="1668"/>
      <c r="AR44" s="1668"/>
      <c r="AS44" s="1668"/>
      <c r="AT44" s="1668"/>
      <c r="AU44" s="1668"/>
      <c r="AV44" s="1668"/>
      <c r="AW44" s="1668"/>
      <c r="AX44" s="1668"/>
      <c r="AY44" s="1668"/>
      <c r="AZ44" s="1668"/>
      <c r="BA44" s="1668"/>
      <c r="BB44" s="1668"/>
      <c r="BC44" s="1668"/>
      <c r="BD44" s="1668"/>
      <c r="BE44" s="1668"/>
      <c r="BF44" s="1668"/>
      <c r="BG44" s="1668"/>
      <c r="BH44" s="1668"/>
      <c r="BI44" s="1668"/>
      <c r="BJ44" s="1668"/>
      <c r="BK44" s="1668"/>
      <c r="BL44" s="1668"/>
      <c r="BM44" s="1668"/>
      <c r="BN44" s="1668"/>
      <c r="BO44" s="1668"/>
      <c r="BP44" s="1668"/>
      <c r="BQ44" s="1668"/>
      <c r="BR44" s="1668"/>
      <c r="BS44" s="1668"/>
      <c r="BT44" s="1668"/>
      <c r="BU44" s="1668"/>
      <c r="BV44" s="1668"/>
      <c r="BW44" s="1668"/>
    </row>
    <row r="45" spans="2:75">
      <c r="B45" s="1930"/>
      <c r="D45" s="1929"/>
      <c r="E45" s="1670" t="s">
        <v>785</v>
      </c>
      <c r="F45" s="1671">
        <v>2595.9384</v>
      </c>
      <c r="G45" s="1671">
        <v>2469.7830144350037</v>
      </c>
      <c r="H45" s="1671">
        <v>2261.0742</v>
      </c>
      <c r="I45" s="1671">
        <v>2075.3678</v>
      </c>
      <c r="J45" s="1671">
        <v>1889.6614000000002</v>
      </c>
      <c r="K45" s="1671">
        <v>1703.9549999999999</v>
      </c>
      <c r="L45" s="1671">
        <v>1518.2485999999999</v>
      </c>
      <c r="M45" s="1671">
        <v>1421.4441999999999</v>
      </c>
      <c r="N45" s="1671">
        <v>1315.7495999999999</v>
      </c>
      <c r="O45" s="1671">
        <v>1218.9451999999999</v>
      </c>
      <c r="P45" s="1671">
        <v>1122.1408000000001</v>
      </c>
      <c r="Q45" s="1671">
        <v>1024.3486</v>
      </c>
      <c r="R45" s="1671">
        <v>1006.5682</v>
      </c>
      <c r="S45" s="1671">
        <v>988.78780000000006</v>
      </c>
      <c r="T45" s="1671">
        <v>963.10500000000002</v>
      </c>
      <c r="U45" s="1671">
        <v>945.32460000000003</v>
      </c>
      <c r="V45" s="1671">
        <v>926.55639999999994</v>
      </c>
      <c r="W45" s="1671">
        <v>900.87360000000001</v>
      </c>
      <c r="X45" s="1671">
        <v>883.09320000000002</v>
      </c>
      <c r="Y45" s="1671">
        <v>865.31280000000004</v>
      </c>
      <c r="Z45" s="1671">
        <v>847.53240000000005</v>
      </c>
      <c r="AA45" s="1671">
        <v>821.84960000000001</v>
      </c>
      <c r="AB45" s="1671">
        <v>804.06920000000002</v>
      </c>
      <c r="AC45" s="1671">
        <v>785.30099999999993</v>
      </c>
      <c r="AD45" s="1671">
        <v>767.52060000000006</v>
      </c>
      <c r="AE45" s="1671">
        <v>741.83780000000002</v>
      </c>
      <c r="AF45" s="1671">
        <v>724.05740000000003</v>
      </c>
      <c r="AG45" s="1671">
        <v>706.27700000000004</v>
      </c>
      <c r="AH45" s="1671">
        <v>688.49659999999994</v>
      </c>
      <c r="AI45" s="1671">
        <v>662.81380000000013</v>
      </c>
      <c r="AJ45" s="1671">
        <v>645.03339999999992</v>
      </c>
      <c r="AK45" s="1671">
        <v>626.26520000000005</v>
      </c>
      <c r="AQ45" s="1668"/>
      <c r="AR45" s="1668"/>
      <c r="AS45" s="1668"/>
      <c r="AT45" s="1668"/>
      <c r="AU45" s="1668"/>
      <c r="AV45" s="1668"/>
      <c r="AW45" s="1668"/>
      <c r="AX45" s="1668"/>
      <c r="AY45" s="1668"/>
      <c r="AZ45" s="1668"/>
      <c r="BA45" s="1668"/>
      <c r="BB45" s="1668"/>
      <c r="BC45" s="1668"/>
      <c r="BD45" s="1668"/>
      <c r="BE45" s="1668"/>
      <c r="BF45" s="1668"/>
      <c r="BG45" s="1668"/>
      <c r="BH45" s="1668"/>
      <c r="BI45" s="1668"/>
      <c r="BJ45" s="1668"/>
      <c r="BK45" s="1668"/>
      <c r="BL45" s="1668"/>
      <c r="BM45" s="1668"/>
      <c r="BN45" s="1668"/>
      <c r="BO45" s="1668"/>
      <c r="BP45" s="1668"/>
      <c r="BQ45" s="1668"/>
      <c r="BR45" s="1668"/>
      <c r="BS45" s="1668"/>
      <c r="BT45" s="1668"/>
      <c r="BU45" s="1668"/>
      <c r="BV45" s="1668"/>
      <c r="BW45" s="1668"/>
    </row>
    <row r="46" spans="2:75">
      <c r="B46" s="1930"/>
      <c r="D46" s="1929"/>
      <c r="E46" s="1672" t="s">
        <v>786</v>
      </c>
      <c r="F46" s="1671">
        <v>2595.9384</v>
      </c>
      <c r="G46" s="1671">
        <v>2469.7830144350037</v>
      </c>
      <c r="H46" s="1671">
        <v>2318.6464625382919</v>
      </c>
      <c r="I46" s="1671">
        <v>2167.5099106415805</v>
      </c>
      <c r="J46" s="1671">
        <v>2016.3733587448692</v>
      </c>
      <c r="K46" s="1671">
        <v>1865.236806848158</v>
      </c>
      <c r="L46" s="1671">
        <v>1714.100254951446</v>
      </c>
      <c r="M46" s="1671">
        <v>1645.5315186154153</v>
      </c>
      <c r="N46" s="1671">
        <v>1576.9627822793843</v>
      </c>
      <c r="O46" s="1671">
        <v>1508.3940459433536</v>
      </c>
      <c r="P46" s="1671">
        <v>1439.8253096073227</v>
      </c>
      <c r="Q46" s="1671">
        <v>1371.2565732712924</v>
      </c>
      <c r="R46" s="1671">
        <v>1352.4268224071834</v>
      </c>
      <c r="S46" s="1671">
        <v>1333.5970715430744</v>
      </c>
      <c r="T46" s="1671">
        <v>1314.7673206789655</v>
      </c>
      <c r="U46" s="1671">
        <v>1295.9375698148563</v>
      </c>
      <c r="V46" s="1671">
        <v>1277.1078189507473</v>
      </c>
      <c r="W46" s="1671">
        <v>1258.2780680866383</v>
      </c>
      <c r="X46" s="1671">
        <v>1239.4483172225291</v>
      </c>
      <c r="Y46" s="1671">
        <v>1220.6185663584204</v>
      </c>
      <c r="Z46" s="1671">
        <v>1201.7888154943114</v>
      </c>
      <c r="AA46" s="1671">
        <v>1182.9590646302022</v>
      </c>
      <c r="AB46" s="1671">
        <v>1164.1293137660934</v>
      </c>
      <c r="AC46" s="1671">
        <v>1145.2995629019845</v>
      </c>
      <c r="AD46" s="1671">
        <v>1126.4698120378753</v>
      </c>
      <c r="AE46" s="1671">
        <v>1107.6400611737665</v>
      </c>
      <c r="AF46" s="1671">
        <v>1088.8103103096578</v>
      </c>
      <c r="AG46" s="1671">
        <v>1069.9805594455486</v>
      </c>
      <c r="AH46" s="1671">
        <v>1051.1508085814396</v>
      </c>
      <c r="AI46" s="1671">
        <v>1032.3210577173311</v>
      </c>
      <c r="AJ46" s="1671">
        <v>1013.4913068532219</v>
      </c>
      <c r="AK46" s="1671">
        <v>994.66155598911359</v>
      </c>
      <c r="AQ46" s="1668"/>
      <c r="AR46" s="1668"/>
      <c r="AS46" s="1668"/>
      <c r="AT46" s="1668"/>
      <c r="AU46" s="1668"/>
      <c r="AV46" s="1668"/>
      <c r="AW46" s="1668"/>
      <c r="AX46" s="1668"/>
      <c r="AY46" s="1668"/>
      <c r="AZ46" s="1668"/>
      <c r="BA46" s="1668"/>
      <c r="BB46" s="1668"/>
      <c r="BC46" s="1668"/>
      <c r="BD46" s="1668"/>
      <c r="BE46" s="1668"/>
      <c r="BF46" s="1668"/>
      <c r="BG46" s="1668"/>
      <c r="BH46" s="1668"/>
      <c r="BI46" s="1668"/>
      <c r="BJ46" s="1668"/>
      <c r="BK46" s="1668"/>
      <c r="BL46" s="1668"/>
      <c r="BM46" s="1668"/>
      <c r="BN46" s="1668"/>
      <c r="BO46" s="1668"/>
      <c r="BP46" s="1668"/>
      <c r="BQ46" s="1668"/>
      <c r="BR46" s="1668"/>
      <c r="BS46" s="1668"/>
      <c r="BT46" s="1668"/>
      <c r="BU46" s="1668"/>
      <c r="BV46" s="1668"/>
      <c r="BW46" s="1668"/>
    </row>
    <row r="47" spans="2:75">
      <c r="B47" s="1930"/>
      <c r="D47" s="1929"/>
      <c r="E47" s="1673" t="s">
        <v>787</v>
      </c>
      <c r="F47" s="1671">
        <v>2595.9384</v>
      </c>
      <c r="G47" s="1671">
        <v>2469.7830144350037</v>
      </c>
      <c r="H47" s="1671">
        <v>2384.5492000000004</v>
      </c>
      <c r="I47" s="1671">
        <v>2313.4276</v>
      </c>
      <c r="J47" s="1671">
        <v>2251.1962000000003</v>
      </c>
      <c r="K47" s="1671">
        <v>2181.0624000000003</v>
      </c>
      <c r="L47" s="1671">
        <v>2110.9285999999997</v>
      </c>
      <c r="M47" s="1671">
        <v>2039.6094399999999</v>
      </c>
      <c r="N47" s="1671">
        <v>1968.2902799999999</v>
      </c>
      <c r="O47" s="1671">
        <v>1896.9711200000002</v>
      </c>
      <c r="P47" s="1671">
        <v>1825.6519599999999</v>
      </c>
      <c r="Q47" s="1671">
        <v>1754.3328000000001</v>
      </c>
      <c r="R47" s="1671">
        <v>1754.3328000000001</v>
      </c>
      <c r="S47" s="1671">
        <v>1754.3328000000001</v>
      </c>
      <c r="T47" s="1671">
        <v>1754.3328000000001</v>
      </c>
      <c r="U47" s="1671">
        <v>1754.3328000000001</v>
      </c>
      <c r="V47" s="1671">
        <v>1754.3328000000001</v>
      </c>
      <c r="W47" s="1671">
        <v>1754.3328000000001</v>
      </c>
      <c r="X47" s="1671">
        <v>1754.3328000000001</v>
      </c>
      <c r="Y47" s="1671">
        <v>1754.3328000000001</v>
      </c>
      <c r="Z47" s="1671">
        <v>1754.3328000000001</v>
      </c>
      <c r="AA47" s="1671">
        <v>1754.3328000000001</v>
      </c>
      <c r="AB47" s="1671">
        <v>1754.3328000000001</v>
      </c>
      <c r="AC47" s="1671">
        <v>1754.3328000000001</v>
      </c>
      <c r="AD47" s="1671">
        <v>1754.3328000000001</v>
      </c>
      <c r="AE47" s="1671">
        <v>1754.3328000000001</v>
      </c>
      <c r="AF47" s="1671">
        <v>1754.3328000000001</v>
      </c>
      <c r="AG47" s="1671">
        <v>1754.3328000000001</v>
      </c>
      <c r="AH47" s="1671">
        <v>1754.3328000000001</v>
      </c>
      <c r="AI47" s="1671">
        <v>1754.3328000000001</v>
      </c>
      <c r="AJ47" s="1671">
        <v>1754.3328000000001</v>
      </c>
      <c r="AK47" s="1671">
        <v>1754.3328000000001</v>
      </c>
      <c r="AQ47" s="1668"/>
      <c r="AR47" s="1668"/>
      <c r="AS47" s="1668"/>
      <c r="AT47" s="1668"/>
      <c r="AU47" s="1668"/>
      <c r="AV47" s="1668"/>
      <c r="AW47" s="1668"/>
      <c r="AX47" s="1668"/>
      <c r="AY47" s="1668"/>
      <c r="AZ47" s="1668"/>
      <c r="BA47" s="1668"/>
      <c r="BB47" s="1668"/>
      <c r="BC47" s="1668"/>
      <c r="BD47" s="1668"/>
      <c r="BE47" s="1668"/>
      <c r="BF47" s="1668"/>
      <c r="BG47" s="1668"/>
      <c r="BH47" s="1668"/>
      <c r="BI47" s="1668"/>
      <c r="BJ47" s="1668"/>
      <c r="BK47" s="1668"/>
      <c r="BL47" s="1668"/>
      <c r="BM47" s="1668"/>
      <c r="BN47" s="1668"/>
      <c r="BO47" s="1668"/>
      <c r="BP47" s="1668"/>
      <c r="BQ47" s="1668"/>
      <c r="BR47" s="1668"/>
      <c r="BS47" s="1668"/>
      <c r="BT47" s="1668"/>
      <c r="BU47" s="1668"/>
      <c r="BV47" s="1668"/>
      <c r="BW47" s="1668"/>
    </row>
    <row r="48" spans="2:75">
      <c r="B48" s="1930"/>
      <c r="D48" s="1929"/>
      <c r="E48" s="1670" t="s">
        <v>788</v>
      </c>
      <c r="F48" s="1671">
        <v>3176.7647999999999</v>
      </c>
      <c r="G48" s="1671">
        <v>3023.0324045448228</v>
      </c>
      <c r="H48" s="1671">
        <v>2766.8278</v>
      </c>
      <c r="I48" s="1671">
        <v>2539.6338000000001</v>
      </c>
      <c r="J48" s="1671">
        <v>2312.4398000000001</v>
      </c>
      <c r="K48" s="1671">
        <v>2085.2458000000001</v>
      </c>
      <c r="L48" s="1671">
        <v>1858.0518000000002</v>
      </c>
      <c r="M48" s="1671">
        <v>1739.5157999999999</v>
      </c>
      <c r="N48" s="1671">
        <v>1610.1139999999998</v>
      </c>
      <c r="O48" s="1671">
        <v>1491.5779999999997</v>
      </c>
      <c r="P48" s="1671">
        <v>1373.0420000000001</v>
      </c>
      <c r="Q48" s="1671">
        <v>1253.5182</v>
      </c>
      <c r="R48" s="1671">
        <v>1231.7866000000001</v>
      </c>
      <c r="S48" s="1671">
        <v>1210.0550000000001</v>
      </c>
      <c r="T48" s="1671">
        <v>1178.4454000000001</v>
      </c>
      <c r="U48" s="1671">
        <v>1156.7138000000002</v>
      </c>
      <c r="V48" s="1671">
        <v>1133.9944</v>
      </c>
      <c r="W48" s="1671">
        <v>1102.3848</v>
      </c>
      <c r="X48" s="1671">
        <v>1080.6532</v>
      </c>
      <c r="Y48" s="1671">
        <v>1058.9215999999999</v>
      </c>
      <c r="Z48" s="1671">
        <v>1037.19</v>
      </c>
      <c r="AA48" s="1671">
        <v>1005.5804000000001</v>
      </c>
      <c r="AB48" s="1671">
        <v>983.8488000000001</v>
      </c>
      <c r="AC48" s="1671">
        <v>961.12939999999992</v>
      </c>
      <c r="AD48" s="1671">
        <v>939.39780000000007</v>
      </c>
      <c r="AE48" s="1671">
        <v>907.78819999999996</v>
      </c>
      <c r="AF48" s="1671">
        <v>886.0566</v>
      </c>
      <c r="AG48" s="1671">
        <v>864.32500000000005</v>
      </c>
      <c r="AH48" s="1671">
        <v>842.59339999999997</v>
      </c>
      <c r="AI48" s="1671">
        <v>810.9838000000002</v>
      </c>
      <c r="AJ48" s="1671">
        <v>789.2521999999999</v>
      </c>
      <c r="AK48" s="1671">
        <v>766.53280000000007</v>
      </c>
      <c r="AQ48" s="1668"/>
      <c r="AR48" s="1668"/>
      <c r="AS48" s="1668"/>
      <c r="AT48" s="1668"/>
      <c r="AU48" s="1668"/>
      <c r="AV48" s="1668"/>
      <c r="AW48" s="1668"/>
      <c r="AX48" s="1668"/>
      <c r="AY48" s="1668"/>
      <c r="AZ48" s="1668"/>
      <c r="BA48" s="1668"/>
      <c r="BB48" s="1668"/>
      <c r="BC48" s="1668"/>
      <c r="BD48" s="1668"/>
      <c r="BE48" s="1668"/>
      <c r="BF48" s="1668"/>
      <c r="BG48" s="1668"/>
      <c r="BH48" s="1668"/>
      <c r="BI48" s="1668"/>
      <c r="BJ48" s="1668"/>
      <c r="BK48" s="1668"/>
      <c r="BL48" s="1668"/>
      <c r="BM48" s="1668"/>
      <c r="BN48" s="1668"/>
      <c r="BO48" s="1668"/>
      <c r="BP48" s="1668"/>
      <c r="BQ48" s="1668"/>
      <c r="BR48" s="1668"/>
      <c r="BS48" s="1668"/>
      <c r="BT48" s="1668"/>
      <c r="BU48" s="1668"/>
      <c r="BV48" s="1668"/>
      <c r="BW48" s="1668"/>
    </row>
    <row r="49" spans="2:75">
      <c r="B49" s="1930"/>
      <c r="D49" s="1929"/>
      <c r="E49" s="1672" t="s">
        <v>789</v>
      </c>
      <c r="F49" s="1671">
        <v>3176.7647999999999</v>
      </c>
      <c r="G49" s="1671">
        <v>3023.0324045448228</v>
      </c>
      <c r="H49" s="1671">
        <v>2837.0631613874652</v>
      </c>
      <c r="I49" s="1671">
        <v>2651.0939182301086</v>
      </c>
      <c r="J49" s="1671">
        <v>2465.1246750727514</v>
      </c>
      <c r="K49" s="1671">
        <v>2279.1554319153943</v>
      </c>
      <c r="L49" s="1671">
        <v>2093.1861887580371</v>
      </c>
      <c r="M49" s="1671">
        <v>2007.5165408176381</v>
      </c>
      <c r="N49" s="1671">
        <v>1921.8468928772388</v>
      </c>
      <c r="O49" s="1671">
        <v>1836.1772449368402</v>
      </c>
      <c r="P49" s="1671">
        <v>1750.507596996441</v>
      </c>
      <c r="Q49" s="1671">
        <v>1664.8379490560426</v>
      </c>
      <c r="R49" s="1671">
        <v>1641.4939091455153</v>
      </c>
      <c r="S49" s="1671">
        <v>1618.1498692349883</v>
      </c>
      <c r="T49" s="1671">
        <v>1594.8058293244608</v>
      </c>
      <c r="U49" s="1671">
        <v>1571.4617894139335</v>
      </c>
      <c r="V49" s="1671">
        <v>1548.1177495034062</v>
      </c>
      <c r="W49" s="1671">
        <v>1524.773709592879</v>
      </c>
      <c r="X49" s="1671">
        <v>1501.4296696823515</v>
      </c>
      <c r="Y49" s="1671">
        <v>1478.0856297718244</v>
      </c>
      <c r="Z49" s="1671">
        <v>1454.7415898612974</v>
      </c>
      <c r="AA49" s="1671">
        <v>1431.3975499507696</v>
      </c>
      <c r="AB49" s="1671">
        <v>1408.0535100402426</v>
      </c>
      <c r="AC49" s="1671">
        <v>1384.7094701297156</v>
      </c>
      <c r="AD49" s="1671">
        <v>1361.3654302191881</v>
      </c>
      <c r="AE49" s="1671">
        <v>1338.021390308661</v>
      </c>
      <c r="AF49" s="1671">
        <v>1314.677350398134</v>
      </c>
      <c r="AG49" s="1671">
        <v>1291.3333104876067</v>
      </c>
      <c r="AH49" s="1671">
        <v>1267.9892705770794</v>
      </c>
      <c r="AI49" s="1671">
        <v>1244.6452306665526</v>
      </c>
      <c r="AJ49" s="1671">
        <v>1221.3011907560251</v>
      </c>
      <c r="AK49" s="1671">
        <v>1197.9571508454985</v>
      </c>
      <c r="AQ49" s="1668"/>
      <c r="AR49" s="1668"/>
      <c r="AS49" s="1668"/>
      <c r="AT49" s="1668"/>
      <c r="AU49" s="1668"/>
      <c r="AV49" s="1668"/>
      <c r="AW49" s="1668"/>
      <c r="AX49" s="1668"/>
      <c r="AY49" s="1668"/>
      <c r="AZ49" s="1668"/>
      <c r="BA49" s="1668"/>
      <c r="BB49" s="1668"/>
      <c r="BC49" s="1668"/>
      <c r="BD49" s="1668"/>
      <c r="BE49" s="1668"/>
      <c r="BF49" s="1668"/>
      <c r="BG49" s="1668"/>
      <c r="BH49" s="1668"/>
      <c r="BI49" s="1668"/>
      <c r="BJ49" s="1668"/>
      <c r="BK49" s="1668"/>
      <c r="BL49" s="1668"/>
      <c r="BM49" s="1668"/>
      <c r="BN49" s="1668"/>
      <c r="BO49" s="1668"/>
      <c r="BP49" s="1668"/>
      <c r="BQ49" s="1668"/>
      <c r="BR49" s="1668"/>
      <c r="BS49" s="1668"/>
      <c r="BT49" s="1668"/>
      <c r="BU49" s="1668"/>
      <c r="BV49" s="1668"/>
      <c r="BW49" s="1668"/>
    </row>
    <row r="50" spans="2:75">
      <c r="B50" s="1930"/>
      <c r="D50" s="1929"/>
      <c r="E50" s="1673" t="s">
        <v>790</v>
      </c>
      <c r="F50" s="1671">
        <v>3176.7647999999999</v>
      </c>
      <c r="G50" s="1671">
        <v>3023.0324045448228</v>
      </c>
      <c r="H50" s="1671">
        <v>2917.9612000000006</v>
      </c>
      <c r="I50" s="1671">
        <v>2831.0347999999999</v>
      </c>
      <c r="J50" s="1671">
        <v>2754.9742000000006</v>
      </c>
      <c r="K50" s="1671">
        <v>2669.0356000000002</v>
      </c>
      <c r="L50" s="1671">
        <v>2583.0969999999998</v>
      </c>
      <c r="M50" s="1671">
        <v>2494.6889000000001</v>
      </c>
      <c r="N50" s="1671">
        <v>2406.2808</v>
      </c>
      <c r="O50" s="1671">
        <v>2317.8726999999999</v>
      </c>
      <c r="P50" s="1671">
        <v>2229.4646000000002</v>
      </c>
      <c r="Q50" s="1671">
        <v>2141.0565000000001</v>
      </c>
      <c r="R50" s="1671">
        <v>2141.0565000000001</v>
      </c>
      <c r="S50" s="1671">
        <v>2141.0565000000001</v>
      </c>
      <c r="T50" s="1671">
        <v>2141.0565000000001</v>
      </c>
      <c r="U50" s="1671">
        <v>2141.0565000000001</v>
      </c>
      <c r="V50" s="1671">
        <v>2141.0565000000001</v>
      </c>
      <c r="W50" s="1671">
        <v>2141.0565000000001</v>
      </c>
      <c r="X50" s="1671">
        <v>2141.0565000000001</v>
      </c>
      <c r="Y50" s="1671">
        <v>2141.0565000000001</v>
      </c>
      <c r="Z50" s="1671">
        <v>2141.0565000000001</v>
      </c>
      <c r="AA50" s="1671">
        <v>2141.0565000000001</v>
      </c>
      <c r="AB50" s="1671">
        <v>2141.0565000000001</v>
      </c>
      <c r="AC50" s="1671">
        <v>2141.0565000000001</v>
      </c>
      <c r="AD50" s="1671">
        <v>2141.0565000000001</v>
      </c>
      <c r="AE50" s="1671">
        <v>2141.0565000000001</v>
      </c>
      <c r="AF50" s="1671">
        <v>2141.0565000000001</v>
      </c>
      <c r="AG50" s="1671">
        <v>2141.0565000000001</v>
      </c>
      <c r="AH50" s="1671">
        <v>2141.0565000000001</v>
      </c>
      <c r="AI50" s="1671">
        <v>2141.0565000000001</v>
      </c>
      <c r="AJ50" s="1671">
        <v>2141.0565000000001</v>
      </c>
      <c r="AK50" s="1671">
        <v>2141.0565000000001</v>
      </c>
      <c r="AQ50" s="1668"/>
      <c r="AR50" s="1668"/>
      <c r="AS50" s="1668"/>
      <c r="AT50" s="1668"/>
      <c r="AU50" s="1668"/>
      <c r="AV50" s="1668"/>
      <c r="AW50" s="1668"/>
      <c r="AX50" s="1668"/>
      <c r="AY50" s="1668"/>
      <c r="AZ50" s="1668"/>
      <c r="BA50" s="1668"/>
      <c r="BB50" s="1668"/>
      <c r="BC50" s="1668"/>
      <c r="BD50" s="1668"/>
      <c r="BE50" s="1668"/>
      <c r="BF50" s="1668"/>
      <c r="BG50" s="1668"/>
      <c r="BH50" s="1668"/>
      <c r="BI50" s="1668"/>
      <c r="BJ50" s="1668"/>
      <c r="BK50" s="1668"/>
      <c r="BL50" s="1668"/>
      <c r="BM50" s="1668"/>
      <c r="BN50" s="1668"/>
      <c r="BO50" s="1668"/>
      <c r="BP50" s="1668"/>
      <c r="BQ50" s="1668"/>
      <c r="BR50" s="1668"/>
      <c r="BS50" s="1668"/>
      <c r="BT50" s="1668"/>
      <c r="BU50" s="1668"/>
      <c r="BV50" s="1668"/>
      <c r="BW50" s="1668"/>
    </row>
    <row r="51" spans="2:75">
      <c r="B51" s="1930"/>
      <c r="D51" s="1674" t="s">
        <v>791</v>
      </c>
      <c r="E51" s="1675"/>
      <c r="F51" s="1676"/>
      <c r="G51" s="1676"/>
      <c r="H51" s="1677"/>
      <c r="I51" s="1678">
        <v>-6.3559322033898136E-2</v>
      </c>
      <c r="J51" s="1678">
        <v>-6.7873303167420795E-2</v>
      </c>
      <c r="K51" s="1678">
        <v>-7.281553398058227E-2</v>
      </c>
      <c r="L51" s="1678">
        <v>-7.8534031413612815E-2</v>
      </c>
      <c r="M51" s="1678">
        <v>-3.5951346965422348E-2</v>
      </c>
      <c r="N51" s="1678">
        <v>-3.7292046259549849E-2</v>
      </c>
      <c r="O51" s="1678">
        <v>-3.8736613855383184E-2</v>
      </c>
      <c r="P51" s="1678">
        <v>-4.0297606684829623E-2</v>
      </c>
      <c r="Q51" s="1678">
        <v>-4.1989690726545015E-2</v>
      </c>
      <c r="R51" s="1678">
        <v>-1.2500000000000289E-2</v>
      </c>
      <c r="S51" s="1678">
        <v>-1.2658227848101333E-2</v>
      </c>
      <c r="T51" s="1678">
        <v>-1.2820512820512664E-2</v>
      </c>
      <c r="U51" s="1678">
        <v>-1.2987012987013213E-2</v>
      </c>
      <c r="V51" s="1678">
        <v>-1.3157894736842257E-2</v>
      </c>
      <c r="W51" s="1678">
        <v>-1.3333333333333308E-2</v>
      </c>
      <c r="X51" s="1678">
        <v>-1.351351351351382E-2</v>
      </c>
      <c r="Y51" s="1678">
        <v>-1.3698630136986245E-2</v>
      </c>
      <c r="Z51" s="1678">
        <v>-1.3888888888889062E-2</v>
      </c>
      <c r="AA51" s="1678">
        <v>-1.4084507042253613E-2</v>
      </c>
      <c r="AB51" s="1678">
        <v>-1.4285714285714124E-2</v>
      </c>
      <c r="AC51" s="1668"/>
      <c r="AD51" s="1668"/>
      <c r="AE51" s="1668"/>
      <c r="AF51" s="1668"/>
      <c r="AG51" s="1668"/>
      <c r="AH51" s="1668"/>
      <c r="AI51" s="1668"/>
      <c r="AJ51" s="1668"/>
      <c r="AK51" s="1668"/>
      <c r="AQ51" s="1668"/>
      <c r="AR51" s="1668"/>
      <c r="AS51" s="1668"/>
      <c r="AT51" s="1668"/>
      <c r="AU51" s="1668"/>
      <c r="AV51" s="1668"/>
      <c r="AW51" s="1668"/>
      <c r="AX51" s="1668"/>
      <c r="AY51" s="1668"/>
      <c r="AZ51" s="1668"/>
      <c r="BA51" s="1668"/>
      <c r="BB51" s="1668"/>
      <c r="BC51" s="1668"/>
      <c r="BD51" s="1668"/>
      <c r="BE51" s="1668"/>
      <c r="BF51" s="1668"/>
      <c r="BG51" s="1668"/>
      <c r="BH51" s="1668"/>
      <c r="BI51" s="1668"/>
      <c r="BJ51" s="1668"/>
      <c r="BK51" s="1668"/>
      <c r="BL51" s="1668"/>
      <c r="BM51" s="1668"/>
      <c r="BN51" s="1668"/>
      <c r="BO51" s="1668"/>
      <c r="BP51" s="1668"/>
      <c r="BQ51" s="1668"/>
      <c r="BR51" s="1668"/>
      <c r="BS51" s="1668"/>
      <c r="BT51" s="1668"/>
      <c r="BU51" s="1668"/>
      <c r="BV51" s="1668"/>
      <c r="BW51" s="1668"/>
    </row>
    <row r="52" spans="2:75">
      <c r="B52" s="1930"/>
      <c r="D52" s="1674" t="s">
        <v>792</v>
      </c>
      <c r="E52" s="1675"/>
      <c r="F52" s="1676"/>
      <c r="G52" s="1676"/>
      <c r="H52" s="1676"/>
      <c r="I52" s="1679">
        <v>-1.4999999999999999E-2</v>
      </c>
      <c r="J52" s="1679">
        <v>-1.4999999999999999E-2</v>
      </c>
      <c r="K52" s="1679">
        <v>-1.4999999999999999E-2</v>
      </c>
      <c r="L52" s="1680">
        <v>-7.8534031413612815E-2</v>
      </c>
      <c r="M52" s="1680">
        <v>-3.5951346965422348E-2</v>
      </c>
      <c r="N52" s="1680">
        <v>-3.7292046259549849E-2</v>
      </c>
      <c r="O52" s="1680">
        <v>-3.8736613855383184E-2</v>
      </c>
      <c r="P52" s="1680">
        <v>-4.0297606684829623E-2</v>
      </c>
      <c r="Q52" s="1680">
        <v>-4.1989690726545015E-2</v>
      </c>
      <c r="R52" s="1680">
        <v>-1.2500000000000289E-2</v>
      </c>
      <c r="S52" s="1680">
        <v>-1.2658227848101333E-2</v>
      </c>
      <c r="T52" s="1680">
        <v>-1.2820512820512664E-2</v>
      </c>
      <c r="U52" s="1680">
        <v>-1.2987012987013213E-2</v>
      </c>
      <c r="V52" s="1680">
        <v>-1.3157894736842257E-2</v>
      </c>
      <c r="W52" s="1680">
        <v>-1.3333333333333308E-2</v>
      </c>
      <c r="X52" s="1680">
        <v>-1.351351351351382E-2</v>
      </c>
      <c r="Y52" s="1680">
        <v>-1.3698630136986245E-2</v>
      </c>
      <c r="Z52" s="1680">
        <v>-1.3888888888889062E-2</v>
      </c>
      <c r="AA52" s="1680">
        <v>-1.4084507042253613E-2</v>
      </c>
      <c r="AB52" s="1680">
        <v>-1.4285714285714124E-2</v>
      </c>
      <c r="AC52" s="1668"/>
      <c r="AD52" s="1668"/>
      <c r="AE52" s="1668"/>
      <c r="AF52" s="1668"/>
      <c r="AG52" s="1668"/>
      <c r="AH52" s="1668"/>
      <c r="AI52" s="1668"/>
      <c r="AJ52" s="1668"/>
      <c r="AK52" s="1668"/>
      <c r="AQ52" s="1668"/>
      <c r="AR52" s="1668"/>
      <c r="AS52" s="1668"/>
      <c r="AT52" s="1668"/>
      <c r="AU52" s="1668"/>
      <c r="AV52" s="1668"/>
      <c r="AW52" s="1668"/>
      <c r="AX52" s="1668"/>
      <c r="AY52" s="1668"/>
      <c r="AZ52" s="1668"/>
      <c r="BA52" s="1668"/>
      <c r="BB52" s="1668"/>
      <c r="BC52" s="1668"/>
      <c r="BD52" s="1668"/>
      <c r="BE52" s="1668"/>
      <c r="BF52" s="1668"/>
      <c r="BG52" s="1668"/>
      <c r="BH52" s="1668"/>
      <c r="BI52" s="1668"/>
      <c r="BJ52" s="1668"/>
      <c r="BK52" s="1668"/>
      <c r="BL52" s="1668"/>
      <c r="BM52" s="1668"/>
      <c r="BN52" s="1668"/>
      <c r="BO52" s="1668"/>
      <c r="BP52" s="1668"/>
      <c r="BQ52" s="1668"/>
      <c r="BR52" s="1668"/>
      <c r="BS52" s="1668"/>
      <c r="BT52" s="1668"/>
      <c r="BU52" s="1668"/>
      <c r="BV52" s="1668"/>
      <c r="BW52" s="1668"/>
    </row>
    <row r="53" spans="2:75">
      <c r="B53" s="1930"/>
      <c r="D53" s="1674" t="s">
        <v>793</v>
      </c>
      <c r="E53" s="1675"/>
      <c r="F53" s="1676"/>
      <c r="G53" s="1676"/>
      <c r="H53" s="1676">
        <v>100</v>
      </c>
      <c r="I53" s="1681">
        <v>98.5</v>
      </c>
      <c r="J53" s="1681">
        <v>97.022499999999994</v>
      </c>
      <c r="K53" s="1681">
        <v>95.567162499999995</v>
      </c>
      <c r="L53" s="1681">
        <v>88.06188795811515</v>
      </c>
      <c r="M53" s="1681">
        <v>84.895944469702798</v>
      </c>
      <c r="N53" s="1681">
        <v>81.730000981290459</v>
      </c>
      <c r="O53" s="1681">
        <v>78.564057492878121</v>
      </c>
      <c r="P53" s="1681">
        <v>75.398114004465782</v>
      </c>
      <c r="Q53" s="1681">
        <v>72.232170516053486</v>
      </c>
      <c r="R53" s="1681">
        <v>71.329268384602798</v>
      </c>
      <c r="S53" s="1681">
        <v>70.426366253152125</v>
      </c>
      <c r="T53" s="1681">
        <v>69.523464121701466</v>
      </c>
      <c r="U53" s="1681">
        <v>68.620561990250778</v>
      </c>
      <c r="V53" s="1681">
        <v>67.717659858800104</v>
      </c>
      <c r="W53" s="1681">
        <v>66.814757727349445</v>
      </c>
      <c r="X53" s="1681">
        <v>65.911855595898757</v>
      </c>
      <c r="Y53" s="1681">
        <v>65.008953464448098</v>
      </c>
      <c r="Z53" s="1681">
        <v>64.106051332997424</v>
      </c>
      <c r="AA53" s="1681">
        <v>63.203149201546751</v>
      </c>
      <c r="AB53" s="1681">
        <v>62.300247070096091</v>
      </c>
      <c r="AC53" s="1668"/>
      <c r="AD53" s="1668"/>
      <c r="AE53" s="1668"/>
      <c r="AF53" s="1668"/>
      <c r="AG53" s="1668"/>
      <c r="AH53" s="1668"/>
      <c r="AI53" s="1668"/>
      <c r="AJ53" s="1668"/>
      <c r="AK53" s="1668"/>
      <c r="AQ53" s="1668"/>
      <c r="AR53" s="1668"/>
      <c r="AS53" s="1668"/>
      <c r="AT53" s="1668"/>
      <c r="AU53" s="1668"/>
      <c r="AV53" s="1668"/>
      <c r="AW53" s="1668"/>
      <c r="AX53" s="1668"/>
      <c r="AY53" s="1668"/>
      <c r="AZ53" s="1668"/>
      <c r="BA53" s="1668"/>
      <c r="BB53" s="1668"/>
      <c r="BC53" s="1668"/>
      <c r="BD53" s="1668"/>
      <c r="BE53" s="1668"/>
      <c r="BF53" s="1668"/>
      <c r="BG53" s="1668"/>
      <c r="BH53" s="1668"/>
      <c r="BI53" s="1668"/>
      <c r="BJ53" s="1668"/>
      <c r="BK53" s="1668"/>
      <c r="BL53" s="1668"/>
      <c r="BM53" s="1668"/>
      <c r="BN53" s="1668"/>
      <c r="BO53" s="1668"/>
      <c r="BP53" s="1668"/>
      <c r="BQ53" s="1668"/>
      <c r="BR53" s="1668"/>
      <c r="BS53" s="1668"/>
      <c r="BT53" s="1668"/>
      <c r="BU53" s="1668"/>
      <c r="BV53" s="1668"/>
      <c r="BW53" s="1668"/>
    </row>
    <row r="54" spans="2:75">
      <c r="B54" s="1930"/>
      <c r="D54" s="1674" t="s">
        <v>794</v>
      </c>
      <c r="E54" s="1675"/>
      <c r="F54" s="1676"/>
      <c r="G54" s="1676"/>
      <c r="H54" s="1676">
        <v>100</v>
      </c>
      <c r="I54" s="1681">
        <v>93.644067796610187</v>
      </c>
      <c r="J54" s="1681">
        <v>87.288135593220346</v>
      </c>
      <c r="K54" s="1681">
        <v>80.932203389830548</v>
      </c>
      <c r="L54" s="1681">
        <v>74.576271186440692</v>
      </c>
      <c r="M54" s="1681">
        <v>71.895153785629532</v>
      </c>
      <c r="N54" s="1681">
        <v>69.214036384818385</v>
      </c>
      <c r="O54" s="1681">
        <v>66.532918984007225</v>
      </c>
      <c r="P54" s="1681">
        <v>63.851801583196078</v>
      </c>
      <c r="Q54" s="1681">
        <v>61.170684182384946</v>
      </c>
      <c r="R54" s="1681">
        <v>60.406050630105121</v>
      </c>
      <c r="S54" s="1681">
        <v>59.641417077825309</v>
      </c>
      <c r="T54" s="1681">
        <v>58.876783525545505</v>
      </c>
      <c r="U54" s="1681">
        <v>58.11214997326568</v>
      </c>
      <c r="V54" s="1681">
        <v>57.347516420985855</v>
      </c>
      <c r="W54" s="1681">
        <v>56.582882868706051</v>
      </c>
      <c r="X54" s="1681">
        <v>55.818249316426218</v>
      </c>
      <c r="Y54" s="1681">
        <v>55.053615764146414</v>
      </c>
      <c r="Z54" s="1681">
        <v>54.288982211866589</v>
      </c>
      <c r="AA54" s="1681">
        <v>53.524348659586771</v>
      </c>
      <c r="AB54" s="1681">
        <v>52.759715107306974</v>
      </c>
      <c r="AC54" s="1668"/>
      <c r="AD54" s="1668"/>
      <c r="AE54" s="1668"/>
      <c r="AF54" s="1668"/>
      <c r="AG54" s="1668"/>
      <c r="AH54" s="1668"/>
      <c r="AI54" s="1668"/>
      <c r="AJ54" s="1668"/>
      <c r="AK54" s="1668"/>
      <c r="AQ54" s="1668"/>
      <c r="AR54" s="1668"/>
      <c r="AS54" s="1668"/>
      <c r="AT54" s="1668"/>
      <c r="AU54" s="1668"/>
      <c r="AV54" s="1668"/>
      <c r="AW54" s="1668"/>
      <c r="AX54" s="1668"/>
      <c r="AY54" s="1668"/>
      <c r="AZ54" s="1668"/>
      <c r="BA54" s="1668"/>
      <c r="BB54" s="1668"/>
      <c r="BC54" s="1668"/>
      <c r="BD54" s="1668"/>
      <c r="BE54" s="1668"/>
      <c r="BF54" s="1668"/>
      <c r="BG54" s="1668"/>
      <c r="BH54" s="1668"/>
      <c r="BI54" s="1668"/>
      <c r="BJ54" s="1668"/>
      <c r="BK54" s="1668"/>
      <c r="BL54" s="1668"/>
      <c r="BM54" s="1668"/>
      <c r="BN54" s="1668"/>
      <c r="BO54" s="1668"/>
      <c r="BP54" s="1668"/>
      <c r="BQ54" s="1668"/>
      <c r="BR54" s="1668"/>
      <c r="BS54" s="1668"/>
      <c r="BT54" s="1668"/>
      <c r="BU54" s="1668"/>
      <c r="BV54" s="1668"/>
      <c r="BW54" s="1668"/>
    </row>
    <row r="55" spans="2:75">
      <c r="B55" s="1930"/>
      <c r="D55" s="1674" t="s">
        <v>795</v>
      </c>
      <c r="E55" s="1675"/>
      <c r="F55" s="1676"/>
      <c r="G55" s="1676"/>
      <c r="H55" s="1676"/>
      <c r="I55" s="1678">
        <v>-1.5000000000000013E-2</v>
      </c>
      <c r="J55" s="1678">
        <v>-1.5000000000000013E-2</v>
      </c>
      <c r="K55" s="1678">
        <v>-1.5000000000000013E-2</v>
      </c>
      <c r="L55" s="1678">
        <v>-3.1282828729596313E-2</v>
      </c>
      <c r="M55" s="1682">
        <v>-3.2218337510267481E-2</v>
      </c>
      <c r="N55" s="1678">
        <v>-3.306580876364662E-2</v>
      </c>
      <c r="O55" s="1678">
        <v>-3.3877967387509367E-2</v>
      </c>
      <c r="P55" s="1678">
        <v>-3.468276483331767E-2</v>
      </c>
      <c r="Q55" s="1678">
        <v>-3.5497389907999888E-2</v>
      </c>
      <c r="R55" s="1682">
        <v>-3.3221960128472894E-2</v>
      </c>
      <c r="S55" s="1678">
        <v>-3.1370363306052917E-2</v>
      </c>
      <c r="T55" s="1678">
        <v>-2.9837946939639259E-2</v>
      </c>
      <c r="U55" s="1678">
        <v>-2.8551998262534961E-2</v>
      </c>
      <c r="V55" s="1678">
        <v>-2.7460427933579723E-2</v>
      </c>
      <c r="W55" s="1682">
        <v>-2.6524946801321003E-2</v>
      </c>
      <c r="X55" s="1678">
        <v>-2.5716783696852596E-2</v>
      </c>
      <c r="Y55" s="1678">
        <v>-2.5013904791008734E-2</v>
      </c>
      <c r="Z55" s="1678">
        <v>-2.4399154177179083E-2</v>
      </c>
      <c r="AA55" s="1678">
        <v>-2.3858978264030273E-2</v>
      </c>
      <c r="AB55" s="1678">
        <v>-2.3382530779362698E-2</v>
      </c>
      <c r="AC55" s="1668"/>
      <c r="AD55" s="1668"/>
      <c r="AE55" s="1668"/>
      <c r="AF55" s="1668"/>
      <c r="AG55" s="1668"/>
      <c r="AH55" s="1668"/>
      <c r="AI55" s="1668"/>
      <c r="AJ55" s="1668"/>
      <c r="AK55" s="1668"/>
      <c r="AQ55" s="1668"/>
      <c r="AR55" s="1668"/>
      <c r="AS55" s="1668"/>
      <c r="AT55" s="1668"/>
      <c r="AU55" s="1668"/>
      <c r="AV55" s="1668"/>
      <c r="AW55" s="1668"/>
      <c r="AX55" s="1668"/>
      <c r="AY55" s="1668"/>
      <c r="AZ55" s="1668"/>
      <c r="BA55" s="1668"/>
      <c r="BB55" s="1668"/>
      <c r="BC55" s="1668"/>
      <c r="BD55" s="1668"/>
      <c r="BE55" s="1668"/>
      <c r="BF55" s="1668"/>
      <c r="BG55" s="1668"/>
      <c r="BH55" s="1668"/>
      <c r="BI55" s="1668"/>
      <c r="BJ55" s="1668"/>
      <c r="BK55" s="1668"/>
      <c r="BL55" s="1668"/>
      <c r="BM55" s="1668"/>
      <c r="BN55" s="1668"/>
      <c r="BO55" s="1668"/>
      <c r="BP55" s="1668"/>
      <c r="BQ55" s="1668"/>
      <c r="BR55" s="1668"/>
      <c r="BS55" s="1668"/>
      <c r="BT55" s="1668"/>
      <c r="BU55" s="1668"/>
      <c r="BV55" s="1668"/>
      <c r="BW55" s="1668"/>
    </row>
    <row r="56" spans="2:75">
      <c r="B56" s="1930"/>
      <c r="D56" s="1674"/>
      <c r="E56" s="1675"/>
      <c r="F56" s="1676"/>
      <c r="G56" s="1676"/>
      <c r="H56" s="1676"/>
      <c r="I56" s="1679"/>
      <c r="J56" s="1679"/>
      <c r="K56" s="1679"/>
      <c r="L56" s="1679"/>
      <c r="M56" s="1679">
        <v>-2.4400281851172378E-2</v>
      </c>
      <c r="N56" s="1679"/>
      <c r="O56" s="1679"/>
      <c r="P56" s="1679"/>
      <c r="Q56" s="1679"/>
      <c r="R56" s="1679"/>
      <c r="S56" s="1679"/>
      <c r="T56" s="1679"/>
      <c r="U56" s="1679"/>
      <c r="V56" s="1679"/>
      <c r="W56" s="1679"/>
      <c r="X56" s="1679"/>
      <c r="Y56" s="1679"/>
      <c r="Z56" s="1679"/>
      <c r="AA56" s="1679"/>
      <c r="AB56" s="1679"/>
      <c r="AC56" s="1668"/>
      <c r="AD56" s="1668"/>
      <c r="AE56" s="1668"/>
      <c r="AF56" s="1668"/>
      <c r="AG56" s="1668"/>
      <c r="AH56" s="1668"/>
      <c r="AI56" s="1668"/>
      <c r="AJ56" s="1668"/>
      <c r="AK56" s="1668"/>
      <c r="AQ56" s="1668"/>
      <c r="AR56" s="1668"/>
      <c r="AS56" s="1668"/>
      <c r="AT56" s="1668"/>
      <c r="AU56" s="1668"/>
      <c r="AV56" s="1668"/>
      <c r="AW56" s="1668"/>
      <c r="AX56" s="1668"/>
      <c r="AY56" s="1668"/>
      <c r="AZ56" s="1668"/>
      <c r="BA56" s="1668"/>
      <c r="BB56" s="1668"/>
      <c r="BC56" s="1668"/>
      <c r="BD56" s="1668"/>
      <c r="BE56" s="1668"/>
      <c r="BF56" s="1668"/>
      <c r="BG56" s="1668"/>
      <c r="BH56" s="1668"/>
      <c r="BI56" s="1668"/>
      <c r="BJ56" s="1668"/>
      <c r="BK56" s="1668"/>
      <c r="BL56" s="1668"/>
      <c r="BM56" s="1668"/>
      <c r="BN56" s="1668"/>
      <c r="BO56" s="1668"/>
      <c r="BP56" s="1668"/>
      <c r="BQ56" s="1668"/>
      <c r="BR56" s="1668"/>
      <c r="BS56" s="1668"/>
      <c r="BT56" s="1668"/>
      <c r="BU56" s="1668"/>
      <c r="BV56" s="1668"/>
      <c r="BW56" s="1668"/>
    </row>
    <row r="57" spans="2:75">
      <c r="B57" s="1930"/>
      <c r="D57" s="1674" t="s">
        <v>796</v>
      </c>
      <c r="E57" s="1675"/>
      <c r="F57" s="1676"/>
      <c r="G57" s="1676"/>
      <c r="H57" s="1676">
        <v>100</v>
      </c>
      <c r="I57" s="1676">
        <v>100.47</v>
      </c>
      <c r="J57" s="1676">
        <v>100.94220899999999</v>
      </c>
      <c r="K57" s="1676">
        <v>101.41663738229998</v>
      </c>
      <c r="L57" s="1676">
        <v>95.321019596180577</v>
      </c>
      <c r="M57" s="1676">
        <v>93.731982558532067</v>
      </c>
      <c r="N57" s="1676">
        <v>92.041255631539158</v>
      </c>
      <c r="O57" s="1676">
        <v>90.245406834443102</v>
      </c>
      <c r="P57" s="1676">
        <v>88.340907583210623</v>
      </c>
      <c r="Q57" s="1676">
        <v>86.32413019919511</v>
      </c>
      <c r="R57" s="1676">
        <v>86.949980143139257</v>
      </c>
      <c r="S57" s="1676">
        <v>87.566334432761479</v>
      </c>
      <c r="T57" s="1676">
        <v>88.172562901911391</v>
      </c>
      <c r="U57" s="1676">
        <v>88.768013976054149</v>
      </c>
      <c r="V57" s="1676">
        <v>89.352014068001864</v>
      </c>
      <c r="W57" s="1676">
        <v>89.923866958037067</v>
      </c>
      <c r="X57" s="1679"/>
      <c r="Y57" s="1679"/>
      <c r="Z57" s="1679"/>
      <c r="AA57" s="1679"/>
      <c r="AB57" s="1679"/>
      <c r="AC57" s="1668"/>
      <c r="AD57" s="1668"/>
      <c r="AE57" s="1668"/>
      <c r="AF57" s="1668"/>
      <c r="AG57" s="1668"/>
      <c r="AH57" s="1668"/>
      <c r="AI57" s="1668"/>
      <c r="AJ57" s="1668"/>
      <c r="AK57" s="1668"/>
      <c r="AQ57" s="1668"/>
      <c r="AR57" s="1668"/>
      <c r="AS57" s="1668"/>
      <c r="AT57" s="1668"/>
      <c r="AU57" s="1668"/>
      <c r="AV57" s="1668"/>
      <c r="AW57" s="1668"/>
      <c r="AX57" s="1668"/>
      <c r="AY57" s="1668"/>
      <c r="AZ57" s="1668"/>
      <c r="BA57" s="1668"/>
      <c r="BB57" s="1668"/>
      <c r="BC57" s="1668"/>
      <c r="BD57" s="1668"/>
      <c r="BE57" s="1668"/>
      <c r="BF57" s="1668"/>
      <c r="BG57" s="1668"/>
      <c r="BH57" s="1668"/>
      <c r="BI57" s="1668"/>
      <c r="BJ57" s="1668"/>
      <c r="BK57" s="1668"/>
      <c r="BL57" s="1668"/>
      <c r="BM57" s="1668"/>
      <c r="BN57" s="1668"/>
      <c r="BO57" s="1668"/>
      <c r="BP57" s="1668"/>
      <c r="BQ57" s="1668"/>
      <c r="BR57" s="1668"/>
      <c r="BS57" s="1668"/>
      <c r="BT57" s="1668"/>
      <c r="BU57" s="1668"/>
      <c r="BV57" s="1668"/>
      <c r="BW57" s="1668"/>
    </row>
    <row r="58" spans="2:75">
      <c r="B58" s="1930"/>
      <c r="D58" s="1674" t="s">
        <v>797</v>
      </c>
      <c r="E58" s="1683"/>
      <c r="F58" s="1684"/>
      <c r="G58" s="1684"/>
      <c r="H58" s="1676">
        <v>100</v>
      </c>
      <c r="I58" s="1676">
        <v>95.516949152542395</v>
      </c>
      <c r="J58" s="1676">
        <v>90.814576271186453</v>
      </c>
      <c r="K58" s="1676">
        <v>85.88590169491529</v>
      </c>
      <c r="L58" s="1676">
        <v>80.723754305084753</v>
      </c>
      <c r="M58" s="1676">
        <v>79.378059137825375</v>
      </c>
      <c r="N58" s="1676">
        <v>77.946246662153598</v>
      </c>
      <c r="O58" s="1676">
        <v>76.425410463799778</v>
      </c>
      <c r="P58" s="1676">
        <v>74.812562318847</v>
      </c>
      <c r="Q58" s="1676">
        <v>73.104630083910578</v>
      </c>
      <c r="R58" s="1676">
        <v>73.634638652018921</v>
      </c>
      <c r="S58" s="1676">
        <v>74.156605710818027</v>
      </c>
      <c r="T58" s="1676">
        <v>74.669997596508338</v>
      </c>
      <c r="U58" s="1676">
        <v>75.17426251534188</v>
      </c>
      <c r="V58" s="1676">
        <v>75.668830031890167</v>
      </c>
      <c r="W58" s="1676">
        <v>76.153110544094247</v>
      </c>
      <c r="X58" s="1684"/>
      <c r="Y58" s="1684"/>
      <c r="Z58" s="1684"/>
      <c r="AA58" s="1684"/>
      <c r="AB58" s="1684"/>
    </row>
    <row r="59" spans="2:75" ht="14.65" customHeight="1">
      <c r="B59" s="1930"/>
      <c r="D59" s="1928" t="s">
        <v>798</v>
      </c>
      <c r="E59" s="1670" t="s">
        <v>776</v>
      </c>
      <c r="F59" s="1671">
        <v>21.336480000000002</v>
      </c>
      <c r="G59" s="1671">
        <v>20.250871102638651</v>
      </c>
      <c r="H59" s="1671">
        <v>18.595335000000002</v>
      </c>
      <c r="I59" s="1671">
        <v>17.064245</v>
      </c>
      <c r="J59" s="1671">
        <v>15.533155000000001</v>
      </c>
      <c r="K59" s="1671">
        <v>14.002065</v>
      </c>
      <c r="L59" s="1671">
        <v>12.470975000000001</v>
      </c>
      <c r="M59" s="1671">
        <v>11.680735</v>
      </c>
      <c r="N59" s="1671">
        <v>10.816409999999999</v>
      </c>
      <c r="O59" s="1671">
        <v>10.02617</v>
      </c>
      <c r="P59" s="1671">
        <v>9.2359300000000015</v>
      </c>
      <c r="Q59" s="1671">
        <v>8.4209949999999996</v>
      </c>
      <c r="R59" s="1671">
        <v>8.272825000000001</v>
      </c>
      <c r="S59" s="1671">
        <v>8.1246550000000006</v>
      </c>
      <c r="T59" s="1671">
        <v>7.9270950000000004</v>
      </c>
      <c r="U59" s="1671">
        <v>7.778925000000001</v>
      </c>
      <c r="V59" s="1671">
        <v>7.6060599999999994</v>
      </c>
      <c r="W59" s="1671">
        <v>7.408500000000001</v>
      </c>
      <c r="X59" s="1671">
        <v>7.2603300000000006</v>
      </c>
      <c r="Y59" s="1671">
        <v>7.1121600000000003</v>
      </c>
      <c r="Z59" s="1671">
        <v>6.9639899999999999</v>
      </c>
      <c r="AA59" s="1671">
        <v>6.7664299999999997</v>
      </c>
      <c r="AB59" s="1671">
        <v>6.6182600000000011</v>
      </c>
      <c r="AC59" s="1671">
        <v>6.4453949999999995</v>
      </c>
      <c r="AD59" s="1671">
        <v>6.297225000000001</v>
      </c>
      <c r="AE59" s="1671">
        <v>6.0996650000000008</v>
      </c>
      <c r="AF59" s="1671">
        <v>5.9514950000000004</v>
      </c>
      <c r="AG59" s="1671">
        <v>5.803325000000001</v>
      </c>
      <c r="AH59" s="1671">
        <v>5.6551550000000006</v>
      </c>
      <c r="AI59" s="1671">
        <v>5.4575950000000013</v>
      </c>
      <c r="AJ59" s="1671">
        <v>5.3094250000000001</v>
      </c>
      <c r="AK59" s="1671">
        <v>5.1365600000000002</v>
      </c>
    </row>
    <row r="60" spans="2:75">
      <c r="B60" s="1930"/>
      <c r="D60" s="1929"/>
      <c r="E60" s="1672" t="s">
        <v>777</v>
      </c>
      <c r="F60" s="1671">
        <v>21.336480000000002</v>
      </c>
      <c r="G60" s="1671">
        <v>20.250871102638651</v>
      </c>
      <c r="H60" s="1671">
        <v>19.084909149769285</v>
      </c>
      <c r="I60" s="1671">
        <v>17.918947196899929</v>
      </c>
      <c r="J60" s="1671">
        <v>16.752985244030562</v>
      </c>
      <c r="K60" s="1671">
        <v>15.587023291161197</v>
      </c>
      <c r="L60" s="1671">
        <v>14.42106133829183</v>
      </c>
      <c r="M60" s="1671">
        <v>13.98941130021867</v>
      </c>
      <c r="N60" s="1671">
        <v>13.557761262145513</v>
      </c>
      <c r="O60" s="1671">
        <v>13.12611122407235</v>
      </c>
      <c r="P60" s="1671">
        <v>12.694461185999193</v>
      </c>
      <c r="Q60" s="1671">
        <v>12.262811147926044</v>
      </c>
      <c r="R60" s="1671">
        <v>12.130639054804687</v>
      </c>
      <c r="S60" s="1671">
        <v>11.998466961683329</v>
      </c>
      <c r="T60" s="1671">
        <v>11.86629486856198</v>
      </c>
      <c r="U60" s="1671">
        <v>11.734122775440621</v>
      </c>
      <c r="V60" s="1671">
        <v>11.601950682319268</v>
      </c>
      <c r="W60" s="1671">
        <v>11.469778589197915</v>
      </c>
      <c r="X60" s="1671">
        <v>11.337606496076555</v>
      </c>
      <c r="Y60" s="1671">
        <v>11.205434402955204</v>
      </c>
      <c r="Z60" s="1671">
        <v>11.073262309833845</v>
      </c>
      <c r="AA60" s="1671">
        <v>10.941090216712494</v>
      </c>
      <c r="AB60" s="1671">
        <v>10.808918123591139</v>
      </c>
      <c r="AC60" s="1671">
        <v>10.676746030469786</v>
      </c>
      <c r="AD60" s="1671">
        <v>10.544573937348432</v>
      </c>
      <c r="AE60" s="1671">
        <v>10.412401844227077</v>
      </c>
      <c r="AF60" s="1671">
        <v>10.280229751105727</v>
      </c>
      <c r="AG60" s="1671">
        <v>10.148057657984372</v>
      </c>
      <c r="AH60" s="1671">
        <v>10.015885564863021</v>
      </c>
      <c r="AI60" s="1671">
        <v>9.8837134717416664</v>
      </c>
      <c r="AJ60" s="1671">
        <v>9.7515413786203098</v>
      </c>
      <c r="AK60" s="1671">
        <v>9.6193692854989763</v>
      </c>
    </row>
    <row r="61" spans="2:75">
      <c r="B61" s="1930"/>
      <c r="D61" s="1929"/>
      <c r="E61" s="1673" t="s">
        <v>778</v>
      </c>
      <c r="F61" s="1671">
        <v>21.336480000000002</v>
      </c>
      <c r="G61" s="1671">
        <v>20.250871102638651</v>
      </c>
      <c r="H61" s="1671">
        <v>19.607830000000003</v>
      </c>
      <c r="I61" s="1671">
        <v>19.015150000000002</v>
      </c>
      <c r="J61" s="1671">
        <v>18.496555000000001</v>
      </c>
      <c r="K61" s="1671">
        <v>17.928570000000004</v>
      </c>
      <c r="L61" s="1671">
        <v>17.360584999999997</v>
      </c>
      <c r="M61" s="1671">
        <v>16.8592765</v>
      </c>
      <c r="N61" s="1671">
        <v>16.357968</v>
      </c>
      <c r="O61" s="1671">
        <v>15.856659500000001</v>
      </c>
      <c r="P61" s="1671">
        <v>15.355350999999999</v>
      </c>
      <c r="Q61" s="1671">
        <v>14.8540425</v>
      </c>
      <c r="R61" s="1671">
        <v>14.8540425</v>
      </c>
      <c r="S61" s="1671">
        <v>14.8540425</v>
      </c>
      <c r="T61" s="1671">
        <v>14.8540425</v>
      </c>
      <c r="U61" s="1671">
        <v>14.8540425</v>
      </c>
      <c r="V61" s="1671">
        <v>14.8540425</v>
      </c>
      <c r="W61" s="1671">
        <v>14.8540425</v>
      </c>
      <c r="X61" s="1671">
        <v>14.8540425</v>
      </c>
      <c r="Y61" s="1671">
        <v>14.8540425</v>
      </c>
      <c r="Z61" s="1671">
        <v>14.8540425</v>
      </c>
      <c r="AA61" s="1671">
        <v>14.8540425</v>
      </c>
      <c r="AB61" s="1671">
        <v>14.8540425</v>
      </c>
      <c r="AC61" s="1671">
        <v>14.8540425</v>
      </c>
      <c r="AD61" s="1671">
        <v>14.8540425</v>
      </c>
      <c r="AE61" s="1671">
        <v>14.8540425</v>
      </c>
      <c r="AF61" s="1671">
        <v>14.8540425</v>
      </c>
      <c r="AG61" s="1671">
        <v>14.8540425</v>
      </c>
      <c r="AH61" s="1671">
        <v>14.8540425</v>
      </c>
      <c r="AI61" s="1671">
        <v>14.8540425</v>
      </c>
      <c r="AJ61" s="1671">
        <v>14.8540425</v>
      </c>
      <c r="AK61" s="1671">
        <v>14.8540425</v>
      </c>
    </row>
    <row r="62" spans="2:75">
      <c r="B62" s="1930"/>
      <c r="D62" s="1929"/>
      <c r="E62" s="1670" t="s">
        <v>779</v>
      </c>
      <c r="F62" s="1671">
        <v>35.857140000000008</v>
      </c>
      <c r="G62" s="1671">
        <v>34.082105855384128</v>
      </c>
      <c r="H62" s="1671">
        <v>31.239175000000003</v>
      </c>
      <c r="I62" s="1671">
        <v>28.670895000000002</v>
      </c>
      <c r="J62" s="1671">
        <v>26.102615000000004</v>
      </c>
      <c r="K62" s="1671">
        <v>23.534334999999999</v>
      </c>
      <c r="L62" s="1671">
        <v>20.966055000000001</v>
      </c>
      <c r="M62" s="1671">
        <v>19.632525000000001</v>
      </c>
      <c r="N62" s="1671">
        <v>18.175520000000002</v>
      </c>
      <c r="O62" s="1671">
        <v>16.841989999999999</v>
      </c>
      <c r="P62" s="1671">
        <v>15.508460000000003</v>
      </c>
      <c r="Q62" s="1671">
        <v>14.150235000000002</v>
      </c>
      <c r="R62" s="1671">
        <v>13.903285</v>
      </c>
      <c r="S62" s="1671">
        <v>13.656335000000002</v>
      </c>
      <c r="T62" s="1671">
        <v>13.310604999999999</v>
      </c>
      <c r="U62" s="1671">
        <v>13.063655000000001</v>
      </c>
      <c r="V62" s="1671">
        <v>12.792009999999999</v>
      </c>
      <c r="W62" s="1671">
        <v>12.446280000000002</v>
      </c>
      <c r="X62" s="1671">
        <v>12.199330000000002</v>
      </c>
      <c r="Y62" s="1671">
        <v>11.95238</v>
      </c>
      <c r="Z62" s="1671">
        <v>11.70543</v>
      </c>
      <c r="AA62" s="1671">
        <v>11.3597</v>
      </c>
      <c r="AB62" s="1671">
        <v>11.112750000000002</v>
      </c>
      <c r="AC62" s="1671">
        <v>10.841104999999999</v>
      </c>
      <c r="AD62" s="1671">
        <v>10.594155000000001</v>
      </c>
      <c r="AE62" s="1671">
        <v>10.248425000000001</v>
      </c>
      <c r="AF62" s="1671">
        <v>10.001474999999999</v>
      </c>
      <c r="AG62" s="1671">
        <v>9.754525000000001</v>
      </c>
      <c r="AH62" s="1671">
        <v>9.507575000000001</v>
      </c>
      <c r="AI62" s="1671">
        <v>9.1618450000000013</v>
      </c>
      <c r="AJ62" s="1671">
        <v>8.9148949999999996</v>
      </c>
      <c r="AK62" s="1671">
        <v>8.6432500000000001</v>
      </c>
    </row>
    <row r="63" spans="2:75">
      <c r="B63" s="1930"/>
      <c r="D63" s="1929"/>
      <c r="E63" s="1672" t="s">
        <v>780</v>
      </c>
      <c r="F63" s="1671">
        <v>35.857140000000008</v>
      </c>
      <c r="G63" s="1671">
        <v>34.082105855384128</v>
      </c>
      <c r="H63" s="1671">
        <v>32.045326620998623</v>
      </c>
      <c r="I63" s="1671">
        <v>30.008547386613124</v>
      </c>
      <c r="J63" s="1671">
        <v>27.971768152227618</v>
      </c>
      <c r="K63" s="1671">
        <v>25.934988917842119</v>
      </c>
      <c r="L63" s="1671">
        <v>23.898209683456603</v>
      </c>
      <c r="M63" s="1671">
        <v>23.03903685527424</v>
      </c>
      <c r="N63" s="1671">
        <v>22.179864027091881</v>
      </c>
      <c r="O63" s="1671">
        <v>21.320691198909515</v>
      </c>
      <c r="P63" s="1671">
        <v>20.461518370727152</v>
      </c>
      <c r="Q63" s="1671">
        <v>19.6023455425448</v>
      </c>
      <c r="R63" s="1671">
        <v>19.357316223262984</v>
      </c>
      <c r="S63" s="1671">
        <v>19.112286903981172</v>
      </c>
      <c r="T63" s="1671">
        <v>18.867257584699367</v>
      </c>
      <c r="U63" s="1671">
        <v>18.622228265417551</v>
      </c>
      <c r="V63" s="1671">
        <v>18.377198946135739</v>
      </c>
      <c r="W63" s="1671">
        <v>18.13216962685393</v>
      </c>
      <c r="X63" s="1671">
        <v>17.887140307572114</v>
      </c>
      <c r="Y63" s="1671">
        <v>17.642110988290305</v>
      </c>
      <c r="Z63" s="1671">
        <v>17.397081669008493</v>
      </c>
      <c r="AA63" s="1671">
        <v>17.152052349726681</v>
      </c>
      <c r="AB63" s="1671">
        <v>16.907023030444872</v>
      </c>
      <c r="AC63" s="1671">
        <v>16.661993711163063</v>
      </c>
      <c r="AD63" s="1671">
        <v>16.416964391881248</v>
      </c>
      <c r="AE63" s="1671">
        <v>16.171935072599439</v>
      </c>
      <c r="AF63" s="1671">
        <v>15.926905753317634</v>
      </c>
      <c r="AG63" s="1671">
        <v>15.681876434035821</v>
      </c>
      <c r="AH63" s="1671">
        <v>15.436847114754011</v>
      </c>
      <c r="AI63" s="1671">
        <v>15.191817795472202</v>
      </c>
      <c r="AJ63" s="1671">
        <v>14.94678847619039</v>
      </c>
      <c r="AK63" s="1671">
        <v>14.701759156908597</v>
      </c>
    </row>
    <row r="64" spans="2:75">
      <c r="B64" s="1930"/>
      <c r="D64" s="1929"/>
      <c r="E64" s="1673" t="s">
        <v>781</v>
      </c>
      <c r="F64" s="1671">
        <v>35.857140000000008</v>
      </c>
      <c r="G64" s="1671">
        <v>34.082105855384128</v>
      </c>
      <c r="H64" s="1671">
        <v>32.943130000000004</v>
      </c>
      <c r="I64" s="1671">
        <v>31.955330000000004</v>
      </c>
      <c r="J64" s="1671">
        <v>31.091005000000003</v>
      </c>
      <c r="K64" s="1671">
        <v>30.1279</v>
      </c>
      <c r="L64" s="1671">
        <v>29.164794999999998</v>
      </c>
      <c r="M64" s="1671">
        <v>28.236262999999997</v>
      </c>
      <c r="N64" s="1671">
        <v>27.307731000000004</v>
      </c>
      <c r="O64" s="1671">
        <v>26.379199</v>
      </c>
      <c r="P64" s="1671">
        <v>25.450666999999999</v>
      </c>
      <c r="Q64" s="1671">
        <v>24.522135000000002</v>
      </c>
      <c r="R64" s="1671">
        <v>24.522135000000002</v>
      </c>
      <c r="S64" s="1671">
        <v>24.522135000000002</v>
      </c>
      <c r="T64" s="1671">
        <v>24.522135000000002</v>
      </c>
      <c r="U64" s="1671">
        <v>24.522135000000002</v>
      </c>
      <c r="V64" s="1671">
        <v>24.522135000000002</v>
      </c>
      <c r="W64" s="1671">
        <v>24.522135000000002</v>
      </c>
      <c r="X64" s="1671">
        <v>24.522135000000002</v>
      </c>
      <c r="Y64" s="1671">
        <v>24.522135000000002</v>
      </c>
      <c r="Z64" s="1671">
        <v>24.522135000000002</v>
      </c>
      <c r="AA64" s="1671">
        <v>24.522135000000002</v>
      </c>
      <c r="AB64" s="1671">
        <v>24.522135000000002</v>
      </c>
      <c r="AC64" s="1671">
        <v>24.522135000000002</v>
      </c>
      <c r="AD64" s="1671">
        <v>24.522135000000002</v>
      </c>
      <c r="AE64" s="1671">
        <v>24.522135000000002</v>
      </c>
      <c r="AF64" s="1671">
        <v>24.522135000000002</v>
      </c>
      <c r="AG64" s="1671">
        <v>24.522135000000002</v>
      </c>
      <c r="AH64" s="1671">
        <v>24.522135000000002</v>
      </c>
      <c r="AI64" s="1671">
        <v>24.522135000000002</v>
      </c>
      <c r="AJ64" s="1671">
        <v>24.522135000000002</v>
      </c>
      <c r="AK64" s="1671">
        <v>24.522135000000002</v>
      </c>
    </row>
    <row r="65" spans="2:75">
      <c r="B65" s="1930"/>
      <c r="D65" s="1929"/>
      <c r="E65" s="1670" t="s">
        <v>782</v>
      </c>
      <c r="F65" s="1671">
        <v>50.377800000000008</v>
      </c>
      <c r="G65" s="1671">
        <v>47.913340608129616</v>
      </c>
      <c r="H65" s="1671">
        <v>43.883015</v>
      </c>
      <c r="I65" s="1671">
        <v>40.277545000000003</v>
      </c>
      <c r="J65" s="1671">
        <v>36.672075</v>
      </c>
      <c r="K65" s="1671">
        <v>33.066605000000003</v>
      </c>
      <c r="L65" s="1671">
        <v>29.461135000000002</v>
      </c>
      <c r="M65" s="1671">
        <v>27.584315</v>
      </c>
      <c r="N65" s="1671">
        <v>25.534630000000003</v>
      </c>
      <c r="O65" s="1671">
        <v>23.657809999999998</v>
      </c>
      <c r="P65" s="1671">
        <v>21.780990000000003</v>
      </c>
      <c r="Q65" s="1671">
        <v>19.879475000000003</v>
      </c>
      <c r="R65" s="1671">
        <v>19.533745000000003</v>
      </c>
      <c r="S65" s="1671">
        <v>19.188015000000004</v>
      </c>
      <c r="T65" s="1671">
        <v>18.694115</v>
      </c>
      <c r="U65" s="1671">
        <v>18.348385</v>
      </c>
      <c r="V65" s="1671">
        <v>17.977959999999999</v>
      </c>
      <c r="W65" s="1671">
        <v>17.484059999999999</v>
      </c>
      <c r="X65" s="1671">
        <v>17.138330000000003</v>
      </c>
      <c r="Y65" s="1671">
        <v>16.792600000000004</v>
      </c>
      <c r="Z65" s="1671">
        <v>16.446870000000001</v>
      </c>
      <c r="AA65" s="1671">
        <v>15.952970000000001</v>
      </c>
      <c r="AB65" s="1671">
        <v>15.607239999999999</v>
      </c>
      <c r="AC65" s="1671">
        <v>15.236815</v>
      </c>
      <c r="AD65" s="1671">
        <v>14.891085000000002</v>
      </c>
      <c r="AE65" s="1671">
        <v>14.397185000000002</v>
      </c>
      <c r="AF65" s="1671">
        <v>14.051455000000002</v>
      </c>
      <c r="AG65" s="1671">
        <v>13.705725000000001</v>
      </c>
      <c r="AH65" s="1671">
        <v>13.359994999999998</v>
      </c>
      <c r="AI65" s="1671">
        <v>12.866095000000001</v>
      </c>
      <c r="AJ65" s="1671">
        <v>12.520364999999998</v>
      </c>
      <c r="AK65" s="1671">
        <v>12.149940000000001</v>
      </c>
    </row>
    <row r="66" spans="2:75">
      <c r="B66" s="1930"/>
      <c r="D66" s="1929"/>
      <c r="E66" s="1672" t="s">
        <v>783</v>
      </c>
      <c r="F66" s="1671">
        <v>50.377800000000008</v>
      </c>
      <c r="G66" s="1671">
        <v>47.913340608129616</v>
      </c>
      <c r="H66" s="1671">
        <v>45.005744092227964</v>
      </c>
      <c r="I66" s="1671">
        <v>42.098147576326326</v>
      </c>
      <c r="J66" s="1671">
        <v>39.190551060424674</v>
      </c>
      <c r="K66" s="1671">
        <v>36.282954544523037</v>
      </c>
      <c r="L66" s="1671">
        <v>33.375358028621378</v>
      </c>
      <c r="M66" s="1671">
        <v>32.08866241032981</v>
      </c>
      <c r="N66" s="1671">
        <v>30.801966792038247</v>
      </c>
      <c r="O66" s="1671">
        <v>29.515271173746676</v>
      </c>
      <c r="P66" s="1671">
        <v>28.228575555455109</v>
      </c>
      <c r="Q66" s="1671">
        <v>26.941879937163556</v>
      </c>
      <c r="R66" s="1671">
        <v>26.58399339172129</v>
      </c>
      <c r="S66" s="1671">
        <v>26.226106846279016</v>
      </c>
      <c r="T66" s="1671">
        <v>25.86822030083675</v>
      </c>
      <c r="U66" s="1671">
        <v>25.510333755394477</v>
      </c>
      <c r="V66" s="1671">
        <v>25.152447209952211</v>
      </c>
      <c r="W66" s="1671">
        <v>24.794560664509945</v>
      </c>
      <c r="X66" s="1671">
        <v>24.436674119067675</v>
      </c>
      <c r="Y66" s="1671">
        <v>24.078787573625409</v>
      </c>
      <c r="Z66" s="1671">
        <v>23.720901028183139</v>
      </c>
      <c r="AA66" s="1671">
        <v>23.363014482740869</v>
      </c>
      <c r="AB66" s="1671">
        <v>23.005127937298607</v>
      </c>
      <c r="AC66" s="1671">
        <v>22.64724139185634</v>
      </c>
      <c r="AD66" s="1671">
        <v>22.289354846414071</v>
      </c>
      <c r="AE66" s="1671">
        <v>21.931468300971801</v>
      </c>
      <c r="AF66" s="1671">
        <v>21.573581755529538</v>
      </c>
      <c r="AG66" s="1671">
        <v>21.215695210087269</v>
      </c>
      <c r="AH66" s="1671">
        <v>20.857808664645002</v>
      </c>
      <c r="AI66" s="1671">
        <v>20.499922119202736</v>
      </c>
      <c r="AJ66" s="1671">
        <v>20.142035573760467</v>
      </c>
      <c r="AK66" s="1671">
        <v>19.784149028318218</v>
      </c>
    </row>
    <row r="67" spans="2:75">
      <c r="B67" s="1930"/>
      <c r="D67" s="1929"/>
      <c r="E67" s="1673" t="s">
        <v>784</v>
      </c>
      <c r="F67" s="1671">
        <v>50.377800000000008</v>
      </c>
      <c r="G67" s="1671">
        <v>47.913340608129616</v>
      </c>
      <c r="H67" s="1671">
        <v>46.278430000000007</v>
      </c>
      <c r="I67" s="1671">
        <v>44.895510000000009</v>
      </c>
      <c r="J67" s="1671">
        <v>43.685455000000005</v>
      </c>
      <c r="K67" s="1671">
        <v>42.327230000000007</v>
      </c>
      <c r="L67" s="1671">
        <v>40.969004999999996</v>
      </c>
      <c r="M67" s="1671">
        <v>39.613249500000002</v>
      </c>
      <c r="N67" s="1671">
        <v>38.257494000000001</v>
      </c>
      <c r="O67" s="1671">
        <v>36.901738500000008</v>
      </c>
      <c r="P67" s="1671">
        <v>35.545983</v>
      </c>
      <c r="Q67" s="1671">
        <v>34.190227500000006</v>
      </c>
      <c r="R67" s="1671">
        <v>34.190227500000006</v>
      </c>
      <c r="S67" s="1671">
        <v>34.190227500000006</v>
      </c>
      <c r="T67" s="1671">
        <v>34.190227500000006</v>
      </c>
      <c r="U67" s="1671">
        <v>34.190227500000006</v>
      </c>
      <c r="V67" s="1671">
        <v>34.190227500000006</v>
      </c>
      <c r="W67" s="1671">
        <v>34.190227500000006</v>
      </c>
      <c r="X67" s="1671">
        <v>34.190227500000006</v>
      </c>
      <c r="Y67" s="1671">
        <v>34.190227500000006</v>
      </c>
      <c r="Z67" s="1671">
        <v>34.190227500000006</v>
      </c>
      <c r="AA67" s="1671">
        <v>34.190227500000006</v>
      </c>
      <c r="AB67" s="1671">
        <v>34.190227500000006</v>
      </c>
      <c r="AC67" s="1671">
        <v>34.190227500000006</v>
      </c>
      <c r="AD67" s="1671">
        <v>34.190227500000006</v>
      </c>
      <c r="AE67" s="1671">
        <v>34.190227500000006</v>
      </c>
      <c r="AF67" s="1671">
        <v>34.190227500000006</v>
      </c>
      <c r="AG67" s="1671">
        <v>34.190227500000006</v>
      </c>
      <c r="AH67" s="1671">
        <v>34.190227500000006</v>
      </c>
      <c r="AI67" s="1671">
        <v>34.190227500000006</v>
      </c>
      <c r="AJ67" s="1671">
        <v>34.190227500000006</v>
      </c>
      <c r="AK67" s="1671">
        <v>34.190227500000006</v>
      </c>
    </row>
    <row r="68" spans="2:75">
      <c r="B68" s="1930"/>
      <c r="D68" s="1929"/>
      <c r="E68" s="1670" t="s">
        <v>785</v>
      </c>
      <c r="F68" s="1671">
        <v>64.89846</v>
      </c>
      <c r="G68" s="1671">
        <v>61.744575360875096</v>
      </c>
      <c r="H68" s="1671">
        <v>56.526855000000005</v>
      </c>
      <c r="I68" s="1671">
        <v>51.884195000000005</v>
      </c>
      <c r="J68" s="1671">
        <v>47.241535000000006</v>
      </c>
      <c r="K68" s="1671">
        <v>42.598875</v>
      </c>
      <c r="L68" s="1671">
        <v>37.956215</v>
      </c>
      <c r="M68" s="1671">
        <v>35.536104999999999</v>
      </c>
      <c r="N68" s="1671">
        <v>32.893740000000001</v>
      </c>
      <c r="O68" s="1671">
        <v>30.47363</v>
      </c>
      <c r="P68" s="1671">
        <v>28.053520000000006</v>
      </c>
      <c r="Q68" s="1671">
        <v>25.608715000000004</v>
      </c>
      <c r="R68" s="1671">
        <v>25.164205000000003</v>
      </c>
      <c r="S68" s="1671">
        <v>24.719695000000002</v>
      </c>
      <c r="T68" s="1671">
        <v>24.077625000000001</v>
      </c>
      <c r="U68" s="1671">
        <v>23.633115000000004</v>
      </c>
      <c r="V68" s="1671">
        <v>23.163910000000001</v>
      </c>
      <c r="W68" s="1671">
        <v>22.521840000000001</v>
      </c>
      <c r="X68" s="1671">
        <v>22.077330000000003</v>
      </c>
      <c r="Y68" s="1671">
        <v>21.632820000000002</v>
      </c>
      <c r="Z68" s="1671">
        <v>21.188310000000001</v>
      </c>
      <c r="AA68" s="1671">
        <v>20.546240000000001</v>
      </c>
      <c r="AB68" s="1671">
        <v>20.101730000000003</v>
      </c>
      <c r="AC68" s="1671">
        <v>19.632525000000001</v>
      </c>
      <c r="AD68" s="1671">
        <v>19.188015000000004</v>
      </c>
      <c r="AE68" s="1671">
        <v>18.545945</v>
      </c>
      <c r="AF68" s="1671">
        <v>18.101435000000002</v>
      </c>
      <c r="AG68" s="1671">
        <v>17.656925000000001</v>
      </c>
      <c r="AH68" s="1671">
        <v>17.212415</v>
      </c>
      <c r="AI68" s="1671">
        <v>16.570345000000003</v>
      </c>
      <c r="AJ68" s="1671">
        <v>16.125834999999999</v>
      </c>
      <c r="AK68" s="1671">
        <v>15.656630000000002</v>
      </c>
      <c r="AQ68" s="1668"/>
      <c r="AR68" s="1668"/>
      <c r="AS68" s="1668"/>
      <c r="AT68" s="1668"/>
      <c r="AU68" s="1668"/>
      <c r="AV68" s="1668"/>
      <c r="AW68" s="1668"/>
      <c r="AX68" s="1668"/>
      <c r="AY68" s="1668"/>
      <c r="AZ68" s="1668"/>
      <c r="BA68" s="1668"/>
      <c r="BB68" s="1668"/>
      <c r="BC68" s="1668"/>
      <c r="BD68" s="1668"/>
      <c r="BE68" s="1668"/>
      <c r="BF68" s="1668"/>
      <c r="BG68" s="1668"/>
      <c r="BH68" s="1668"/>
      <c r="BI68" s="1668"/>
      <c r="BJ68" s="1668"/>
      <c r="BK68" s="1668"/>
      <c r="BL68" s="1668"/>
      <c r="BM68" s="1668"/>
      <c r="BN68" s="1668"/>
      <c r="BO68" s="1668"/>
      <c r="BP68" s="1668"/>
      <c r="BQ68" s="1668"/>
      <c r="BR68" s="1668"/>
      <c r="BS68" s="1668"/>
      <c r="BT68" s="1668"/>
      <c r="BU68" s="1668"/>
      <c r="BV68" s="1668"/>
      <c r="BW68" s="1668"/>
    </row>
    <row r="69" spans="2:75">
      <c r="B69" s="1930"/>
      <c r="D69" s="1929"/>
      <c r="E69" s="1672" t="s">
        <v>786</v>
      </c>
      <c r="F69" s="1671">
        <v>64.89846</v>
      </c>
      <c r="G69" s="1671">
        <v>61.744575360875096</v>
      </c>
      <c r="H69" s="1671">
        <v>57.966161563457298</v>
      </c>
      <c r="I69" s="1671">
        <v>54.187747766039514</v>
      </c>
      <c r="J69" s="1671">
        <v>50.409333968621731</v>
      </c>
      <c r="K69" s="1671">
        <v>46.630920171203954</v>
      </c>
      <c r="L69" s="1671">
        <v>42.852506373786156</v>
      </c>
      <c r="M69" s="1671">
        <v>41.138287965385388</v>
      </c>
      <c r="N69" s="1671">
        <v>39.424069556984612</v>
      </c>
      <c r="O69" s="1671">
        <v>37.709851148583844</v>
      </c>
      <c r="P69" s="1671">
        <v>35.995632740183069</v>
      </c>
      <c r="Q69" s="1671">
        <v>34.281414331782308</v>
      </c>
      <c r="R69" s="1671">
        <v>33.810670560179588</v>
      </c>
      <c r="S69" s="1671">
        <v>33.339926788576861</v>
      </c>
      <c r="T69" s="1671">
        <v>32.869183016974141</v>
      </c>
      <c r="U69" s="1671">
        <v>32.398439245371407</v>
      </c>
      <c r="V69" s="1671">
        <v>31.927695473768683</v>
      </c>
      <c r="W69" s="1671">
        <v>31.456951702165959</v>
      </c>
      <c r="X69" s="1671">
        <v>30.986207930563229</v>
      </c>
      <c r="Y69" s="1671">
        <v>30.515464158960512</v>
      </c>
      <c r="Z69" s="1671">
        <v>30.044720387357785</v>
      </c>
      <c r="AA69" s="1671">
        <v>29.573976615755058</v>
      </c>
      <c r="AB69" s="1671">
        <v>29.103232844152338</v>
      </c>
      <c r="AC69" s="1671">
        <v>28.632489072549614</v>
      </c>
      <c r="AD69" s="1671">
        <v>28.161745300946883</v>
      </c>
      <c r="AE69" s="1671">
        <v>27.691001529344163</v>
      </c>
      <c r="AF69" s="1671">
        <v>27.220257757741447</v>
      </c>
      <c r="AG69" s="1671">
        <v>26.749513986138716</v>
      </c>
      <c r="AH69" s="1671">
        <v>26.278770214535992</v>
      </c>
      <c r="AI69" s="1671">
        <v>25.808026442933279</v>
      </c>
      <c r="AJ69" s="1671">
        <v>25.337282671330549</v>
      </c>
      <c r="AK69" s="1671">
        <v>24.866538899727843</v>
      </c>
      <c r="AQ69" s="1668"/>
      <c r="AR69" s="1668"/>
      <c r="AS69" s="1668"/>
      <c r="AT69" s="1668"/>
      <c r="AU69" s="1668"/>
      <c r="AV69" s="1668"/>
      <c r="AW69" s="1668"/>
      <c r="AX69" s="1668"/>
      <c r="AY69" s="1668"/>
      <c r="AZ69" s="1668"/>
      <c r="BA69" s="1668"/>
      <c r="BB69" s="1668"/>
      <c r="BC69" s="1668"/>
      <c r="BD69" s="1668"/>
      <c r="BE69" s="1668"/>
      <c r="BF69" s="1668"/>
      <c r="BG69" s="1668"/>
      <c r="BH69" s="1668"/>
      <c r="BI69" s="1668"/>
      <c r="BJ69" s="1668"/>
      <c r="BK69" s="1668"/>
      <c r="BL69" s="1668"/>
      <c r="BM69" s="1668"/>
      <c r="BN69" s="1668"/>
      <c r="BO69" s="1668"/>
      <c r="BP69" s="1668"/>
      <c r="BQ69" s="1668"/>
      <c r="BR69" s="1668"/>
      <c r="BS69" s="1668"/>
      <c r="BT69" s="1668"/>
      <c r="BU69" s="1668"/>
      <c r="BV69" s="1668"/>
      <c r="BW69" s="1668"/>
    </row>
    <row r="70" spans="2:75">
      <c r="B70" s="1930"/>
      <c r="D70" s="1929"/>
      <c r="E70" s="1673" t="s">
        <v>787</v>
      </c>
      <c r="F70" s="1671">
        <v>64.89846</v>
      </c>
      <c r="G70" s="1671">
        <v>61.744575360875096</v>
      </c>
      <c r="H70" s="1671">
        <v>59.613730000000011</v>
      </c>
      <c r="I70" s="1671">
        <v>57.83569</v>
      </c>
      <c r="J70" s="1671">
        <v>56.279905000000014</v>
      </c>
      <c r="K70" s="1671">
        <v>54.526560000000011</v>
      </c>
      <c r="L70" s="1671">
        <v>52.773214999999993</v>
      </c>
      <c r="M70" s="1671">
        <v>50.990236000000003</v>
      </c>
      <c r="N70" s="1671">
        <v>49.207256999999998</v>
      </c>
      <c r="O70" s="1671">
        <v>47.424278000000008</v>
      </c>
      <c r="P70" s="1671">
        <v>45.641299000000004</v>
      </c>
      <c r="Q70" s="1671">
        <v>43.858320000000006</v>
      </c>
      <c r="R70" s="1671">
        <v>43.858320000000006</v>
      </c>
      <c r="S70" s="1671">
        <v>43.858320000000006</v>
      </c>
      <c r="T70" s="1671">
        <v>43.858320000000006</v>
      </c>
      <c r="U70" s="1671">
        <v>43.858320000000006</v>
      </c>
      <c r="V70" s="1671">
        <v>43.858320000000006</v>
      </c>
      <c r="W70" s="1671">
        <v>43.858320000000006</v>
      </c>
      <c r="X70" s="1671">
        <v>43.858320000000006</v>
      </c>
      <c r="Y70" s="1671">
        <v>43.858320000000006</v>
      </c>
      <c r="Z70" s="1671">
        <v>43.858320000000006</v>
      </c>
      <c r="AA70" s="1671">
        <v>43.858320000000006</v>
      </c>
      <c r="AB70" s="1671">
        <v>43.858320000000006</v>
      </c>
      <c r="AC70" s="1671">
        <v>43.858320000000006</v>
      </c>
      <c r="AD70" s="1671">
        <v>43.858320000000006</v>
      </c>
      <c r="AE70" s="1671">
        <v>43.858320000000006</v>
      </c>
      <c r="AF70" s="1671">
        <v>43.858320000000006</v>
      </c>
      <c r="AG70" s="1671">
        <v>43.858320000000006</v>
      </c>
      <c r="AH70" s="1671">
        <v>43.858320000000006</v>
      </c>
      <c r="AI70" s="1671">
        <v>43.858320000000006</v>
      </c>
      <c r="AJ70" s="1671">
        <v>43.858320000000006</v>
      </c>
      <c r="AK70" s="1671">
        <v>43.858320000000006</v>
      </c>
      <c r="AQ70" s="1668"/>
      <c r="AR70" s="1668"/>
      <c r="AS70" s="1668"/>
      <c r="AT70" s="1668"/>
      <c r="AU70" s="1668"/>
      <c r="AV70" s="1668"/>
      <c r="AW70" s="1668"/>
      <c r="AX70" s="1668"/>
      <c r="AY70" s="1668"/>
      <c r="AZ70" s="1668"/>
      <c r="BA70" s="1668"/>
      <c r="BB70" s="1668"/>
      <c r="BC70" s="1668"/>
      <c r="BD70" s="1668"/>
      <c r="BE70" s="1668"/>
      <c r="BF70" s="1668"/>
      <c r="BG70" s="1668"/>
      <c r="BH70" s="1668"/>
      <c r="BI70" s="1668"/>
      <c r="BJ70" s="1668"/>
      <c r="BK70" s="1668"/>
      <c r="BL70" s="1668"/>
      <c r="BM70" s="1668"/>
      <c r="BN70" s="1668"/>
      <c r="BO70" s="1668"/>
      <c r="BP70" s="1668"/>
      <c r="BQ70" s="1668"/>
      <c r="BR70" s="1668"/>
      <c r="BS70" s="1668"/>
      <c r="BT70" s="1668"/>
      <c r="BU70" s="1668"/>
      <c r="BV70" s="1668"/>
      <c r="BW70" s="1668"/>
    </row>
    <row r="71" spans="2:75">
      <c r="B71" s="1930"/>
      <c r="D71" s="1929"/>
      <c r="E71" s="1670" t="s">
        <v>788</v>
      </c>
      <c r="F71" s="1671">
        <v>79.419120000000007</v>
      </c>
      <c r="G71" s="1671">
        <v>75.575810113620577</v>
      </c>
      <c r="H71" s="1671">
        <v>69.170695000000009</v>
      </c>
      <c r="I71" s="1671">
        <v>63.490845000000007</v>
      </c>
      <c r="J71" s="1671">
        <v>57.810995000000005</v>
      </c>
      <c r="K71" s="1671">
        <v>52.131145000000004</v>
      </c>
      <c r="L71" s="1671">
        <v>46.451295000000009</v>
      </c>
      <c r="M71" s="1671">
        <v>43.487895000000002</v>
      </c>
      <c r="N71" s="1671">
        <v>40.252849999999995</v>
      </c>
      <c r="O71" s="1671">
        <v>37.289449999999995</v>
      </c>
      <c r="P71" s="1671">
        <v>34.326050000000002</v>
      </c>
      <c r="Q71" s="1671">
        <v>31.337955000000001</v>
      </c>
      <c r="R71" s="1671">
        <v>30.794665000000006</v>
      </c>
      <c r="S71" s="1671">
        <v>30.251375000000003</v>
      </c>
      <c r="T71" s="1671">
        <v>29.461135000000002</v>
      </c>
      <c r="U71" s="1671">
        <v>28.917845000000007</v>
      </c>
      <c r="V71" s="1671">
        <v>28.349860000000003</v>
      </c>
      <c r="W71" s="1671">
        <v>27.559620000000002</v>
      </c>
      <c r="X71" s="1671">
        <v>27.01633</v>
      </c>
      <c r="Y71" s="1671">
        <v>26.473039999999997</v>
      </c>
      <c r="Z71" s="1671">
        <v>25.929750000000002</v>
      </c>
      <c r="AA71" s="1671">
        <v>25.139510000000001</v>
      </c>
      <c r="AB71" s="1671">
        <v>24.596220000000002</v>
      </c>
      <c r="AC71" s="1671">
        <v>24.028234999999999</v>
      </c>
      <c r="AD71" s="1671">
        <v>23.484945000000003</v>
      </c>
      <c r="AE71" s="1671">
        <v>22.694704999999999</v>
      </c>
      <c r="AF71" s="1671">
        <v>22.151415</v>
      </c>
      <c r="AG71" s="1671">
        <v>21.608125000000001</v>
      </c>
      <c r="AH71" s="1671">
        <v>21.064835000000002</v>
      </c>
      <c r="AI71" s="1671">
        <v>20.274595000000005</v>
      </c>
      <c r="AJ71" s="1671">
        <v>19.731304999999999</v>
      </c>
      <c r="AK71" s="1671">
        <v>19.163320000000002</v>
      </c>
      <c r="AQ71" s="1668"/>
      <c r="AR71" s="1668"/>
      <c r="AS71" s="1668"/>
      <c r="AT71" s="1668"/>
      <c r="AU71" s="1668"/>
      <c r="AV71" s="1668"/>
      <c r="AW71" s="1668"/>
      <c r="AX71" s="1668"/>
      <c r="AY71" s="1668"/>
      <c r="AZ71" s="1668"/>
      <c r="BA71" s="1668"/>
      <c r="BB71" s="1668"/>
      <c r="BC71" s="1668"/>
      <c r="BD71" s="1668"/>
      <c r="BE71" s="1668"/>
      <c r="BF71" s="1668"/>
      <c r="BG71" s="1668"/>
      <c r="BH71" s="1668"/>
      <c r="BI71" s="1668"/>
      <c r="BJ71" s="1668"/>
      <c r="BK71" s="1668"/>
      <c r="BL71" s="1668"/>
      <c r="BM71" s="1668"/>
      <c r="BN71" s="1668"/>
      <c r="BO71" s="1668"/>
      <c r="BP71" s="1668"/>
      <c r="BQ71" s="1668"/>
      <c r="BR71" s="1668"/>
      <c r="BS71" s="1668"/>
      <c r="BT71" s="1668"/>
      <c r="BU71" s="1668"/>
      <c r="BV71" s="1668"/>
      <c r="BW71" s="1668"/>
    </row>
    <row r="72" spans="2:75">
      <c r="B72" s="1930"/>
      <c r="D72" s="1929"/>
      <c r="E72" s="1672" t="s">
        <v>789</v>
      </c>
      <c r="F72" s="1671">
        <v>79.419120000000007</v>
      </c>
      <c r="G72" s="1671">
        <v>75.575810113620577</v>
      </c>
      <c r="H72" s="1671">
        <v>70.92657903468664</v>
      </c>
      <c r="I72" s="1671">
        <v>66.277347955752717</v>
      </c>
      <c r="J72" s="1671">
        <v>61.628116876818787</v>
      </c>
      <c r="K72" s="1671">
        <v>56.978885797884857</v>
      </c>
      <c r="L72" s="1671">
        <v>52.329654718950934</v>
      </c>
      <c r="M72" s="1671">
        <v>50.187913520440958</v>
      </c>
      <c r="N72" s="1671">
        <v>48.046172321930975</v>
      </c>
      <c r="O72" s="1671">
        <v>45.904431123421006</v>
      </c>
      <c r="P72" s="1671">
        <v>43.762689924911029</v>
      </c>
      <c r="Q72" s="1671">
        <v>41.620948726401068</v>
      </c>
      <c r="R72" s="1671">
        <v>41.037347728637883</v>
      </c>
      <c r="S72" s="1671">
        <v>40.453746730874713</v>
      </c>
      <c r="T72" s="1671">
        <v>39.870145733111521</v>
      </c>
      <c r="U72" s="1671">
        <v>39.286544735348343</v>
      </c>
      <c r="V72" s="1671">
        <v>38.702943737585159</v>
      </c>
      <c r="W72" s="1671">
        <v>38.119342739821974</v>
      </c>
      <c r="X72" s="1671">
        <v>37.535741742058789</v>
      </c>
      <c r="Y72" s="1671">
        <v>36.952140744295612</v>
      </c>
      <c r="Z72" s="1671">
        <v>36.368539746532434</v>
      </c>
      <c r="AA72" s="1671">
        <v>35.784938748769243</v>
      </c>
      <c r="AB72" s="1671">
        <v>35.201337751006065</v>
      </c>
      <c r="AC72" s="1671">
        <v>34.617736753242887</v>
      </c>
      <c r="AD72" s="1671">
        <v>34.034135755479703</v>
      </c>
      <c r="AE72" s="1671">
        <v>33.450534757716525</v>
      </c>
      <c r="AF72" s="1671">
        <v>32.866933759953348</v>
      </c>
      <c r="AG72" s="1671">
        <v>32.28333276219017</v>
      </c>
      <c r="AH72" s="1671">
        <v>31.699731764426986</v>
      </c>
      <c r="AI72" s="1671">
        <v>31.116130766663815</v>
      </c>
      <c r="AJ72" s="1671">
        <v>30.532529768900631</v>
      </c>
      <c r="AK72" s="1671">
        <v>29.948928771137464</v>
      </c>
      <c r="AQ72" s="1668"/>
      <c r="AR72" s="1668"/>
      <c r="AS72" s="1668"/>
      <c r="AT72" s="1668"/>
      <c r="AU72" s="1668"/>
      <c r="AV72" s="1668"/>
      <c r="AW72" s="1668"/>
      <c r="AX72" s="1668"/>
      <c r="AY72" s="1668"/>
      <c r="AZ72" s="1668"/>
      <c r="BA72" s="1668"/>
      <c r="BB72" s="1668"/>
      <c r="BC72" s="1668"/>
      <c r="BD72" s="1668"/>
      <c r="BE72" s="1668"/>
      <c r="BF72" s="1668"/>
      <c r="BG72" s="1668"/>
      <c r="BH72" s="1668"/>
      <c r="BI72" s="1668"/>
      <c r="BJ72" s="1668"/>
      <c r="BK72" s="1668"/>
      <c r="BL72" s="1668"/>
      <c r="BM72" s="1668"/>
      <c r="BN72" s="1668"/>
      <c r="BO72" s="1668"/>
      <c r="BP72" s="1668"/>
      <c r="BQ72" s="1668"/>
      <c r="BR72" s="1668"/>
      <c r="BS72" s="1668"/>
      <c r="BT72" s="1668"/>
      <c r="BU72" s="1668"/>
      <c r="BV72" s="1668"/>
      <c r="BW72" s="1668"/>
    </row>
    <row r="73" spans="2:75">
      <c r="B73" s="1930"/>
      <c r="D73" s="1929"/>
      <c r="E73" s="1673" t="s">
        <v>790</v>
      </c>
      <c r="F73" s="1671">
        <v>79.419120000000007</v>
      </c>
      <c r="G73" s="1671">
        <v>75.575810113620577</v>
      </c>
      <c r="H73" s="1671">
        <v>72.949030000000022</v>
      </c>
      <c r="I73" s="1671">
        <v>70.775869999999998</v>
      </c>
      <c r="J73" s="1671">
        <v>68.874355000000023</v>
      </c>
      <c r="K73" s="1671">
        <v>66.725890000000007</v>
      </c>
      <c r="L73" s="1671">
        <v>64.577424999999991</v>
      </c>
      <c r="M73" s="1671">
        <v>62.367222500000004</v>
      </c>
      <c r="N73" s="1671">
        <v>60.157020000000003</v>
      </c>
      <c r="O73" s="1671">
        <v>57.946817500000002</v>
      </c>
      <c r="P73" s="1671">
        <v>55.736615000000008</v>
      </c>
      <c r="Q73" s="1671">
        <v>53.526412500000006</v>
      </c>
      <c r="R73" s="1671">
        <v>53.526412500000006</v>
      </c>
      <c r="S73" s="1671">
        <v>53.526412500000006</v>
      </c>
      <c r="T73" s="1671">
        <v>53.526412500000006</v>
      </c>
      <c r="U73" s="1671">
        <v>53.526412500000006</v>
      </c>
      <c r="V73" s="1671">
        <v>53.526412500000006</v>
      </c>
      <c r="W73" s="1671">
        <v>53.526412500000006</v>
      </c>
      <c r="X73" s="1671">
        <v>53.526412500000006</v>
      </c>
      <c r="Y73" s="1671">
        <v>53.526412500000006</v>
      </c>
      <c r="Z73" s="1671">
        <v>53.526412500000006</v>
      </c>
      <c r="AA73" s="1671">
        <v>53.526412500000006</v>
      </c>
      <c r="AB73" s="1671">
        <v>53.526412500000006</v>
      </c>
      <c r="AC73" s="1671">
        <v>53.526412500000006</v>
      </c>
      <c r="AD73" s="1671">
        <v>53.526412500000006</v>
      </c>
      <c r="AE73" s="1671">
        <v>53.526412500000006</v>
      </c>
      <c r="AF73" s="1671">
        <v>53.526412500000006</v>
      </c>
      <c r="AG73" s="1671">
        <v>53.526412500000006</v>
      </c>
      <c r="AH73" s="1671">
        <v>53.526412500000006</v>
      </c>
      <c r="AI73" s="1671">
        <v>53.526412500000006</v>
      </c>
      <c r="AJ73" s="1671">
        <v>53.526412500000006</v>
      </c>
      <c r="AK73" s="1671">
        <v>53.526412500000006</v>
      </c>
      <c r="AQ73" s="1668"/>
      <c r="AR73" s="1668"/>
      <c r="AS73" s="1668"/>
      <c r="AT73" s="1668"/>
      <c r="AU73" s="1668"/>
      <c r="AV73" s="1668"/>
      <c r="AW73" s="1668"/>
      <c r="AX73" s="1668"/>
      <c r="AY73" s="1668"/>
      <c r="AZ73" s="1668"/>
      <c r="BA73" s="1668"/>
      <c r="BB73" s="1668"/>
      <c r="BC73" s="1668"/>
      <c r="BD73" s="1668"/>
      <c r="BE73" s="1668"/>
      <c r="BF73" s="1668"/>
      <c r="BG73" s="1668"/>
      <c r="BH73" s="1668"/>
      <c r="BI73" s="1668"/>
      <c r="BJ73" s="1668"/>
      <c r="BK73" s="1668"/>
      <c r="BL73" s="1668"/>
      <c r="BM73" s="1668"/>
      <c r="BN73" s="1668"/>
      <c r="BO73" s="1668"/>
      <c r="BP73" s="1668"/>
      <c r="BQ73" s="1668"/>
      <c r="BR73" s="1668"/>
      <c r="BS73" s="1668"/>
      <c r="BT73" s="1668"/>
      <c r="BU73" s="1668"/>
      <c r="BV73" s="1668"/>
      <c r="BW73" s="1668"/>
    </row>
    <row r="74" spans="2:75">
      <c r="B74" s="1930"/>
      <c r="D74" s="1685"/>
      <c r="E74" s="1672"/>
    </row>
    <row r="75" spans="2:75">
      <c r="B75" s="1930"/>
      <c r="D75" s="1643"/>
      <c r="E75" s="1686"/>
    </row>
    <row r="76" spans="2:75" ht="14.65" customHeight="1">
      <c r="B76" s="1930"/>
      <c r="D76" s="1928" t="s">
        <v>799</v>
      </c>
      <c r="E76" s="1670" t="s">
        <v>776</v>
      </c>
      <c r="F76" s="1667">
        <v>0</v>
      </c>
      <c r="G76" s="1667">
        <v>0</v>
      </c>
      <c r="H76" s="1667">
        <v>0</v>
      </c>
      <c r="I76" s="1667">
        <v>0</v>
      </c>
      <c r="J76" s="1667">
        <v>0</v>
      </c>
      <c r="K76" s="1667">
        <v>0</v>
      </c>
      <c r="L76" s="1667">
        <v>0</v>
      </c>
      <c r="M76" s="1667">
        <v>0</v>
      </c>
      <c r="N76" s="1667">
        <v>0</v>
      </c>
      <c r="O76" s="1667">
        <v>0</v>
      </c>
      <c r="P76" s="1667">
        <v>0</v>
      </c>
      <c r="Q76" s="1667">
        <v>0</v>
      </c>
      <c r="R76" s="1667">
        <v>0</v>
      </c>
      <c r="S76" s="1667">
        <v>0</v>
      </c>
      <c r="T76" s="1667">
        <v>0</v>
      </c>
      <c r="U76" s="1667">
        <v>0</v>
      </c>
      <c r="V76" s="1667">
        <v>0</v>
      </c>
      <c r="W76" s="1667">
        <v>0</v>
      </c>
      <c r="X76" s="1667">
        <v>0</v>
      </c>
      <c r="Y76" s="1667">
        <v>0</v>
      </c>
      <c r="Z76" s="1667">
        <v>0</v>
      </c>
      <c r="AA76" s="1667">
        <v>0</v>
      </c>
      <c r="AB76" s="1667">
        <v>0</v>
      </c>
      <c r="AC76" s="1667">
        <v>0</v>
      </c>
      <c r="AD76" s="1667">
        <v>0</v>
      </c>
      <c r="AE76" s="1667">
        <v>0</v>
      </c>
      <c r="AF76" s="1667">
        <v>0</v>
      </c>
      <c r="AG76" s="1667">
        <v>0</v>
      </c>
      <c r="AH76" s="1667">
        <v>0</v>
      </c>
      <c r="AI76" s="1667">
        <v>0</v>
      </c>
      <c r="AJ76" s="1667">
        <v>0</v>
      </c>
      <c r="AK76" s="1667">
        <v>0</v>
      </c>
      <c r="AP76" s="1666"/>
    </row>
    <row r="77" spans="2:75">
      <c r="B77" s="1930"/>
      <c r="D77" s="1929"/>
      <c r="E77" s="1672" t="s">
        <v>777</v>
      </c>
      <c r="F77" s="1667">
        <v>0</v>
      </c>
      <c r="G77" s="1667">
        <v>0</v>
      </c>
      <c r="H77" s="1667">
        <v>0</v>
      </c>
      <c r="I77" s="1667">
        <v>0</v>
      </c>
      <c r="J77" s="1667">
        <v>0</v>
      </c>
      <c r="K77" s="1667">
        <v>0</v>
      </c>
      <c r="L77" s="1667">
        <v>0</v>
      </c>
      <c r="M77" s="1667">
        <v>0</v>
      </c>
      <c r="N77" s="1667">
        <v>0</v>
      </c>
      <c r="O77" s="1667">
        <v>0</v>
      </c>
      <c r="P77" s="1667">
        <v>0</v>
      </c>
      <c r="Q77" s="1667">
        <v>0</v>
      </c>
      <c r="R77" s="1667">
        <v>0</v>
      </c>
      <c r="S77" s="1667">
        <v>0</v>
      </c>
      <c r="T77" s="1667">
        <v>0</v>
      </c>
      <c r="U77" s="1667">
        <v>0</v>
      </c>
      <c r="V77" s="1667">
        <v>0</v>
      </c>
      <c r="W77" s="1667">
        <v>0</v>
      </c>
      <c r="X77" s="1667">
        <v>0</v>
      </c>
      <c r="Y77" s="1667">
        <v>0</v>
      </c>
      <c r="Z77" s="1667">
        <v>0</v>
      </c>
      <c r="AA77" s="1667">
        <v>0</v>
      </c>
      <c r="AB77" s="1667">
        <v>0</v>
      </c>
      <c r="AC77" s="1667">
        <v>0</v>
      </c>
      <c r="AD77" s="1667">
        <v>0</v>
      </c>
      <c r="AE77" s="1667">
        <v>0</v>
      </c>
      <c r="AF77" s="1667">
        <v>0</v>
      </c>
      <c r="AG77" s="1667">
        <v>0</v>
      </c>
      <c r="AH77" s="1667">
        <v>0</v>
      </c>
      <c r="AI77" s="1667">
        <v>0</v>
      </c>
      <c r="AJ77" s="1667">
        <v>0</v>
      </c>
      <c r="AK77" s="1667">
        <v>0</v>
      </c>
      <c r="AP77" s="1666"/>
    </row>
    <row r="78" spans="2:75">
      <c r="B78" s="1930"/>
      <c r="D78" s="1929"/>
      <c r="E78" s="1673" t="s">
        <v>778</v>
      </c>
      <c r="F78" s="1667">
        <v>0</v>
      </c>
      <c r="G78" s="1667">
        <v>0</v>
      </c>
      <c r="H78" s="1667">
        <v>0</v>
      </c>
      <c r="I78" s="1667">
        <v>0</v>
      </c>
      <c r="J78" s="1667">
        <v>0</v>
      </c>
      <c r="K78" s="1667">
        <v>0</v>
      </c>
      <c r="L78" s="1667">
        <v>0</v>
      </c>
      <c r="M78" s="1667">
        <v>0</v>
      </c>
      <c r="N78" s="1667">
        <v>0</v>
      </c>
      <c r="O78" s="1667">
        <v>0</v>
      </c>
      <c r="P78" s="1667">
        <v>0</v>
      </c>
      <c r="Q78" s="1667">
        <v>0</v>
      </c>
      <c r="R78" s="1667">
        <v>0</v>
      </c>
      <c r="S78" s="1667">
        <v>0</v>
      </c>
      <c r="T78" s="1667">
        <v>0</v>
      </c>
      <c r="U78" s="1667">
        <v>0</v>
      </c>
      <c r="V78" s="1667">
        <v>0</v>
      </c>
      <c r="W78" s="1667">
        <v>0</v>
      </c>
      <c r="X78" s="1667">
        <v>0</v>
      </c>
      <c r="Y78" s="1667">
        <v>0</v>
      </c>
      <c r="Z78" s="1667">
        <v>0</v>
      </c>
      <c r="AA78" s="1667">
        <v>0</v>
      </c>
      <c r="AB78" s="1667">
        <v>0</v>
      </c>
      <c r="AC78" s="1667">
        <v>0</v>
      </c>
      <c r="AD78" s="1667">
        <v>0</v>
      </c>
      <c r="AE78" s="1667">
        <v>0</v>
      </c>
      <c r="AF78" s="1667">
        <v>0</v>
      </c>
      <c r="AG78" s="1667">
        <v>0</v>
      </c>
      <c r="AH78" s="1667">
        <v>0</v>
      </c>
      <c r="AI78" s="1667">
        <v>0</v>
      </c>
      <c r="AJ78" s="1667">
        <v>0</v>
      </c>
      <c r="AK78" s="1667">
        <v>0</v>
      </c>
      <c r="AP78" s="1666"/>
    </row>
    <row r="79" spans="2:75">
      <c r="B79" s="1930"/>
      <c r="D79" s="1929"/>
      <c r="E79" s="1670" t="s">
        <v>779</v>
      </c>
      <c r="F79" s="1667">
        <v>0</v>
      </c>
      <c r="G79" s="1667">
        <v>0</v>
      </c>
      <c r="H79" s="1667">
        <v>0</v>
      </c>
      <c r="I79" s="1667">
        <v>0</v>
      </c>
      <c r="J79" s="1667">
        <v>0</v>
      </c>
      <c r="K79" s="1667">
        <v>0</v>
      </c>
      <c r="L79" s="1667">
        <v>0</v>
      </c>
      <c r="M79" s="1667">
        <v>0</v>
      </c>
      <c r="N79" s="1667">
        <v>0</v>
      </c>
      <c r="O79" s="1667">
        <v>0</v>
      </c>
      <c r="P79" s="1667">
        <v>0</v>
      </c>
      <c r="Q79" s="1667">
        <v>0</v>
      </c>
      <c r="R79" s="1667">
        <v>0</v>
      </c>
      <c r="S79" s="1667">
        <v>0</v>
      </c>
      <c r="T79" s="1667">
        <v>0</v>
      </c>
      <c r="U79" s="1667">
        <v>0</v>
      </c>
      <c r="V79" s="1667">
        <v>0</v>
      </c>
      <c r="W79" s="1667">
        <v>0</v>
      </c>
      <c r="X79" s="1667">
        <v>0</v>
      </c>
      <c r="Y79" s="1667">
        <v>0</v>
      </c>
      <c r="Z79" s="1667">
        <v>0</v>
      </c>
      <c r="AA79" s="1667">
        <v>0</v>
      </c>
      <c r="AB79" s="1667">
        <v>0</v>
      </c>
      <c r="AC79" s="1667">
        <v>0</v>
      </c>
      <c r="AD79" s="1667">
        <v>0</v>
      </c>
      <c r="AE79" s="1667">
        <v>0</v>
      </c>
      <c r="AF79" s="1667">
        <v>0</v>
      </c>
      <c r="AG79" s="1667">
        <v>0</v>
      </c>
      <c r="AH79" s="1667">
        <v>0</v>
      </c>
      <c r="AI79" s="1667">
        <v>0</v>
      </c>
      <c r="AJ79" s="1667">
        <v>0</v>
      </c>
      <c r="AK79" s="1667">
        <v>0</v>
      </c>
    </row>
    <row r="80" spans="2:75">
      <c r="B80" s="1930"/>
      <c r="D80" s="1929"/>
      <c r="E80" s="1672" t="s">
        <v>780</v>
      </c>
      <c r="F80" s="1667">
        <v>0</v>
      </c>
      <c r="G80" s="1667">
        <v>0</v>
      </c>
      <c r="H80" s="1667">
        <v>0</v>
      </c>
      <c r="I80" s="1667">
        <v>0</v>
      </c>
      <c r="J80" s="1667">
        <v>0</v>
      </c>
      <c r="K80" s="1667">
        <v>0</v>
      </c>
      <c r="L80" s="1667">
        <v>0</v>
      </c>
      <c r="M80" s="1667">
        <v>0</v>
      </c>
      <c r="N80" s="1667">
        <v>0</v>
      </c>
      <c r="O80" s="1667">
        <v>0</v>
      </c>
      <c r="P80" s="1667">
        <v>0</v>
      </c>
      <c r="Q80" s="1667">
        <v>0</v>
      </c>
      <c r="R80" s="1667">
        <v>0</v>
      </c>
      <c r="S80" s="1667">
        <v>0</v>
      </c>
      <c r="T80" s="1667">
        <v>0</v>
      </c>
      <c r="U80" s="1667">
        <v>0</v>
      </c>
      <c r="V80" s="1667">
        <v>0</v>
      </c>
      <c r="W80" s="1667">
        <v>0</v>
      </c>
      <c r="X80" s="1667">
        <v>0</v>
      </c>
      <c r="Y80" s="1667">
        <v>0</v>
      </c>
      <c r="Z80" s="1667">
        <v>0</v>
      </c>
      <c r="AA80" s="1667">
        <v>0</v>
      </c>
      <c r="AB80" s="1667">
        <v>0</v>
      </c>
      <c r="AC80" s="1667">
        <v>0</v>
      </c>
      <c r="AD80" s="1667">
        <v>0</v>
      </c>
      <c r="AE80" s="1667">
        <v>0</v>
      </c>
      <c r="AF80" s="1667">
        <v>0</v>
      </c>
      <c r="AG80" s="1667">
        <v>0</v>
      </c>
      <c r="AH80" s="1667">
        <v>0</v>
      </c>
      <c r="AI80" s="1667">
        <v>0</v>
      </c>
      <c r="AJ80" s="1667">
        <v>0</v>
      </c>
      <c r="AK80" s="1667">
        <v>0</v>
      </c>
    </row>
    <row r="81" spans="2:39">
      <c r="B81" s="1930"/>
      <c r="D81" s="1929"/>
      <c r="E81" s="1673" t="s">
        <v>781</v>
      </c>
      <c r="F81" s="1667">
        <v>0</v>
      </c>
      <c r="G81" s="1667">
        <v>0</v>
      </c>
      <c r="H81" s="1667">
        <v>0</v>
      </c>
      <c r="I81" s="1667">
        <v>0</v>
      </c>
      <c r="J81" s="1667">
        <v>0</v>
      </c>
      <c r="K81" s="1667">
        <v>0</v>
      </c>
      <c r="L81" s="1667">
        <v>0</v>
      </c>
      <c r="M81" s="1667">
        <v>0</v>
      </c>
      <c r="N81" s="1667">
        <v>0</v>
      </c>
      <c r="O81" s="1667">
        <v>0</v>
      </c>
      <c r="P81" s="1667">
        <v>0</v>
      </c>
      <c r="Q81" s="1667">
        <v>0</v>
      </c>
      <c r="R81" s="1667">
        <v>0</v>
      </c>
      <c r="S81" s="1667">
        <v>0</v>
      </c>
      <c r="T81" s="1667">
        <v>0</v>
      </c>
      <c r="U81" s="1667">
        <v>0</v>
      </c>
      <c r="V81" s="1667">
        <v>0</v>
      </c>
      <c r="W81" s="1667">
        <v>0</v>
      </c>
      <c r="X81" s="1667">
        <v>0</v>
      </c>
      <c r="Y81" s="1667">
        <v>0</v>
      </c>
      <c r="Z81" s="1667">
        <v>0</v>
      </c>
      <c r="AA81" s="1667">
        <v>0</v>
      </c>
      <c r="AB81" s="1667">
        <v>0</v>
      </c>
      <c r="AC81" s="1667">
        <v>0</v>
      </c>
      <c r="AD81" s="1667">
        <v>0</v>
      </c>
      <c r="AE81" s="1667">
        <v>0</v>
      </c>
      <c r="AF81" s="1667">
        <v>0</v>
      </c>
      <c r="AG81" s="1667">
        <v>0</v>
      </c>
      <c r="AH81" s="1667">
        <v>0</v>
      </c>
      <c r="AI81" s="1667">
        <v>0</v>
      </c>
      <c r="AJ81" s="1667">
        <v>0</v>
      </c>
      <c r="AK81" s="1667">
        <v>0</v>
      </c>
      <c r="AL81" s="1668"/>
      <c r="AM81" s="1668"/>
    </row>
    <row r="82" spans="2:39">
      <c r="B82" s="1930"/>
      <c r="D82" s="1929"/>
      <c r="E82" s="1670" t="s">
        <v>782</v>
      </c>
      <c r="F82" s="1667">
        <v>0</v>
      </c>
      <c r="G82" s="1667">
        <v>0</v>
      </c>
      <c r="H82" s="1667">
        <v>0</v>
      </c>
      <c r="I82" s="1667">
        <v>0</v>
      </c>
      <c r="J82" s="1667">
        <v>0</v>
      </c>
      <c r="K82" s="1667">
        <v>0</v>
      </c>
      <c r="L82" s="1667">
        <v>0</v>
      </c>
      <c r="M82" s="1667">
        <v>0</v>
      </c>
      <c r="N82" s="1667">
        <v>0</v>
      </c>
      <c r="O82" s="1667">
        <v>0</v>
      </c>
      <c r="P82" s="1667">
        <v>0</v>
      </c>
      <c r="Q82" s="1667">
        <v>0</v>
      </c>
      <c r="R82" s="1667">
        <v>0</v>
      </c>
      <c r="S82" s="1667">
        <v>0</v>
      </c>
      <c r="T82" s="1667">
        <v>0</v>
      </c>
      <c r="U82" s="1667">
        <v>0</v>
      </c>
      <c r="V82" s="1667">
        <v>0</v>
      </c>
      <c r="W82" s="1667">
        <v>0</v>
      </c>
      <c r="X82" s="1667">
        <v>0</v>
      </c>
      <c r="Y82" s="1667">
        <v>0</v>
      </c>
      <c r="Z82" s="1667">
        <v>0</v>
      </c>
      <c r="AA82" s="1667">
        <v>0</v>
      </c>
      <c r="AB82" s="1667">
        <v>0</v>
      </c>
      <c r="AC82" s="1667">
        <v>0</v>
      </c>
      <c r="AD82" s="1667">
        <v>0</v>
      </c>
      <c r="AE82" s="1667">
        <v>0</v>
      </c>
      <c r="AF82" s="1667">
        <v>0</v>
      </c>
      <c r="AG82" s="1667">
        <v>0</v>
      </c>
      <c r="AH82" s="1667">
        <v>0</v>
      </c>
      <c r="AI82" s="1667">
        <v>0</v>
      </c>
      <c r="AJ82" s="1667">
        <v>0</v>
      </c>
      <c r="AK82" s="1667">
        <v>0</v>
      </c>
      <c r="AL82" s="1668"/>
      <c r="AM82" s="1668"/>
    </row>
    <row r="83" spans="2:39">
      <c r="B83" s="1930"/>
      <c r="D83" s="1929"/>
      <c r="E83" s="1672" t="s">
        <v>783</v>
      </c>
      <c r="F83" s="1667">
        <v>0</v>
      </c>
      <c r="G83" s="1667">
        <v>0</v>
      </c>
      <c r="H83" s="1667">
        <v>0</v>
      </c>
      <c r="I83" s="1667">
        <v>0</v>
      </c>
      <c r="J83" s="1667">
        <v>0</v>
      </c>
      <c r="K83" s="1667">
        <v>0</v>
      </c>
      <c r="L83" s="1667">
        <v>0</v>
      </c>
      <c r="M83" s="1667">
        <v>0</v>
      </c>
      <c r="N83" s="1667">
        <v>0</v>
      </c>
      <c r="O83" s="1667">
        <v>0</v>
      </c>
      <c r="P83" s="1667">
        <v>0</v>
      </c>
      <c r="Q83" s="1667">
        <v>0</v>
      </c>
      <c r="R83" s="1667">
        <v>0</v>
      </c>
      <c r="S83" s="1667">
        <v>0</v>
      </c>
      <c r="T83" s="1667">
        <v>0</v>
      </c>
      <c r="U83" s="1667">
        <v>0</v>
      </c>
      <c r="V83" s="1667">
        <v>0</v>
      </c>
      <c r="W83" s="1667">
        <v>0</v>
      </c>
      <c r="X83" s="1667">
        <v>0</v>
      </c>
      <c r="Y83" s="1667">
        <v>0</v>
      </c>
      <c r="Z83" s="1667">
        <v>0</v>
      </c>
      <c r="AA83" s="1667">
        <v>0</v>
      </c>
      <c r="AB83" s="1667">
        <v>0</v>
      </c>
      <c r="AC83" s="1667">
        <v>0</v>
      </c>
      <c r="AD83" s="1667">
        <v>0</v>
      </c>
      <c r="AE83" s="1667">
        <v>0</v>
      </c>
      <c r="AF83" s="1667">
        <v>0</v>
      </c>
      <c r="AG83" s="1667">
        <v>0</v>
      </c>
      <c r="AH83" s="1667">
        <v>0</v>
      </c>
      <c r="AI83" s="1667">
        <v>0</v>
      </c>
      <c r="AJ83" s="1667">
        <v>0</v>
      </c>
      <c r="AK83" s="1667">
        <v>0</v>
      </c>
      <c r="AL83" s="1668"/>
      <c r="AM83" s="1668"/>
    </row>
    <row r="84" spans="2:39">
      <c r="B84" s="1930"/>
      <c r="D84" s="1929"/>
      <c r="E84" s="1673" t="s">
        <v>784</v>
      </c>
      <c r="F84" s="1667">
        <v>0</v>
      </c>
      <c r="G84" s="1667">
        <v>0</v>
      </c>
      <c r="H84" s="1667">
        <v>0</v>
      </c>
      <c r="I84" s="1667">
        <v>0</v>
      </c>
      <c r="J84" s="1667">
        <v>0</v>
      </c>
      <c r="K84" s="1667">
        <v>0</v>
      </c>
      <c r="L84" s="1667">
        <v>0</v>
      </c>
      <c r="M84" s="1667">
        <v>0</v>
      </c>
      <c r="N84" s="1667">
        <v>0</v>
      </c>
      <c r="O84" s="1667">
        <v>0</v>
      </c>
      <c r="P84" s="1667">
        <v>0</v>
      </c>
      <c r="Q84" s="1667">
        <v>0</v>
      </c>
      <c r="R84" s="1667">
        <v>0</v>
      </c>
      <c r="S84" s="1667">
        <v>0</v>
      </c>
      <c r="T84" s="1667">
        <v>0</v>
      </c>
      <c r="U84" s="1667">
        <v>0</v>
      </c>
      <c r="V84" s="1667">
        <v>0</v>
      </c>
      <c r="W84" s="1667">
        <v>0</v>
      </c>
      <c r="X84" s="1667">
        <v>0</v>
      </c>
      <c r="Y84" s="1667">
        <v>0</v>
      </c>
      <c r="Z84" s="1667">
        <v>0</v>
      </c>
      <c r="AA84" s="1667">
        <v>0</v>
      </c>
      <c r="AB84" s="1667">
        <v>0</v>
      </c>
      <c r="AC84" s="1667">
        <v>0</v>
      </c>
      <c r="AD84" s="1667">
        <v>0</v>
      </c>
      <c r="AE84" s="1667">
        <v>0</v>
      </c>
      <c r="AF84" s="1667">
        <v>0</v>
      </c>
      <c r="AG84" s="1667">
        <v>0</v>
      </c>
      <c r="AH84" s="1667">
        <v>0</v>
      </c>
      <c r="AI84" s="1667">
        <v>0</v>
      </c>
      <c r="AJ84" s="1667">
        <v>0</v>
      </c>
      <c r="AK84" s="1667">
        <v>0</v>
      </c>
      <c r="AL84" s="1668"/>
      <c r="AM84" s="1668"/>
    </row>
    <row r="85" spans="2:39">
      <c r="B85" s="1930"/>
      <c r="D85" s="1929"/>
      <c r="E85" s="1670" t="s">
        <v>785</v>
      </c>
      <c r="F85" s="1667">
        <v>0</v>
      </c>
      <c r="G85" s="1667">
        <v>0</v>
      </c>
      <c r="H85" s="1667">
        <v>0</v>
      </c>
      <c r="I85" s="1667">
        <v>0</v>
      </c>
      <c r="J85" s="1667">
        <v>0</v>
      </c>
      <c r="K85" s="1667">
        <v>0</v>
      </c>
      <c r="L85" s="1667">
        <v>0</v>
      </c>
      <c r="M85" s="1667">
        <v>0</v>
      </c>
      <c r="N85" s="1667">
        <v>0</v>
      </c>
      <c r="O85" s="1667">
        <v>0</v>
      </c>
      <c r="P85" s="1667">
        <v>0</v>
      </c>
      <c r="Q85" s="1667">
        <v>0</v>
      </c>
      <c r="R85" s="1667">
        <v>0</v>
      </c>
      <c r="S85" s="1667">
        <v>0</v>
      </c>
      <c r="T85" s="1667">
        <v>0</v>
      </c>
      <c r="U85" s="1667">
        <v>0</v>
      </c>
      <c r="V85" s="1667">
        <v>0</v>
      </c>
      <c r="W85" s="1667">
        <v>0</v>
      </c>
      <c r="X85" s="1667">
        <v>0</v>
      </c>
      <c r="Y85" s="1667">
        <v>0</v>
      </c>
      <c r="Z85" s="1667">
        <v>0</v>
      </c>
      <c r="AA85" s="1667">
        <v>0</v>
      </c>
      <c r="AB85" s="1667">
        <v>0</v>
      </c>
      <c r="AC85" s="1667">
        <v>0</v>
      </c>
      <c r="AD85" s="1667">
        <v>0</v>
      </c>
      <c r="AE85" s="1667">
        <v>0</v>
      </c>
      <c r="AF85" s="1667">
        <v>0</v>
      </c>
      <c r="AG85" s="1667">
        <v>0</v>
      </c>
      <c r="AH85" s="1667">
        <v>0</v>
      </c>
      <c r="AI85" s="1667">
        <v>0</v>
      </c>
      <c r="AJ85" s="1667">
        <v>0</v>
      </c>
      <c r="AK85" s="1667">
        <v>0</v>
      </c>
      <c r="AL85" s="1668"/>
      <c r="AM85" s="1668"/>
    </row>
    <row r="86" spans="2:39">
      <c r="B86" s="1930"/>
      <c r="D86" s="1929"/>
      <c r="E86" s="1672" t="s">
        <v>786</v>
      </c>
      <c r="F86" s="1667">
        <v>0</v>
      </c>
      <c r="G86" s="1667">
        <v>0</v>
      </c>
      <c r="H86" s="1667">
        <v>0</v>
      </c>
      <c r="I86" s="1667">
        <v>0</v>
      </c>
      <c r="J86" s="1667">
        <v>0</v>
      </c>
      <c r="K86" s="1667">
        <v>0</v>
      </c>
      <c r="L86" s="1667">
        <v>0</v>
      </c>
      <c r="M86" s="1667">
        <v>0</v>
      </c>
      <c r="N86" s="1667">
        <v>0</v>
      </c>
      <c r="O86" s="1667">
        <v>0</v>
      </c>
      <c r="P86" s="1667">
        <v>0</v>
      </c>
      <c r="Q86" s="1667">
        <v>0</v>
      </c>
      <c r="R86" s="1667">
        <v>0</v>
      </c>
      <c r="S86" s="1667">
        <v>0</v>
      </c>
      <c r="T86" s="1667">
        <v>0</v>
      </c>
      <c r="U86" s="1667">
        <v>0</v>
      </c>
      <c r="V86" s="1667">
        <v>0</v>
      </c>
      <c r="W86" s="1667">
        <v>0</v>
      </c>
      <c r="X86" s="1667">
        <v>0</v>
      </c>
      <c r="Y86" s="1667">
        <v>0</v>
      </c>
      <c r="Z86" s="1667">
        <v>0</v>
      </c>
      <c r="AA86" s="1667">
        <v>0</v>
      </c>
      <c r="AB86" s="1667">
        <v>0</v>
      </c>
      <c r="AC86" s="1667">
        <v>0</v>
      </c>
      <c r="AD86" s="1667">
        <v>0</v>
      </c>
      <c r="AE86" s="1667">
        <v>0</v>
      </c>
      <c r="AF86" s="1667">
        <v>0</v>
      </c>
      <c r="AG86" s="1667">
        <v>0</v>
      </c>
      <c r="AH86" s="1667">
        <v>0</v>
      </c>
      <c r="AI86" s="1667">
        <v>0</v>
      </c>
      <c r="AJ86" s="1667">
        <v>0</v>
      </c>
      <c r="AK86" s="1667">
        <v>0</v>
      </c>
      <c r="AL86" s="1668"/>
      <c r="AM86" s="1668"/>
    </row>
    <row r="87" spans="2:39">
      <c r="B87" s="1930"/>
      <c r="D87" s="1929"/>
      <c r="E87" s="1673" t="s">
        <v>787</v>
      </c>
      <c r="F87" s="1667">
        <v>0</v>
      </c>
      <c r="G87" s="1667">
        <v>0</v>
      </c>
      <c r="H87" s="1667">
        <v>0</v>
      </c>
      <c r="I87" s="1667">
        <v>0</v>
      </c>
      <c r="J87" s="1667">
        <v>0</v>
      </c>
      <c r="K87" s="1667">
        <v>0</v>
      </c>
      <c r="L87" s="1667">
        <v>0</v>
      </c>
      <c r="M87" s="1667">
        <v>0</v>
      </c>
      <c r="N87" s="1667">
        <v>0</v>
      </c>
      <c r="O87" s="1667">
        <v>0</v>
      </c>
      <c r="P87" s="1667">
        <v>0</v>
      </c>
      <c r="Q87" s="1667">
        <v>0</v>
      </c>
      <c r="R87" s="1667">
        <v>0</v>
      </c>
      <c r="S87" s="1667">
        <v>0</v>
      </c>
      <c r="T87" s="1667">
        <v>0</v>
      </c>
      <c r="U87" s="1667">
        <v>0</v>
      </c>
      <c r="V87" s="1667">
        <v>0</v>
      </c>
      <c r="W87" s="1667">
        <v>0</v>
      </c>
      <c r="X87" s="1667">
        <v>0</v>
      </c>
      <c r="Y87" s="1667">
        <v>0</v>
      </c>
      <c r="Z87" s="1667">
        <v>0</v>
      </c>
      <c r="AA87" s="1667">
        <v>0</v>
      </c>
      <c r="AB87" s="1667">
        <v>0</v>
      </c>
      <c r="AC87" s="1667">
        <v>0</v>
      </c>
      <c r="AD87" s="1667">
        <v>0</v>
      </c>
      <c r="AE87" s="1667">
        <v>0</v>
      </c>
      <c r="AF87" s="1667">
        <v>0</v>
      </c>
      <c r="AG87" s="1667">
        <v>0</v>
      </c>
      <c r="AH87" s="1667">
        <v>0</v>
      </c>
      <c r="AI87" s="1667">
        <v>0</v>
      </c>
      <c r="AJ87" s="1667">
        <v>0</v>
      </c>
      <c r="AK87" s="1667">
        <v>0</v>
      </c>
      <c r="AL87" s="1668"/>
      <c r="AM87" s="1668"/>
    </row>
    <row r="88" spans="2:39">
      <c r="B88" s="1930"/>
      <c r="D88" s="1929"/>
      <c r="E88" s="1670" t="s">
        <v>788</v>
      </c>
      <c r="F88" s="1667">
        <v>0</v>
      </c>
      <c r="G88" s="1667">
        <v>0</v>
      </c>
      <c r="H88" s="1667">
        <v>0</v>
      </c>
      <c r="I88" s="1667">
        <v>0</v>
      </c>
      <c r="J88" s="1667">
        <v>0</v>
      </c>
      <c r="K88" s="1667">
        <v>0</v>
      </c>
      <c r="L88" s="1667">
        <v>0</v>
      </c>
      <c r="M88" s="1667">
        <v>0</v>
      </c>
      <c r="N88" s="1667">
        <v>0</v>
      </c>
      <c r="O88" s="1667">
        <v>0</v>
      </c>
      <c r="P88" s="1667">
        <v>0</v>
      </c>
      <c r="Q88" s="1667">
        <v>0</v>
      </c>
      <c r="R88" s="1667">
        <v>0</v>
      </c>
      <c r="S88" s="1667">
        <v>0</v>
      </c>
      <c r="T88" s="1667">
        <v>0</v>
      </c>
      <c r="U88" s="1667">
        <v>0</v>
      </c>
      <c r="V88" s="1667">
        <v>0</v>
      </c>
      <c r="W88" s="1667">
        <v>0</v>
      </c>
      <c r="X88" s="1667">
        <v>0</v>
      </c>
      <c r="Y88" s="1667">
        <v>0</v>
      </c>
      <c r="Z88" s="1667">
        <v>0</v>
      </c>
      <c r="AA88" s="1667">
        <v>0</v>
      </c>
      <c r="AB88" s="1667">
        <v>0</v>
      </c>
      <c r="AC88" s="1667">
        <v>0</v>
      </c>
      <c r="AD88" s="1667">
        <v>0</v>
      </c>
      <c r="AE88" s="1667">
        <v>0</v>
      </c>
      <c r="AF88" s="1667">
        <v>0</v>
      </c>
      <c r="AG88" s="1667">
        <v>0</v>
      </c>
      <c r="AH88" s="1667">
        <v>0</v>
      </c>
      <c r="AI88" s="1667">
        <v>0</v>
      </c>
      <c r="AJ88" s="1667">
        <v>0</v>
      </c>
      <c r="AK88" s="1667">
        <v>0</v>
      </c>
      <c r="AL88" s="1668"/>
      <c r="AM88" s="1668"/>
    </row>
    <row r="89" spans="2:39">
      <c r="B89" s="1930"/>
      <c r="D89" s="1929"/>
      <c r="E89" s="1672" t="s">
        <v>789</v>
      </c>
      <c r="F89" s="1667">
        <v>0</v>
      </c>
      <c r="G89" s="1667">
        <v>0</v>
      </c>
      <c r="H89" s="1667">
        <v>0</v>
      </c>
      <c r="I89" s="1667">
        <v>0</v>
      </c>
      <c r="J89" s="1667">
        <v>0</v>
      </c>
      <c r="K89" s="1667">
        <v>0</v>
      </c>
      <c r="L89" s="1667">
        <v>0</v>
      </c>
      <c r="M89" s="1667">
        <v>0</v>
      </c>
      <c r="N89" s="1667">
        <v>0</v>
      </c>
      <c r="O89" s="1667">
        <v>0</v>
      </c>
      <c r="P89" s="1667">
        <v>0</v>
      </c>
      <c r="Q89" s="1667">
        <v>0</v>
      </c>
      <c r="R89" s="1667">
        <v>0</v>
      </c>
      <c r="S89" s="1667">
        <v>0</v>
      </c>
      <c r="T89" s="1667">
        <v>0</v>
      </c>
      <c r="U89" s="1667">
        <v>0</v>
      </c>
      <c r="V89" s="1667">
        <v>0</v>
      </c>
      <c r="W89" s="1667">
        <v>0</v>
      </c>
      <c r="X89" s="1667">
        <v>0</v>
      </c>
      <c r="Y89" s="1667">
        <v>0</v>
      </c>
      <c r="Z89" s="1667">
        <v>0</v>
      </c>
      <c r="AA89" s="1667">
        <v>0</v>
      </c>
      <c r="AB89" s="1667">
        <v>0</v>
      </c>
      <c r="AC89" s="1667">
        <v>0</v>
      </c>
      <c r="AD89" s="1667">
        <v>0</v>
      </c>
      <c r="AE89" s="1667">
        <v>0</v>
      </c>
      <c r="AF89" s="1667">
        <v>0</v>
      </c>
      <c r="AG89" s="1667">
        <v>0</v>
      </c>
      <c r="AH89" s="1667">
        <v>0</v>
      </c>
      <c r="AI89" s="1667">
        <v>0</v>
      </c>
      <c r="AJ89" s="1667">
        <v>0</v>
      </c>
      <c r="AK89" s="1667">
        <v>0</v>
      </c>
      <c r="AL89" s="1668"/>
      <c r="AM89" s="1668"/>
    </row>
    <row r="90" spans="2:39">
      <c r="B90" s="1930"/>
      <c r="D90" s="1929"/>
      <c r="E90" s="1673" t="s">
        <v>790</v>
      </c>
      <c r="F90" s="1667">
        <v>0</v>
      </c>
      <c r="G90" s="1667">
        <v>0</v>
      </c>
      <c r="H90" s="1667">
        <v>0</v>
      </c>
      <c r="I90" s="1667">
        <v>0</v>
      </c>
      <c r="J90" s="1667">
        <v>0</v>
      </c>
      <c r="K90" s="1667">
        <v>0</v>
      </c>
      <c r="L90" s="1667">
        <v>0</v>
      </c>
      <c r="M90" s="1667">
        <v>0</v>
      </c>
      <c r="N90" s="1667">
        <v>0</v>
      </c>
      <c r="O90" s="1667">
        <v>0</v>
      </c>
      <c r="P90" s="1667">
        <v>0</v>
      </c>
      <c r="Q90" s="1667">
        <v>0</v>
      </c>
      <c r="R90" s="1667">
        <v>0</v>
      </c>
      <c r="S90" s="1667">
        <v>0</v>
      </c>
      <c r="T90" s="1667">
        <v>0</v>
      </c>
      <c r="U90" s="1667">
        <v>0</v>
      </c>
      <c r="V90" s="1667">
        <v>0</v>
      </c>
      <c r="W90" s="1667">
        <v>0</v>
      </c>
      <c r="X90" s="1667">
        <v>0</v>
      </c>
      <c r="Y90" s="1667">
        <v>0</v>
      </c>
      <c r="Z90" s="1667">
        <v>0</v>
      </c>
      <c r="AA90" s="1667">
        <v>0</v>
      </c>
      <c r="AB90" s="1667">
        <v>0</v>
      </c>
      <c r="AC90" s="1667">
        <v>0</v>
      </c>
      <c r="AD90" s="1667">
        <v>0</v>
      </c>
      <c r="AE90" s="1667">
        <v>0</v>
      </c>
      <c r="AF90" s="1667">
        <v>0</v>
      </c>
      <c r="AG90" s="1667">
        <v>0</v>
      </c>
      <c r="AH90" s="1667">
        <v>0</v>
      </c>
      <c r="AI90" s="1667">
        <v>0</v>
      </c>
      <c r="AJ90" s="1667">
        <v>0</v>
      </c>
      <c r="AK90" s="1667">
        <v>0</v>
      </c>
      <c r="AL90" s="1668"/>
      <c r="AM90" s="1668"/>
    </row>
    <row r="91" spans="2:39">
      <c r="B91" s="1930"/>
    </row>
    <row r="92" spans="2:39" ht="15" customHeight="1">
      <c r="B92" s="1930"/>
    </row>
    <row r="93" spans="2:39">
      <c r="B93" s="1930"/>
      <c r="D93" s="1928" t="s">
        <v>800</v>
      </c>
      <c r="E93" s="1670" t="s">
        <v>776</v>
      </c>
      <c r="F93" s="1687">
        <v>0.85</v>
      </c>
      <c r="G93" s="1687">
        <v>0.85</v>
      </c>
      <c r="H93" s="1687">
        <v>0.85</v>
      </c>
      <c r="I93" s="1687">
        <v>0.85</v>
      </c>
      <c r="J93" s="1687">
        <v>0.85</v>
      </c>
      <c r="K93" s="1687">
        <v>0.85</v>
      </c>
      <c r="L93" s="1687">
        <v>0.85</v>
      </c>
      <c r="M93" s="1687">
        <v>0.85</v>
      </c>
      <c r="N93" s="1687">
        <v>0.85</v>
      </c>
      <c r="O93" s="1687">
        <v>0.85</v>
      </c>
      <c r="P93" s="1687">
        <v>0.85</v>
      </c>
      <c r="Q93" s="1687">
        <v>0.85</v>
      </c>
      <c r="R93" s="1687">
        <v>0.85</v>
      </c>
      <c r="S93" s="1687">
        <v>0.85</v>
      </c>
      <c r="T93" s="1687">
        <v>0.85</v>
      </c>
      <c r="U93" s="1687">
        <v>0.85</v>
      </c>
      <c r="V93" s="1687">
        <v>0.85</v>
      </c>
      <c r="W93" s="1687">
        <v>0.85</v>
      </c>
      <c r="X93" s="1687">
        <v>0.85</v>
      </c>
      <c r="Y93" s="1687">
        <v>0.85</v>
      </c>
      <c r="Z93" s="1687">
        <v>0.85</v>
      </c>
      <c r="AA93" s="1687">
        <v>0.85</v>
      </c>
      <c r="AB93" s="1687">
        <v>0.85</v>
      </c>
      <c r="AC93" s="1687">
        <v>0.85</v>
      </c>
      <c r="AD93" s="1687">
        <v>0.85</v>
      </c>
      <c r="AE93" s="1687">
        <v>0.85</v>
      </c>
      <c r="AF93" s="1687">
        <v>0.85</v>
      </c>
      <c r="AG93" s="1687">
        <v>0.85</v>
      </c>
      <c r="AH93" s="1687">
        <v>0.85</v>
      </c>
      <c r="AI93" s="1687">
        <v>0.85</v>
      </c>
      <c r="AJ93" s="1687">
        <v>0.85</v>
      </c>
      <c r="AK93" s="1687">
        <v>0.85</v>
      </c>
    </row>
    <row r="94" spans="2:39">
      <c r="B94" s="1930"/>
      <c r="D94" s="1929"/>
      <c r="E94" s="1672" t="s">
        <v>777</v>
      </c>
      <c r="F94" s="1687">
        <v>0.85</v>
      </c>
      <c r="G94" s="1687">
        <v>0.85</v>
      </c>
      <c r="H94" s="1687">
        <v>0.85</v>
      </c>
      <c r="I94" s="1687">
        <v>0.85</v>
      </c>
      <c r="J94" s="1687">
        <v>0.85</v>
      </c>
      <c r="K94" s="1687">
        <v>0.85</v>
      </c>
      <c r="L94" s="1687">
        <v>0.85</v>
      </c>
      <c r="M94" s="1687">
        <v>0.85</v>
      </c>
      <c r="N94" s="1687">
        <v>0.85</v>
      </c>
      <c r="O94" s="1687">
        <v>0.85</v>
      </c>
      <c r="P94" s="1687">
        <v>0.85</v>
      </c>
      <c r="Q94" s="1687">
        <v>0.85</v>
      </c>
      <c r="R94" s="1687">
        <v>0.85</v>
      </c>
      <c r="S94" s="1687">
        <v>0.85</v>
      </c>
      <c r="T94" s="1687">
        <v>0.85</v>
      </c>
      <c r="U94" s="1687">
        <v>0.85</v>
      </c>
      <c r="V94" s="1687">
        <v>0.85</v>
      </c>
      <c r="W94" s="1687">
        <v>0.85</v>
      </c>
      <c r="X94" s="1687">
        <v>0.85</v>
      </c>
      <c r="Y94" s="1687">
        <v>0.85</v>
      </c>
      <c r="Z94" s="1687">
        <v>0.85</v>
      </c>
      <c r="AA94" s="1687">
        <v>0.85</v>
      </c>
      <c r="AB94" s="1687">
        <v>0.85</v>
      </c>
      <c r="AC94" s="1687">
        <v>0.85</v>
      </c>
      <c r="AD94" s="1687">
        <v>0.85</v>
      </c>
      <c r="AE94" s="1687">
        <v>0.85</v>
      </c>
      <c r="AF94" s="1687">
        <v>0.85</v>
      </c>
      <c r="AG94" s="1687">
        <v>0.85</v>
      </c>
      <c r="AH94" s="1687">
        <v>0.85</v>
      </c>
      <c r="AI94" s="1687">
        <v>0.85</v>
      </c>
      <c r="AJ94" s="1687">
        <v>0.85</v>
      </c>
      <c r="AK94" s="1687">
        <v>0.85</v>
      </c>
    </row>
    <row r="95" spans="2:39">
      <c r="B95" s="1930"/>
      <c r="D95" s="1929"/>
      <c r="E95" s="1673" t="s">
        <v>778</v>
      </c>
      <c r="F95" s="1687">
        <v>0.85</v>
      </c>
      <c r="G95" s="1687">
        <v>0.85</v>
      </c>
      <c r="H95" s="1687">
        <v>0.85</v>
      </c>
      <c r="I95" s="1687">
        <v>0.85</v>
      </c>
      <c r="J95" s="1687">
        <v>0.85</v>
      </c>
      <c r="K95" s="1687">
        <v>0.85</v>
      </c>
      <c r="L95" s="1687">
        <v>0.85</v>
      </c>
      <c r="M95" s="1687">
        <v>0.85</v>
      </c>
      <c r="N95" s="1687">
        <v>0.85</v>
      </c>
      <c r="O95" s="1687">
        <v>0.85</v>
      </c>
      <c r="P95" s="1687">
        <v>0.85</v>
      </c>
      <c r="Q95" s="1687">
        <v>0.85</v>
      </c>
      <c r="R95" s="1687">
        <v>0.85</v>
      </c>
      <c r="S95" s="1687">
        <v>0.85</v>
      </c>
      <c r="T95" s="1687">
        <v>0.85</v>
      </c>
      <c r="U95" s="1687">
        <v>0.85</v>
      </c>
      <c r="V95" s="1687">
        <v>0.85</v>
      </c>
      <c r="W95" s="1687">
        <v>0.85</v>
      </c>
      <c r="X95" s="1687">
        <v>0.85</v>
      </c>
      <c r="Y95" s="1687">
        <v>0.85</v>
      </c>
      <c r="Z95" s="1687">
        <v>0.85</v>
      </c>
      <c r="AA95" s="1687">
        <v>0.85</v>
      </c>
      <c r="AB95" s="1687">
        <v>0.85</v>
      </c>
      <c r="AC95" s="1687">
        <v>0.85</v>
      </c>
      <c r="AD95" s="1687">
        <v>0.85</v>
      </c>
      <c r="AE95" s="1687">
        <v>0.85</v>
      </c>
      <c r="AF95" s="1687">
        <v>0.85</v>
      </c>
      <c r="AG95" s="1687">
        <v>0.85</v>
      </c>
      <c r="AH95" s="1687">
        <v>0.85</v>
      </c>
      <c r="AI95" s="1687">
        <v>0.85</v>
      </c>
      <c r="AJ95" s="1687">
        <v>0.85</v>
      </c>
      <c r="AK95" s="1687">
        <v>0.85</v>
      </c>
    </row>
    <row r="96" spans="2:39">
      <c r="B96" s="1930"/>
      <c r="D96" s="1929"/>
      <c r="E96" s="1670" t="s">
        <v>779</v>
      </c>
      <c r="F96" s="1687">
        <v>0.85</v>
      </c>
      <c r="G96" s="1687">
        <v>0.85</v>
      </c>
      <c r="H96" s="1687">
        <v>0.85</v>
      </c>
      <c r="I96" s="1687">
        <v>0.85</v>
      </c>
      <c r="J96" s="1687">
        <v>0.85</v>
      </c>
      <c r="K96" s="1687">
        <v>0.85</v>
      </c>
      <c r="L96" s="1687">
        <v>0.85</v>
      </c>
      <c r="M96" s="1687">
        <v>0.85</v>
      </c>
      <c r="N96" s="1687">
        <v>0.85</v>
      </c>
      <c r="O96" s="1687">
        <v>0.85</v>
      </c>
      <c r="P96" s="1687">
        <v>0.85</v>
      </c>
      <c r="Q96" s="1687">
        <v>0.85</v>
      </c>
      <c r="R96" s="1687">
        <v>0.85</v>
      </c>
      <c r="S96" s="1687">
        <v>0.85</v>
      </c>
      <c r="T96" s="1687">
        <v>0.85</v>
      </c>
      <c r="U96" s="1687">
        <v>0.85</v>
      </c>
      <c r="V96" s="1687">
        <v>0.85</v>
      </c>
      <c r="W96" s="1687">
        <v>0.85</v>
      </c>
      <c r="X96" s="1687">
        <v>0.85</v>
      </c>
      <c r="Y96" s="1687">
        <v>0.85</v>
      </c>
      <c r="Z96" s="1687">
        <v>0.85</v>
      </c>
      <c r="AA96" s="1687">
        <v>0.85</v>
      </c>
      <c r="AB96" s="1687">
        <v>0.85</v>
      </c>
      <c r="AC96" s="1687">
        <v>0.85</v>
      </c>
      <c r="AD96" s="1687">
        <v>0.85</v>
      </c>
      <c r="AE96" s="1687">
        <v>0.85</v>
      </c>
      <c r="AF96" s="1687">
        <v>0.85</v>
      </c>
      <c r="AG96" s="1687">
        <v>0.85</v>
      </c>
      <c r="AH96" s="1687">
        <v>0.85</v>
      </c>
      <c r="AI96" s="1687">
        <v>0.85</v>
      </c>
      <c r="AJ96" s="1687">
        <v>0.85</v>
      </c>
      <c r="AK96" s="1687">
        <v>0.85</v>
      </c>
    </row>
    <row r="97" spans="2:37">
      <c r="B97" s="1930"/>
      <c r="D97" s="1929"/>
      <c r="E97" s="1672" t="s">
        <v>780</v>
      </c>
      <c r="F97" s="1687">
        <v>0.85</v>
      </c>
      <c r="G97" s="1687">
        <v>0.85</v>
      </c>
      <c r="H97" s="1687">
        <v>0.85</v>
      </c>
      <c r="I97" s="1687">
        <v>0.85</v>
      </c>
      <c r="J97" s="1687">
        <v>0.85</v>
      </c>
      <c r="K97" s="1687">
        <v>0.85</v>
      </c>
      <c r="L97" s="1687">
        <v>0.85</v>
      </c>
      <c r="M97" s="1687">
        <v>0.85</v>
      </c>
      <c r="N97" s="1687">
        <v>0.85</v>
      </c>
      <c r="O97" s="1687">
        <v>0.85</v>
      </c>
      <c r="P97" s="1687">
        <v>0.85</v>
      </c>
      <c r="Q97" s="1687">
        <v>0.85</v>
      </c>
      <c r="R97" s="1687">
        <v>0.85</v>
      </c>
      <c r="S97" s="1687">
        <v>0.85</v>
      </c>
      <c r="T97" s="1687">
        <v>0.85</v>
      </c>
      <c r="U97" s="1687">
        <v>0.85</v>
      </c>
      <c r="V97" s="1687">
        <v>0.85</v>
      </c>
      <c r="W97" s="1687">
        <v>0.85</v>
      </c>
      <c r="X97" s="1687">
        <v>0.85</v>
      </c>
      <c r="Y97" s="1687">
        <v>0.85</v>
      </c>
      <c r="Z97" s="1687">
        <v>0.85</v>
      </c>
      <c r="AA97" s="1687">
        <v>0.85</v>
      </c>
      <c r="AB97" s="1687">
        <v>0.85</v>
      </c>
      <c r="AC97" s="1687">
        <v>0.85</v>
      </c>
      <c r="AD97" s="1687">
        <v>0.85</v>
      </c>
      <c r="AE97" s="1687">
        <v>0.85</v>
      </c>
      <c r="AF97" s="1687">
        <v>0.85</v>
      </c>
      <c r="AG97" s="1687">
        <v>0.85</v>
      </c>
      <c r="AH97" s="1687">
        <v>0.85</v>
      </c>
      <c r="AI97" s="1687">
        <v>0.85</v>
      </c>
      <c r="AJ97" s="1687">
        <v>0.85</v>
      </c>
      <c r="AK97" s="1687">
        <v>0.85</v>
      </c>
    </row>
    <row r="98" spans="2:37">
      <c r="B98" s="1930"/>
      <c r="D98" s="1929"/>
      <c r="E98" s="1673" t="s">
        <v>781</v>
      </c>
      <c r="F98" s="1687">
        <v>0.85</v>
      </c>
      <c r="G98" s="1687">
        <v>0.85</v>
      </c>
      <c r="H98" s="1687">
        <v>0.85</v>
      </c>
      <c r="I98" s="1687">
        <v>0.85</v>
      </c>
      <c r="J98" s="1687">
        <v>0.85</v>
      </c>
      <c r="K98" s="1687">
        <v>0.85</v>
      </c>
      <c r="L98" s="1687">
        <v>0.85</v>
      </c>
      <c r="M98" s="1687">
        <v>0.85</v>
      </c>
      <c r="N98" s="1687">
        <v>0.85</v>
      </c>
      <c r="O98" s="1687">
        <v>0.85</v>
      </c>
      <c r="P98" s="1687">
        <v>0.85</v>
      </c>
      <c r="Q98" s="1687">
        <v>0.85</v>
      </c>
      <c r="R98" s="1687">
        <v>0.85</v>
      </c>
      <c r="S98" s="1687">
        <v>0.85</v>
      </c>
      <c r="T98" s="1687">
        <v>0.85</v>
      </c>
      <c r="U98" s="1687">
        <v>0.85</v>
      </c>
      <c r="V98" s="1687">
        <v>0.85</v>
      </c>
      <c r="W98" s="1687">
        <v>0.85</v>
      </c>
      <c r="X98" s="1687">
        <v>0.85</v>
      </c>
      <c r="Y98" s="1687">
        <v>0.85</v>
      </c>
      <c r="Z98" s="1687">
        <v>0.85</v>
      </c>
      <c r="AA98" s="1687">
        <v>0.85</v>
      </c>
      <c r="AB98" s="1687">
        <v>0.85</v>
      </c>
      <c r="AC98" s="1687">
        <v>0.85</v>
      </c>
      <c r="AD98" s="1687">
        <v>0.85</v>
      </c>
      <c r="AE98" s="1687">
        <v>0.85</v>
      </c>
      <c r="AF98" s="1687">
        <v>0.85</v>
      </c>
      <c r="AG98" s="1687">
        <v>0.85</v>
      </c>
      <c r="AH98" s="1687">
        <v>0.85</v>
      </c>
      <c r="AI98" s="1687">
        <v>0.85</v>
      </c>
      <c r="AJ98" s="1687">
        <v>0.85</v>
      </c>
      <c r="AK98" s="1687">
        <v>0.85</v>
      </c>
    </row>
    <row r="99" spans="2:37">
      <c r="B99" s="1930"/>
      <c r="D99" s="1929"/>
      <c r="E99" s="1670" t="s">
        <v>782</v>
      </c>
      <c r="F99" s="1687">
        <v>0.85</v>
      </c>
      <c r="G99" s="1687">
        <v>0.85</v>
      </c>
      <c r="H99" s="1687">
        <v>0.85</v>
      </c>
      <c r="I99" s="1687">
        <v>0.85</v>
      </c>
      <c r="J99" s="1687">
        <v>0.85</v>
      </c>
      <c r="K99" s="1687">
        <v>0.85</v>
      </c>
      <c r="L99" s="1687">
        <v>0.85</v>
      </c>
      <c r="M99" s="1687">
        <v>0.85</v>
      </c>
      <c r="N99" s="1687">
        <v>0.85</v>
      </c>
      <c r="O99" s="1687">
        <v>0.85</v>
      </c>
      <c r="P99" s="1687">
        <v>0.85</v>
      </c>
      <c r="Q99" s="1687">
        <v>0.85</v>
      </c>
      <c r="R99" s="1687">
        <v>0.85</v>
      </c>
      <c r="S99" s="1687">
        <v>0.85</v>
      </c>
      <c r="T99" s="1687">
        <v>0.85</v>
      </c>
      <c r="U99" s="1687">
        <v>0.85</v>
      </c>
      <c r="V99" s="1687">
        <v>0.85</v>
      </c>
      <c r="W99" s="1687">
        <v>0.85</v>
      </c>
      <c r="X99" s="1687">
        <v>0.85</v>
      </c>
      <c r="Y99" s="1687">
        <v>0.85</v>
      </c>
      <c r="Z99" s="1687">
        <v>0.85</v>
      </c>
      <c r="AA99" s="1687">
        <v>0.85</v>
      </c>
      <c r="AB99" s="1687">
        <v>0.85</v>
      </c>
      <c r="AC99" s="1687">
        <v>0.85</v>
      </c>
      <c r="AD99" s="1687">
        <v>0.85</v>
      </c>
      <c r="AE99" s="1687">
        <v>0.85</v>
      </c>
      <c r="AF99" s="1687">
        <v>0.85</v>
      </c>
      <c r="AG99" s="1687">
        <v>0.85</v>
      </c>
      <c r="AH99" s="1687">
        <v>0.85</v>
      </c>
      <c r="AI99" s="1687">
        <v>0.85</v>
      </c>
      <c r="AJ99" s="1687">
        <v>0.85</v>
      </c>
      <c r="AK99" s="1687">
        <v>0.85</v>
      </c>
    </row>
    <row r="100" spans="2:37">
      <c r="B100" s="1930"/>
      <c r="D100" s="1929"/>
      <c r="E100" s="1672" t="s">
        <v>783</v>
      </c>
      <c r="F100" s="1687">
        <v>0.85</v>
      </c>
      <c r="G100" s="1687">
        <v>0.85</v>
      </c>
      <c r="H100" s="1687">
        <v>0.85</v>
      </c>
      <c r="I100" s="1687">
        <v>0.85</v>
      </c>
      <c r="J100" s="1687">
        <v>0.85</v>
      </c>
      <c r="K100" s="1687">
        <v>0.85</v>
      </c>
      <c r="L100" s="1687">
        <v>0.85</v>
      </c>
      <c r="M100" s="1687">
        <v>0.85</v>
      </c>
      <c r="N100" s="1687">
        <v>0.85</v>
      </c>
      <c r="O100" s="1687">
        <v>0.85</v>
      </c>
      <c r="P100" s="1687">
        <v>0.85</v>
      </c>
      <c r="Q100" s="1687">
        <v>0.85</v>
      </c>
      <c r="R100" s="1687">
        <v>0.85</v>
      </c>
      <c r="S100" s="1687">
        <v>0.85</v>
      </c>
      <c r="T100" s="1687">
        <v>0.85</v>
      </c>
      <c r="U100" s="1687">
        <v>0.85</v>
      </c>
      <c r="V100" s="1687">
        <v>0.85</v>
      </c>
      <c r="W100" s="1687">
        <v>0.85</v>
      </c>
      <c r="X100" s="1687">
        <v>0.85</v>
      </c>
      <c r="Y100" s="1687">
        <v>0.85</v>
      </c>
      <c r="Z100" s="1687">
        <v>0.85</v>
      </c>
      <c r="AA100" s="1687">
        <v>0.85</v>
      </c>
      <c r="AB100" s="1687">
        <v>0.85</v>
      </c>
      <c r="AC100" s="1687">
        <v>0.85</v>
      </c>
      <c r="AD100" s="1687">
        <v>0.85</v>
      </c>
      <c r="AE100" s="1687">
        <v>0.85</v>
      </c>
      <c r="AF100" s="1687">
        <v>0.85</v>
      </c>
      <c r="AG100" s="1687">
        <v>0.85</v>
      </c>
      <c r="AH100" s="1687">
        <v>0.85</v>
      </c>
      <c r="AI100" s="1687">
        <v>0.85</v>
      </c>
      <c r="AJ100" s="1687">
        <v>0.85</v>
      </c>
      <c r="AK100" s="1687">
        <v>0.85</v>
      </c>
    </row>
    <row r="101" spans="2:37">
      <c r="B101" s="1930"/>
      <c r="D101" s="1929"/>
      <c r="E101" s="1673" t="s">
        <v>784</v>
      </c>
      <c r="F101" s="1687">
        <v>0.85</v>
      </c>
      <c r="G101" s="1687">
        <v>0.85</v>
      </c>
      <c r="H101" s="1687">
        <v>0.85</v>
      </c>
      <c r="I101" s="1687">
        <v>0.85</v>
      </c>
      <c r="J101" s="1687">
        <v>0.85</v>
      </c>
      <c r="K101" s="1687">
        <v>0.85</v>
      </c>
      <c r="L101" s="1687">
        <v>0.85</v>
      </c>
      <c r="M101" s="1687">
        <v>0.85</v>
      </c>
      <c r="N101" s="1687">
        <v>0.85</v>
      </c>
      <c r="O101" s="1687">
        <v>0.85</v>
      </c>
      <c r="P101" s="1687">
        <v>0.85</v>
      </c>
      <c r="Q101" s="1687">
        <v>0.85</v>
      </c>
      <c r="R101" s="1687">
        <v>0.85</v>
      </c>
      <c r="S101" s="1687">
        <v>0.85</v>
      </c>
      <c r="T101" s="1687">
        <v>0.85</v>
      </c>
      <c r="U101" s="1687">
        <v>0.85</v>
      </c>
      <c r="V101" s="1687">
        <v>0.85</v>
      </c>
      <c r="W101" s="1687">
        <v>0.85</v>
      </c>
      <c r="X101" s="1687">
        <v>0.85</v>
      </c>
      <c r="Y101" s="1687">
        <v>0.85</v>
      </c>
      <c r="Z101" s="1687">
        <v>0.85</v>
      </c>
      <c r="AA101" s="1687">
        <v>0.85</v>
      </c>
      <c r="AB101" s="1687">
        <v>0.85</v>
      </c>
      <c r="AC101" s="1687">
        <v>0.85</v>
      </c>
      <c r="AD101" s="1687">
        <v>0.85</v>
      </c>
      <c r="AE101" s="1687">
        <v>0.85</v>
      </c>
      <c r="AF101" s="1687">
        <v>0.85</v>
      </c>
      <c r="AG101" s="1687">
        <v>0.85</v>
      </c>
      <c r="AH101" s="1687">
        <v>0.85</v>
      </c>
      <c r="AI101" s="1687">
        <v>0.85</v>
      </c>
      <c r="AJ101" s="1687">
        <v>0.85</v>
      </c>
      <c r="AK101" s="1687">
        <v>0.85</v>
      </c>
    </row>
    <row r="102" spans="2:37">
      <c r="B102" s="1930"/>
      <c r="D102" s="1929"/>
      <c r="E102" s="1670" t="s">
        <v>785</v>
      </c>
      <c r="F102" s="1687">
        <v>0.85</v>
      </c>
      <c r="G102" s="1687">
        <v>0.85</v>
      </c>
      <c r="H102" s="1687">
        <v>0.85</v>
      </c>
      <c r="I102" s="1687">
        <v>0.85</v>
      </c>
      <c r="J102" s="1687">
        <v>0.85</v>
      </c>
      <c r="K102" s="1687">
        <v>0.85</v>
      </c>
      <c r="L102" s="1687">
        <v>0.85</v>
      </c>
      <c r="M102" s="1687">
        <v>0.85</v>
      </c>
      <c r="N102" s="1687">
        <v>0.85</v>
      </c>
      <c r="O102" s="1687">
        <v>0.85</v>
      </c>
      <c r="P102" s="1687">
        <v>0.85</v>
      </c>
      <c r="Q102" s="1687">
        <v>0.85</v>
      </c>
      <c r="R102" s="1687">
        <v>0.85</v>
      </c>
      <c r="S102" s="1687">
        <v>0.85</v>
      </c>
      <c r="T102" s="1687">
        <v>0.85</v>
      </c>
      <c r="U102" s="1687">
        <v>0.85</v>
      </c>
      <c r="V102" s="1687">
        <v>0.85</v>
      </c>
      <c r="W102" s="1687">
        <v>0.85</v>
      </c>
      <c r="X102" s="1687">
        <v>0.85</v>
      </c>
      <c r="Y102" s="1687">
        <v>0.85</v>
      </c>
      <c r="Z102" s="1687">
        <v>0.85</v>
      </c>
      <c r="AA102" s="1687">
        <v>0.85</v>
      </c>
      <c r="AB102" s="1687">
        <v>0.85</v>
      </c>
      <c r="AC102" s="1687">
        <v>0.85</v>
      </c>
      <c r="AD102" s="1687">
        <v>0.85</v>
      </c>
      <c r="AE102" s="1687">
        <v>0.85</v>
      </c>
      <c r="AF102" s="1687">
        <v>0.85</v>
      </c>
      <c r="AG102" s="1687">
        <v>0.85</v>
      </c>
      <c r="AH102" s="1687">
        <v>0.85</v>
      </c>
      <c r="AI102" s="1687">
        <v>0.85</v>
      </c>
      <c r="AJ102" s="1687">
        <v>0.85</v>
      </c>
      <c r="AK102" s="1687">
        <v>0.85</v>
      </c>
    </row>
    <row r="103" spans="2:37">
      <c r="B103" s="1930"/>
      <c r="D103" s="1929"/>
      <c r="E103" s="1672" t="s">
        <v>786</v>
      </c>
      <c r="F103" s="1687">
        <v>0.85</v>
      </c>
      <c r="G103" s="1687">
        <v>0.85</v>
      </c>
      <c r="H103" s="1687">
        <v>0.85</v>
      </c>
      <c r="I103" s="1687">
        <v>0.85</v>
      </c>
      <c r="J103" s="1687">
        <v>0.85</v>
      </c>
      <c r="K103" s="1687">
        <v>0.85</v>
      </c>
      <c r="L103" s="1687">
        <v>0.85</v>
      </c>
      <c r="M103" s="1687">
        <v>0.85</v>
      </c>
      <c r="N103" s="1687">
        <v>0.85</v>
      </c>
      <c r="O103" s="1687">
        <v>0.85</v>
      </c>
      <c r="P103" s="1687">
        <v>0.85</v>
      </c>
      <c r="Q103" s="1687">
        <v>0.85</v>
      </c>
      <c r="R103" s="1687">
        <v>0.85</v>
      </c>
      <c r="S103" s="1687">
        <v>0.85</v>
      </c>
      <c r="T103" s="1687">
        <v>0.85</v>
      </c>
      <c r="U103" s="1687">
        <v>0.85</v>
      </c>
      <c r="V103" s="1687">
        <v>0.85</v>
      </c>
      <c r="W103" s="1687">
        <v>0.85</v>
      </c>
      <c r="X103" s="1687">
        <v>0.85</v>
      </c>
      <c r="Y103" s="1687">
        <v>0.85</v>
      </c>
      <c r="Z103" s="1687">
        <v>0.85</v>
      </c>
      <c r="AA103" s="1687">
        <v>0.85</v>
      </c>
      <c r="AB103" s="1687">
        <v>0.85</v>
      </c>
      <c r="AC103" s="1687">
        <v>0.85</v>
      </c>
      <c r="AD103" s="1687">
        <v>0.85</v>
      </c>
      <c r="AE103" s="1687">
        <v>0.85</v>
      </c>
      <c r="AF103" s="1687">
        <v>0.85</v>
      </c>
      <c r="AG103" s="1687">
        <v>0.85</v>
      </c>
      <c r="AH103" s="1687">
        <v>0.85</v>
      </c>
      <c r="AI103" s="1687">
        <v>0.85</v>
      </c>
      <c r="AJ103" s="1687">
        <v>0.85</v>
      </c>
      <c r="AK103" s="1687">
        <v>0.85</v>
      </c>
    </row>
    <row r="104" spans="2:37">
      <c r="B104" s="1930"/>
      <c r="D104" s="1929"/>
      <c r="E104" s="1673" t="s">
        <v>787</v>
      </c>
      <c r="F104" s="1687">
        <v>0.85</v>
      </c>
      <c r="G104" s="1687">
        <v>0.85</v>
      </c>
      <c r="H104" s="1687">
        <v>0.85</v>
      </c>
      <c r="I104" s="1687">
        <v>0.85</v>
      </c>
      <c r="J104" s="1687">
        <v>0.85</v>
      </c>
      <c r="K104" s="1687">
        <v>0.85</v>
      </c>
      <c r="L104" s="1687">
        <v>0.85</v>
      </c>
      <c r="M104" s="1687">
        <v>0.85</v>
      </c>
      <c r="N104" s="1687">
        <v>0.85</v>
      </c>
      <c r="O104" s="1687">
        <v>0.85</v>
      </c>
      <c r="P104" s="1687">
        <v>0.85</v>
      </c>
      <c r="Q104" s="1687">
        <v>0.85</v>
      </c>
      <c r="R104" s="1687">
        <v>0.85</v>
      </c>
      <c r="S104" s="1687">
        <v>0.85</v>
      </c>
      <c r="T104" s="1687">
        <v>0.85</v>
      </c>
      <c r="U104" s="1687">
        <v>0.85</v>
      </c>
      <c r="V104" s="1687">
        <v>0.85</v>
      </c>
      <c r="W104" s="1687">
        <v>0.85</v>
      </c>
      <c r="X104" s="1687">
        <v>0.85</v>
      </c>
      <c r="Y104" s="1687">
        <v>0.85</v>
      </c>
      <c r="Z104" s="1687">
        <v>0.85</v>
      </c>
      <c r="AA104" s="1687">
        <v>0.85</v>
      </c>
      <c r="AB104" s="1687">
        <v>0.85</v>
      </c>
      <c r="AC104" s="1687">
        <v>0.85</v>
      </c>
      <c r="AD104" s="1687">
        <v>0.85</v>
      </c>
      <c r="AE104" s="1687">
        <v>0.85</v>
      </c>
      <c r="AF104" s="1687">
        <v>0.85</v>
      </c>
      <c r="AG104" s="1687">
        <v>0.85</v>
      </c>
      <c r="AH104" s="1687">
        <v>0.85</v>
      </c>
      <c r="AI104" s="1687">
        <v>0.85</v>
      </c>
      <c r="AJ104" s="1687">
        <v>0.85</v>
      </c>
      <c r="AK104" s="1687">
        <v>0.85</v>
      </c>
    </row>
    <row r="105" spans="2:37">
      <c r="B105" s="1930"/>
      <c r="D105" s="1929"/>
      <c r="E105" s="1670" t="s">
        <v>788</v>
      </c>
      <c r="F105" s="1687">
        <v>0.85</v>
      </c>
      <c r="G105" s="1687">
        <v>0.85</v>
      </c>
      <c r="H105" s="1687">
        <v>0.85</v>
      </c>
      <c r="I105" s="1687">
        <v>0.85</v>
      </c>
      <c r="J105" s="1687">
        <v>0.85</v>
      </c>
      <c r="K105" s="1687">
        <v>0.85</v>
      </c>
      <c r="L105" s="1687">
        <v>0.85</v>
      </c>
      <c r="M105" s="1687">
        <v>0.85</v>
      </c>
      <c r="N105" s="1687">
        <v>0.85</v>
      </c>
      <c r="O105" s="1687">
        <v>0.85</v>
      </c>
      <c r="P105" s="1687">
        <v>0.85</v>
      </c>
      <c r="Q105" s="1687">
        <v>0.85</v>
      </c>
      <c r="R105" s="1687">
        <v>0.85</v>
      </c>
      <c r="S105" s="1687">
        <v>0.85</v>
      </c>
      <c r="T105" s="1687">
        <v>0.85</v>
      </c>
      <c r="U105" s="1687">
        <v>0.85</v>
      </c>
      <c r="V105" s="1687">
        <v>0.85</v>
      </c>
      <c r="W105" s="1687">
        <v>0.85</v>
      </c>
      <c r="X105" s="1687">
        <v>0.85</v>
      </c>
      <c r="Y105" s="1687">
        <v>0.85</v>
      </c>
      <c r="Z105" s="1687">
        <v>0.85</v>
      </c>
      <c r="AA105" s="1687">
        <v>0.85</v>
      </c>
      <c r="AB105" s="1687">
        <v>0.85</v>
      </c>
      <c r="AC105" s="1687">
        <v>0.85</v>
      </c>
      <c r="AD105" s="1687">
        <v>0.85</v>
      </c>
      <c r="AE105" s="1687">
        <v>0.85</v>
      </c>
      <c r="AF105" s="1687">
        <v>0.85</v>
      </c>
      <c r="AG105" s="1687">
        <v>0.85</v>
      </c>
      <c r="AH105" s="1687">
        <v>0.85</v>
      </c>
      <c r="AI105" s="1687">
        <v>0.85</v>
      </c>
      <c r="AJ105" s="1687">
        <v>0.85</v>
      </c>
      <c r="AK105" s="1687">
        <v>0.85</v>
      </c>
    </row>
    <row r="106" spans="2:37">
      <c r="B106" s="1930"/>
      <c r="D106" s="1929"/>
      <c r="E106" s="1672" t="s">
        <v>789</v>
      </c>
      <c r="F106" s="1687">
        <v>0.85</v>
      </c>
      <c r="G106" s="1687">
        <v>0.85</v>
      </c>
      <c r="H106" s="1687">
        <v>0.85</v>
      </c>
      <c r="I106" s="1687">
        <v>0.85</v>
      </c>
      <c r="J106" s="1687">
        <v>0.85</v>
      </c>
      <c r="K106" s="1687">
        <v>0.85</v>
      </c>
      <c r="L106" s="1687">
        <v>0.85</v>
      </c>
      <c r="M106" s="1687">
        <v>0.85</v>
      </c>
      <c r="N106" s="1687">
        <v>0.85</v>
      </c>
      <c r="O106" s="1687">
        <v>0.85</v>
      </c>
      <c r="P106" s="1687">
        <v>0.85</v>
      </c>
      <c r="Q106" s="1687">
        <v>0.85</v>
      </c>
      <c r="R106" s="1687">
        <v>0.85</v>
      </c>
      <c r="S106" s="1687">
        <v>0.85</v>
      </c>
      <c r="T106" s="1687">
        <v>0.85</v>
      </c>
      <c r="U106" s="1687">
        <v>0.85</v>
      </c>
      <c r="V106" s="1687">
        <v>0.85</v>
      </c>
      <c r="W106" s="1687">
        <v>0.85</v>
      </c>
      <c r="X106" s="1687">
        <v>0.85</v>
      </c>
      <c r="Y106" s="1687">
        <v>0.85</v>
      </c>
      <c r="Z106" s="1687">
        <v>0.85</v>
      </c>
      <c r="AA106" s="1687">
        <v>0.85</v>
      </c>
      <c r="AB106" s="1687">
        <v>0.85</v>
      </c>
      <c r="AC106" s="1687">
        <v>0.85</v>
      </c>
      <c r="AD106" s="1687">
        <v>0.85</v>
      </c>
      <c r="AE106" s="1687">
        <v>0.85</v>
      </c>
      <c r="AF106" s="1687">
        <v>0.85</v>
      </c>
      <c r="AG106" s="1687">
        <v>0.85</v>
      </c>
      <c r="AH106" s="1687">
        <v>0.85</v>
      </c>
      <c r="AI106" s="1687">
        <v>0.85</v>
      </c>
      <c r="AJ106" s="1687">
        <v>0.85</v>
      </c>
      <c r="AK106" s="1687">
        <v>0.85</v>
      </c>
    </row>
    <row r="107" spans="2:37">
      <c r="B107" s="1930"/>
      <c r="D107" s="1929"/>
      <c r="E107" s="1673" t="s">
        <v>790</v>
      </c>
      <c r="F107" s="1687">
        <v>0.85</v>
      </c>
      <c r="G107" s="1687">
        <v>0.85</v>
      </c>
      <c r="H107" s="1687">
        <v>0.85</v>
      </c>
      <c r="I107" s="1687">
        <v>0.85</v>
      </c>
      <c r="J107" s="1687">
        <v>0.85</v>
      </c>
      <c r="K107" s="1687">
        <v>0.85</v>
      </c>
      <c r="L107" s="1687">
        <v>0.85</v>
      </c>
      <c r="M107" s="1687">
        <v>0.85</v>
      </c>
      <c r="N107" s="1687">
        <v>0.85</v>
      </c>
      <c r="O107" s="1687">
        <v>0.85</v>
      </c>
      <c r="P107" s="1687">
        <v>0.85</v>
      </c>
      <c r="Q107" s="1687">
        <v>0.85</v>
      </c>
      <c r="R107" s="1687">
        <v>0.85</v>
      </c>
      <c r="S107" s="1687">
        <v>0.85</v>
      </c>
      <c r="T107" s="1687">
        <v>0.85</v>
      </c>
      <c r="U107" s="1687">
        <v>0.85</v>
      </c>
      <c r="V107" s="1687">
        <v>0.85</v>
      </c>
      <c r="W107" s="1687">
        <v>0.85</v>
      </c>
      <c r="X107" s="1687">
        <v>0.85</v>
      </c>
      <c r="Y107" s="1687">
        <v>0.85</v>
      </c>
      <c r="Z107" s="1687">
        <v>0.85</v>
      </c>
      <c r="AA107" s="1687">
        <v>0.85</v>
      </c>
      <c r="AB107" s="1687">
        <v>0.85</v>
      </c>
      <c r="AC107" s="1687">
        <v>0.85</v>
      </c>
      <c r="AD107" s="1687">
        <v>0.85</v>
      </c>
      <c r="AE107" s="1687">
        <v>0.85</v>
      </c>
      <c r="AF107" s="1687">
        <v>0.85</v>
      </c>
      <c r="AG107" s="1687">
        <v>0.85</v>
      </c>
      <c r="AH107" s="1687">
        <v>0.85</v>
      </c>
      <c r="AI107" s="1687">
        <v>0.85</v>
      </c>
      <c r="AJ107" s="1687">
        <v>0.85</v>
      </c>
      <c r="AK107" s="1687">
        <v>0.85</v>
      </c>
    </row>
    <row r="108" spans="2:37">
      <c r="B108" s="1930"/>
    </row>
    <row r="109" spans="2:37">
      <c r="B109" s="1930"/>
    </row>
    <row r="110" spans="2:37">
      <c r="B110" s="1930"/>
      <c r="D110" s="1928" t="s">
        <v>801</v>
      </c>
      <c r="E110" s="1670" t="s">
        <v>776</v>
      </c>
      <c r="F110" s="1687">
        <v>8.3000000000000004E-2</v>
      </c>
      <c r="G110" s="1687">
        <v>8.3000000000000004E-2</v>
      </c>
      <c r="H110" s="1687">
        <v>8.3000000000000004E-2</v>
      </c>
      <c r="I110" s="1687">
        <v>8.3000000000000004E-2</v>
      </c>
      <c r="J110" s="1687">
        <v>8.3000000000000004E-2</v>
      </c>
      <c r="K110" s="1687">
        <v>8.3000000000000004E-2</v>
      </c>
      <c r="L110" s="1687">
        <v>8.3000000000000004E-2</v>
      </c>
      <c r="M110" s="1687">
        <v>8.3000000000000004E-2</v>
      </c>
      <c r="N110" s="1687">
        <v>8.3000000000000004E-2</v>
      </c>
      <c r="O110" s="1687">
        <v>8.3000000000000004E-2</v>
      </c>
      <c r="P110" s="1687">
        <v>8.3000000000000004E-2</v>
      </c>
      <c r="Q110" s="1687">
        <v>8.3000000000000004E-2</v>
      </c>
      <c r="R110" s="1687">
        <v>8.3000000000000004E-2</v>
      </c>
      <c r="S110" s="1687">
        <v>8.3000000000000004E-2</v>
      </c>
      <c r="T110" s="1687">
        <v>8.3000000000000004E-2</v>
      </c>
      <c r="U110" s="1687">
        <v>8.3000000000000004E-2</v>
      </c>
      <c r="V110" s="1687">
        <v>8.3000000000000004E-2</v>
      </c>
      <c r="W110" s="1687">
        <v>8.3000000000000004E-2</v>
      </c>
      <c r="X110" s="1687">
        <v>8.3000000000000004E-2</v>
      </c>
      <c r="Y110" s="1687">
        <v>8.3000000000000004E-2</v>
      </c>
      <c r="Z110" s="1687">
        <v>8.3000000000000004E-2</v>
      </c>
      <c r="AA110" s="1687">
        <v>8.3000000000000004E-2</v>
      </c>
      <c r="AB110" s="1687">
        <v>8.3000000000000004E-2</v>
      </c>
      <c r="AC110" s="1687">
        <v>8.3000000000000004E-2</v>
      </c>
      <c r="AD110" s="1687">
        <v>8.3000000000000004E-2</v>
      </c>
      <c r="AE110" s="1687">
        <v>8.3000000000000004E-2</v>
      </c>
      <c r="AF110" s="1687">
        <v>8.3000000000000004E-2</v>
      </c>
      <c r="AG110" s="1687">
        <v>8.3000000000000004E-2</v>
      </c>
      <c r="AH110" s="1687">
        <v>8.3000000000000004E-2</v>
      </c>
      <c r="AI110" s="1687">
        <v>8.3000000000000004E-2</v>
      </c>
      <c r="AJ110" s="1687">
        <v>8.3000000000000004E-2</v>
      </c>
      <c r="AK110" s="1687">
        <v>8.3000000000000004E-2</v>
      </c>
    </row>
    <row r="111" spans="2:37">
      <c r="B111" s="1930"/>
      <c r="D111" s="1929"/>
      <c r="E111" s="1672" t="s">
        <v>777</v>
      </c>
      <c r="F111" s="1687">
        <v>8.3000000000000004E-2</v>
      </c>
      <c r="G111" s="1687">
        <v>8.3000000000000004E-2</v>
      </c>
      <c r="H111" s="1687">
        <v>8.3000000000000004E-2</v>
      </c>
      <c r="I111" s="1687">
        <v>8.3000000000000004E-2</v>
      </c>
      <c r="J111" s="1687">
        <v>8.3000000000000004E-2</v>
      </c>
      <c r="K111" s="1687">
        <v>8.3000000000000004E-2</v>
      </c>
      <c r="L111" s="1687">
        <v>8.3000000000000004E-2</v>
      </c>
      <c r="M111" s="1687">
        <v>8.3000000000000004E-2</v>
      </c>
      <c r="N111" s="1687">
        <v>8.3000000000000004E-2</v>
      </c>
      <c r="O111" s="1687">
        <v>8.3000000000000004E-2</v>
      </c>
      <c r="P111" s="1687">
        <v>8.3000000000000004E-2</v>
      </c>
      <c r="Q111" s="1687">
        <v>8.3000000000000004E-2</v>
      </c>
      <c r="R111" s="1687">
        <v>8.3000000000000004E-2</v>
      </c>
      <c r="S111" s="1687">
        <v>8.3000000000000004E-2</v>
      </c>
      <c r="T111" s="1687">
        <v>8.3000000000000004E-2</v>
      </c>
      <c r="U111" s="1687">
        <v>8.3000000000000004E-2</v>
      </c>
      <c r="V111" s="1687">
        <v>8.3000000000000004E-2</v>
      </c>
      <c r="W111" s="1687">
        <v>8.3000000000000004E-2</v>
      </c>
      <c r="X111" s="1687">
        <v>8.3000000000000004E-2</v>
      </c>
      <c r="Y111" s="1687">
        <v>8.3000000000000004E-2</v>
      </c>
      <c r="Z111" s="1687">
        <v>8.3000000000000004E-2</v>
      </c>
      <c r="AA111" s="1687">
        <v>8.3000000000000004E-2</v>
      </c>
      <c r="AB111" s="1687">
        <v>8.3000000000000004E-2</v>
      </c>
      <c r="AC111" s="1687">
        <v>8.3000000000000004E-2</v>
      </c>
      <c r="AD111" s="1687">
        <v>8.3000000000000004E-2</v>
      </c>
      <c r="AE111" s="1687">
        <v>8.3000000000000004E-2</v>
      </c>
      <c r="AF111" s="1687">
        <v>8.3000000000000004E-2</v>
      </c>
      <c r="AG111" s="1687">
        <v>8.3000000000000004E-2</v>
      </c>
      <c r="AH111" s="1687">
        <v>8.3000000000000004E-2</v>
      </c>
      <c r="AI111" s="1687">
        <v>8.3000000000000004E-2</v>
      </c>
      <c r="AJ111" s="1687">
        <v>8.3000000000000004E-2</v>
      </c>
      <c r="AK111" s="1687">
        <v>8.3000000000000004E-2</v>
      </c>
    </row>
    <row r="112" spans="2:37">
      <c r="B112" s="1930"/>
      <c r="D112" s="1929"/>
      <c r="E112" s="1673" t="s">
        <v>778</v>
      </c>
      <c r="F112" s="1687">
        <v>8.3000000000000004E-2</v>
      </c>
      <c r="G112" s="1687">
        <v>8.3000000000000004E-2</v>
      </c>
      <c r="H112" s="1687">
        <v>8.3000000000000004E-2</v>
      </c>
      <c r="I112" s="1687">
        <v>8.3000000000000004E-2</v>
      </c>
      <c r="J112" s="1687">
        <v>8.3000000000000004E-2</v>
      </c>
      <c r="K112" s="1687">
        <v>8.3000000000000004E-2</v>
      </c>
      <c r="L112" s="1687">
        <v>8.3000000000000004E-2</v>
      </c>
      <c r="M112" s="1687">
        <v>8.3000000000000004E-2</v>
      </c>
      <c r="N112" s="1687">
        <v>8.3000000000000004E-2</v>
      </c>
      <c r="O112" s="1687">
        <v>8.3000000000000004E-2</v>
      </c>
      <c r="P112" s="1687">
        <v>8.3000000000000004E-2</v>
      </c>
      <c r="Q112" s="1687">
        <v>8.3000000000000004E-2</v>
      </c>
      <c r="R112" s="1687">
        <v>8.3000000000000004E-2</v>
      </c>
      <c r="S112" s="1687">
        <v>8.3000000000000004E-2</v>
      </c>
      <c r="T112" s="1687">
        <v>8.3000000000000004E-2</v>
      </c>
      <c r="U112" s="1687">
        <v>8.3000000000000004E-2</v>
      </c>
      <c r="V112" s="1687">
        <v>8.3000000000000004E-2</v>
      </c>
      <c r="W112" s="1687">
        <v>8.3000000000000004E-2</v>
      </c>
      <c r="X112" s="1687">
        <v>8.3000000000000004E-2</v>
      </c>
      <c r="Y112" s="1687">
        <v>8.3000000000000004E-2</v>
      </c>
      <c r="Z112" s="1687">
        <v>8.3000000000000004E-2</v>
      </c>
      <c r="AA112" s="1687">
        <v>8.3000000000000004E-2</v>
      </c>
      <c r="AB112" s="1687">
        <v>8.3000000000000004E-2</v>
      </c>
      <c r="AC112" s="1687">
        <v>8.3000000000000004E-2</v>
      </c>
      <c r="AD112" s="1687">
        <v>8.3000000000000004E-2</v>
      </c>
      <c r="AE112" s="1687">
        <v>8.3000000000000004E-2</v>
      </c>
      <c r="AF112" s="1687">
        <v>8.3000000000000004E-2</v>
      </c>
      <c r="AG112" s="1687">
        <v>8.3000000000000004E-2</v>
      </c>
      <c r="AH112" s="1687">
        <v>8.3000000000000004E-2</v>
      </c>
      <c r="AI112" s="1687">
        <v>8.3000000000000004E-2</v>
      </c>
      <c r="AJ112" s="1687">
        <v>8.3000000000000004E-2</v>
      </c>
      <c r="AK112" s="1687">
        <v>8.3000000000000004E-2</v>
      </c>
    </row>
    <row r="113" spans="2:37">
      <c r="B113" s="1930"/>
      <c r="D113" s="1929"/>
      <c r="E113" s="1670" t="s">
        <v>779</v>
      </c>
      <c r="F113" s="1687">
        <v>0.16699999999999998</v>
      </c>
      <c r="G113" s="1687">
        <v>0.16699999999999998</v>
      </c>
      <c r="H113" s="1687">
        <v>0.16699999999999998</v>
      </c>
      <c r="I113" s="1687">
        <v>0.16699999999999998</v>
      </c>
      <c r="J113" s="1687">
        <v>0.16699999999999998</v>
      </c>
      <c r="K113" s="1687">
        <v>0.16699999999999998</v>
      </c>
      <c r="L113" s="1687">
        <v>0.16699999999999998</v>
      </c>
      <c r="M113" s="1687">
        <v>0.16699999999999998</v>
      </c>
      <c r="N113" s="1687">
        <v>0.16699999999999998</v>
      </c>
      <c r="O113" s="1687">
        <v>0.16699999999999998</v>
      </c>
      <c r="P113" s="1687">
        <v>0.16699999999999998</v>
      </c>
      <c r="Q113" s="1687">
        <v>0.16699999999999998</v>
      </c>
      <c r="R113" s="1687">
        <v>0.16699999999999998</v>
      </c>
      <c r="S113" s="1687">
        <v>0.16699999999999998</v>
      </c>
      <c r="T113" s="1687">
        <v>0.16699999999999998</v>
      </c>
      <c r="U113" s="1687">
        <v>0.16699999999999998</v>
      </c>
      <c r="V113" s="1687">
        <v>0.16699999999999998</v>
      </c>
      <c r="W113" s="1687">
        <v>0.16699999999999998</v>
      </c>
      <c r="X113" s="1687">
        <v>0.16699999999999998</v>
      </c>
      <c r="Y113" s="1687">
        <v>0.16699999999999998</v>
      </c>
      <c r="Z113" s="1687">
        <v>0.16699999999999998</v>
      </c>
      <c r="AA113" s="1687">
        <v>0.16699999999999998</v>
      </c>
      <c r="AB113" s="1687">
        <v>0.16699999999999998</v>
      </c>
      <c r="AC113" s="1687">
        <v>0.16699999999999998</v>
      </c>
      <c r="AD113" s="1687">
        <v>0.16699999999999998</v>
      </c>
      <c r="AE113" s="1687">
        <v>0.16699999999999998</v>
      </c>
      <c r="AF113" s="1687">
        <v>0.16699999999999998</v>
      </c>
      <c r="AG113" s="1687">
        <v>0.16699999999999998</v>
      </c>
      <c r="AH113" s="1687">
        <v>0.16699999999999998</v>
      </c>
      <c r="AI113" s="1687">
        <v>0.16699999999999998</v>
      </c>
      <c r="AJ113" s="1687">
        <v>0.16699999999999998</v>
      </c>
      <c r="AK113" s="1687">
        <v>0.16699999999999998</v>
      </c>
    </row>
    <row r="114" spans="2:37">
      <c r="B114" s="1930"/>
      <c r="D114" s="1929"/>
      <c r="E114" s="1672" t="s">
        <v>780</v>
      </c>
      <c r="F114" s="1687">
        <v>0.16699999999999998</v>
      </c>
      <c r="G114" s="1687">
        <v>0.16699999999999998</v>
      </c>
      <c r="H114" s="1687">
        <v>0.16699999999999998</v>
      </c>
      <c r="I114" s="1687">
        <v>0.16699999999999998</v>
      </c>
      <c r="J114" s="1687">
        <v>0.16699999999999998</v>
      </c>
      <c r="K114" s="1687">
        <v>0.16699999999999998</v>
      </c>
      <c r="L114" s="1687">
        <v>0.16699999999999998</v>
      </c>
      <c r="M114" s="1687">
        <v>0.16699999999999998</v>
      </c>
      <c r="N114" s="1687">
        <v>0.16699999999999998</v>
      </c>
      <c r="O114" s="1687">
        <v>0.16699999999999998</v>
      </c>
      <c r="P114" s="1687">
        <v>0.16699999999999998</v>
      </c>
      <c r="Q114" s="1687">
        <v>0.16699999999999998</v>
      </c>
      <c r="R114" s="1687">
        <v>0.16699999999999998</v>
      </c>
      <c r="S114" s="1687">
        <v>0.16699999999999998</v>
      </c>
      <c r="T114" s="1687">
        <v>0.16699999999999998</v>
      </c>
      <c r="U114" s="1687">
        <v>0.16699999999999998</v>
      </c>
      <c r="V114" s="1687">
        <v>0.16699999999999998</v>
      </c>
      <c r="W114" s="1687">
        <v>0.16699999999999998</v>
      </c>
      <c r="X114" s="1687">
        <v>0.16699999999999998</v>
      </c>
      <c r="Y114" s="1687">
        <v>0.16699999999999998</v>
      </c>
      <c r="Z114" s="1687">
        <v>0.16699999999999998</v>
      </c>
      <c r="AA114" s="1687">
        <v>0.16699999999999998</v>
      </c>
      <c r="AB114" s="1687">
        <v>0.16699999999999998</v>
      </c>
      <c r="AC114" s="1687">
        <v>0.16699999999999998</v>
      </c>
      <c r="AD114" s="1687">
        <v>0.16699999999999998</v>
      </c>
      <c r="AE114" s="1687">
        <v>0.16699999999999998</v>
      </c>
      <c r="AF114" s="1687">
        <v>0.16699999999999998</v>
      </c>
      <c r="AG114" s="1687">
        <v>0.16699999999999998</v>
      </c>
      <c r="AH114" s="1687">
        <v>0.16699999999999998</v>
      </c>
      <c r="AI114" s="1687">
        <v>0.16699999999999998</v>
      </c>
      <c r="AJ114" s="1687">
        <v>0.16699999999999998</v>
      </c>
      <c r="AK114" s="1687">
        <v>0.16699999999999998</v>
      </c>
    </row>
    <row r="115" spans="2:37">
      <c r="B115" s="1930"/>
      <c r="D115" s="1929"/>
      <c r="E115" s="1673" t="s">
        <v>781</v>
      </c>
      <c r="F115" s="1687">
        <v>0.16699999999999998</v>
      </c>
      <c r="G115" s="1687">
        <v>0.16699999999999998</v>
      </c>
      <c r="H115" s="1687">
        <v>0.16699999999999998</v>
      </c>
      <c r="I115" s="1687">
        <v>0.16699999999999998</v>
      </c>
      <c r="J115" s="1687">
        <v>0.16699999999999998</v>
      </c>
      <c r="K115" s="1687">
        <v>0.16699999999999998</v>
      </c>
      <c r="L115" s="1687">
        <v>0.16699999999999998</v>
      </c>
      <c r="M115" s="1687">
        <v>0.16699999999999998</v>
      </c>
      <c r="N115" s="1687">
        <v>0.16699999999999998</v>
      </c>
      <c r="O115" s="1687">
        <v>0.16699999999999998</v>
      </c>
      <c r="P115" s="1687">
        <v>0.16699999999999998</v>
      </c>
      <c r="Q115" s="1687">
        <v>0.16699999999999998</v>
      </c>
      <c r="R115" s="1687">
        <v>0.16699999999999998</v>
      </c>
      <c r="S115" s="1687">
        <v>0.16699999999999998</v>
      </c>
      <c r="T115" s="1687">
        <v>0.16699999999999998</v>
      </c>
      <c r="U115" s="1687">
        <v>0.16699999999999998</v>
      </c>
      <c r="V115" s="1687">
        <v>0.16699999999999998</v>
      </c>
      <c r="W115" s="1687">
        <v>0.16699999999999998</v>
      </c>
      <c r="X115" s="1687">
        <v>0.16699999999999998</v>
      </c>
      <c r="Y115" s="1687">
        <v>0.16699999999999998</v>
      </c>
      <c r="Z115" s="1687">
        <v>0.16699999999999998</v>
      </c>
      <c r="AA115" s="1687">
        <v>0.16699999999999998</v>
      </c>
      <c r="AB115" s="1687">
        <v>0.16699999999999998</v>
      </c>
      <c r="AC115" s="1687">
        <v>0.16699999999999998</v>
      </c>
      <c r="AD115" s="1687">
        <v>0.16699999999999998</v>
      </c>
      <c r="AE115" s="1687">
        <v>0.16699999999999998</v>
      </c>
      <c r="AF115" s="1687">
        <v>0.16699999999999998</v>
      </c>
      <c r="AG115" s="1687">
        <v>0.16699999999999998</v>
      </c>
      <c r="AH115" s="1687">
        <v>0.16699999999999998</v>
      </c>
      <c r="AI115" s="1687">
        <v>0.16699999999999998</v>
      </c>
      <c r="AJ115" s="1687">
        <v>0.16699999999999998</v>
      </c>
      <c r="AK115" s="1687">
        <v>0.16699999999999998</v>
      </c>
    </row>
    <row r="116" spans="2:37">
      <c r="B116" s="1930"/>
      <c r="D116" s="1929"/>
      <c r="E116" s="1670" t="s">
        <v>782</v>
      </c>
      <c r="F116" s="1687">
        <v>0.249</v>
      </c>
      <c r="G116" s="1687">
        <v>0.249</v>
      </c>
      <c r="H116" s="1687">
        <v>0.249</v>
      </c>
      <c r="I116" s="1687">
        <v>0.249</v>
      </c>
      <c r="J116" s="1687">
        <v>0.249</v>
      </c>
      <c r="K116" s="1687">
        <v>0.249</v>
      </c>
      <c r="L116" s="1687">
        <v>0.249</v>
      </c>
      <c r="M116" s="1687">
        <v>0.249</v>
      </c>
      <c r="N116" s="1687">
        <v>0.249</v>
      </c>
      <c r="O116" s="1687">
        <v>0.249</v>
      </c>
      <c r="P116" s="1687">
        <v>0.249</v>
      </c>
      <c r="Q116" s="1687">
        <v>0.249</v>
      </c>
      <c r="R116" s="1687">
        <v>0.249</v>
      </c>
      <c r="S116" s="1687">
        <v>0.249</v>
      </c>
      <c r="T116" s="1687">
        <v>0.249</v>
      </c>
      <c r="U116" s="1687">
        <v>0.249</v>
      </c>
      <c r="V116" s="1687">
        <v>0.249</v>
      </c>
      <c r="W116" s="1687">
        <v>0.249</v>
      </c>
      <c r="X116" s="1687">
        <v>0.249</v>
      </c>
      <c r="Y116" s="1687">
        <v>0.249</v>
      </c>
      <c r="Z116" s="1687">
        <v>0.249</v>
      </c>
      <c r="AA116" s="1687">
        <v>0.249</v>
      </c>
      <c r="AB116" s="1687">
        <v>0.249</v>
      </c>
      <c r="AC116" s="1687">
        <v>0.249</v>
      </c>
      <c r="AD116" s="1687">
        <v>0.249</v>
      </c>
      <c r="AE116" s="1687">
        <v>0.249</v>
      </c>
      <c r="AF116" s="1687">
        <v>0.249</v>
      </c>
      <c r="AG116" s="1687">
        <v>0.249</v>
      </c>
      <c r="AH116" s="1687">
        <v>0.249</v>
      </c>
      <c r="AI116" s="1687">
        <v>0.249</v>
      </c>
      <c r="AJ116" s="1687">
        <v>0.249</v>
      </c>
      <c r="AK116" s="1687">
        <v>0.249</v>
      </c>
    </row>
    <row r="117" spans="2:37">
      <c r="B117" s="1930"/>
      <c r="D117" s="1929"/>
      <c r="E117" s="1672" t="s">
        <v>783</v>
      </c>
      <c r="F117" s="1687">
        <v>0.249</v>
      </c>
      <c r="G117" s="1687">
        <v>0.249</v>
      </c>
      <c r="H117" s="1687">
        <v>0.249</v>
      </c>
      <c r="I117" s="1687">
        <v>0.249</v>
      </c>
      <c r="J117" s="1687">
        <v>0.249</v>
      </c>
      <c r="K117" s="1687">
        <v>0.249</v>
      </c>
      <c r="L117" s="1687">
        <v>0.249</v>
      </c>
      <c r="M117" s="1687">
        <v>0.249</v>
      </c>
      <c r="N117" s="1687">
        <v>0.249</v>
      </c>
      <c r="O117" s="1687">
        <v>0.249</v>
      </c>
      <c r="P117" s="1687">
        <v>0.249</v>
      </c>
      <c r="Q117" s="1687">
        <v>0.249</v>
      </c>
      <c r="R117" s="1687">
        <v>0.249</v>
      </c>
      <c r="S117" s="1687">
        <v>0.249</v>
      </c>
      <c r="T117" s="1687">
        <v>0.249</v>
      </c>
      <c r="U117" s="1687">
        <v>0.249</v>
      </c>
      <c r="V117" s="1687">
        <v>0.249</v>
      </c>
      <c r="W117" s="1687">
        <v>0.249</v>
      </c>
      <c r="X117" s="1687">
        <v>0.249</v>
      </c>
      <c r="Y117" s="1687">
        <v>0.249</v>
      </c>
      <c r="Z117" s="1687">
        <v>0.249</v>
      </c>
      <c r="AA117" s="1687">
        <v>0.249</v>
      </c>
      <c r="AB117" s="1687">
        <v>0.249</v>
      </c>
      <c r="AC117" s="1687">
        <v>0.249</v>
      </c>
      <c r="AD117" s="1687">
        <v>0.249</v>
      </c>
      <c r="AE117" s="1687">
        <v>0.249</v>
      </c>
      <c r="AF117" s="1687">
        <v>0.249</v>
      </c>
      <c r="AG117" s="1687">
        <v>0.249</v>
      </c>
      <c r="AH117" s="1687">
        <v>0.249</v>
      </c>
      <c r="AI117" s="1687">
        <v>0.249</v>
      </c>
      <c r="AJ117" s="1687">
        <v>0.249</v>
      </c>
      <c r="AK117" s="1687">
        <v>0.249</v>
      </c>
    </row>
    <row r="118" spans="2:37">
      <c r="B118" s="1930"/>
      <c r="D118" s="1929"/>
      <c r="E118" s="1673" t="s">
        <v>784</v>
      </c>
      <c r="F118" s="1687">
        <v>0.249</v>
      </c>
      <c r="G118" s="1687">
        <v>0.249</v>
      </c>
      <c r="H118" s="1687">
        <v>0.249</v>
      </c>
      <c r="I118" s="1687">
        <v>0.249</v>
      </c>
      <c r="J118" s="1687">
        <v>0.249</v>
      </c>
      <c r="K118" s="1687">
        <v>0.249</v>
      </c>
      <c r="L118" s="1687">
        <v>0.249</v>
      </c>
      <c r="M118" s="1687">
        <v>0.249</v>
      </c>
      <c r="N118" s="1687">
        <v>0.249</v>
      </c>
      <c r="O118" s="1687">
        <v>0.249</v>
      </c>
      <c r="P118" s="1687">
        <v>0.249</v>
      </c>
      <c r="Q118" s="1687">
        <v>0.249</v>
      </c>
      <c r="R118" s="1687">
        <v>0.249</v>
      </c>
      <c r="S118" s="1687">
        <v>0.249</v>
      </c>
      <c r="T118" s="1687">
        <v>0.249</v>
      </c>
      <c r="U118" s="1687">
        <v>0.249</v>
      </c>
      <c r="V118" s="1687">
        <v>0.249</v>
      </c>
      <c r="W118" s="1687">
        <v>0.249</v>
      </c>
      <c r="X118" s="1687">
        <v>0.249</v>
      </c>
      <c r="Y118" s="1687">
        <v>0.249</v>
      </c>
      <c r="Z118" s="1687">
        <v>0.249</v>
      </c>
      <c r="AA118" s="1687">
        <v>0.249</v>
      </c>
      <c r="AB118" s="1687">
        <v>0.249</v>
      </c>
      <c r="AC118" s="1687">
        <v>0.249</v>
      </c>
      <c r="AD118" s="1687">
        <v>0.249</v>
      </c>
      <c r="AE118" s="1687">
        <v>0.249</v>
      </c>
      <c r="AF118" s="1687">
        <v>0.249</v>
      </c>
      <c r="AG118" s="1687">
        <v>0.249</v>
      </c>
      <c r="AH118" s="1687">
        <v>0.249</v>
      </c>
      <c r="AI118" s="1687">
        <v>0.249</v>
      </c>
      <c r="AJ118" s="1687">
        <v>0.249</v>
      </c>
      <c r="AK118" s="1687">
        <v>0.249</v>
      </c>
    </row>
    <row r="119" spans="2:37">
      <c r="B119" s="1930"/>
      <c r="D119" s="1929"/>
      <c r="E119" s="1670" t="s">
        <v>785</v>
      </c>
      <c r="F119" s="1687">
        <v>0.33200000000000002</v>
      </c>
      <c r="G119" s="1687">
        <v>0.33200000000000002</v>
      </c>
      <c r="H119" s="1687">
        <v>0.33200000000000002</v>
      </c>
      <c r="I119" s="1687">
        <v>0.33200000000000002</v>
      </c>
      <c r="J119" s="1687">
        <v>0.33200000000000002</v>
      </c>
      <c r="K119" s="1687">
        <v>0.33200000000000002</v>
      </c>
      <c r="L119" s="1687">
        <v>0.33200000000000002</v>
      </c>
      <c r="M119" s="1687">
        <v>0.33200000000000002</v>
      </c>
      <c r="N119" s="1687">
        <v>0.33200000000000002</v>
      </c>
      <c r="O119" s="1687">
        <v>0.33200000000000002</v>
      </c>
      <c r="P119" s="1687">
        <v>0.33200000000000002</v>
      </c>
      <c r="Q119" s="1687">
        <v>0.33200000000000002</v>
      </c>
      <c r="R119" s="1687">
        <v>0.33200000000000002</v>
      </c>
      <c r="S119" s="1687">
        <v>0.33200000000000002</v>
      </c>
      <c r="T119" s="1687">
        <v>0.33200000000000002</v>
      </c>
      <c r="U119" s="1687">
        <v>0.33200000000000002</v>
      </c>
      <c r="V119" s="1687">
        <v>0.33200000000000002</v>
      </c>
      <c r="W119" s="1687">
        <v>0.33200000000000002</v>
      </c>
      <c r="X119" s="1687">
        <v>0.33200000000000002</v>
      </c>
      <c r="Y119" s="1687">
        <v>0.33200000000000002</v>
      </c>
      <c r="Z119" s="1687">
        <v>0.33200000000000002</v>
      </c>
      <c r="AA119" s="1687">
        <v>0.33200000000000002</v>
      </c>
      <c r="AB119" s="1687">
        <v>0.33200000000000002</v>
      </c>
      <c r="AC119" s="1687">
        <v>0.33200000000000002</v>
      </c>
      <c r="AD119" s="1687">
        <v>0.33200000000000002</v>
      </c>
      <c r="AE119" s="1687">
        <v>0.33200000000000002</v>
      </c>
      <c r="AF119" s="1687">
        <v>0.33200000000000002</v>
      </c>
      <c r="AG119" s="1687">
        <v>0.33200000000000002</v>
      </c>
      <c r="AH119" s="1687">
        <v>0.33200000000000002</v>
      </c>
      <c r="AI119" s="1687">
        <v>0.33200000000000002</v>
      </c>
      <c r="AJ119" s="1687">
        <v>0.33200000000000002</v>
      </c>
      <c r="AK119" s="1687">
        <v>0.33200000000000002</v>
      </c>
    </row>
    <row r="120" spans="2:37">
      <c r="B120" s="1930"/>
      <c r="D120" s="1929"/>
      <c r="E120" s="1672" t="s">
        <v>786</v>
      </c>
      <c r="F120" s="1687">
        <v>0.33200000000000002</v>
      </c>
      <c r="G120" s="1687">
        <v>0.33200000000000002</v>
      </c>
      <c r="H120" s="1687">
        <v>0.33200000000000002</v>
      </c>
      <c r="I120" s="1687">
        <v>0.33200000000000002</v>
      </c>
      <c r="J120" s="1687">
        <v>0.33200000000000002</v>
      </c>
      <c r="K120" s="1687">
        <v>0.33200000000000002</v>
      </c>
      <c r="L120" s="1687">
        <v>0.33200000000000002</v>
      </c>
      <c r="M120" s="1687">
        <v>0.33200000000000002</v>
      </c>
      <c r="N120" s="1687">
        <v>0.33200000000000002</v>
      </c>
      <c r="O120" s="1687">
        <v>0.33200000000000002</v>
      </c>
      <c r="P120" s="1687">
        <v>0.33200000000000002</v>
      </c>
      <c r="Q120" s="1687">
        <v>0.33200000000000002</v>
      </c>
      <c r="R120" s="1687">
        <v>0.33200000000000002</v>
      </c>
      <c r="S120" s="1687">
        <v>0.33200000000000002</v>
      </c>
      <c r="T120" s="1687">
        <v>0.33200000000000002</v>
      </c>
      <c r="U120" s="1687">
        <v>0.33200000000000002</v>
      </c>
      <c r="V120" s="1687">
        <v>0.33200000000000002</v>
      </c>
      <c r="W120" s="1687">
        <v>0.33200000000000002</v>
      </c>
      <c r="X120" s="1687">
        <v>0.33200000000000002</v>
      </c>
      <c r="Y120" s="1687">
        <v>0.33200000000000002</v>
      </c>
      <c r="Z120" s="1687">
        <v>0.33200000000000002</v>
      </c>
      <c r="AA120" s="1687">
        <v>0.33200000000000002</v>
      </c>
      <c r="AB120" s="1687">
        <v>0.33200000000000002</v>
      </c>
      <c r="AC120" s="1687">
        <v>0.33200000000000002</v>
      </c>
      <c r="AD120" s="1687">
        <v>0.33200000000000002</v>
      </c>
      <c r="AE120" s="1687">
        <v>0.33200000000000002</v>
      </c>
      <c r="AF120" s="1687">
        <v>0.33200000000000002</v>
      </c>
      <c r="AG120" s="1687">
        <v>0.33200000000000002</v>
      </c>
      <c r="AH120" s="1687">
        <v>0.33200000000000002</v>
      </c>
      <c r="AI120" s="1687">
        <v>0.33200000000000002</v>
      </c>
      <c r="AJ120" s="1687">
        <v>0.33200000000000002</v>
      </c>
      <c r="AK120" s="1687">
        <v>0.33200000000000002</v>
      </c>
    </row>
    <row r="121" spans="2:37">
      <c r="B121" s="1930"/>
      <c r="D121" s="1929"/>
      <c r="E121" s="1673" t="s">
        <v>787</v>
      </c>
      <c r="F121" s="1687">
        <v>0.33200000000000002</v>
      </c>
      <c r="G121" s="1687">
        <v>0.33200000000000002</v>
      </c>
      <c r="H121" s="1687">
        <v>0.33200000000000002</v>
      </c>
      <c r="I121" s="1687">
        <v>0.33200000000000002</v>
      </c>
      <c r="J121" s="1687">
        <v>0.33200000000000002</v>
      </c>
      <c r="K121" s="1687">
        <v>0.33200000000000002</v>
      </c>
      <c r="L121" s="1687">
        <v>0.33200000000000002</v>
      </c>
      <c r="M121" s="1687">
        <v>0.33200000000000002</v>
      </c>
      <c r="N121" s="1687">
        <v>0.33200000000000002</v>
      </c>
      <c r="O121" s="1687">
        <v>0.33200000000000002</v>
      </c>
      <c r="P121" s="1687">
        <v>0.33200000000000002</v>
      </c>
      <c r="Q121" s="1687">
        <v>0.33200000000000002</v>
      </c>
      <c r="R121" s="1687">
        <v>0.33200000000000002</v>
      </c>
      <c r="S121" s="1687">
        <v>0.33200000000000002</v>
      </c>
      <c r="T121" s="1687">
        <v>0.33200000000000002</v>
      </c>
      <c r="U121" s="1687">
        <v>0.33200000000000002</v>
      </c>
      <c r="V121" s="1687">
        <v>0.33200000000000002</v>
      </c>
      <c r="W121" s="1687">
        <v>0.33200000000000002</v>
      </c>
      <c r="X121" s="1687">
        <v>0.33200000000000002</v>
      </c>
      <c r="Y121" s="1687">
        <v>0.33200000000000002</v>
      </c>
      <c r="Z121" s="1687">
        <v>0.33200000000000002</v>
      </c>
      <c r="AA121" s="1687">
        <v>0.33200000000000002</v>
      </c>
      <c r="AB121" s="1687">
        <v>0.33200000000000002</v>
      </c>
      <c r="AC121" s="1687">
        <v>0.33200000000000002</v>
      </c>
      <c r="AD121" s="1687">
        <v>0.33200000000000002</v>
      </c>
      <c r="AE121" s="1687">
        <v>0.33200000000000002</v>
      </c>
      <c r="AF121" s="1687">
        <v>0.33200000000000002</v>
      </c>
      <c r="AG121" s="1687">
        <v>0.33200000000000002</v>
      </c>
      <c r="AH121" s="1687">
        <v>0.33200000000000002</v>
      </c>
      <c r="AI121" s="1687">
        <v>0.33200000000000002</v>
      </c>
      <c r="AJ121" s="1687">
        <v>0.33200000000000002</v>
      </c>
      <c r="AK121" s="1687">
        <v>0.33200000000000002</v>
      </c>
    </row>
    <row r="122" spans="2:37">
      <c r="B122" s="1930"/>
      <c r="D122" s="1929"/>
      <c r="E122" s="1670" t="s">
        <v>788</v>
      </c>
      <c r="F122" s="1687">
        <v>0.41499999999999998</v>
      </c>
      <c r="G122" s="1687">
        <v>0.41499999999999998</v>
      </c>
      <c r="H122" s="1687">
        <v>0.41499999999999998</v>
      </c>
      <c r="I122" s="1687">
        <v>0.41499999999999998</v>
      </c>
      <c r="J122" s="1687">
        <v>0.41499999999999998</v>
      </c>
      <c r="K122" s="1687">
        <v>0.41499999999999998</v>
      </c>
      <c r="L122" s="1687">
        <v>0.41499999999999998</v>
      </c>
      <c r="M122" s="1687">
        <v>0.41499999999999998</v>
      </c>
      <c r="N122" s="1687">
        <v>0.41499999999999998</v>
      </c>
      <c r="O122" s="1687">
        <v>0.41499999999999998</v>
      </c>
      <c r="P122" s="1687">
        <v>0.41499999999999998</v>
      </c>
      <c r="Q122" s="1687">
        <v>0.41499999999999998</v>
      </c>
      <c r="R122" s="1687">
        <v>0.41499999999999998</v>
      </c>
      <c r="S122" s="1687">
        <v>0.41499999999999998</v>
      </c>
      <c r="T122" s="1687">
        <v>0.41499999999999998</v>
      </c>
      <c r="U122" s="1687">
        <v>0.41499999999999998</v>
      </c>
      <c r="V122" s="1687">
        <v>0.41499999999999998</v>
      </c>
      <c r="W122" s="1687">
        <v>0.41499999999999998</v>
      </c>
      <c r="X122" s="1687">
        <v>0.41499999999999998</v>
      </c>
      <c r="Y122" s="1687">
        <v>0.41499999999999998</v>
      </c>
      <c r="Z122" s="1687">
        <v>0.41499999999999998</v>
      </c>
      <c r="AA122" s="1687">
        <v>0.41499999999999998</v>
      </c>
      <c r="AB122" s="1687">
        <v>0.41499999999999998</v>
      </c>
      <c r="AC122" s="1687">
        <v>0.41499999999999998</v>
      </c>
      <c r="AD122" s="1687">
        <v>0.41499999999999998</v>
      </c>
      <c r="AE122" s="1687">
        <v>0.41499999999999998</v>
      </c>
      <c r="AF122" s="1687">
        <v>0.41499999999999998</v>
      </c>
      <c r="AG122" s="1687">
        <v>0.41499999999999998</v>
      </c>
      <c r="AH122" s="1687">
        <v>0.41499999999999998</v>
      </c>
      <c r="AI122" s="1687">
        <v>0.41499999999999998</v>
      </c>
      <c r="AJ122" s="1687">
        <v>0.41499999999999998</v>
      </c>
      <c r="AK122" s="1687">
        <v>0.41499999999999998</v>
      </c>
    </row>
    <row r="123" spans="2:37">
      <c r="B123" s="1930"/>
      <c r="D123" s="1929"/>
      <c r="E123" s="1672" t="s">
        <v>789</v>
      </c>
      <c r="F123" s="1687">
        <v>0.41499999999999998</v>
      </c>
      <c r="G123" s="1687">
        <v>0.41499999999999998</v>
      </c>
      <c r="H123" s="1687">
        <v>0.41499999999999998</v>
      </c>
      <c r="I123" s="1687">
        <v>0.41499999999999998</v>
      </c>
      <c r="J123" s="1687">
        <v>0.41499999999999998</v>
      </c>
      <c r="K123" s="1687">
        <v>0.41499999999999998</v>
      </c>
      <c r="L123" s="1687">
        <v>0.41499999999999998</v>
      </c>
      <c r="M123" s="1687">
        <v>0.41499999999999998</v>
      </c>
      <c r="N123" s="1687">
        <v>0.41499999999999998</v>
      </c>
      <c r="O123" s="1687">
        <v>0.41499999999999998</v>
      </c>
      <c r="P123" s="1687">
        <v>0.41499999999999998</v>
      </c>
      <c r="Q123" s="1687">
        <v>0.41499999999999998</v>
      </c>
      <c r="R123" s="1687">
        <v>0.41499999999999998</v>
      </c>
      <c r="S123" s="1687">
        <v>0.41499999999999998</v>
      </c>
      <c r="T123" s="1687">
        <v>0.41499999999999998</v>
      </c>
      <c r="U123" s="1687">
        <v>0.41499999999999998</v>
      </c>
      <c r="V123" s="1687">
        <v>0.41499999999999998</v>
      </c>
      <c r="W123" s="1687">
        <v>0.41499999999999998</v>
      </c>
      <c r="X123" s="1687">
        <v>0.41499999999999998</v>
      </c>
      <c r="Y123" s="1687">
        <v>0.41499999999999998</v>
      </c>
      <c r="Z123" s="1687">
        <v>0.41499999999999998</v>
      </c>
      <c r="AA123" s="1687">
        <v>0.41499999999999998</v>
      </c>
      <c r="AB123" s="1687">
        <v>0.41499999999999998</v>
      </c>
      <c r="AC123" s="1687">
        <v>0.41499999999999998</v>
      </c>
      <c r="AD123" s="1687">
        <v>0.41499999999999998</v>
      </c>
      <c r="AE123" s="1687">
        <v>0.41499999999999998</v>
      </c>
      <c r="AF123" s="1687">
        <v>0.41499999999999998</v>
      </c>
      <c r="AG123" s="1687">
        <v>0.41499999999999998</v>
      </c>
      <c r="AH123" s="1687">
        <v>0.41499999999999998</v>
      </c>
      <c r="AI123" s="1687">
        <v>0.41499999999999998</v>
      </c>
      <c r="AJ123" s="1687">
        <v>0.41499999999999998</v>
      </c>
      <c r="AK123" s="1687">
        <v>0.41499999999999998</v>
      </c>
    </row>
    <row r="124" spans="2:37">
      <c r="B124" s="1930"/>
      <c r="D124" s="1929"/>
      <c r="E124" s="1673" t="s">
        <v>790</v>
      </c>
      <c r="F124" s="1687">
        <v>0.41499999999999998</v>
      </c>
      <c r="G124" s="1687">
        <v>0.41499999999999998</v>
      </c>
      <c r="H124" s="1687">
        <v>0.41499999999999998</v>
      </c>
      <c r="I124" s="1687">
        <v>0.41499999999999998</v>
      </c>
      <c r="J124" s="1687">
        <v>0.41499999999999998</v>
      </c>
      <c r="K124" s="1687">
        <v>0.41499999999999998</v>
      </c>
      <c r="L124" s="1687">
        <v>0.41499999999999998</v>
      </c>
      <c r="M124" s="1687">
        <v>0.41499999999999998</v>
      </c>
      <c r="N124" s="1687">
        <v>0.41499999999999998</v>
      </c>
      <c r="O124" s="1687">
        <v>0.41499999999999998</v>
      </c>
      <c r="P124" s="1687">
        <v>0.41499999999999998</v>
      </c>
      <c r="Q124" s="1687">
        <v>0.41499999999999998</v>
      </c>
      <c r="R124" s="1687">
        <v>0.41499999999999998</v>
      </c>
      <c r="S124" s="1687">
        <v>0.41499999999999998</v>
      </c>
      <c r="T124" s="1687">
        <v>0.41499999999999998</v>
      </c>
      <c r="U124" s="1687">
        <v>0.41499999999999998</v>
      </c>
      <c r="V124" s="1687">
        <v>0.41499999999999998</v>
      </c>
      <c r="W124" s="1687">
        <v>0.41499999999999998</v>
      </c>
      <c r="X124" s="1687">
        <v>0.41499999999999998</v>
      </c>
      <c r="Y124" s="1687">
        <v>0.41499999999999998</v>
      </c>
      <c r="Z124" s="1687">
        <v>0.41499999999999998</v>
      </c>
      <c r="AA124" s="1687">
        <v>0.41499999999999998</v>
      </c>
      <c r="AB124" s="1687">
        <v>0.41499999999999998</v>
      </c>
      <c r="AC124" s="1687">
        <v>0.41499999999999998</v>
      </c>
      <c r="AD124" s="1687">
        <v>0.41499999999999998</v>
      </c>
      <c r="AE124" s="1687">
        <v>0.41499999999999998</v>
      </c>
      <c r="AF124" s="1687">
        <v>0.41499999999999998</v>
      </c>
      <c r="AG124" s="1687">
        <v>0.41499999999999998</v>
      </c>
      <c r="AH124" s="1687">
        <v>0.41499999999999998</v>
      </c>
      <c r="AI124" s="1687">
        <v>0.41499999999999998</v>
      </c>
      <c r="AJ124" s="1687">
        <v>0.41499999999999998</v>
      </c>
      <c r="AK124" s="1687">
        <v>0.41499999999999998</v>
      </c>
    </row>
    <row r="125" spans="2:37">
      <c r="B125" s="1688"/>
    </row>
    <row r="126" spans="2:37">
      <c r="B126" s="1688"/>
    </row>
    <row r="127" spans="2:37">
      <c r="B127" s="1688"/>
    </row>
    <row r="128" spans="2:37">
      <c r="B128" s="1688"/>
    </row>
    <row r="129" spans="2:2">
      <c r="B129" s="1688"/>
    </row>
    <row r="130" spans="2:2">
      <c r="B130" s="1688"/>
    </row>
    <row r="131" spans="2:2">
      <c r="B131" s="1688"/>
    </row>
    <row r="132" spans="2:2">
      <c r="B132" s="1688"/>
    </row>
    <row r="133" spans="2:2">
      <c r="B133" s="1688"/>
    </row>
    <row r="134" spans="2:2">
      <c r="B134" s="1688"/>
    </row>
    <row r="135" spans="2:2">
      <c r="B135" s="1688"/>
    </row>
    <row r="136" spans="2:2">
      <c r="B136" s="1688"/>
    </row>
    <row r="137" spans="2:2">
      <c r="B137" s="1688"/>
    </row>
    <row r="138" spans="2:2">
      <c r="B138" s="1688"/>
    </row>
    <row r="139" spans="2:2">
      <c r="B139" s="1688"/>
    </row>
    <row r="140" spans="2:2">
      <c r="B140" s="1688"/>
    </row>
    <row r="141" spans="2:2">
      <c r="B141" s="1688"/>
    </row>
    <row r="142" spans="2:2">
      <c r="B142" s="1688"/>
    </row>
    <row r="143" spans="2:2">
      <c r="B143" s="1688"/>
    </row>
    <row r="144" spans="2:2">
      <c r="B144" s="1688"/>
    </row>
    <row r="145" spans="2:2">
      <c r="B145" s="1688"/>
    </row>
    <row r="146" spans="2:2">
      <c r="B146" s="1688"/>
    </row>
    <row r="147" spans="2:2">
      <c r="B147" s="1688"/>
    </row>
    <row r="148" spans="2:2">
      <c r="B148" s="1688"/>
    </row>
    <row r="149" spans="2:2">
      <c r="B149" s="1688"/>
    </row>
    <row r="150" spans="2:2">
      <c r="B150" s="1688"/>
    </row>
    <row r="151" spans="2:2">
      <c r="B151" s="1688"/>
    </row>
    <row r="152" spans="2:2">
      <c r="B152" s="1688"/>
    </row>
    <row r="153" spans="2:2">
      <c r="B153" s="1688"/>
    </row>
    <row r="154" spans="2:2">
      <c r="B154" s="1688"/>
    </row>
    <row r="155" spans="2:2">
      <c r="B155" s="1688"/>
    </row>
    <row r="156" spans="2:2">
      <c r="B156" s="1688"/>
    </row>
    <row r="157" spans="2:2">
      <c r="B157" s="1688"/>
    </row>
    <row r="158" spans="2:2">
      <c r="B158" s="1688"/>
    </row>
    <row r="159" spans="2:2">
      <c r="B159" s="1688"/>
    </row>
    <row r="160" spans="2:2">
      <c r="B160" s="1688"/>
    </row>
    <row r="161" spans="2:2">
      <c r="B161" s="1688"/>
    </row>
    <row r="162" spans="2:2">
      <c r="B162" s="1688"/>
    </row>
    <row r="163" spans="2:2">
      <c r="B163" s="1688"/>
    </row>
    <row r="164" spans="2:2">
      <c r="B164" s="1688"/>
    </row>
    <row r="165" spans="2:2">
      <c r="B165" s="1688"/>
    </row>
    <row r="166" spans="2:2">
      <c r="B166" s="1688"/>
    </row>
    <row r="167" spans="2:2">
      <c r="B167" s="1688"/>
    </row>
    <row r="168" spans="2:2">
      <c r="B168" s="1688"/>
    </row>
    <row r="169" spans="2:2">
      <c r="B169" s="1688"/>
    </row>
    <row r="170" spans="2:2">
      <c r="B170" s="1688"/>
    </row>
    <row r="171" spans="2:2">
      <c r="B171" s="1688"/>
    </row>
    <row r="172" spans="2:2">
      <c r="B172" s="1688"/>
    </row>
    <row r="173" spans="2:2">
      <c r="B173" s="1688"/>
    </row>
    <row r="174" spans="2:2">
      <c r="B174" s="1688"/>
    </row>
    <row r="175" spans="2:2">
      <c r="B175" s="1688"/>
    </row>
    <row r="176" spans="2:2">
      <c r="B176" s="1688"/>
    </row>
    <row r="177" spans="2:2">
      <c r="B177" s="1688"/>
    </row>
    <row r="178" spans="2:2">
      <c r="B178" s="1688"/>
    </row>
    <row r="179" spans="2:2">
      <c r="B179" s="1688"/>
    </row>
    <row r="180" spans="2:2">
      <c r="B180" s="1688"/>
    </row>
    <row r="181" spans="2:2">
      <c r="B181" s="1688"/>
    </row>
    <row r="182" spans="2:2">
      <c r="B182" s="1688"/>
    </row>
    <row r="183" spans="2:2">
      <c r="B183" s="1688"/>
    </row>
    <row r="184" spans="2:2">
      <c r="B184" s="1688"/>
    </row>
    <row r="185" spans="2:2">
      <c r="B185" s="1688"/>
    </row>
    <row r="186" spans="2:2">
      <c r="B186" s="1688"/>
    </row>
    <row r="187" spans="2:2">
      <c r="B187" s="1688"/>
    </row>
    <row r="188" spans="2:2">
      <c r="B188" s="1688"/>
    </row>
    <row r="189" spans="2:2">
      <c r="B189" s="1688"/>
    </row>
    <row r="190" spans="2:2">
      <c r="B190" s="1688"/>
    </row>
    <row r="191" spans="2:2">
      <c r="B191" s="1688"/>
    </row>
    <row r="192" spans="2:2">
      <c r="B192" s="1688"/>
    </row>
    <row r="193" spans="2:2">
      <c r="B193" s="1688"/>
    </row>
    <row r="194" spans="2:2">
      <c r="B194" s="1688"/>
    </row>
    <row r="195" spans="2:2">
      <c r="B195" s="1688"/>
    </row>
    <row r="196" spans="2:2">
      <c r="B196" s="1688"/>
    </row>
    <row r="197" spans="2:2">
      <c r="B197" s="1688"/>
    </row>
    <row r="198" spans="2:2">
      <c r="B198" s="1688"/>
    </row>
    <row r="199" spans="2:2">
      <c r="B199" s="1688"/>
    </row>
    <row r="200" spans="2:2">
      <c r="B200" s="1688"/>
    </row>
    <row r="201" spans="2:2">
      <c r="B201" s="1688"/>
    </row>
    <row r="202" spans="2:2">
      <c r="B202" s="1688"/>
    </row>
    <row r="203" spans="2:2">
      <c r="B203" s="1688"/>
    </row>
    <row r="204" spans="2:2">
      <c r="B204" s="1688"/>
    </row>
    <row r="205" spans="2:2">
      <c r="B205" s="1688"/>
    </row>
    <row r="206" spans="2:2">
      <c r="B206" s="1688"/>
    </row>
    <row r="207" spans="2:2">
      <c r="B207" s="1688"/>
    </row>
    <row r="208" spans="2:2">
      <c r="B208" s="1688"/>
    </row>
    <row r="209" spans="2:2">
      <c r="B209" s="1688"/>
    </row>
    <row r="210" spans="2:2">
      <c r="B210" s="1688"/>
    </row>
    <row r="211" spans="2:2">
      <c r="B211" s="1688"/>
    </row>
    <row r="212" spans="2:2">
      <c r="B212" s="1688"/>
    </row>
    <row r="213" spans="2:2">
      <c r="B213" s="1688"/>
    </row>
    <row r="214" spans="2:2">
      <c r="B214" s="1688"/>
    </row>
    <row r="215" spans="2:2">
      <c r="B215" s="1688"/>
    </row>
    <row r="216" spans="2:2">
      <c r="B216" s="1688"/>
    </row>
    <row r="217" spans="2:2">
      <c r="B217" s="1688"/>
    </row>
    <row r="218" spans="2:2">
      <c r="B218" s="1688"/>
    </row>
  </sheetData>
  <mergeCells count="17">
    <mergeCell ref="C31:P31"/>
    <mergeCell ref="B36:B124"/>
    <mergeCell ref="D36:D50"/>
    <mergeCell ref="D59:D73"/>
    <mergeCell ref="D76:D90"/>
    <mergeCell ref="D93:D107"/>
    <mergeCell ref="D110:D124"/>
    <mergeCell ref="A1:J1"/>
    <mergeCell ref="C7:P7"/>
    <mergeCell ref="B9:B27"/>
    <mergeCell ref="D9:E9"/>
    <mergeCell ref="F9:K9"/>
    <mergeCell ref="D11:K11"/>
    <mergeCell ref="D12:K12"/>
    <mergeCell ref="D13:K13"/>
    <mergeCell ref="C15:O16"/>
    <mergeCell ref="D17:D27"/>
  </mergeCells>
  <hyperlinks>
    <hyperlink ref="L1" r:id="rId1"/>
  </hyperlinks>
  <printOptions horizontalCentered="1"/>
  <pageMargins left="0.7" right="0.7" top="0.75" bottom="0.75" header="0.3" footer="0.3"/>
  <pageSetup orientation="landscape" horizontalDpi="1200" verticalDpi="1200" r:id="rId2"/>
  <headerFooter scaleWithDoc="0"/>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36193" r:id="rId6" name="Button 1">
              <controlPr defaultSize="0" print="0" autoFill="0" autoPict="0">
                <anchor moveWithCells="1" sizeWithCells="1">
                  <from>
                    <xdr:col>4</xdr:col>
                    <xdr:colOff>1400175</xdr:colOff>
                    <xdr:row>2</xdr:row>
                    <xdr:rowOff>28575</xdr:rowOff>
                  </from>
                  <to>
                    <xdr:col>5</xdr:col>
                    <xdr:colOff>219075</xdr:colOff>
                    <xdr:row>4</xdr:row>
                    <xdr:rowOff>28575</xdr:rowOff>
                  </to>
                </anchor>
              </controlPr>
            </control>
          </mc:Choice>
        </mc:AlternateContent>
        <mc:AlternateContent xmlns:mc="http://schemas.openxmlformats.org/markup-compatibility/2006">
          <mc:Choice Requires="x14">
            <control shapeId="136194" r:id="rId7" name="Button 2">
              <controlPr defaultSize="0" print="0" autoFill="0" autoPict="0">
                <anchor moveWithCells="1" sizeWithCells="1">
                  <from>
                    <xdr:col>4</xdr:col>
                    <xdr:colOff>1409700</xdr:colOff>
                    <xdr:row>2</xdr:row>
                    <xdr:rowOff>28575</xdr:rowOff>
                  </from>
                  <to>
                    <xdr:col>5</xdr:col>
                    <xdr:colOff>228600</xdr:colOff>
                    <xdr:row>4</xdr:row>
                    <xdr:rowOff>28575</xdr:rowOff>
                  </to>
                </anchor>
              </controlPr>
            </control>
          </mc:Choice>
        </mc:AlternateContent>
        <mc:AlternateContent xmlns:mc="http://schemas.openxmlformats.org/markup-compatibility/2006">
          <mc:Choice Requires="x14">
            <control shapeId="136195" r:id="rId8" name="Button 3">
              <controlPr defaultSize="0" print="0" autoFill="0" autoPict="0">
                <anchor moveWithCells="1" sizeWithCells="1">
                  <from>
                    <xdr:col>4</xdr:col>
                    <xdr:colOff>66675</xdr:colOff>
                    <xdr:row>2</xdr:row>
                    <xdr:rowOff>28575</xdr:rowOff>
                  </from>
                  <to>
                    <xdr:col>4</xdr:col>
                    <xdr:colOff>1057275</xdr:colOff>
                    <xdr:row>4</xdr:row>
                    <xdr:rowOff>28575</xdr:rowOff>
                  </to>
                </anchor>
              </controlPr>
            </control>
          </mc:Choice>
        </mc:AlternateContent>
        <mc:AlternateContent xmlns:mc="http://schemas.openxmlformats.org/markup-compatibility/2006">
          <mc:Choice Requires="x14">
            <control shapeId="136196" r:id="rId9" name="Button 4">
              <controlPr defaultSize="0" print="0" autoFill="0" autoPict="0">
                <anchor moveWithCells="1" sizeWithCells="1">
                  <from>
                    <xdr:col>6</xdr:col>
                    <xdr:colOff>0</xdr:colOff>
                    <xdr:row>2</xdr:row>
                    <xdr:rowOff>66675</xdr:rowOff>
                  </from>
                  <to>
                    <xdr:col>8</xdr:col>
                    <xdr:colOff>0</xdr:colOff>
                    <xdr:row>4</xdr:row>
                    <xdr:rowOff>66675</xdr:rowOff>
                  </to>
                </anchor>
              </controlPr>
            </control>
          </mc:Choice>
        </mc:AlternateContent>
        <mc:AlternateContent xmlns:mc="http://schemas.openxmlformats.org/markup-compatibility/2006">
          <mc:Choice Requires="x14">
            <control shapeId="136197" r:id="rId10" name="Button 5">
              <controlPr defaultSize="0" print="0" autoFill="0" autoPict="0">
                <anchor moveWithCells="1" sizeWithCells="1">
                  <from>
                    <xdr:col>4</xdr:col>
                    <xdr:colOff>1409700</xdr:colOff>
                    <xdr:row>2</xdr:row>
                    <xdr:rowOff>28575</xdr:rowOff>
                  </from>
                  <to>
                    <xdr:col>5</xdr:col>
                    <xdr:colOff>228600</xdr:colOff>
                    <xdr:row>4</xdr:row>
                    <xdr:rowOff>28575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
  <sheetViews>
    <sheetView workbookViewId="0"/>
  </sheetViews>
  <sheetFormatPr defaultColWidth="9.140625" defaultRowHeight="12.75"/>
  <cols>
    <col min="1" max="16384" width="9.140625" style="934"/>
  </cols>
  <sheetData/>
  <pageMargins left="0.7" right="0.7" top="0.75" bottom="0.75" header="0.3" footer="0.3"/>
  <pageSetup orientation="portrait" horizontalDpi="1200" verticalDpi="1200"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34998626667073579"/>
    <pageSetUpPr fitToPage="1"/>
  </sheetPr>
  <dimension ref="A1:I81"/>
  <sheetViews>
    <sheetView zoomScale="102" zoomScaleNormal="90" workbookViewId="0">
      <pane xSplit="3" topLeftCell="D1" activePane="topRight" state="frozen"/>
      <selection activeCell="L30" sqref="L30"/>
      <selection pane="topRight" activeCell="C13" sqref="C13"/>
    </sheetView>
  </sheetViews>
  <sheetFormatPr defaultColWidth="9.28515625" defaultRowHeight="0" customHeight="1" zeroHeight="1" outlineLevelRow="1"/>
  <cols>
    <col min="1" max="1" width="11.28515625" style="256" customWidth="1"/>
    <col min="2" max="2" width="42.28515625" style="256" customWidth="1"/>
    <col min="3" max="3" width="20.7109375" style="256" bestFit="1" customWidth="1"/>
    <col min="4" max="4" width="1.7109375" style="256" customWidth="1"/>
    <col min="5" max="8" width="19.5703125" style="257" customWidth="1"/>
    <col min="9" max="9" width="116.7109375" style="258" customWidth="1"/>
    <col min="10" max="55" width="9.28515625" style="256" customWidth="1"/>
    <col min="56" max="16384" width="9.28515625" style="256"/>
  </cols>
  <sheetData>
    <row r="1" spans="1:9" s="934" customFormat="1" ht="12.75" outlineLevel="1">
      <c r="E1" s="1633">
        <v>1000000</v>
      </c>
    </row>
    <row r="2" spans="1:9" ht="15"/>
    <row r="3" spans="1:9" ht="6" customHeight="1" thickBot="1">
      <c r="B3" s="262"/>
      <c r="C3" s="262"/>
      <c r="D3" s="262"/>
      <c r="E3" s="263"/>
      <c r="F3" s="263"/>
      <c r="G3" s="263"/>
      <c r="H3" s="263"/>
      <c r="I3" s="264"/>
    </row>
    <row r="4" spans="1:9" ht="6" customHeight="1" thickTop="1">
      <c r="B4" s="265"/>
      <c r="C4" s="265"/>
      <c r="D4" s="265"/>
      <c r="E4" s="266"/>
      <c r="F4" s="267"/>
      <c r="G4" s="267"/>
      <c r="H4" s="268"/>
      <c r="I4" s="576"/>
    </row>
    <row r="5" spans="1:9" ht="12.75" customHeight="1">
      <c r="B5" s="270" t="s">
        <v>125</v>
      </c>
      <c r="C5" s="270"/>
      <c r="D5" s="271"/>
      <c r="E5" s="1931" t="s">
        <v>655</v>
      </c>
      <c r="F5" s="1932"/>
      <c r="G5" s="1932"/>
      <c r="H5" s="1933"/>
      <c r="I5" s="577"/>
    </row>
    <row r="6" spans="1:9" ht="30">
      <c r="B6" s="270" t="s">
        <v>119</v>
      </c>
      <c r="C6" s="578" t="s">
        <v>315</v>
      </c>
      <c r="D6" s="271"/>
      <c r="E6" s="579" t="s">
        <v>120</v>
      </c>
      <c r="F6" s="580" t="s">
        <v>121</v>
      </c>
      <c r="G6" s="580" t="s">
        <v>111</v>
      </c>
      <c r="H6" s="581" t="s">
        <v>122</v>
      </c>
      <c r="I6" s="577"/>
    </row>
    <row r="7" spans="1:9" ht="45.75" customHeight="1">
      <c r="B7" s="270" t="s">
        <v>99</v>
      </c>
      <c r="C7" s="457" t="s">
        <v>308</v>
      </c>
      <c r="D7" s="270"/>
      <c r="E7" s="582" t="s">
        <v>654</v>
      </c>
      <c r="F7" s="276" t="s">
        <v>654</v>
      </c>
      <c r="G7" s="276" t="s">
        <v>654</v>
      </c>
      <c r="H7" s="583" t="s">
        <v>654</v>
      </c>
      <c r="I7" s="584" t="s">
        <v>653</v>
      </c>
    </row>
    <row r="8" spans="1:9" ht="15">
      <c r="B8" s="270" t="s">
        <v>652</v>
      </c>
      <c r="C8" s="585"/>
      <c r="D8" s="278"/>
      <c r="E8" s="1380">
        <v>200</v>
      </c>
      <c r="F8" s="1379">
        <v>200</v>
      </c>
      <c r="G8" s="1379">
        <v>200</v>
      </c>
      <c r="H8" s="1378">
        <v>200</v>
      </c>
      <c r="I8" s="586"/>
    </row>
    <row r="9" spans="1:9" ht="15">
      <c r="B9" s="270" t="s">
        <v>651</v>
      </c>
      <c r="C9" s="585"/>
      <c r="D9" s="278"/>
      <c r="E9" s="1380">
        <v>4</v>
      </c>
      <c r="F9" s="1379">
        <v>4</v>
      </c>
      <c r="G9" s="1379">
        <v>4</v>
      </c>
      <c r="H9" s="1378">
        <v>4</v>
      </c>
      <c r="I9" s="586"/>
    </row>
    <row r="10" spans="1:9" ht="15">
      <c r="B10" s="270" t="s">
        <v>650</v>
      </c>
      <c r="C10" s="1634">
        <f>1-(1/C11)</f>
        <v>0.11180000000000012</v>
      </c>
      <c r="D10" s="278"/>
      <c r="E10" s="1377">
        <v>0.22328119999999996</v>
      </c>
      <c r="F10" s="1376">
        <v>0.22328119999999996</v>
      </c>
      <c r="G10" s="1376">
        <v>0.22328119999999996</v>
      </c>
      <c r="H10" s="1375">
        <v>0.22328119999999996</v>
      </c>
      <c r="I10" s="1374"/>
    </row>
    <row r="11" spans="1:9" ht="15">
      <c r="A11" s="256">
        <f>E11/4</f>
        <v>257.49344550434466</v>
      </c>
      <c r="B11" s="270" t="s">
        <v>649</v>
      </c>
      <c r="C11" s="1635">
        <f>E11/E12</f>
        <v>1.1258725512272012</v>
      </c>
      <c r="D11" s="278"/>
      <c r="E11" s="1373">
        <v>1029.9737820173787</v>
      </c>
      <c r="F11" s="1372">
        <v>1029.9737820173787</v>
      </c>
      <c r="G11" s="1372">
        <v>1029.9737820173787</v>
      </c>
      <c r="H11" s="1371">
        <v>1029.9737820173787</v>
      </c>
      <c r="I11" s="1370"/>
    </row>
    <row r="12" spans="1:9" ht="15">
      <c r="A12" s="256">
        <f>E12/4</f>
        <v>228.70567829695892</v>
      </c>
      <c r="B12" s="270" t="s">
        <v>648</v>
      </c>
      <c r="C12" s="1634">
        <f>E12/E11</f>
        <v>0.88819999999999999</v>
      </c>
      <c r="D12" s="278"/>
      <c r="E12" s="1373">
        <v>914.82271318783569</v>
      </c>
      <c r="F12" s="1372">
        <v>914.82271318783569</v>
      </c>
      <c r="G12" s="1372">
        <v>914.82271318783569</v>
      </c>
      <c r="H12" s="1371">
        <v>914.82271318783569</v>
      </c>
      <c r="I12" s="1370"/>
    </row>
    <row r="13" spans="1:9" ht="15">
      <c r="A13" s="256">
        <f>E13/4</f>
        <v>200</v>
      </c>
      <c r="B13" s="1636" t="s">
        <v>751</v>
      </c>
      <c r="C13" s="1637">
        <f t="shared" ref="C13" si="0">E13/$E$13</f>
        <v>1</v>
      </c>
      <c r="D13" s="282"/>
      <c r="E13" s="1738">
        <v>800</v>
      </c>
      <c r="F13" s="284">
        <v>800</v>
      </c>
      <c r="G13" s="284">
        <v>800</v>
      </c>
      <c r="H13" s="285">
        <v>800</v>
      </c>
      <c r="I13" s="587"/>
    </row>
    <row r="14" spans="1:9" ht="6" customHeight="1">
      <c r="B14" s="278"/>
      <c r="C14" s="278"/>
      <c r="D14" s="278"/>
      <c r="E14" s="287"/>
      <c r="F14" s="272"/>
      <c r="G14" s="272"/>
      <c r="H14" s="288"/>
      <c r="I14" s="586"/>
    </row>
    <row r="15" spans="1:9" ht="15">
      <c r="B15" s="588" t="s">
        <v>127</v>
      </c>
      <c r="C15" s="589"/>
      <c r="D15" s="588"/>
      <c r="E15" s="1354"/>
      <c r="F15" s="1353"/>
      <c r="G15" s="1353"/>
      <c r="H15" s="1352"/>
      <c r="I15" s="590"/>
    </row>
    <row r="16" spans="1:9" ht="6" customHeight="1">
      <c r="B16" s="289"/>
      <c r="D16" s="290"/>
      <c r="E16" s="291"/>
      <c r="F16" s="292"/>
      <c r="G16" s="292"/>
      <c r="H16" s="293"/>
      <c r="I16" s="577"/>
    </row>
    <row r="17" spans="1:9" ht="15">
      <c r="B17" s="289" t="s">
        <v>104</v>
      </c>
      <c r="C17" s="602"/>
      <c r="D17" s="300"/>
      <c r="E17" s="1638"/>
      <c r="F17" s="1775"/>
      <c r="G17" s="1775"/>
      <c r="H17" s="1776"/>
      <c r="I17" s="1367"/>
    </row>
    <row r="18" spans="1:9" ht="15">
      <c r="B18" s="608" t="s">
        <v>647</v>
      </c>
      <c r="C18" s="1356"/>
      <c r="D18" s="595"/>
      <c r="E18" s="1342">
        <v>196133500</v>
      </c>
      <c r="F18" s="1341">
        <v>196133500</v>
      </c>
      <c r="G18" s="1341">
        <v>196133500</v>
      </c>
      <c r="H18" s="1340">
        <v>196133500</v>
      </c>
      <c r="I18" s="1355" t="s">
        <v>646</v>
      </c>
    </row>
    <row r="19" spans="1:9" ht="15">
      <c r="B19" s="608" t="s">
        <v>645</v>
      </c>
      <c r="C19" s="1356"/>
      <c r="D19" s="595"/>
      <c r="E19" s="1342">
        <v>29355700</v>
      </c>
      <c r="F19" s="1341">
        <v>29355700</v>
      </c>
      <c r="G19" s="1341">
        <v>29355700</v>
      </c>
      <c r="H19" s="1340">
        <v>29355700</v>
      </c>
      <c r="I19" s="1355" t="s">
        <v>644</v>
      </c>
    </row>
    <row r="20" spans="1:9" ht="15">
      <c r="B20" s="604" t="s">
        <v>643</v>
      </c>
      <c r="C20" s="1366"/>
      <c r="D20" s="1365"/>
      <c r="E20" s="1345">
        <v>225489200</v>
      </c>
      <c r="F20" s="1344">
        <v>225489200</v>
      </c>
      <c r="G20" s="1344">
        <v>225489200</v>
      </c>
      <c r="H20" s="1343">
        <v>225489200</v>
      </c>
      <c r="I20" s="1355"/>
    </row>
    <row r="21" spans="1:9" ht="15">
      <c r="B21" s="608" t="s">
        <v>642</v>
      </c>
      <c r="C21" s="1356"/>
      <c r="D21" s="609"/>
      <c r="E21" s="1363">
        <v>11953900</v>
      </c>
      <c r="F21" s="1362">
        <v>9539300</v>
      </c>
      <c r="G21" s="1362">
        <v>10090400</v>
      </c>
      <c r="H21" s="1361">
        <v>10914100</v>
      </c>
      <c r="I21" s="1355" t="s">
        <v>641</v>
      </c>
    </row>
    <row r="22" spans="1:9" ht="12.75" customHeight="1">
      <c r="B22" s="1364" t="s">
        <v>640</v>
      </c>
      <c r="C22" s="1356"/>
      <c r="D22" s="609"/>
      <c r="E22" s="1363">
        <v>59533400</v>
      </c>
      <c r="F22" s="1362">
        <v>47508200</v>
      </c>
      <c r="G22" s="1362">
        <v>50252600</v>
      </c>
      <c r="H22" s="1361">
        <v>54354700</v>
      </c>
      <c r="I22" s="1355" t="s">
        <v>639</v>
      </c>
    </row>
    <row r="23" spans="1:9" ht="15">
      <c r="B23" s="608" t="s">
        <v>131</v>
      </c>
      <c r="C23" s="596"/>
      <c r="D23" s="609"/>
      <c r="E23" s="597"/>
      <c r="F23" s="598"/>
      <c r="G23" s="598"/>
      <c r="H23" s="599"/>
      <c r="I23" s="577"/>
    </row>
    <row r="24" spans="1:9" ht="15">
      <c r="B24" s="608" t="s">
        <v>141</v>
      </c>
      <c r="C24" s="596"/>
      <c r="D24" s="605"/>
      <c r="E24" s="1342" t="s">
        <v>638</v>
      </c>
      <c r="F24" s="1341" t="s">
        <v>638</v>
      </c>
      <c r="G24" s="1341" t="s">
        <v>638</v>
      </c>
      <c r="H24" s="1340" t="s">
        <v>638</v>
      </c>
      <c r="I24" s="1268"/>
    </row>
    <row r="25" spans="1:9" ht="15">
      <c r="B25" s="608" t="s">
        <v>142</v>
      </c>
      <c r="C25" s="596"/>
      <c r="D25" s="605"/>
      <c r="E25" s="1342" t="s">
        <v>638</v>
      </c>
      <c r="F25" s="1341" t="s">
        <v>638</v>
      </c>
      <c r="G25" s="1341" t="s">
        <v>638</v>
      </c>
      <c r="H25" s="1340" t="s">
        <v>638</v>
      </c>
      <c r="I25" s="577"/>
    </row>
    <row r="26" spans="1:9" ht="15">
      <c r="B26" s="601" t="s">
        <v>143</v>
      </c>
      <c r="C26" s="596"/>
      <c r="D26" s="605"/>
      <c r="E26" s="1360">
        <v>296976500</v>
      </c>
      <c r="F26" s="1359">
        <v>282536700</v>
      </c>
      <c r="G26" s="1359">
        <v>285832200</v>
      </c>
      <c r="H26" s="1358">
        <v>290758000</v>
      </c>
      <c r="I26" s="1357" t="s">
        <v>637</v>
      </c>
    </row>
    <row r="27" spans="1:9" ht="60">
      <c r="B27" s="1364" t="s">
        <v>752</v>
      </c>
      <c r="C27" s="1356"/>
      <c r="D27" s="609"/>
      <c r="E27" s="1342">
        <v>63596616.524817631</v>
      </c>
      <c r="F27" s="1341">
        <v>63596616.524817631</v>
      </c>
      <c r="G27" s="1341">
        <v>63596616.524817631</v>
      </c>
      <c r="H27" s="1340">
        <v>63596616.524817631</v>
      </c>
      <c r="I27" s="1355" t="s">
        <v>753</v>
      </c>
    </row>
    <row r="28" spans="1:9" ht="6" customHeight="1">
      <c r="B28" s="309"/>
      <c r="C28" s="613"/>
      <c r="D28" s="309"/>
      <c r="E28" s="310"/>
      <c r="F28" s="311"/>
      <c r="G28" s="311"/>
      <c r="H28" s="312"/>
      <c r="I28" s="614"/>
    </row>
    <row r="29" spans="1:9" ht="6" customHeight="1">
      <c r="B29" s="292"/>
      <c r="C29" s="615"/>
      <c r="D29" s="292"/>
      <c r="E29" s="314"/>
      <c r="F29" s="305"/>
      <c r="G29" s="305"/>
      <c r="H29" s="315"/>
      <c r="I29" s="577"/>
    </row>
    <row r="30" spans="1:9" ht="15">
      <c r="A30" s="256" t="s">
        <v>713</v>
      </c>
      <c r="B30" s="588" t="s">
        <v>145</v>
      </c>
      <c r="C30" s="616"/>
      <c r="D30" s="588"/>
      <c r="E30" s="1354"/>
      <c r="F30" s="1353"/>
      <c r="G30" s="1353"/>
      <c r="H30" s="1352"/>
      <c r="I30" s="590"/>
    </row>
    <row r="31" spans="1:9" s="257" customFormat="1" ht="6" customHeight="1">
      <c r="B31" s="617"/>
      <c r="D31" s="617"/>
      <c r="E31" s="1351"/>
      <c r="F31" s="1350"/>
      <c r="G31" s="1350"/>
      <c r="H31" s="1349"/>
      <c r="I31" s="618"/>
    </row>
    <row r="32" spans="1:9" ht="15">
      <c r="A32" s="477">
        <f>E32/$E$26</f>
        <v>4.9999915818254977E-2</v>
      </c>
      <c r="B32" s="608" t="s">
        <v>146</v>
      </c>
      <c r="C32" s="1470"/>
      <c r="D32" s="609"/>
      <c r="E32" s="1348">
        <v>14848800</v>
      </c>
      <c r="F32" s="1347">
        <v>14126800</v>
      </c>
      <c r="G32" s="1347">
        <v>14291600</v>
      </c>
      <c r="H32" s="1346">
        <v>14537900</v>
      </c>
      <c r="I32" s="1339" t="s">
        <v>635</v>
      </c>
    </row>
    <row r="33" spans="1:9" ht="15">
      <c r="A33" s="477">
        <f t="shared" ref="A33" si="1">E33/$E$26</f>
        <v>1.0000117854443028E-2</v>
      </c>
      <c r="B33" s="608" t="s">
        <v>147</v>
      </c>
      <c r="C33" s="1470"/>
      <c r="D33" s="609"/>
      <c r="E33" s="1348">
        <v>2969800</v>
      </c>
      <c r="F33" s="1347">
        <v>2825400</v>
      </c>
      <c r="G33" s="1347">
        <v>2858300</v>
      </c>
      <c r="H33" s="1346">
        <v>2907600</v>
      </c>
      <c r="I33" s="1339" t="s">
        <v>634</v>
      </c>
    </row>
    <row r="34" spans="1:9" ht="15">
      <c r="A34" s="477">
        <f>E34/$E$20</f>
        <v>5.0000177392087959E-2</v>
      </c>
      <c r="B34" s="608" t="s">
        <v>114</v>
      </c>
      <c r="C34" s="1356"/>
      <c r="D34" s="609"/>
      <c r="E34" s="1348">
        <v>11274500</v>
      </c>
      <c r="F34" s="1347">
        <v>11274500</v>
      </c>
      <c r="G34" s="1347">
        <v>11274500</v>
      </c>
      <c r="H34" s="1346">
        <v>11274500</v>
      </c>
      <c r="I34" s="1473" t="s">
        <v>715</v>
      </c>
    </row>
    <row r="35" spans="1:9" ht="15">
      <c r="A35" s="477"/>
      <c r="B35" s="608" t="s">
        <v>717</v>
      </c>
      <c r="C35" s="620"/>
      <c r="D35" s="605"/>
      <c r="E35" s="1348" t="s">
        <v>638</v>
      </c>
      <c r="F35" s="1347" t="s">
        <v>638</v>
      </c>
      <c r="G35" s="1347" t="s">
        <v>638</v>
      </c>
      <c r="H35" s="1346" t="s">
        <v>638</v>
      </c>
      <c r="I35" s="1339" t="s">
        <v>716</v>
      </c>
    </row>
    <row r="36" spans="1:9" ht="15">
      <c r="B36" s="621" t="s">
        <v>149</v>
      </c>
      <c r="C36" s="623"/>
      <c r="D36" s="1469"/>
      <c r="E36" s="1210">
        <v>3775749.0186653244</v>
      </c>
      <c r="F36" s="1210">
        <v>3775749.0186653244</v>
      </c>
      <c r="G36" s="1210">
        <v>3775749.0186653244</v>
      </c>
      <c r="H36" s="1272">
        <v>3775749.0186653244</v>
      </c>
      <c r="I36" s="1269"/>
    </row>
    <row r="37" spans="1:9" ht="15">
      <c r="A37" s="261"/>
      <c r="B37" s="621" t="s">
        <v>150</v>
      </c>
      <c r="C37" s="623"/>
      <c r="D37" s="1469"/>
      <c r="E37" s="1209">
        <v>420000</v>
      </c>
      <c r="F37" s="1210">
        <v>338400</v>
      </c>
      <c r="G37" s="1210">
        <v>187200</v>
      </c>
      <c r="H37" s="1272">
        <v>351600</v>
      </c>
      <c r="I37" s="1269"/>
    </row>
    <row r="38" spans="1:9" ht="15">
      <c r="A38" s="317"/>
      <c r="B38" s="621" t="s">
        <v>153</v>
      </c>
      <c r="C38" s="621"/>
      <c r="D38" s="1469"/>
      <c r="E38" s="1210">
        <v>36165.200629718929</v>
      </c>
      <c r="F38" s="1210">
        <v>34469.764652327896</v>
      </c>
      <c r="G38" s="1210">
        <v>34856.699551449441</v>
      </c>
      <c r="H38" s="1272">
        <v>35435.062841296298</v>
      </c>
      <c r="I38" s="577"/>
    </row>
    <row r="39" spans="1:9" ht="15">
      <c r="A39" s="289"/>
      <c r="B39" s="624" t="s">
        <v>154</v>
      </c>
      <c r="C39" s="624"/>
      <c r="D39" s="609"/>
      <c r="E39" s="1449">
        <f>SUM(E32:E35)</f>
        <v>29093100</v>
      </c>
      <c r="F39" s="1774">
        <f>SUM(F32:F34)</f>
        <v>28226700</v>
      </c>
      <c r="G39" s="1774">
        <f>SUM(G32:G34)</f>
        <v>28424400</v>
      </c>
      <c r="H39" s="1777">
        <f>SUM(H32:H34)</f>
        <v>28720000</v>
      </c>
      <c r="I39" s="577"/>
    </row>
    <row r="40" spans="1:9" ht="15">
      <c r="A40" s="477">
        <f>(E40/(E39))</f>
        <v>3.9999175062128134E-2</v>
      </c>
      <c r="B40" s="608" t="s">
        <v>115</v>
      </c>
      <c r="C40" s="608"/>
      <c r="D40" s="605"/>
      <c r="E40" s="1342">
        <v>1163700</v>
      </c>
      <c r="F40" s="1341">
        <v>1129100</v>
      </c>
      <c r="G40" s="1341">
        <v>1137000</v>
      </c>
      <c r="H40" s="1340">
        <v>1148800</v>
      </c>
      <c r="I40" s="1339" t="s">
        <v>633</v>
      </c>
    </row>
    <row r="41" spans="1:9" s="260" customFormat="1" ht="15">
      <c r="B41" s="601" t="s">
        <v>155</v>
      </c>
      <c r="C41" s="601"/>
      <c r="D41" s="612"/>
      <c r="E41" s="1337">
        <v>30256800</v>
      </c>
      <c r="F41" s="1336">
        <v>29355800</v>
      </c>
      <c r="G41" s="1336">
        <v>29561400</v>
      </c>
      <c r="H41" s="1335">
        <v>29868800</v>
      </c>
      <c r="I41" s="1338"/>
    </row>
    <row r="42" spans="1:9" ht="6" customHeight="1">
      <c r="B42" s="319"/>
      <c r="C42" s="319"/>
      <c r="D42" s="319"/>
      <c r="E42" s="310"/>
      <c r="F42" s="311"/>
      <c r="G42" s="311"/>
      <c r="H42" s="312"/>
      <c r="I42" s="614"/>
    </row>
    <row r="43" spans="1:9" ht="6" customHeight="1">
      <c r="B43" s="320"/>
      <c r="C43" s="320"/>
      <c r="D43" s="320"/>
      <c r="E43" s="314"/>
      <c r="F43" s="305"/>
      <c r="G43" s="305"/>
      <c r="H43" s="315"/>
      <c r="I43" s="577"/>
    </row>
    <row r="44" spans="1:9" s="260" customFormat="1" ht="15">
      <c r="B44" s="601" t="s">
        <v>156</v>
      </c>
      <c r="C44" s="1479"/>
      <c r="D44" s="625"/>
      <c r="E44" s="1337">
        <v>327233300</v>
      </c>
      <c r="F44" s="1336">
        <v>311892500</v>
      </c>
      <c r="G44" s="1336">
        <v>315393600</v>
      </c>
      <c r="H44" s="1335">
        <v>320626800</v>
      </c>
      <c r="I44" s="577" t="s">
        <v>718</v>
      </c>
    </row>
    <row r="45" spans="1:9" ht="15">
      <c r="B45" s="601" t="s">
        <v>632</v>
      </c>
      <c r="C45" s="1479"/>
      <c r="D45" s="626"/>
      <c r="E45" s="1337">
        <v>409.04162500000001</v>
      </c>
      <c r="F45" s="1336">
        <v>389.86562500000002</v>
      </c>
      <c r="G45" s="1336">
        <v>394.24200000000002</v>
      </c>
      <c r="H45" s="1335">
        <v>400.7835</v>
      </c>
      <c r="I45" s="1334" t="s">
        <v>719</v>
      </c>
    </row>
    <row r="46" spans="1:9" ht="15">
      <c r="B46" s="601" t="s">
        <v>631</v>
      </c>
      <c r="C46" s="1479"/>
      <c r="D46" s="626"/>
      <c r="E46" s="1337">
        <v>1636.1665</v>
      </c>
      <c r="F46" s="1336">
        <v>1559.4625000000001</v>
      </c>
      <c r="G46" s="1336">
        <v>1576.9680000000001</v>
      </c>
      <c r="H46" s="1335">
        <v>1603.134</v>
      </c>
      <c r="I46" s="1334" t="s">
        <v>729</v>
      </c>
    </row>
    <row r="47" spans="1:9" ht="6" customHeight="1" thickBot="1">
      <c r="B47" s="322"/>
      <c r="C47" s="322"/>
      <c r="D47" s="322"/>
      <c r="E47" s="323"/>
      <c r="F47" s="324"/>
      <c r="G47" s="324"/>
      <c r="H47" s="325"/>
      <c r="I47" s="1333"/>
    </row>
    <row r="48" spans="1:9" ht="6" customHeight="1" thickTop="1">
      <c r="B48" s="290" t="s">
        <v>123</v>
      </c>
      <c r="C48" s="290"/>
      <c r="D48" s="290"/>
      <c r="E48" s="327"/>
      <c r="F48" s="327"/>
      <c r="G48" s="327"/>
      <c r="H48" s="327"/>
      <c r="I48" s="273"/>
    </row>
    <row r="49" spans="2:9" ht="15" customHeight="1">
      <c r="B49" s="627" t="s">
        <v>317</v>
      </c>
      <c r="C49" s="628"/>
      <c r="D49" s="329"/>
      <c r="E49" s="476"/>
      <c r="F49" s="476"/>
      <c r="G49" s="476"/>
      <c r="H49" s="476"/>
      <c r="I49" s="330"/>
    </row>
    <row r="50" spans="2:9" ht="30">
      <c r="B50" s="629" t="s">
        <v>318</v>
      </c>
      <c r="C50" s="292"/>
      <c r="D50" s="271"/>
      <c r="E50" s="292"/>
      <c r="F50" s="292"/>
      <c r="G50" s="292"/>
      <c r="H50" s="292"/>
      <c r="I50" s="330"/>
    </row>
    <row r="51" spans="2:9" ht="15">
      <c r="B51" s="630" t="s">
        <v>319</v>
      </c>
      <c r="C51" s="261"/>
      <c r="D51" s="303"/>
      <c r="E51" s="298"/>
      <c r="F51" s="298"/>
      <c r="G51" s="298"/>
      <c r="H51" s="298"/>
      <c r="I51" s="273"/>
    </row>
    <row r="52" spans="2:9" ht="15" hidden="1"/>
    <row r="53" spans="2:9" ht="15" hidden="1"/>
    <row r="54" spans="2:9" ht="15" hidden="1"/>
    <row r="55" spans="2:9" ht="15" hidden="1"/>
    <row r="56" spans="2:9" ht="15" hidden="1"/>
    <row r="57" spans="2:9" ht="15" hidden="1"/>
    <row r="58" spans="2:9" ht="15" hidden="1"/>
    <row r="59" spans="2:9" ht="15" hidden="1"/>
    <row r="60" spans="2:9" ht="15" hidden="1"/>
    <row r="61" spans="2:9" ht="15" hidden="1"/>
    <row r="62" spans="2:9" ht="15" hidden="1"/>
    <row r="63" spans="2:9" ht="15" hidden="1"/>
    <row r="64" spans="2:9" ht="15" hidden="1"/>
    <row r="65" ht="15" hidden="1"/>
    <row r="66" ht="15" hidden="1"/>
    <row r="67" ht="15" hidden="1"/>
    <row r="68" ht="15" hidden="1"/>
    <row r="69" ht="15" hidden="1"/>
    <row r="70" ht="15" hidden="1"/>
    <row r="71" ht="15" hidden="1"/>
    <row r="72" ht="15" hidden="1"/>
    <row r="73" ht="15" hidden="1"/>
    <row r="74" ht="15" hidden="1"/>
    <row r="75" ht="15" hidden="1"/>
    <row r="76" ht="15" hidden="1"/>
    <row r="77" ht="15" hidden="1"/>
    <row r="78" ht="15" hidden="1"/>
    <row r="79" ht="15" hidden="1"/>
    <row r="80" ht="15" hidden="1"/>
    <row r="81" ht="15"/>
  </sheetData>
  <mergeCells count="1">
    <mergeCell ref="E5:H5"/>
  </mergeCells>
  <pageMargins left="0.7" right="0.7" top="0.75" bottom="0.75" header="0.3" footer="0.3"/>
  <pageSetup scale="70" fitToWidth="3" orientation="landscape"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BJ96"/>
  <sheetViews>
    <sheetView zoomScale="107" zoomScaleNormal="70" workbookViewId="0">
      <selection activeCell="L30" sqref="L30"/>
    </sheetView>
  </sheetViews>
  <sheetFormatPr defaultColWidth="12.28515625" defaultRowHeight="14.65" customHeight="1" zeroHeight="1"/>
  <cols>
    <col min="1" max="1" width="12.28515625" style="494" customWidth="1"/>
    <col min="2" max="2" width="53.28515625" style="494" customWidth="1"/>
    <col min="3" max="3" width="1.7109375" style="494" customWidth="1"/>
    <col min="4" max="7" width="18.7109375" style="493" customWidth="1"/>
    <col min="8" max="8" width="1.7109375" style="493" customWidth="1"/>
    <col min="9" max="9" width="82.5703125" style="494" customWidth="1"/>
    <col min="10" max="62" width="12.28515625" style="494" customWidth="1"/>
    <col min="63" max="16384" width="12.28515625" style="494"/>
  </cols>
  <sheetData>
    <row r="1" spans="2:62" s="1458" customFormat="1" ht="15">
      <c r="D1" s="1459" t="s">
        <v>543</v>
      </c>
      <c r="E1" s="1460">
        <v>2021</v>
      </c>
      <c r="F1" s="1460"/>
      <c r="G1" s="1460"/>
      <c r="H1" s="1460"/>
    </row>
    <row r="2" spans="2:62" ht="15">
      <c r="D2" s="1461"/>
    </row>
    <row r="3" spans="2:62" ht="6" customHeight="1" thickBot="1">
      <c r="B3" s="497"/>
      <c r="C3" s="497"/>
      <c r="D3" s="498"/>
      <c r="E3" s="498"/>
      <c r="F3" s="498"/>
      <c r="G3" s="498"/>
      <c r="H3" s="498"/>
      <c r="I3" s="497"/>
    </row>
    <row r="4" spans="2:62" ht="6" customHeight="1" thickTop="1">
      <c r="D4" s="642"/>
      <c r="E4" s="499"/>
      <c r="F4" s="499"/>
      <c r="G4" s="643"/>
      <c r="I4" s="644"/>
    </row>
    <row r="5" spans="2:62" ht="12.75" customHeight="1">
      <c r="B5" s="645"/>
      <c r="C5" s="645"/>
      <c r="D5" s="1931" t="s">
        <v>622</v>
      </c>
      <c r="E5" s="1932"/>
      <c r="F5" s="1932"/>
      <c r="G5" s="1933"/>
      <c r="H5" s="272"/>
      <c r="I5" s="288"/>
    </row>
    <row r="6" spans="2:62" ht="12.75" customHeight="1">
      <c r="B6" s="645"/>
      <c r="C6" s="645"/>
      <c r="D6" s="579" t="s">
        <v>120</v>
      </c>
      <c r="E6" s="580" t="s">
        <v>121</v>
      </c>
      <c r="F6" s="580" t="s">
        <v>111</v>
      </c>
      <c r="G6" s="581" t="s">
        <v>122</v>
      </c>
      <c r="H6" s="272"/>
      <c r="I6" s="288"/>
    </row>
    <row r="7" spans="2:62" ht="25.5" customHeight="1">
      <c r="B7" s="503" t="s">
        <v>158</v>
      </c>
      <c r="C7" s="646"/>
      <c r="D7" s="582" t="s">
        <v>654</v>
      </c>
      <c r="E7" s="276" t="s">
        <v>654</v>
      </c>
      <c r="F7" s="276" t="s">
        <v>654</v>
      </c>
      <c r="G7" s="583" t="s">
        <v>654</v>
      </c>
      <c r="H7" s="513"/>
      <c r="I7" s="584" t="s">
        <v>653</v>
      </c>
    </row>
    <row r="8" spans="2:62" ht="6" customHeight="1">
      <c r="B8" s="506"/>
      <c r="C8" s="506"/>
      <c r="D8" s="649"/>
      <c r="E8" s="507"/>
      <c r="F8" s="507"/>
      <c r="G8" s="650"/>
      <c r="H8" s="507"/>
      <c r="I8" s="651"/>
    </row>
    <row r="9" spans="2:62" ht="15">
      <c r="B9" s="508"/>
      <c r="C9" s="508"/>
      <c r="D9" s="1369"/>
      <c r="E9" s="1368"/>
      <c r="F9" s="1368"/>
      <c r="G9" s="1778"/>
      <c r="H9" s="509"/>
      <c r="I9" s="1367"/>
      <c r="J9" s="508"/>
      <c r="K9" s="508"/>
      <c r="L9" s="508"/>
      <c r="M9" s="508"/>
      <c r="N9" s="508"/>
      <c r="O9" s="508"/>
      <c r="P9" s="508"/>
      <c r="Q9" s="508"/>
      <c r="R9" s="508"/>
      <c r="S9" s="508"/>
      <c r="T9" s="508"/>
      <c r="U9" s="508"/>
      <c r="V9" s="508"/>
      <c r="W9" s="508"/>
      <c r="X9" s="508"/>
      <c r="Y9" s="508"/>
      <c r="Z9" s="508"/>
      <c r="AA9" s="508"/>
      <c r="AB9" s="508"/>
      <c r="AC9" s="508"/>
      <c r="AD9" s="508"/>
      <c r="AE9" s="508"/>
      <c r="AF9" s="508"/>
      <c r="AG9" s="508"/>
      <c r="AH9" s="508"/>
      <c r="AI9" s="508"/>
      <c r="AJ9" s="508"/>
      <c r="AK9" s="508"/>
      <c r="AL9" s="508"/>
      <c r="AM9" s="508"/>
      <c r="AN9" s="508"/>
      <c r="AO9" s="508"/>
      <c r="AP9" s="508"/>
      <c r="AQ9" s="508"/>
      <c r="AR9" s="508"/>
      <c r="AS9" s="508"/>
      <c r="AT9" s="508"/>
      <c r="AU9" s="508"/>
      <c r="AV9" s="508"/>
      <c r="AW9" s="508"/>
      <c r="AX9" s="508"/>
      <c r="AY9" s="508"/>
      <c r="AZ9" s="508"/>
      <c r="BA9" s="508"/>
      <c r="BB9" s="508"/>
      <c r="BC9" s="508"/>
      <c r="BD9" s="508"/>
      <c r="BE9" s="508"/>
      <c r="BF9" s="508"/>
      <c r="BG9" s="508"/>
      <c r="BH9" s="508"/>
      <c r="BI9" s="508"/>
      <c r="BJ9" s="508"/>
    </row>
    <row r="10" spans="2:62" ht="15">
      <c r="B10" s="588" t="s">
        <v>339</v>
      </c>
      <c r="C10" s="589"/>
      <c r="D10" s="588"/>
      <c r="E10" s="1384"/>
      <c r="F10" s="588"/>
      <c r="G10" s="670"/>
      <c r="H10" s="512"/>
      <c r="I10" s="657"/>
    </row>
    <row r="11" spans="2:62" ht="15">
      <c r="B11" s="1400" t="s">
        <v>699</v>
      </c>
      <c r="C11" s="659"/>
      <c r="D11" s="1448">
        <v>2679200</v>
      </c>
      <c r="E11" s="1448">
        <v>2679200</v>
      </c>
      <c r="F11" s="1448">
        <v>2679200</v>
      </c>
      <c r="G11" s="1447">
        <v>2679200</v>
      </c>
      <c r="H11" s="512"/>
      <c r="I11" s="1357" t="s">
        <v>637</v>
      </c>
    </row>
    <row r="12" spans="2:62" ht="15">
      <c r="B12" s="1445" t="s">
        <v>698</v>
      </c>
      <c r="C12" s="1446"/>
      <c r="D12" s="1443">
        <v>126800</v>
      </c>
      <c r="E12" s="1443">
        <v>101200</v>
      </c>
      <c r="F12" s="1443">
        <v>107000</v>
      </c>
      <c r="G12" s="1442">
        <v>115800</v>
      </c>
      <c r="H12" s="661"/>
      <c r="I12" s="1423"/>
    </row>
    <row r="13" spans="2:62" ht="15">
      <c r="B13" s="1445" t="s">
        <v>697</v>
      </c>
      <c r="C13" s="1446"/>
      <c r="D13" s="1443">
        <v>402500</v>
      </c>
      <c r="E13" s="1443">
        <v>321200</v>
      </c>
      <c r="F13" s="1443">
        <v>339700</v>
      </c>
      <c r="G13" s="1442">
        <v>367500</v>
      </c>
      <c r="H13" s="663"/>
      <c r="I13" s="1423"/>
    </row>
    <row r="14" spans="2:62" s="508" customFormat="1" ht="15">
      <c r="B14" s="1445" t="s">
        <v>696</v>
      </c>
      <c r="C14" s="1446"/>
      <c r="D14" s="1443">
        <v>299200</v>
      </c>
      <c r="E14" s="1443">
        <v>238700</v>
      </c>
      <c r="F14" s="1443">
        <v>252500</v>
      </c>
      <c r="G14" s="1442">
        <v>273100</v>
      </c>
      <c r="H14" s="663"/>
      <c r="I14" s="1423"/>
    </row>
    <row r="15" spans="2:62" ht="15">
      <c r="B15" s="1445" t="s">
        <v>695</v>
      </c>
      <c r="C15" s="665"/>
      <c r="D15" s="1444">
        <v>1308900</v>
      </c>
      <c r="E15" s="1443">
        <v>1247600</v>
      </c>
      <c r="F15" s="1443">
        <v>1261600</v>
      </c>
      <c r="G15" s="1442">
        <v>1282500</v>
      </c>
      <c r="H15" s="666"/>
      <c r="I15" s="1423"/>
    </row>
    <row r="16" spans="2:62" ht="12" customHeight="1">
      <c r="B16" s="1441" t="s">
        <v>694</v>
      </c>
      <c r="C16" s="667"/>
      <c r="D16" s="1440"/>
      <c r="E16" s="1439"/>
      <c r="F16" s="1439"/>
      <c r="G16" s="1438"/>
      <c r="H16" s="666"/>
      <c r="I16" s="1423"/>
    </row>
    <row r="17" spans="1:9" ht="15">
      <c r="A17" s="505"/>
      <c r="B17" s="665" t="s">
        <v>693</v>
      </c>
      <c r="C17" s="665"/>
      <c r="D17" s="1437">
        <v>8.0651250000000001</v>
      </c>
      <c r="E17" s="1436">
        <v>7.3663749999999997</v>
      </c>
      <c r="F17" s="1436">
        <v>7.5257500000000004</v>
      </c>
      <c r="G17" s="1435">
        <v>7.7642499999999997</v>
      </c>
      <c r="H17" s="666"/>
      <c r="I17" s="1334" t="s">
        <v>728</v>
      </c>
    </row>
    <row r="18" spans="1:9" ht="15">
      <c r="A18" s="505"/>
      <c r="B18" s="665" t="s">
        <v>692</v>
      </c>
      <c r="C18" s="665"/>
      <c r="D18" s="1437">
        <v>32.2605</v>
      </c>
      <c r="E18" s="1436">
        <v>29.465499999999999</v>
      </c>
      <c r="F18" s="1436">
        <v>30.103000000000002</v>
      </c>
      <c r="G18" s="1435">
        <v>31.056999999999999</v>
      </c>
      <c r="H18" s="666"/>
      <c r="I18" s="1334" t="s">
        <v>727</v>
      </c>
    </row>
    <row r="19" spans="1:9" ht="15">
      <c r="A19" s="505"/>
      <c r="B19" s="1483" t="s">
        <v>735</v>
      </c>
      <c r="C19" s="665"/>
      <c r="D19" s="1437"/>
      <c r="E19" s="1436"/>
      <c r="F19" s="1436"/>
      <c r="G19" s="1435"/>
      <c r="H19" s="666"/>
      <c r="I19" s="1334"/>
    </row>
    <row r="20" spans="1:9" ht="15">
      <c r="A20" s="505"/>
      <c r="B20" s="1482" t="s">
        <v>733</v>
      </c>
      <c r="C20" s="665"/>
      <c r="D20" s="1444">
        <v>31798308.262408815</v>
      </c>
      <c r="E20" s="1443">
        <v>31798308.262408815</v>
      </c>
      <c r="F20" s="1443">
        <v>31798308.262408815</v>
      </c>
      <c r="G20" s="1442">
        <v>31798308.262408815</v>
      </c>
      <c r="H20" s="666"/>
      <c r="I20" s="1334"/>
    </row>
    <row r="21" spans="1:9" ht="15">
      <c r="A21" s="505"/>
      <c r="B21" s="1482" t="s">
        <v>734</v>
      </c>
      <c r="C21" s="665"/>
      <c r="D21" s="1444">
        <v>31798308.262408815</v>
      </c>
      <c r="E21" s="1443">
        <v>31798308.262408815</v>
      </c>
      <c r="F21" s="1443">
        <v>31798308.262408815</v>
      </c>
      <c r="G21" s="1442">
        <v>31798308.262408815</v>
      </c>
      <c r="H21" s="666"/>
      <c r="I21" s="1334"/>
    </row>
    <row r="22" spans="1:9" ht="6" customHeight="1">
      <c r="B22" s="522"/>
      <c r="C22" s="522"/>
      <c r="D22" s="1434"/>
      <c r="E22" s="1433"/>
      <c r="F22" s="1433"/>
      <c r="G22" s="1432"/>
      <c r="H22" s="668"/>
      <c r="I22" s="1431"/>
    </row>
    <row r="23" spans="1:9" ht="6" customHeight="1">
      <c r="B23" s="518"/>
      <c r="C23" s="518"/>
      <c r="D23" s="1430"/>
      <c r="E23" s="1429"/>
      <c r="F23" s="1429"/>
      <c r="G23" s="1428"/>
      <c r="H23" s="663"/>
      <c r="I23" s="1423"/>
    </row>
    <row r="24" spans="1:9" ht="15">
      <c r="B24" s="588" t="s">
        <v>355</v>
      </c>
      <c r="C24" s="670"/>
      <c r="D24" s="1427"/>
      <c r="E24" s="1426"/>
      <c r="F24" s="1425"/>
      <c r="G24" s="1424"/>
      <c r="H24" s="663"/>
      <c r="I24" s="1423"/>
    </row>
    <row r="25" spans="1:9" ht="15">
      <c r="B25" s="671" t="s">
        <v>691</v>
      </c>
      <c r="C25" s="660"/>
      <c r="D25" s="1422">
        <v>0</v>
      </c>
      <c r="E25" s="1421">
        <v>0</v>
      </c>
      <c r="F25" s="1421">
        <v>0</v>
      </c>
      <c r="G25" s="1420">
        <v>0</v>
      </c>
      <c r="H25" s="672"/>
      <c r="I25" s="1419"/>
    </row>
    <row r="26" spans="1:9" ht="6" customHeight="1" thickBot="1">
      <c r="B26" s="527"/>
      <c r="C26" s="527"/>
      <c r="D26" s="679"/>
      <c r="E26" s="528"/>
      <c r="F26" s="528"/>
      <c r="G26" s="680"/>
      <c r="H26" s="528"/>
      <c r="I26" s="683"/>
    </row>
    <row r="27" spans="1:9" ht="6" customHeight="1" thickTop="1">
      <c r="B27" s="508"/>
      <c r="C27" s="508"/>
      <c r="D27" s="510"/>
      <c r="E27" s="510"/>
      <c r="F27" s="510"/>
      <c r="G27" s="510"/>
      <c r="H27" s="510"/>
      <c r="I27" s="684"/>
    </row>
    <row r="28" spans="1:9" ht="15">
      <c r="B28" s="627" t="s">
        <v>317</v>
      </c>
      <c r="C28" s="531"/>
      <c r="D28" s="663"/>
      <c r="E28" s="510"/>
      <c r="F28" s="510"/>
      <c r="G28" s="510"/>
      <c r="H28" s="510"/>
      <c r="I28" s="684"/>
    </row>
    <row r="29" spans="1:9" ht="30">
      <c r="B29" s="629" t="s">
        <v>318</v>
      </c>
      <c r="C29" s="518"/>
      <c r="E29" s="505"/>
      <c r="F29" s="505"/>
      <c r="G29" s="505"/>
      <c r="I29" s="685"/>
    </row>
    <row r="30" spans="1:9" ht="15">
      <c r="B30" s="630" t="s">
        <v>319</v>
      </c>
      <c r="C30" s="518"/>
      <c r="D30" s="1464"/>
      <c r="E30" s="686"/>
      <c r="F30" s="686"/>
      <c r="G30" s="686"/>
      <c r="I30" s="685"/>
    </row>
    <row r="31" spans="1:9" ht="15">
      <c r="B31" s="687"/>
      <c r="C31" s="518"/>
      <c r="D31" s="686"/>
      <c r="E31" s="686"/>
      <c r="F31" s="686"/>
      <c r="G31" s="686"/>
      <c r="I31" s="685"/>
    </row>
    <row r="32" spans="1:9" ht="15">
      <c r="B32" s="1418" t="s">
        <v>690</v>
      </c>
      <c r="C32" s="518"/>
      <c r="D32" s="686"/>
      <c r="E32" s="686"/>
      <c r="F32" s="686"/>
      <c r="G32" s="686"/>
      <c r="I32" s="685"/>
    </row>
    <row r="33" spans="2:62" ht="15">
      <c r="B33" s="1418" t="s">
        <v>689</v>
      </c>
      <c r="C33" s="532"/>
      <c r="D33" s="1417"/>
      <c r="E33" s="1417"/>
      <c r="F33" s="1417"/>
      <c r="G33" s="1417"/>
      <c r="I33" s="685"/>
    </row>
    <row r="34" spans="2:62" ht="15">
      <c r="B34" s="532" t="s">
        <v>688</v>
      </c>
      <c r="C34" s="532"/>
      <c r="D34" s="1417"/>
      <c r="E34" s="1417"/>
      <c r="F34" s="1417"/>
      <c r="G34" s="1417"/>
      <c r="I34" s="685"/>
    </row>
    <row r="35" spans="2:62" ht="15">
      <c r="B35" s="494" t="s">
        <v>687</v>
      </c>
      <c r="D35" s="1417"/>
      <c r="E35" s="1417"/>
      <c r="F35" s="1417"/>
      <c r="G35" s="1417"/>
      <c r="I35" s="685"/>
    </row>
    <row r="36" spans="2:62" ht="15" hidden="1"/>
    <row r="37" spans="2:62" ht="15" hidden="1">
      <c r="B37" s="689"/>
      <c r="D37" s="1416"/>
    </row>
    <row r="38" spans="2:62" ht="15" hidden="1">
      <c r="B38" s="689"/>
    </row>
    <row r="39" spans="2:62" ht="15" hidden="1">
      <c r="B39" s="689"/>
    </row>
    <row r="40" spans="2:62" ht="15" hidden="1">
      <c r="B40" s="689"/>
    </row>
    <row r="41" spans="2:62" ht="15" hidden="1">
      <c r="B41" s="689"/>
    </row>
    <row r="42" spans="2:62" ht="15" hidden="1"/>
    <row r="43" spans="2:62" ht="15" hidden="1"/>
    <row r="44" spans="2:62" ht="15" hidden="1"/>
    <row r="45" spans="2:62" ht="15" hidden="1"/>
    <row r="46" spans="2:62" s="493" customFormat="1" ht="15" hidden="1">
      <c r="B46" s="494"/>
      <c r="C46" s="494"/>
      <c r="I46" s="494"/>
      <c r="J46" s="494"/>
      <c r="K46" s="494"/>
      <c r="L46" s="494"/>
      <c r="M46" s="494"/>
      <c r="N46" s="494"/>
      <c r="O46" s="494"/>
      <c r="P46" s="494"/>
      <c r="Q46" s="494"/>
      <c r="R46" s="494"/>
      <c r="S46" s="494"/>
      <c r="T46" s="494"/>
      <c r="U46" s="494"/>
      <c r="V46" s="494"/>
      <c r="W46" s="494"/>
      <c r="X46" s="494"/>
      <c r="Y46" s="494"/>
      <c r="Z46" s="494"/>
      <c r="AA46" s="494"/>
      <c r="AB46" s="494"/>
      <c r="AC46" s="494"/>
      <c r="AD46" s="494"/>
      <c r="AE46" s="494"/>
      <c r="AF46" s="494"/>
      <c r="AG46" s="494"/>
      <c r="AH46" s="494"/>
      <c r="AI46" s="494"/>
      <c r="AJ46" s="494"/>
      <c r="AK46" s="494"/>
      <c r="AL46" s="494"/>
      <c r="AM46" s="494"/>
      <c r="AN46" s="494"/>
      <c r="AO46" s="494"/>
      <c r="AP46" s="494"/>
      <c r="AQ46" s="494"/>
      <c r="AR46" s="494"/>
      <c r="AS46" s="494"/>
      <c r="AT46" s="494"/>
      <c r="AU46" s="494"/>
      <c r="AV46" s="494"/>
      <c r="AW46" s="494"/>
      <c r="AX46" s="494"/>
      <c r="AY46" s="494"/>
      <c r="AZ46" s="494"/>
      <c r="BA46" s="494"/>
      <c r="BB46" s="494"/>
      <c r="BC46" s="494"/>
      <c r="BD46" s="494"/>
      <c r="BE46" s="494"/>
      <c r="BF46" s="494"/>
      <c r="BG46" s="494"/>
      <c r="BH46" s="494"/>
      <c r="BI46" s="494"/>
      <c r="BJ46" s="494"/>
    </row>
    <row r="47" spans="2:62" s="493" customFormat="1" ht="15" hidden="1">
      <c r="B47" s="494"/>
      <c r="C47" s="494"/>
      <c r="I47" s="494"/>
      <c r="J47" s="494"/>
      <c r="K47" s="494"/>
      <c r="L47" s="494"/>
      <c r="M47" s="494"/>
      <c r="N47" s="494"/>
      <c r="O47" s="494"/>
      <c r="P47" s="494"/>
      <c r="Q47" s="494"/>
      <c r="R47" s="494"/>
      <c r="S47" s="494"/>
      <c r="T47" s="494"/>
      <c r="U47" s="494"/>
      <c r="V47" s="494"/>
      <c r="W47" s="494"/>
      <c r="X47" s="494"/>
      <c r="Y47" s="494"/>
      <c r="Z47" s="494"/>
      <c r="AA47" s="494"/>
      <c r="AB47" s="494"/>
      <c r="AC47" s="494"/>
      <c r="AD47" s="494"/>
      <c r="AE47" s="494"/>
      <c r="AF47" s="494"/>
      <c r="AG47" s="494"/>
      <c r="AH47" s="494"/>
      <c r="AI47" s="494"/>
      <c r="AJ47" s="494"/>
      <c r="AK47" s="494"/>
      <c r="AL47" s="494"/>
      <c r="AM47" s="494"/>
      <c r="AN47" s="494"/>
      <c r="AO47" s="494"/>
      <c r="AP47" s="494"/>
      <c r="AQ47" s="494"/>
      <c r="AR47" s="494"/>
      <c r="AS47" s="494"/>
      <c r="AT47" s="494"/>
      <c r="AU47" s="494"/>
      <c r="AV47" s="494"/>
      <c r="AW47" s="494"/>
      <c r="AX47" s="494"/>
      <c r="AY47" s="494"/>
      <c r="AZ47" s="494"/>
      <c r="BA47" s="494"/>
      <c r="BB47" s="494"/>
      <c r="BC47" s="494"/>
      <c r="BD47" s="494"/>
      <c r="BE47" s="494"/>
      <c r="BF47" s="494"/>
      <c r="BG47" s="494"/>
      <c r="BH47" s="494"/>
      <c r="BI47" s="494"/>
      <c r="BJ47" s="494"/>
    </row>
    <row r="48" spans="2:62" s="493" customFormat="1" ht="15" hidden="1">
      <c r="B48" s="494"/>
      <c r="C48" s="494"/>
      <c r="I48" s="494"/>
      <c r="J48" s="494"/>
      <c r="K48" s="494"/>
      <c r="L48" s="494"/>
      <c r="M48" s="494"/>
      <c r="N48" s="494"/>
      <c r="O48" s="494"/>
      <c r="P48" s="494"/>
      <c r="Q48" s="494"/>
      <c r="R48" s="494"/>
      <c r="S48" s="494"/>
      <c r="T48" s="494"/>
      <c r="U48" s="494"/>
      <c r="V48" s="494"/>
      <c r="W48" s="494"/>
      <c r="X48" s="494"/>
      <c r="Y48" s="494"/>
      <c r="Z48" s="494"/>
      <c r="AA48" s="494"/>
      <c r="AB48" s="494"/>
      <c r="AC48" s="494"/>
      <c r="AD48" s="494"/>
      <c r="AE48" s="494"/>
      <c r="AF48" s="494"/>
      <c r="AG48" s="494"/>
      <c r="AH48" s="494"/>
      <c r="AI48" s="494"/>
      <c r="AJ48" s="494"/>
      <c r="AK48" s="494"/>
      <c r="AL48" s="494"/>
      <c r="AM48" s="494"/>
      <c r="AN48" s="494"/>
      <c r="AO48" s="494"/>
      <c r="AP48" s="494"/>
      <c r="AQ48" s="494"/>
      <c r="AR48" s="494"/>
      <c r="AS48" s="494"/>
      <c r="AT48" s="494"/>
      <c r="AU48" s="494"/>
      <c r="AV48" s="494"/>
      <c r="AW48" s="494"/>
      <c r="AX48" s="494"/>
      <c r="AY48" s="494"/>
      <c r="AZ48" s="494"/>
      <c r="BA48" s="494"/>
      <c r="BB48" s="494"/>
      <c r="BC48" s="494"/>
      <c r="BD48" s="494"/>
      <c r="BE48" s="494"/>
      <c r="BF48" s="494"/>
      <c r="BG48" s="494"/>
      <c r="BH48" s="494"/>
      <c r="BI48" s="494"/>
      <c r="BJ48" s="494"/>
    </row>
    <row r="49" spans="2:62" s="493" customFormat="1" ht="15" hidden="1">
      <c r="B49" s="494"/>
      <c r="C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c r="AK49" s="494"/>
      <c r="AL49" s="494"/>
      <c r="AM49" s="494"/>
      <c r="AN49" s="494"/>
      <c r="AO49" s="494"/>
      <c r="AP49" s="494"/>
      <c r="AQ49" s="494"/>
      <c r="AR49" s="494"/>
      <c r="AS49" s="494"/>
      <c r="AT49" s="494"/>
      <c r="AU49" s="494"/>
      <c r="AV49" s="494"/>
      <c r="AW49" s="494"/>
      <c r="AX49" s="494"/>
      <c r="AY49" s="494"/>
      <c r="AZ49" s="494"/>
      <c r="BA49" s="494"/>
      <c r="BB49" s="494"/>
      <c r="BC49" s="494"/>
      <c r="BD49" s="494"/>
      <c r="BE49" s="494"/>
      <c r="BF49" s="494"/>
      <c r="BG49" s="494"/>
      <c r="BH49" s="494"/>
      <c r="BI49" s="494"/>
      <c r="BJ49" s="494"/>
    </row>
    <row r="50" spans="2:62" s="493" customFormat="1" ht="15" hidden="1">
      <c r="B50" s="494"/>
      <c r="C50" s="494"/>
      <c r="I50" s="494"/>
      <c r="J50" s="494"/>
      <c r="K50" s="494"/>
      <c r="L50" s="494"/>
      <c r="M50" s="494"/>
      <c r="N50" s="494"/>
      <c r="O50" s="494"/>
      <c r="P50" s="494"/>
      <c r="Q50" s="494"/>
      <c r="R50" s="494"/>
      <c r="S50" s="494"/>
      <c r="T50" s="494"/>
      <c r="U50" s="494"/>
      <c r="V50" s="494"/>
      <c r="W50" s="494"/>
      <c r="X50" s="494"/>
      <c r="Y50" s="494"/>
      <c r="Z50" s="494"/>
      <c r="AA50" s="494"/>
      <c r="AB50" s="494"/>
      <c r="AC50" s="494"/>
      <c r="AD50" s="494"/>
      <c r="AE50" s="494"/>
      <c r="AF50" s="494"/>
      <c r="AG50" s="494"/>
      <c r="AH50" s="494"/>
      <c r="AI50" s="494"/>
      <c r="AJ50" s="494"/>
      <c r="AK50" s="494"/>
      <c r="AL50" s="494"/>
      <c r="AM50" s="494"/>
      <c r="AN50" s="494"/>
      <c r="AO50" s="494"/>
      <c r="AP50" s="494"/>
      <c r="AQ50" s="494"/>
      <c r="AR50" s="494"/>
      <c r="AS50" s="494"/>
      <c r="AT50" s="494"/>
      <c r="AU50" s="494"/>
      <c r="AV50" s="494"/>
      <c r="AW50" s="494"/>
      <c r="AX50" s="494"/>
      <c r="AY50" s="494"/>
      <c r="AZ50" s="494"/>
      <c r="BA50" s="494"/>
      <c r="BB50" s="494"/>
      <c r="BC50" s="494"/>
      <c r="BD50" s="494"/>
      <c r="BE50" s="494"/>
      <c r="BF50" s="494"/>
      <c r="BG50" s="494"/>
      <c r="BH50" s="494"/>
      <c r="BI50" s="494"/>
      <c r="BJ50" s="494"/>
    </row>
    <row r="51" spans="2:62" s="493" customFormat="1" ht="15" hidden="1">
      <c r="B51" s="494"/>
      <c r="C51" s="494"/>
      <c r="I51" s="494"/>
      <c r="J51" s="494"/>
      <c r="K51" s="494"/>
      <c r="L51" s="494"/>
      <c r="M51" s="494"/>
      <c r="N51" s="494"/>
      <c r="O51" s="494"/>
      <c r="P51" s="494"/>
      <c r="Q51" s="494"/>
      <c r="R51" s="494"/>
      <c r="S51" s="494"/>
      <c r="T51" s="494"/>
      <c r="U51" s="494"/>
      <c r="V51" s="494"/>
      <c r="W51" s="494"/>
      <c r="X51" s="494"/>
      <c r="Y51" s="494"/>
      <c r="Z51" s="494"/>
      <c r="AA51" s="494"/>
      <c r="AB51" s="494"/>
      <c r="AC51" s="494"/>
      <c r="AD51" s="494"/>
      <c r="AE51" s="494"/>
      <c r="AF51" s="494"/>
      <c r="AG51" s="494"/>
      <c r="AH51" s="494"/>
      <c r="AI51" s="494"/>
      <c r="AJ51" s="494"/>
      <c r="AK51" s="494"/>
      <c r="AL51" s="494"/>
      <c r="AM51" s="494"/>
      <c r="AN51" s="494"/>
      <c r="AO51" s="494"/>
      <c r="AP51" s="494"/>
      <c r="AQ51" s="494"/>
      <c r="AR51" s="494"/>
      <c r="AS51" s="494"/>
      <c r="AT51" s="494"/>
      <c r="AU51" s="494"/>
      <c r="AV51" s="494"/>
      <c r="AW51" s="494"/>
      <c r="AX51" s="494"/>
      <c r="AY51" s="494"/>
      <c r="AZ51" s="494"/>
      <c r="BA51" s="494"/>
      <c r="BB51" s="494"/>
      <c r="BC51" s="494"/>
      <c r="BD51" s="494"/>
      <c r="BE51" s="494"/>
      <c r="BF51" s="494"/>
      <c r="BG51" s="494"/>
      <c r="BH51" s="494"/>
      <c r="BI51" s="494"/>
      <c r="BJ51" s="494"/>
    </row>
    <row r="52" spans="2:62" s="493" customFormat="1" ht="15" hidden="1">
      <c r="B52" s="494"/>
      <c r="C52" s="494"/>
      <c r="I52" s="494"/>
      <c r="J52" s="494"/>
      <c r="K52" s="494"/>
      <c r="L52" s="494"/>
      <c r="M52" s="494"/>
      <c r="N52" s="494"/>
      <c r="O52" s="494"/>
      <c r="P52" s="494"/>
      <c r="Q52" s="494"/>
      <c r="R52" s="494"/>
      <c r="S52" s="494"/>
      <c r="T52" s="494"/>
      <c r="U52" s="494"/>
      <c r="V52" s="494"/>
      <c r="W52" s="494"/>
      <c r="X52" s="494"/>
      <c r="Y52" s="494"/>
      <c r="Z52" s="494"/>
      <c r="AA52" s="494"/>
      <c r="AB52" s="494"/>
      <c r="AC52" s="494"/>
      <c r="AD52" s="494"/>
      <c r="AE52" s="494"/>
      <c r="AF52" s="494"/>
      <c r="AG52" s="494"/>
      <c r="AH52" s="494"/>
      <c r="AI52" s="494"/>
      <c r="AJ52" s="494"/>
      <c r="AK52" s="494"/>
      <c r="AL52" s="494"/>
      <c r="AM52" s="494"/>
      <c r="AN52" s="494"/>
      <c r="AO52" s="494"/>
      <c r="AP52" s="494"/>
      <c r="AQ52" s="494"/>
      <c r="AR52" s="494"/>
      <c r="AS52" s="494"/>
      <c r="AT52" s="494"/>
      <c r="AU52" s="494"/>
      <c r="AV52" s="494"/>
      <c r="AW52" s="494"/>
      <c r="AX52" s="494"/>
      <c r="AY52" s="494"/>
      <c r="AZ52" s="494"/>
      <c r="BA52" s="494"/>
      <c r="BB52" s="494"/>
      <c r="BC52" s="494"/>
      <c r="BD52" s="494"/>
      <c r="BE52" s="494"/>
      <c r="BF52" s="494"/>
      <c r="BG52" s="494"/>
      <c r="BH52" s="494"/>
      <c r="BI52" s="494"/>
      <c r="BJ52" s="494"/>
    </row>
    <row r="53" spans="2:62" s="493" customFormat="1" ht="15" hidden="1">
      <c r="B53" s="494"/>
      <c r="C53" s="494"/>
      <c r="I53" s="494"/>
      <c r="J53" s="494"/>
      <c r="K53" s="494"/>
      <c r="L53" s="494"/>
      <c r="M53" s="494"/>
      <c r="N53" s="494"/>
      <c r="O53" s="494"/>
      <c r="P53" s="494"/>
      <c r="Q53" s="494"/>
      <c r="R53" s="494"/>
      <c r="S53" s="494"/>
      <c r="T53" s="494"/>
      <c r="U53" s="494"/>
      <c r="V53" s="494"/>
      <c r="W53" s="494"/>
      <c r="X53" s="494"/>
      <c r="Y53" s="494"/>
      <c r="Z53" s="494"/>
      <c r="AA53" s="494"/>
      <c r="AB53" s="494"/>
      <c r="AC53" s="494"/>
      <c r="AD53" s="494"/>
      <c r="AE53" s="494"/>
      <c r="AF53" s="494"/>
      <c r="AG53" s="494"/>
      <c r="AH53" s="494"/>
      <c r="AI53" s="494"/>
      <c r="AJ53" s="494"/>
      <c r="AK53" s="494"/>
      <c r="AL53" s="494"/>
      <c r="AM53" s="494"/>
      <c r="AN53" s="494"/>
      <c r="AO53" s="494"/>
      <c r="AP53" s="494"/>
      <c r="AQ53" s="494"/>
      <c r="AR53" s="494"/>
      <c r="AS53" s="494"/>
      <c r="AT53" s="494"/>
      <c r="AU53" s="494"/>
      <c r="AV53" s="494"/>
      <c r="AW53" s="494"/>
      <c r="AX53" s="494"/>
      <c r="AY53" s="494"/>
      <c r="AZ53" s="494"/>
      <c r="BA53" s="494"/>
      <c r="BB53" s="494"/>
      <c r="BC53" s="494"/>
      <c r="BD53" s="494"/>
      <c r="BE53" s="494"/>
      <c r="BF53" s="494"/>
      <c r="BG53" s="494"/>
      <c r="BH53" s="494"/>
      <c r="BI53" s="494"/>
      <c r="BJ53" s="494"/>
    </row>
    <row r="54" spans="2:62" s="493" customFormat="1" ht="15" hidden="1">
      <c r="B54" s="494"/>
      <c r="C54" s="494"/>
      <c r="I54" s="494"/>
      <c r="J54" s="494"/>
      <c r="K54" s="494"/>
      <c r="L54" s="494"/>
      <c r="M54" s="494"/>
      <c r="N54" s="494"/>
      <c r="O54" s="494"/>
      <c r="P54" s="494"/>
      <c r="Q54" s="494"/>
      <c r="R54" s="494"/>
      <c r="S54" s="494"/>
      <c r="T54" s="494"/>
      <c r="U54" s="494"/>
      <c r="V54" s="494"/>
      <c r="W54" s="494"/>
      <c r="X54" s="494"/>
      <c r="Y54" s="494"/>
      <c r="Z54" s="494"/>
      <c r="AA54" s="494"/>
      <c r="AB54" s="494"/>
      <c r="AC54" s="494"/>
      <c r="AD54" s="494"/>
      <c r="AE54" s="494"/>
      <c r="AF54" s="494"/>
      <c r="AG54" s="494"/>
      <c r="AH54" s="494"/>
      <c r="AI54" s="494"/>
      <c r="AJ54" s="494"/>
      <c r="AK54" s="494"/>
      <c r="AL54" s="494"/>
      <c r="AM54" s="494"/>
      <c r="AN54" s="494"/>
      <c r="AO54" s="494"/>
      <c r="AP54" s="494"/>
      <c r="AQ54" s="494"/>
      <c r="AR54" s="494"/>
      <c r="AS54" s="494"/>
      <c r="AT54" s="494"/>
      <c r="AU54" s="494"/>
      <c r="AV54" s="494"/>
      <c r="AW54" s="494"/>
      <c r="AX54" s="494"/>
      <c r="AY54" s="494"/>
      <c r="AZ54" s="494"/>
      <c r="BA54" s="494"/>
      <c r="BB54" s="494"/>
      <c r="BC54" s="494"/>
      <c r="BD54" s="494"/>
      <c r="BE54" s="494"/>
      <c r="BF54" s="494"/>
      <c r="BG54" s="494"/>
      <c r="BH54" s="494"/>
      <c r="BI54" s="494"/>
      <c r="BJ54" s="494"/>
    </row>
    <row r="55" spans="2:62" s="493" customFormat="1" ht="15" hidden="1">
      <c r="B55" s="494"/>
      <c r="C55" s="494"/>
      <c r="I55" s="494"/>
      <c r="J55" s="494"/>
      <c r="K55" s="494"/>
      <c r="L55" s="494"/>
      <c r="M55" s="494"/>
      <c r="N55" s="494"/>
      <c r="O55" s="494"/>
      <c r="P55" s="494"/>
      <c r="Q55" s="494"/>
      <c r="R55" s="494"/>
      <c r="S55" s="494"/>
      <c r="T55" s="494"/>
      <c r="U55" s="494"/>
      <c r="V55" s="494"/>
      <c r="W55" s="494"/>
      <c r="X55" s="494"/>
      <c r="Y55" s="494"/>
      <c r="Z55" s="494"/>
      <c r="AA55" s="494"/>
      <c r="AB55" s="494"/>
      <c r="AC55" s="494"/>
      <c r="AD55" s="494"/>
      <c r="AE55" s="494"/>
      <c r="AF55" s="494"/>
      <c r="AG55" s="494"/>
      <c r="AH55" s="494"/>
      <c r="AI55" s="494"/>
      <c r="AJ55" s="494"/>
      <c r="AK55" s="494"/>
      <c r="AL55" s="494"/>
      <c r="AM55" s="494"/>
      <c r="AN55" s="494"/>
      <c r="AO55" s="494"/>
      <c r="AP55" s="494"/>
      <c r="AQ55" s="494"/>
      <c r="AR55" s="494"/>
      <c r="AS55" s="494"/>
      <c r="AT55" s="494"/>
      <c r="AU55" s="494"/>
      <c r="AV55" s="494"/>
      <c r="AW55" s="494"/>
      <c r="AX55" s="494"/>
      <c r="AY55" s="494"/>
      <c r="AZ55" s="494"/>
      <c r="BA55" s="494"/>
      <c r="BB55" s="494"/>
      <c r="BC55" s="494"/>
      <c r="BD55" s="494"/>
      <c r="BE55" s="494"/>
      <c r="BF55" s="494"/>
      <c r="BG55" s="494"/>
      <c r="BH55" s="494"/>
      <c r="BI55" s="494"/>
      <c r="BJ55" s="494"/>
    </row>
    <row r="56" spans="2:62" s="493" customFormat="1" ht="15" hidden="1">
      <c r="B56" s="494"/>
      <c r="C56" s="494"/>
      <c r="I56" s="494"/>
      <c r="J56" s="494"/>
      <c r="K56" s="494"/>
      <c r="L56" s="494"/>
      <c r="M56" s="494"/>
      <c r="N56" s="494"/>
      <c r="O56" s="494"/>
      <c r="P56" s="494"/>
      <c r="Q56" s="494"/>
      <c r="R56" s="494"/>
      <c r="S56" s="494"/>
      <c r="T56" s="494"/>
      <c r="U56" s="494"/>
      <c r="V56" s="494"/>
      <c r="W56" s="494"/>
      <c r="X56" s="494"/>
      <c r="Y56" s="494"/>
      <c r="Z56" s="494"/>
      <c r="AA56" s="494"/>
      <c r="AB56" s="494"/>
      <c r="AC56" s="494"/>
      <c r="AD56" s="494"/>
      <c r="AE56" s="494"/>
      <c r="AF56" s="494"/>
      <c r="AG56" s="494"/>
      <c r="AH56" s="494"/>
      <c r="AI56" s="494"/>
      <c r="AJ56" s="494"/>
      <c r="AK56" s="494"/>
      <c r="AL56" s="494"/>
      <c r="AM56" s="494"/>
      <c r="AN56" s="494"/>
      <c r="AO56" s="494"/>
      <c r="AP56" s="494"/>
      <c r="AQ56" s="494"/>
      <c r="AR56" s="494"/>
      <c r="AS56" s="494"/>
      <c r="AT56" s="494"/>
      <c r="AU56" s="494"/>
      <c r="AV56" s="494"/>
      <c r="AW56" s="494"/>
      <c r="AX56" s="494"/>
      <c r="AY56" s="494"/>
      <c r="AZ56" s="494"/>
      <c r="BA56" s="494"/>
      <c r="BB56" s="494"/>
      <c r="BC56" s="494"/>
      <c r="BD56" s="494"/>
      <c r="BE56" s="494"/>
      <c r="BF56" s="494"/>
      <c r="BG56" s="494"/>
      <c r="BH56" s="494"/>
      <c r="BI56" s="494"/>
      <c r="BJ56" s="494"/>
    </row>
    <row r="57" spans="2:62" s="493" customFormat="1" ht="15" hidden="1">
      <c r="B57" s="494"/>
      <c r="C57" s="494"/>
      <c r="I57" s="494"/>
      <c r="J57" s="494"/>
      <c r="K57" s="494"/>
      <c r="L57" s="494"/>
      <c r="M57" s="494"/>
      <c r="N57" s="494"/>
      <c r="O57" s="494"/>
      <c r="P57" s="494"/>
      <c r="Q57" s="494"/>
      <c r="R57" s="494"/>
      <c r="S57" s="494"/>
      <c r="T57" s="494"/>
      <c r="U57" s="494"/>
      <c r="V57" s="494"/>
      <c r="W57" s="494"/>
      <c r="X57" s="494"/>
      <c r="Y57" s="494"/>
      <c r="Z57" s="494"/>
      <c r="AA57" s="494"/>
      <c r="AB57" s="494"/>
      <c r="AC57" s="494"/>
      <c r="AD57" s="494"/>
      <c r="AE57" s="494"/>
      <c r="AF57" s="494"/>
      <c r="AG57" s="494"/>
      <c r="AH57" s="494"/>
      <c r="AI57" s="494"/>
      <c r="AJ57" s="494"/>
      <c r="AK57" s="494"/>
      <c r="AL57" s="494"/>
      <c r="AM57" s="494"/>
      <c r="AN57" s="494"/>
      <c r="AO57" s="494"/>
      <c r="AP57" s="494"/>
      <c r="AQ57" s="494"/>
      <c r="AR57" s="494"/>
      <c r="AS57" s="494"/>
      <c r="AT57" s="494"/>
      <c r="AU57" s="494"/>
      <c r="AV57" s="494"/>
      <c r="AW57" s="494"/>
      <c r="AX57" s="494"/>
      <c r="AY57" s="494"/>
      <c r="AZ57" s="494"/>
      <c r="BA57" s="494"/>
      <c r="BB57" s="494"/>
      <c r="BC57" s="494"/>
      <c r="BD57" s="494"/>
      <c r="BE57" s="494"/>
      <c r="BF57" s="494"/>
      <c r="BG57" s="494"/>
      <c r="BH57" s="494"/>
      <c r="BI57" s="494"/>
      <c r="BJ57" s="494"/>
    </row>
    <row r="58" spans="2:62" s="493" customFormat="1" ht="15" hidden="1">
      <c r="B58" s="494"/>
      <c r="C58" s="494"/>
      <c r="I58" s="494"/>
      <c r="J58" s="494"/>
      <c r="K58" s="494"/>
      <c r="L58" s="494"/>
      <c r="M58" s="494"/>
      <c r="N58" s="494"/>
      <c r="O58" s="494"/>
      <c r="P58" s="494"/>
      <c r="Q58" s="494"/>
      <c r="R58" s="494"/>
      <c r="S58" s="494"/>
      <c r="T58" s="494"/>
      <c r="U58" s="494"/>
      <c r="V58" s="494"/>
      <c r="W58" s="494"/>
      <c r="X58" s="494"/>
      <c r="Y58" s="494"/>
      <c r="Z58" s="494"/>
      <c r="AA58" s="494"/>
      <c r="AB58" s="494"/>
      <c r="AC58" s="494"/>
      <c r="AD58" s="494"/>
      <c r="AE58" s="494"/>
      <c r="AF58" s="494"/>
      <c r="AG58" s="494"/>
      <c r="AH58" s="494"/>
      <c r="AI58" s="494"/>
      <c r="AJ58" s="494"/>
      <c r="AK58" s="494"/>
      <c r="AL58" s="494"/>
      <c r="AM58" s="494"/>
      <c r="AN58" s="494"/>
      <c r="AO58" s="494"/>
      <c r="AP58" s="494"/>
      <c r="AQ58" s="494"/>
      <c r="AR58" s="494"/>
      <c r="AS58" s="494"/>
      <c r="AT58" s="494"/>
      <c r="AU58" s="494"/>
      <c r="AV58" s="494"/>
      <c r="AW58" s="494"/>
      <c r="AX58" s="494"/>
      <c r="AY58" s="494"/>
      <c r="AZ58" s="494"/>
      <c r="BA58" s="494"/>
      <c r="BB58" s="494"/>
      <c r="BC58" s="494"/>
      <c r="BD58" s="494"/>
      <c r="BE58" s="494"/>
      <c r="BF58" s="494"/>
      <c r="BG58" s="494"/>
      <c r="BH58" s="494"/>
      <c r="BI58" s="494"/>
      <c r="BJ58" s="494"/>
    </row>
    <row r="59" spans="2:62" s="493" customFormat="1" ht="15" hidden="1">
      <c r="B59" s="494"/>
      <c r="C59" s="494"/>
      <c r="I59" s="494"/>
      <c r="J59" s="494"/>
      <c r="K59" s="494"/>
      <c r="L59" s="494"/>
      <c r="M59" s="494"/>
      <c r="N59" s="494"/>
      <c r="O59" s="494"/>
      <c r="P59" s="494"/>
      <c r="Q59" s="494"/>
      <c r="R59" s="494"/>
      <c r="S59" s="494"/>
      <c r="T59" s="494"/>
      <c r="U59" s="494"/>
      <c r="V59" s="494"/>
      <c r="W59" s="494"/>
      <c r="X59" s="494"/>
      <c r="Y59" s="494"/>
      <c r="Z59" s="494"/>
      <c r="AA59" s="494"/>
      <c r="AB59" s="494"/>
      <c r="AC59" s="494"/>
      <c r="AD59" s="494"/>
      <c r="AE59" s="494"/>
      <c r="AF59" s="494"/>
      <c r="AG59" s="494"/>
      <c r="AH59" s="494"/>
      <c r="AI59" s="494"/>
      <c r="AJ59" s="494"/>
      <c r="AK59" s="494"/>
      <c r="AL59" s="494"/>
      <c r="AM59" s="494"/>
      <c r="AN59" s="494"/>
      <c r="AO59" s="494"/>
      <c r="AP59" s="494"/>
      <c r="AQ59" s="494"/>
      <c r="AR59" s="494"/>
      <c r="AS59" s="494"/>
      <c r="AT59" s="494"/>
      <c r="AU59" s="494"/>
      <c r="AV59" s="494"/>
      <c r="AW59" s="494"/>
      <c r="AX59" s="494"/>
      <c r="AY59" s="494"/>
      <c r="AZ59" s="494"/>
      <c r="BA59" s="494"/>
      <c r="BB59" s="494"/>
      <c r="BC59" s="494"/>
      <c r="BD59" s="494"/>
      <c r="BE59" s="494"/>
      <c r="BF59" s="494"/>
      <c r="BG59" s="494"/>
      <c r="BH59" s="494"/>
      <c r="BI59" s="494"/>
      <c r="BJ59" s="494"/>
    </row>
    <row r="60" spans="2:62" s="493" customFormat="1" ht="15" hidden="1">
      <c r="B60" s="494"/>
      <c r="C60" s="494"/>
      <c r="I60" s="494"/>
      <c r="J60" s="494"/>
      <c r="K60" s="494"/>
      <c r="L60" s="494"/>
      <c r="M60" s="494"/>
      <c r="N60" s="494"/>
      <c r="O60" s="494"/>
      <c r="P60" s="494"/>
      <c r="Q60" s="494"/>
      <c r="R60" s="494"/>
      <c r="S60" s="494"/>
      <c r="T60" s="494"/>
      <c r="U60" s="494"/>
      <c r="V60" s="494"/>
      <c r="W60" s="494"/>
      <c r="X60" s="494"/>
      <c r="Y60" s="494"/>
      <c r="Z60" s="494"/>
      <c r="AA60" s="494"/>
      <c r="AB60" s="494"/>
      <c r="AC60" s="494"/>
      <c r="AD60" s="494"/>
      <c r="AE60" s="494"/>
      <c r="AF60" s="494"/>
      <c r="AG60" s="494"/>
      <c r="AH60" s="494"/>
      <c r="AI60" s="494"/>
      <c r="AJ60" s="494"/>
      <c r="AK60" s="494"/>
      <c r="AL60" s="494"/>
      <c r="AM60" s="494"/>
      <c r="AN60" s="494"/>
      <c r="AO60" s="494"/>
      <c r="AP60" s="494"/>
      <c r="AQ60" s="494"/>
      <c r="AR60" s="494"/>
      <c r="AS60" s="494"/>
      <c r="AT60" s="494"/>
      <c r="AU60" s="494"/>
      <c r="AV60" s="494"/>
      <c r="AW60" s="494"/>
      <c r="AX60" s="494"/>
      <c r="AY60" s="494"/>
      <c r="AZ60" s="494"/>
      <c r="BA60" s="494"/>
      <c r="BB60" s="494"/>
      <c r="BC60" s="494"/>
      <c r="BD60" s="494"/>
      <c r="BE60" s="494"/>
      <c r="BF60" s="494"/>
      <c r="BG60" s="494"/>
      <c r="BH60" s="494"/>
      <c r="BI60" s="494"/>
      <c r="BJ60" s="494"/>
    </row>
    <row r="61" spans="2:62" s="493" customFormat="1" ht="15" hidden="1">
      <c r="B61" s="494"/>
      <c r="C61" s="494"/>
      <c r="I61" s="494"/>
      <c r="J61" s="494"/>
      <c r="K61" s="494"/>
      <c r="L61" s="494"/>
      <c r="M61" s="494"/>
      <c r="N61" s="494"/>
      <c r="O61" s="494"/>
      <c r="P61" s="494"/>
      <c r="Q61" s="494"/>
      <c r="R61" s="494"/>
      <c r="S61" s="494"/>
      <c r="T61" s="494"/>
      <c r="U61" s="494"/>
      <c r="V61" s="494"/>
      <c r="W61" s="494"/>
      <c r="X61" s="494"/>
      <c r="Y61" s="494"/>
      <c r="Z61" s="494"/>
      <c r="AA61" s="494"/>
      <c r="AB61" s="494"/>
      <c r="AC61" s="494"/>
      <c r="AD61" s="494"/>
      <c r="AE61" s="494"/>
      <c r="AF61" s="494"/>
      <c r="AG61" s="494"/>
      <c r="AH61" s="494"/>
      <c r="AI61" s="494"/>
      <c r="AJ61" s="494"/>
      <c r="AK61" s="494"/>
      <c r="AL61" s="494"/>
      <c r="AM61" s="494"/>
      <c r="AN61" s="494"/>
      <c r="AO61" s="494"/>
      <c r="AP61" s="494"/>
      <c r="AQ61" s="494"/>
      <c r="AR61" s="494"/>
      <c r="AS61" s="494"/>
      <c r="AT61" s="494"/>
      <c r="AU61" s="494"/>
      <c r="AV61" s="494"/>
      <c r="AW61" s="494"/>
      <c r="AX61" s="494"/>
      <c r="AY61" s="494"/>
      <c r="AZ61" s="494"/>
      <c r="BA61" s="494"/>
      <c r="BB61" s="494"/>
      <c r="BC61" s="494"/>
      <c r="BD61" s="494"/>
      <c r="BE61" s="494"/>
      <c r="BF61" s="494"/>
      <c r="BG61" s="494"/>
      <c r="BH61" s="494"/>
      <c r="BI61" s="494"/>
      <c r="BJ61" s="494"/>
    </row>
    <row r="62" spans="2:62" s="493" customFormat="1" ht="15" hidden="1">
      <c r="B62" s="494"/>
      <c r="C62" s="494"/>
      <c r="I62" s="494"/>
      <c r="J62" s="494"/>
      <c r="K62" s="494"/>
      <c r="L62" s="494"/>
      <c r="M62" s="494"/>
      <c r="N62" s="494"/>
      <c r="O62" s="494"/>
      <c r="P62" s="494"/>
      <c r="Q62" s="494"/>
      <c r="R62" s="494"/>
      <c r="S62" s="494"/>
      <c r="T62" s="494"/>
      <c r="U62" s="494"/>
      <c r="V62" s="494"/>
      <c r="W62" s="494"/>
      <c r="X62" s="494"/>
      <c r="Y62" s="494"/>
      <c r="Z62" s="494"/>
      <c r="AA62" s="494"/>
      <c r="AB62" s="494"/>
      <c r="AC62" s="494"/>
      <c r="AD62" s="494"/>
      <c r="AE62" s="494"/>
      <c r="AF62" s="494"/>
      <c r="AG62" s="494"/>
      <c r="AH62" s="494"/>
      <c r="AI62" s="494"/>
      <c r="AJ62" s="494"/>
      <c r="AK62" s="494"/>
      <c r="AL62" s="494"/>
      <c r="AM62" s="494"/>
      <c r="AN62" s="494"/>
      <c r="AO62" s="494"/>
      <c r="AP62" s="494"/>
      <c r="AQ62" s="494"/>
      <c r="AR62" s="494"/>
      <c r="AS62" s="494"/>
      <c r="AT62" s="494"/>
      <c r="AU62" s="494"/>
      <c r="AV62" s="494"/>
      <c r="AW62" s="494"/>
      <c r="AX62" s="494"/>
      <c r="AY62" s="494"/>
      <c r="AZ62" s="494"/>
      <c r="BA62" s="494"/>
      <c r="BB62" s="494"/>
      <c r="BC62" s="494"/>
      <c r="BD62" s="494"/>
      <c r="BE62" s="494"/>
      <c r="BF62" s="494"/>
      <c r="BG62" s="494"/>
      <c r="BH62" s="494"/>
      <c r="BI62" s="494"/>
      <c r="BJ62" s="494"/>
    </row>
    <row r="63" spans="2:62" s="493" customFormat="1" ht="15" hidden="1">
      <c r="B63" s="494"/>
      <c r="C63" s="494"/>
      <c r="I63" s="494"/>
      <c r="J63" s="494"/>
      <c r="K63" s="494"/>
      <c r="L63" s="494"/>
      <c r="M63" s="494"/>
      <c r="N63" s="494"/>
      <c r="O63" s="494"/>
      <c r="P63" s="494"/>
      <c r="Q63" s="494"/>
      <c r="R63" s="494"/>
      <c r="S63" s="494"/>
      <c r="T63" s="494"/>
      <c r="U63" s="494"/>
      <c r="V63" s="494"/>
      <c r="W63" s="494"/>
      <c r="X63" s="494"/>
      <c r="Y63" s="494"/>
      <c r="Z63" s="494"/>
      <c r="AA63" s="494"/>
      <c r="AB63" s="494"/>
      <c r="AC63" s="494"/>
      <c r="AD63" s="494"/>
      <c r="AE63" s="494"/>
      <c r="AF63" s="494"/>
      <c r="AG63" s="494"/>
      <c r="AH63" s="494"/>
      <c r="AI63" s="494"/>
      <c r="AJ63" s="494"/>
      <c r="AK63" s="494"/>
      <c r="AL63" s="494"/>
      <c r="AM63" s="494"/>
      <c r="AN63" s="494"/>
      <c r="AO63" s="494"/>
      <c r="AP63" s="494"/>
      <c r="AQ63" s="494"/>
      <c r="AR63" s="494"/>
      <c r="AS63" s="494"/>
      <c r="AT63" s="494"/>
      <c r="AU63" s="494"/>
      <c r="AV63" s="494"/>
      <c r="AW63" s="494"/>
      <c r="AX63" s="494"/>
      <c r="AY63" s="494"/>
      <c r="AZ63" s="494"/>
      <c r="BA63" s="494"/>
      <c r="BB63" s="494"/>
      <c r="BC63" s="494"/>
      <c r="BD63" s="494"/>
      <c r="BE63" s="494"/>
      <c r="BF63" s="494"/>
      <c r="BG63" s="494"/>
      <c r="BH63" s="494"/>
      <c r="BI63" s="494"/>
      <c r="BJ63" s="494"/>
    </row>
    <row r="64" spans="2:62" s="493" customFormat="1" ht="15" hidden="1">
      <c r="B64" s="494"/>
      <c r="C64" s="494"/>
      <c r="I64" s="494"/>
      <c r="J64" s="494"/>
      <c r="K64" s="494"/>
      <c r="L64" s="494"/>
      <c r="M64" s="494"/>
      <c r="N64" s="494"/>
      <c r="O64" s="494"/>
      <c r="P64" s="494"/>
      <c r="Q64" s="494"/>
      <c r="R64" s="494"/>
      <c r="S64" s="494"/>
      <c r="T64" s="494"/>
      <c r="U64" s="494"/>
      <c r="V64" s="494"/>
      <c r="W64" s="494"/>
      <c r="X64" s="494"/>
      <c r="Y64" s="494"/>
      <c r="Z64" s="494"/>
      <c r="AA64" s="494"/>
      <c r="AB64" s="494"/>
      <c r="AC64" s="494"/>
      <c r="AD64" s="494"/>
      <c r="AE64" s="494"/>
      <c r="AF64" s="494"/>
      <c r="AG64" s="494"/>
      <c r="AH64" s="494"/>
      <c r="AI64" s="494"/>
      <c r="AJ64" s="494"/>
      <c r="AK64" s="494"/>
      <c r="AL64" s="494"/>
      <c r="AM64" s="494"/>
      <c r="AN64" s="494"/>
      <c r="AO64" s="494"/>
      <c r="AP64" s="494"/>
      <c r="AQ64" s="494"/>
      <c r="AR64" s="494"/>
      <c r="AS64" s="494"/>
      <c r="AT64" s="494"/>
      <c r="AU64" s="494"/>
      <c r="AV64" s="494"/>
      <c r="AW64" s="494"/>
      <c r="AX64" s="494"/>
      <c r="AY64" s="494"/>
      <c r="AZ64" s="494"/>
      <c r="BA64" s="494"/>
      <c r="BB64" s="494"/>
      <c r="BC64" s="494"/>
      <c r="BD64" s="494"/>
      <c r="BE64" s="494"/>
      <c r="BF64" s="494"/>
      <c r="BG64" s="494"/>
      <c r="BH64" s="494"/>
      <c r="BI64" s="494"/>
      <c r="BJ64" s="494"/>
    </row>
    <row r="65" spans="2:62" s="493" customFormat="1" ht="15" hidden="1">
      <c r="B65" s="494"/>
      <c r="C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494"/>
      <c r="AY65" s="494"/>
      <c r="AZ65" s="494"/>
      <c r="BA65" s="494"/>
      <c r="BB65" s="494"/>
      <c r="BC65" s="494"/>
      <c r="BD65" s="494"/>
      <c r="BE65" s="494"/>
      <c r="BF65" s="494"/>
      <c r="BG65" s="494"/>
      <c r="BH65" s="494"/>
      <c r="BI65" s="494"/>
      <c r="BJ65" s="494"/>
    </row>
    <row r="66" spans="2:62" s="493" customFormat="1" ht="15" hidden="1">
      <c r="B66" s="494"/>
      <c r="C66" s="494"/>
      <c r="I66" s="494"/>
      <c r="J66" s="494"/>
      <c r="K66" s="494"/>
      <c r="L66" s="494"/>
      <c r="M66" s="494"/>
      <c r="N66" s="494"/>
      <c r="O66" s="494"/>
      <c r="P66" s="494"/>
      <c r="Q66" s="494"/>
      <c r="R66" s="494"/>
      <c r="S66" s="494"/>
      <c r="T66" s="494"/>
      <c r="U66" s="494"/>
      <c r="V66" s="494"/>
      <c r="W66" s="494"/>
      <c r="X66" s="494"/>
      <c r="Y66" s="494"/>
      <c r="Z66" s="494"/>
      <c r="AA66" s="494"/>
      <c r="AB66" s="494"/>
      <c r="AC66" s="494"/>
      <c r="AD66" s="494"/>
      <c r="AE66" s="494"/>
      <c r="AF66" s="494"/>
      <c r="AG66" s="494"/>
      <c r="AH66" s="494"/>
      <c r="AI66" s="494"/>
      <c r="AJ66" s="494"/>
      <c r="AK66" s="494"/>
      <c r="AL66" s="494"/>
      <c r="AM66" s="494"/>
      <c r="AN66" s="494"/>
      <c r="AO66" s="494"/>
      <c r="AP66" s="494"/>
      <c r="AQ66" s="494"/>
      <c r="AR66" s="494"/>
      <c r="AS66" s="494"/>
      <c r="AT66" s="494"/>
      <c r="AU66" s="494"/>
      <c r="AV66" s="494"/>
      <c r="AW66" s="494"/>
      <c r="AX66" s="494"/>
      <c r="AY66" s="494"/>
      <c r="AZ66" s="494"/>
      <c r="BA66" s="494"/>
      <c r="BB66" s="494"/>
      <c r="BC66" s="494"/>
      <c r="BD66" s="494"/>
      <c r="BE66" s="494"/>
      <c r="BF66" s="494"/>
      <c r="BG66" s="494"/>
      <c r="BH66" s="494"/>
      <c r="BI66" s="494"/>
      <c r="BJ66" s="494"/>
    </row>
    <row r="67" spans="2:62" s="493" customFormat="1" ht="15" hidden="1">
      <c r="B67" s="494"/>
      <c r="C67" s="494"/>
      <c r="I67" s="494"/>
      <c r="J67" s="494"/>
      <c r="K67" s="494"/>
      <c r="L67" s="494"/>
      <c r="M67" s="494"/>
      <c r="N67" s="494"/>
      <c r="O67" s="494"/>
      <c r="P67" s="494"/>
      <c r="Q67" s="494"/>
      <c r="R67" s="494"/>
      <c r="S67" s="494"/>
      <c r="T67" s="494"/>
      <c r="U67" s="494"/>
      <c r="V67" s="494"/>
      <c r="W67" s="494"/>
      <c r="X67" s="494"/>
      <c r="Y67" s="494"/>
      <c r="Z67" s="494"/>
      <c r="AA67" s="494"/>
      <c r="AB67" s="494"/>
      <c r="AC67" s="494"/>
      <c r="AD67" s="494"/>
      <c r="AE67" s="494"/>
      <c r="AF67" s="494"/>
      <c r="AG67" s="494"/>
      <c r="AH67" s="494"/>
      <c r="AI67" s="494"/>
      <c r="AJ67" s="494"/>
      <c r="AK67" s="494"/>
      <c r="AL67" s="494"/>
      <c r="AM67" s="494"/>
      <c r="AN67" s="494"/>
      <c r="AO67" s="494"/>
      <c r="AP67" s="494"/>
      <c r="AQ67" s="494"/>
      <c r="AR67" s="494"/>
      <c r="AS67" s="494"/>
      <c r="AT67" s="494"/>
      <c r="AU67" s="494"/>
      <c r="AV67" s="494"/>
      <c r="AW67" s="494"/>
      <c r="AX67" s="494"/>
      <c r="AY67" s="494"/>
      <c r="AZ67" s="494"/>
      <c r="BA67" s="494"/>
      <c r="BB67" s="494"/>
      <c r="BC67" s="494"/>
      <c r="BD67" s="494"/>
      <c r="BE67" s="494"/>
      <c r="BF67" s="494"/>
      <c r="BG67" s="494"/>
      <c r="BH67" s="494"/>
      <c r="BI67" s="494"/>
      <c r="BJ67" s="494"/>
    </row>
    <row r="68" spans="2:62" s="493" customFormat="1" ht="15" hidden="1">
      <c r="B68" s="494"/>
      <c r="C68" s="494"/>
      <c r="I68" s="494"/>
      <c r="J68" s="494"/>
      <c r="K68" s="494"/>
      <c r="L68" s="494"/>
      <c r="M68" s="494"/>
      <c r="N68" s="494"/>
      <c r="O68" s="494"/>
      <c r="P68" s="494"/>
      <c r="Q68" s="494"/>
      <c r="R68" s="494"/>
      <c r="S68" s="494"/>
      <c r="T68" s="494"/>
      <c r="U68" s="494"/>
      <c r="V68" s="494"/>
      <c r="W68" s="494"/>
      <c r="X68" s="494"/>
      <c r="Y68" s="494"/>
      <c r="Z68" s="494"/>
      <c r="AA68" s="494"/>
      <c r="AB68" s="494"/>
      <c r="AC68" s="494"/>
      <c r="AD68" s="494"/>
      <c r="AE68" s="494"/>
      <c r="AF68" s="494"/>
      <c r="AG68" s="494"/>
      <c r="AH68" s="494"/>
      <c r="AI68" s="494"/>
      <c r="AJ68" s="494"/>
      <c r="AK68" s="494"/>
      <c r="AL68" s="494"/>
      <c r="AM68" s="494"/>
      <c r="AN68" s="494"/>
      <c r="AO68" s="494"/>
      <c r="AP68" s="494"/>
      <c r="AQ68" s="494"/>
      <c r="AR68" s="494"/>
      <c r="AS68" s="494"/>
      <c r="AT68" s="494"/>
      <c r="AU68" s="494"/>
      <c r="AV68" s="494"/>
      <c r="AW68" s="494"/>
      <c r="AX68" s="494"/>
      <c r="AY68" s="494"/>
      <c r="AZ68" s="494"/>
      <c r="BA68" s="494"/>
      <c r="BB68" s="494"/>
      <c r="BC68" s="494"/>
      <c r="BD68" s="494"/>
      <c r="BE68" s="494"/>
      <c r="BF68" s="494"/>
      <c r="BG68" s="494"/>
      <c r="BH68" s="494"/>
      <c r="BI68" s="494"/>
      <c r="BJ68" s="494"/>
    </row>
    <row r="69" spans="2:62" s="493" customFormat="1" ht="15" hidden="1">
      <c r="B69" s="494"/>
      <c r="C69" s="494"/>
      <c r="I69" s="494"/>
      <c r="J69" s="494"/>
      <c r="K69" s="494"/>
      <c r="L69" s="494"/>
      <c r="M69" s="494"/>
      <c r="N69" s="494"/>
      <c r="O69" s="494"/>
      <c r="P69" s="494"/>
      <c r="Q69" s="494"/>
      <c r="R69" s="494"/>
      <c r="S69" s="494"/>
      <c r="T69" s="494"/>
      <c r="U69" s="494"/>
      <c r="V69" s="494"/>
      <c r="W69" s="494"/>
      <c r="X69" s="494"/>
      <c r="Y69" s="494"/>
      <c r="Z69" s="494"/>
      <c r="AA69" s="494"/>
      <c r="AB69" s="494"/>
      <c r="AC69" s="494"/>
      <c r="AD69" s="494"/>
      <c r="AE69" s="494"/>
      <c r="AF69" s="494"/>
      <c r="AG69" s="494"/>
      <c r="AH69" s="494"/>
      <c r="AI69" s="494"/>
      <c r="AJ69" s="494"/>
      <c r="AK69" s="494"/>
      <c r="AL69" s="494"/>
      <c r="AM69" s="494"/>
      <c r="AN69" s="494"/>
      <c r="AO69" s="494"/>
      <c r="AP69" s="494"/>
      <c r="AQ69" s="494"/>
      <c r="AR69" s="494"/>
      <c r="AS69" s="494"/>
      <c r="AT69" s="494"/>
      <c r="AU69" s="494"/>
      <c r="AV69" s="494"/>
      <c r="AW69" s="494"/>
      <c r="AX69" s="494"/>
      <c r="AY69" s="494"/>
      <c r="AZ69" s="494"/>
      <c r="BA69" s="494"/>
      <c r="BB69" s="494"/>
      <c r="BC69" s="494"/>
      <c r="BD69" s="494"/>
      <c r="BE69" s="494"/>
      <c r="BF69" s="494"/>
      <c r="BG69" s="494"/>
      <c r="BH69" s="494"/>
      <c r="BI69" s="494"/>
      <c r="BJ69" s="494"/>
    </row>
    <row r="70" spans="2:62" s="493" customFormat="1" ht="15" hidden="1">
      <c r="B70" s="494"/>
      <c r="C70" s="494"/>
      <c r="I70" s="494"/>
      <c r="J70" s="494"/>
      <c r="K70" s="494"/>
      <c r="L70" s="494"/>
      <c r="M70" s="494"/>
      <c r="N70" s="494"/>
      <c r="O70" s="494"/>
      <c r="P70" s="494"/>
      <c r="Q70" s="494"/>
      <c r="R70" s="494"/>
      <c r="S70" s="494"/>
      <c r="T70" s="494"/>
      <c r="U70" s="494"/>
      <c r="V70" s="494"/>
      <c r="W70" s="494"/>
      <c r="X70" s="494"/>
      <c r="Y70" s="494"/>
      <c r="Z70" s="494"/>
      <c r="AA70" s="494"/>
      <c r="AB70" s="494"/>
      <c r="AC70" s="494"/>
      <c r="AD70" s="494"/>
      <c r="AE70" s="494"/>
      <c r="AF70" s="494"/>
      <c r="AG70" s="494"/>
      <c r="AH70" s="494"/>
      <c r="AI70" s="494"/>
      <c r="AJ70" s="494"/>
      <c r="AK70" s="494"/>
      <c r="AL70" s="494"/>
      <c r="AM70" s="494"/>
      <c r="AN70" s="494"/>
      <c r="AO70" s="494"/>
      <c r="AP70" s="494"/>
      <c r="AQ70" s="494"/>
      <c r="AR70" s="494"/>
      <c r="AS70" s="494"/>
      <c r="AT70" s="494"/>
      <c r="AU70" s="494"/>
      <c r="AV70" s="494"/>
      <c r="AW70" s="494"/>
      <c r="AX70" s="494"/>
      <c r="AY70" s="494"/>
      <c r="AZ70" s="494"/>
      <c r="BA70" s="494"/>
      <c r="BB70" s="494"/>
      <c r="BC70" s="494"/>
      <c r="BD70" s="494"/>
      <c r="BE70" s="494"/>
      <c r="BF70" s="494"/>
      <c r="BG70" s="494"/>
      <c r="BH70" s="494"/>
      <c r="BI70" s="494"/>
      <c r="BJ70" s="494"/>
    </row>
    <row r="71" spans="2:62" s="493" customFormat="1" ht="15" hidden="1">
      <c r="B71" s="494"/>
      <c r="C71" s="494"/>
      <c r="I71" s="494"/>
      <c r="J71" s="494"/>
      <c r="K71" s="494"/>
      <c r="L71" s="494"/>
      <c r="M71" s="494"/>
      <c r="N71" s="494"/>
      <c r="O71" s="494"/>
      <c r="P71" s="494"/>
      <c r="Q71" s="494"/>
      <c r="R71" s="494"/>
      <c r="S71" s="494"/>
      <c r="T71" s="494"/>
      <c r="U71" s="494"/>
      <c r="V71" s="494"/>
      <c r="W71" s="494"/>
      <c r="X71" s="494"/>
      <c r="Y71" s="494"/>
      <c r="Z71" s="494"/>
      <c r="AA71" s="494"/>
      <c r="AB71" s="494"/>
      <c r="AC71" s="494"/>
      <c r="AD71" s="494"/>
      <c r="AE71" s="494"/>
      <c r="AF71" s="494"/>
      <c r="AG71" s="494"/>
      <c r="AH71" s="494"/>
      <c r="AI71" s="494"/>
      <c r="AJ71" s="494"/>
      <c r="AK71" s="494"/>
      <c r="AL71" s="494"/>
      <c r="AM71" s="494"/>
      <c r="AN71" s="494"/>
      <c r="AO71" s="494"/>
      <c r="AP71" s="494"/>
      <c r="AQ71" s="494"/>
      <c r="AR71" s="494"/>
      <c r="AS71" s="494"/>
      <c r="AT71" s="494"/>
      <c r="AU71" s="494"/>
      <c r="AV71" s="494"/>
      <c r="AW71" s="494"/>
      <c r="AX71" s="494"/>
      <c r="AY71" s="494"/>
      <c r="AZ71" s="494"/>
      <c r="BA71" s="494"/>
      <c r="BB71" s="494"/>
      <c r="BC71" s="494"/>
      <c r="BD71" s="494"/>
      <c r="BE71" s="494"/>
      <c r="BF71" s="494"/>
      <c r="BG71" s="494"/>
      <c r="BH71" s="494"/>
      <c r="BI71" s="494"/>
      <c r="BJ71" s="494"/>
    </row>
    <row r="72" spans="2:62" s="493" customFormat="1" ht="15" hidden="1">
      <c r="B72" s="494"/>
      <c r="C72" s="494"/>
      <c r="I72" s="494"/>
      <c r="J72" s="494"/>
      <c r="K72" s="494"/>
      <c r="L72" s="494"/>
      <c r="M72" s="494"/>
      <c r="N72" s="494"/>
      <c r="O72" s="494"/>
      <c r="P72" s="494"/>
      <c r="Q72" s="494"/>
      <c r="R72" s="494"/>
      <c r="S72" s="494"/>
      <c r="T72" s="494"/>
      <c r="U72" s="494"/>
      <c r="V72" s="494"/>
      <c r="W72" s="494"/>
      <c r="X72" s="494"/>
      <c r="Y72" s="494"/>
      <c r="Z72" s="494"/>
      <c r="AA72" s="494"/>
      <c r="AB72" s="494"/>
      <c r="AC72" s="494"/>
      <c r="AD72" s="494"/>
      <c r="AE72" s="494"/>
      <c r="AF72" s="494"/>
      <c r="AG72" s="494"/>
      <c r="AH72" s="494"/>
      <c r="AI72" s="494"/>
      <c r="AJ72" s="494"/>
      <c r="AK72" s="494"/>
      <c r="AL72" s="494"/>
      <c r="AM72" s="494"/>
      <c r="AN72" s="494"/>
      <c r="AO72" s="494"/>
      <c r="AP72" s="494"/>
      <c r="AQ72" s="494"/>
      <c r="AR72" s="494"/>
      <c r="AS72" s="494"/>
      <c r="AT72" s="494"/>
      <c r="AU72" s="494"/>
      <c r="AV72" s="494"/>
      <c r="AW72" s="494"/>
      <c r="AX72" s="494"/>
      <c r="AY72" s="494"/>
      <c r="AZ72" s="494"/>
      <c r="BA72" s="494"/>
      <c r="BB72" s="494"/>
      <c r="BC72" s="494"/>
      <c r="BD72" s="494"/>
      <c r="BE72" s="494"/>
      <c r="BF72" s="494"/>
      <c r="BG72" s="494"/>
      <c r="BH72" s="494"/>
      <c r="BI72" s="494"/>
      <c r="BJ72" s="494"/>
    </row>
    <row r="73" spans="2:62" s="493" customFormat="1" ht="15" hidden="1">
      <c r="B73" s="494"/>
      <c r="C73" s="494"/>
      <c r="I73" s="494"/>
      <c r="J73" s="494"/>
      <c r="K73" s="494"/>
      <c r="L73" s="494"/>
      <c r="M73" s="494"/>
      <c r="N73" s="494"/>
      <c r="O73" s="494"/>
      <c r="P73" s="494"/>
      <c r="Q73" s="494"/>
      <c r="R73" s="494"/>
      <c r="S73" s="494"/>
      <c r="T73" s="494"/>
      <c r="U73" s="494"/>
      <c r="V73" s="494"/>
      <c r="W73" s="494"/>
      <c r="X73" s="494"/>
      <c r="Y73" s="494"/>
      <c r="Z73" s="494"/>
      <c r="AA73" s="494"/>
      <c r="AB73" s="494"/>
      <c r="AC73" s="494"/>
      <c r="AD73" s="494"/>
      <c r="AE73" s="494"/>
      <c r="AF73" s="494"/>
      <c r="AG73" s="494"/>
      <c r="AH73" s="494"/>
      <c r="AI73" s="494"/>
      <c r="AJ73" s="494"/>
      <c r="AK73" s="494"/>
      <c r="AL73" s="494"/>
      <c r="AM73" s="494"/>
      <c r="AN73" s="494"/>
      <c r="AO73" s="494"/>
      <c r="AP73" s="494"/>
      <c r="AQ73" s="494"/>
      <c r="AR73" s="494"/>
      <c r="AS73" s="494"/>
      <c r="AT73" s="494"/>
      <c r="AU73" s="494"/>
      <c r="AV73" s="494"/>
      <c r="AW73" s="494"/>
      <c r="AX73" s="494"/>
      <c r="AY73" s="494"/>
      <c r="AZ73" s="494"/>
      <c r="BA73" s="494"/>
      <c r="BB73" s="494"/>
      <c r="BC73" s="494"/>
      <c r="BD73" s="494"/>
      <c r="BE73" s="494"/>
      <c r="BF73" s="494"/>
      <c r="BG73" s="494"/>
      <c r="BH73" s="494"/>
      <c r="BI73" s="494"/>
      <c r="BJ73" s="494"/>
    </row>
    <row r="74" spans="2:62" s="493" customFormat="1" ht="15" hidden="1">
      <c r="B74" s="494"/>
      <c r="C74" s="494"/>
      <c r="I74" s="494"/>
      <c r="J74" s="494"/>
      <c r="K74" s="494"/>
      <c r="L74" s="494"/>
      <c r="M74" s="494"/>
      <c r="N74" s="494"/>
      <c r="O74" s="494"/>
      <c r="P74" s="494"/>
      <c r="Q74" s="494"/>
      <c r="R74" s="494"/>
      <c r="S74" s="494"/>
      <c r="T74" s="494"/>
      <c r="U74" s="494"/>
      <c r="V74" s="494"/>
      <c r="W74" s="494"/>
      <c r="X74" s="494"/>
      <c r="Y74" s="494"/>
      <c r="Z74" s="494"/>
      <c r="AA74" s="494"/>
      <c r="AB74" s="494"/>
      <c r="AC74" s="494"/>
      <c r="AD74" s="494"/>
      <c r="AE74" s="494"/>
      <c r="AF74" s="494"/>
      <c r="AG74" s="494"/>
      <c r="AH74" s="494"/>
      <c r="AI74" s="494"/>
      <c r="AJ74" s="494"/>
      <c r="AK74" s="494"/>
      <c r="AL74" s="494"/>
      <c r="AM74" s="494"/>
      <c r="AN74" s="494"/>
      <c r="AO74" s="494"/>
      <c r="AP74" s="494"/>
      <c r="AQ74" s="494"/>
      <c r="AR74" s="494"/>
      <c r="AS74" s="494"/>
      <c r="AT74" s="494"/>
      <c r="AU74" s="494"/>
      <c r="AV74" s="494"/>
      <c r="AW74" s="494"/>
      <c r="AX74" s="494"/>
      <c r="AY74" s="494"/>
      <c r="AZ74" s="494"/>
      <c r="BA74" s="494"/>
      <c r="BB74" s="494"/>
      <c r="BC74" s="494"/>
      <c r="BD74" s="494"/>
      <c r="BE74" s="494"/>
      <c r="BF74" s="494"/>
      <c r="BG74" s="494"/>
      <c r="BH74" s="494"/>
      <c r="BI74" s="494"/>
      <c r="BJ74" s="494"/>
    </row>
    <row r="75" spans="2:62" s="493" customFormat="1" ht="15" hidden="1">
      <c r="B75" s="494"/>
      <c r="C75" s="494"/>
      <c r="I75" s="494"/>
      <c r="J75" s="494"/>
      <c r="K75" s="494"/>
      <c r="L75" s="494"/>
      <c r="M75" s="494"/>
      <c r="N75" s="494"/>
      <c r="O75" s="494"/>
      <c r="P75" s="494"/>
      <c r="Q75" s="494"/>
      <c r="R75" s="494"/>
      <c r="S75" s="494"/>
      <c r="T75" s="494"/>
      <c r="U75" s="494"/>
      <c r="V75" s="494"/>
      <c r="W75" s="494"/>
      <c r="X75" s="494"/>
      <c r="Y75" s="494"/>
      <c r="Z75" s="494"/>
      <c r="AA75" s="494"/>
      <c r="AB75" s="494"/>
      <c r="AC75" s="494"/>
      <c r="AD75" s="494"/>
      <c r="AE75" s="494"/>
      <c r="AF75" s="494"/>
      <c r="AG75" s="494"/>
      <c r="AH75" s="494"/>
      <c r="AI75" s="494"/>
      <c r="AJ75" s="494"/>
      <c r="AK75" s="494"/>
      <c r="AL75" s="494"/>
      <c r="AM75" s="494"/>
      <c r="AN75" s="494"/>
      <c r="AO75" s="494"/>
      <c r="AP75" s="494"/>
      <c r="AQ75" s="494"/>
      <c r="AR75" s="494"/>
      <c r="AS75" s="494"/>
      <c r="AT75" s="494"/>
      <c r="AU75" s="494"/>
      <c r="AV75" s="494"/>
      <c r="AW75" s="494"/>
      <c r="AX75" s="494"/>
      <c r="AY75" s="494"/>
      <c r="AZ75" s="494"/>
      <c r="BA75" s="494"/>
      <c r="BB75" s="494"/>
      <c r="BC75" s="494"/>
      <c r="BD75" s="494"/>
      <c r="BE75" s="494"/>
      <c r="BF75" s="494"/>
      <c r="BG75" s="494"/>
      <c r="BH75" s="494"/>
      <c r="BI75" s="494"/>
      <c r="BJ75" s="494"/>
    </row>
    <row r="76" spans="2:62" s="493" customFormat="1" ht="15" hidden="1">
      <c r="B76" s="494"/>
      <c r="C76" s="494"/>
      <c r="I76" s="494"/>
      <c r="J76" s="494"/>
      <c r="K76" s="494"/>
      <c r="L76" s="494"/>
      <c r="M76" s="494"/>
      <c r="N76" s="494"/>
      <c r="O76" s="494"/>
      <c r="P76" s="494"/>
      <c r="Q76" s="494"/>
      <c r="R76" s="494"/>
      <c r="S76" s="494"/>
      <c r="T76" s="494"/>
      <c r="U76" s="494"/>
      <c r="V76" s="494"/>
      <c r="W76" s="494"/>
      <c r="X76" s="494"/>
      <c r="Y76" s="494"/>
      <c r="Z76" s="494"/>
      <c r="AA76" s="494"/>
      <c r="AB76" s="494"/>
      <c r="AC76" s="494"/>
      <c r="AD76" s="494"/>
      <c r="AE76" s="494"/>
      <c r="AF76" s="494"/>
      <c r="AG76" s="494"/>
      <c r="AH76" s="494"/>
      <c r="AI76" s="494"/>
      <c r="AJ76" s="494"/>
      <c r="AK76" s="494"/>
      <c r="AL76" s="494"/>
      <c r="AM76" s="494"/>
      <c r="AN76" s="494"/>
      <c r="AO76" s="494"/>
      <c r="AP76" s="494"/>
      <c r="AQ76" s="494"/>
      <c r="AR76" s="494"/>
      <c r="AS76" s="494"/>
      <c r="AT76" s="494"/>
      <c r="AU76" s="494"/>
      <c r="AV76" s="494"/>
      <c r="AW76" s="494"/>
      <c r="AX76" s="494"/>
      <c r="AY76" s="494"/>
      <c r="AZ76" s="494"/>
      <c r="BA76" s="494"/>
      <c r="BB76" s="494"/>
      <c r="BC76" s="494"/>
      <c r="BD76" s="494"/>
      <c r="BE76" s="494"/>
      <c r="BF76" s="494"/>
      <c r="BG76" s="494"/>
      <c r="BH76" s="494"/>
      <c r="BI76" s="494"/>
      <c r="BJ76" s="494"/>
    </row>
    <row r="77" spans="2:62" s="493" customFormat="1" ht="15" hidden="1">
      <c r="B77" s="494"/>
      <c r="C77" s="494"/>
      <c r="I77" s="494"/>
      <c r="J77" s="494"/>
      <c r="K77" s="494"/>
      <c r="L77" s="494"/>
      <c r="M77" s="494"/>
      <c r="N77" s="494"/>
      <c r="O77" s="494"/>
      <c r="P77" s="494"/>
      <c r="Q77" s="494"/>
      <c r="R77" s="494"/>
      <c r="S77" s="494"/>
      <c r="T77" s="494"/>
      <c r="U77" s="494"/>
      <c r="V77" s="494"/>
      <c r="W77" s="494"/>
      <c r="X77" s="494"/>
      <c r="Y77" s="494"/>
      <c r="Z77" s="494"/>
      <c r="AA77" s="494"/>
      <c r="AB77" s="494"/>
      <c r="AC77" s="494"/>
      <c r="AD77" s="494"/>
      <c r="AE77" s="494"/>
      <c r="AF77" s="494"/>
      <c r="AG77" s="494"/>
      <c r="AH77" s="494"/>
      <c r="AI77" s="494"/>
      <c r="AJ77" s="494"/>
      <c r="AK77" s="494"/>
      <c r="AL77" s="494"/>
      <c r="AM77" s="494"/>
      <c r="AN77" s="494"/>
      <c r="AO77" s="494"/>
      <c r="AP77" s="494"/>
      <c r="AQ77" s="494"/>
      <c r="AR77" s="494"/>
      <c r="AS77" s="494"/>
      <c r="AT77" s="494"/>
      <c r="AU77" s="494"/>
      <c r="AV77" s="494"/>
      <c r="AW77" s="494"/>
      <c r="AX77" s="494"/>
      <c r="AY77" s="494"/>
      <c r="AZ77" s="494"/>
      <c r="BA77" s="494"/>
      <c r="BB77" s="494"/>
      <c r="BC77" s="494"/>
      <c r="BD77" s="494"/>
      <c r="BE77" s="494"/>
      <c r="BF77" s="494"/>
      <c r="BG77" s="494"/>
      <c r="BH77" s="494"/>
      <c r="BI77" s="494"/>
      <c r="BJ77" s="494"/>
    </row>
    <row r="78" spans="2:62" s="493" customFormat="1" ht="15" hidden="1">
      <c r="B78" s="494"/>
      <c r="C78" s="494"/>
      <c r="I78" s="494"/>
      <c r="J78" s="494"/>
      <c r="K78" s="494"/>
      <c r="L78" s="494"/>
      <c r="M78" s="494"/>
      <c r="N78" s="494"/>
      <c r="O78" s="494"/>
      <c r="P78" s="494"/>
      <c r="Q78" s="494"/>
      <c r="R78" s="494"/>
      <c r="S78" s="494"/>
      <c r="T78" s="494"/>
      <c r="U78" s="494"/>
      <c r="V78" s="494"/>
      <c r="W78" s="494"/>
      <c r="X78" s="494"/>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4"/>
      <c r="AY78" s="494"/>
      <c r="AZ78" s="494"/>
      <c r="BA78" s="494"/>
      <c r="BB78" s="494"/>
      <c r="BC78" s="494"/>
      <c r="BD78" s="494"/>
      <c r="BE78" s="494"/>
      <c r="BF78" s="494"/>
      <c r="BG78" s="494"/>
      <c r="BH78" s="494"/>
      <c r="BI78" s="494"/>
      <c r="BJ78" s="494"/>
    </row>
    <row r="79" spans="2:62" s="493" customFormat="1" ht="15" hidden="1">
      <c r="B79" s="494"/>
      <c r="C79" s="494"/>
      <c r="I79" s="494"/>
      <c r="J79" s="494"/>
      <c r="K79" s="494"/>
      <c r="L79" s="494"/>
      <c r="M79" s="494"/>
      <c r="N79" s="494"/>
      <c r="O79" s="494"/>
      <c r="P79" s="494"/>
      <c r="Q79" s="494"/>
      <c r="R79" s="494"/>
      <c r="S79" s="494"/>
      <c r="T79" s="494"/>
      <c r="U79" s="494"/>
      <c r="V79" s="494"/>
      <c r="W79" s="494"/>
      <c r="X79" s="494"/>
      <c r="Y79" s="494"/>
      <c r="Z79" s="494"/>
      <c r="AA79" s="494"/>
      <c r="AB79" s="494"/>
      <c r="AC79" s="494"/>
      <c r="AD79" s="494"/>
      <c r="AE79" s="494"/>
      <c r="AF79" s="494"/>
      <c r="AG79" s="494"/>
      <c r="AH79" s="494"/>
      <c r="AI79" s="494"/>
      <c r="AJ79" s="494"/>
      <c r="AK79" s="494"/>
      <c r="AL79" s="494"/>
      <c r="AM79" s="494"/>
      <c r="AN79" s="494"/>
      <c r="AO79" s="494"/>
      <c r="AP79" s="494"/>
      <c r="AQ79" s="494"/>
      <c r="AR79" s="494"/>
      <c r="AS79" s="494"/>
      <c r="AT79" s="494"/>
      <c r="AU79" s="494"/>
      <c r="AV79" s="494"/>
      <c r="AW79" s="494"/>
      <c r="AX79" s="494"/>
      <c r="AY79" s="494"/>
      <c r="AZ79" s="494"/>
      <c r="BA79" s="494"/>
      <c r="BB79" s="494"/>
      <c r="BC79" s="494"/>
      <c r="BD79" s="494"/>
      <c r="BE79" s="494"/>
      <c r="BF79" s="494"/>
      <c r="BG79" s="494"/>
      <c r="BH79" s="494"/>
      <c r="BI79" s="494"/>
      <c r="BJ79" s="494"/>
    </row>
    <row r="80" spans="2:62" s="493" customFormat="1" ht="15" hidden="1">
      <c r="B80" s="494"/>
      <c r="C80" s="494"/>
      <c r="I80" s="494"/>
      <c r="J80" s="494"/>
      <c r="K80" s="494"/>
      <c r="L80" s="494"/>
      <c r="M80" s="494"/>
      <c r="N80" s="494"/>
      <c r="O80" s="494"/>
      <c r="P80" s="494"/>
      <c r="Q80" s="494"/>
      <c r="R80" s="494"/>
      <c r="S80" s="494"/>
      <c r="T80" s="494"/>
      <c r="U80" s="494"/>
      <c r="V80" s="494"/>
      <c r="W80" s="494"/>
      <c r="X80" s="494"/>
      <c r="Y80" s="494"/>
      <c r="Z80" s="494"/>
      <c r="AA80" s="494"/>
      <c r="AB80" s="494"/>
      <c r="AC80" s="494"/>
      <c r="AD80" s="494"/>
      <c r="AE80" s="494"/>
      <c r="AF80" s="494"/>
      <c r="AG80" s="494"/>
      <c r="AH80" s="494"/>
      <c r="AI80" s="494"/>
      <c r="AJ80" s="494"/>
      <c r="AK80" s="494"/>
      <c r="AL80" s="494"/>
      <c r="AM80" s="494"/>
      <c r="AN80" s="494"/>
      <c r="AO80" s="494"/>
      <c r="AP80" s="494"/>
      <c r="AQ80" s="494"/>
      <c r="AR80" s="494"/>
      <c r="AS80" s="494"/>
      <c r="AT80" s="494"/>
      <c r="AU80" s="494"/>
      <c r="AV80" s="494"/>
      <c r="AW80" s="494"/>
      <c r="AX80" s="494"/>
      <c r="AY80" s="494"/>
      <c r="AZ80" s="494"/>
      <c r="BA80" s="494"/>
      <c r="BB80" s="494"/>
      <c r="BC80" s="494"/>
      <c r="BD80" s="494"/>
      <c r="BE80" s="494"/>
      <c r="BF80" s="494"/>
      <c r="BG80" s="494"/>
      <c r="BH80" s="494"/>
      <c r="BI80" s="494"/>
      <c r="BJ80" s="494"/>
    </row>
    <row r="81" spans="2:62" s="493" customFormat="1" ht="15" hidden="1">
      <c r="B81" s="494"/>
      <c r="C81" s="494"/>
      <c r="I81" s="494"/>
      <c r="J81" s="494"/>
      <c r="K81" s="494"/>
      <c r="L81" s="494"/>
      <c r="M81" s="494"/>
      <c r="N81" s="494"/>
      <c r="O81" s="494"/>
      <c r="P81" s="494"/>
      <c r="Q81" s="494"/>
      <c r="R81" s="494"/>
      <c r="S81" s="494"/>
      <c r="T81" s="494"/>
      <c r="U81" s="494"/>
      <c r="V81" s="494"/>
      <c r="W81" s="494"/>
      <c r="X81" s="494"/>
      <c r="Y81" s="494"/>
      <c r="Z81" s="494"/>
      <c r="AA81" s="494"/>
      <c r="AB81" s="494"/>
      <c r="AC81" s="494"/>
      <c r="AD81" s="494"/>
      <c r="AE81" s="494"/>
      <c r="AF81" s="494"/>
      <c r="AG81" s="494"/>
      <c r="AH81" s="494"/>
      <c r="AI81" s="494"/>
      <c r="AJ81" s="494"/>
      <c r="AK81" s="494"/>
      <c r="AL81" s="494"/>
      <c r="AM81" s="494"/>
      <c r="AN81" s="494"/>
      <c r="AO81" s="494"/>
      <c r="AP81" s="494"/>
      <c r="AQ81" s="494"/>
      <c r="AR81" s="494"/>
      <c r="AS81" s="494"/>
      <c r="AT81" s="494"/>
      <c r="AU81" s="494"/>
      <c r="AV81" s="494"/>
      <c r="AW81" s="494"/>
      <c r="AX81" s="494"/>
      <c r="AY81" s="494"/>
      <c r="AZ81" s="494"/>
      <c r="BA81" s="494"/>
      <c r="BB81" s="494"/>
      <c r="BC81" s="494"/>
      <c r="BD81" s="494"/>
      <c r="BE81" s="494"/>
      <c r="BF81" s="494"/>
      <c r="BG81" s="494"/>
      <c r="BH81" s="494"/>
      <c r="BI81" s="494"/>
      <c r="BJ81" s="494"/>
    </row>
    <row r="82" spans="2:62" s="493" customFormat="1" ht="15" hidden="1">
      <c r="B82" s="494"/>
      <c r="C82" s="494"/>
      <c r="I82" s="494"/>
      <c r="J82" s="494"/>
      <c r="K82" s="494"/>
      <c r="L82" s="494"/>
      <c r="M82" s="494"/>
      <c r="N82" s="494"/>
      <c r="O82" s="494"/>
      <c r="P82" s="494"/>
      <c r="Q82" s="494"/>
      <c r="R82" s="494"/>
      <c r="S82" s="494"/>
      <c r="T82" s="494"/>
      <c r="U82" s="494"/>
      <c r="V82" s="494"/>
      <c r="W82" s="494"/>
      <c r="X82" s="494"/>
      <c r="Y82" s="494"/>
      <c r="Z82" s="494"/>
      <c r="AA82" s="494"/>
      <c r="AB82" s="494"/>
      <c r="AC82" s="494"/>
      <c r="AD82" s="494"/>
      <c r="AE82" s="494"/>
      <c r="AF82" s="494"/>
      <c r="AG82" s="494"/>
      <c r="AH82" s="494"/>
      <c r="AI82" s="494"/>
      <c r="AJ82" s="494"/>
      <c r="AK82" s="494"/>
      <c r="AL82" s="494"/>
      <c r="AM82" s="494"/>
      <c r="AN82" s="494"/>
      <c r="AO82" s="494"/>
      <c r="AP82" s="494"/>
      <c r="AQ82" s="494"/>
      <c r="AR82" s="494"/>
      <c r="AS82" s="494"/>
      <c r="AT82" s="494"/>
      <c r="AU82" s="494"/>
      <c r="AV82" s="494"/>
      <c r="AW82" s="494"/>
      <c r="AX82" s="494"/>
      <c r="AY82" s="494"/>
      <c r="AZ82" s="494"/>
      <c r="BA82" s="494"/>
      <c r="BB82" s="494"/>
      <c r="BC82" s="494"/>
      <c r="BD82" s="494"/>
      <c r="BE82" s="494"/>
      <c r="BF82" s="494"/>
      <c r="BG82" s="494"/>
      <c r="BH82" s="494"/>
      <c r="BI82" s="494"/>
      <c r="BJ82" s="494"/>
    </row>
    <row r="83" spans="2:62" s="493" customFormat="1" ht="15" hidden="1">
      <c r="B83" s="494"/>
      <c r="C83" s="494"/>
      <c r="I83" s="494"/>
      <c r="J83" s="494"/>
      <c r="K83" s="494"/>
      <c r="L83" s="494"/>
      <c r="M83" s="494"/>
      <c r="N83" s="494"/>
      <c r="O83" s="494"/>
      <c r="P83" s="494"/>
      <c r="Q83" s="494"/>
      <c r="R83" s="494"/>
      <c r="S83" s="494"/>
      <c r="T83" s="494"/>
      <c r="U83" s="494"/>
      <c r="V83" s="494"/>
      <c r="W83" s="494"/>
      <c r="X83" s="494"/>
      <c r="Y83" s="494"/>
      <c r="Z83" s="494"/>
      <c r="AA83" s="494"/>
      <c r="AB83" s="494"/>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4"/>
      <c r="AY83" s="494"/>
      <c r="AZ83" s="494"/>
      <c r="BA83" s="494"/>
      <c r="BB83" s="494"/>
      <c r="BC83" s="494"/>
      <c r="BD83" s="494"/>
      <c r="BE83" s="494"/>
      <c r="BF83" s="494"/>
      <c r="BG83" s="494"/>
      <c r="BH83" s="494"/>
      <c r="BI83" s="494"/>
      <c r="BJ83" s="494"/>
    </row>
    <row r="84" spans="2:62" s="493" customFormat="1" ht="15" hidden="1">
      <c r="B84" s="494"/>
      <c r="C84" s="494"/>
      <c r="I84" s="494"/>
      <c r="J84" s="494"/>
      <c r="K84" s="494"/>
      <c r="L84" s="494"/>
      <c r="M84" s="494"/>
      <c r="N84" s="494"/>
      <c r="O84" s="494"/>
      <c r="P84" s="494"/>
      <c r="Q84" s="494"/>
      <c r="R84" s="494"/>
      <c r="S84" s="494"/>
      <c r="T84" s="494"/>
      <c r="U84" s="494"/>
      <c r="V84" s="494"/>
      <c r="W84" s="494"/>
      <c r="X84" s="494"/>
      <c r="Y84" s="494"/>
      <c r="Z84" s="494"/>
      <c r="AA84" s="494"/>
      <c r="AB84" s="494"/>
      <c r="AC84" s="494"/>
      <c r="AD84" s="494"/>
      <c r="AE84" s="494"/>
      <c r="AF84" s="494"/>
      <c r="AG84" s="494"/>
      <c r="AH84" s="494"/>
      <c r="AI84" s="494"/>
      <c r="AJ84" s="494"/>
      <c r="AK84" s="494"/>
      <c r="AL84" s="494"/>
      <c r="AM84" s="494"/>
      <c r="AN84" s="494"/>
      <c r="AO84" s="494"/>
      <c r="AP84" s="494"/>
      <c r="AQ84" s="494"/>
      <c r="AR84" s="494"/>
      <c r="AS84" s="494"/>
      <c r="AT84" s="494"/>
      <c r="AU84" s="494"/>
      <c r="AV84" s="494"/>
      <c r="AW84" s="494"/>
      <c r="AX84" s="494"/>
      <c r="AY84" s="494"/>
      <c r="AZ84" s="494"/>
      <c r="BA84" s="494"/>
      <c r="BB84" s="494"/>
      <c r="BC84" s="494"/>
      <c r="BD84" s="494"/>
      <c r="BE84" s="494"/>
      <c r="BF84" s="494"/>
      <c r="BG84" s="494"/>
      <c r="BH84" s="494"/>
      <c r="BI84" s="494"/>
      <c r="BJ84" s="494"/>
    </row>
    <row r="85" spans="2:62" s="493" customFormat="1" ht="15" hidden="1">
      <c r="B85" s="494"/>
      <c r="C85" s="494"/>
      <c r="I85" s="494"/>
      <c r="J85" s="494"/>
      <c r="K85" s="494"/>
      <c r="L85" s="494"/>
      <c r="M85" s="494"/>
      <c r="N85" s="494"/>
      <c r="O85" s="494"/>
      <c r="P85" s="494"/>
      <c r="Q85" s="494"/>
      <c r="R85" s="494"/>
      <c r="S85" s="494"/>
      <c r="T85" s="494"/>
      <c r="U85" s="494"/>
      <c r="V85" s="494"/>
      <c r="W85" s="494"/>
      <c r="X85" s="494"/>
      <c r="Y85" s="494"/>
      <c r="Z85" s="494"/>
      <c r="AA85" s="494"/>
      <c r="AB85" s="494"/>
      <c r="AC85" s="494"/>
      <c r="AD85" s="494"/>
      <c r="AE85" s="494"/>
      <c r="AF85" s="494"/>
      <c r="AG85" s="494"/>
      <c r="AH85" s="494"/>
      <c r="AI85" s="494"/>
      <c r="AJ85" s="494"/>
      <c r="AK85" s="494"/>
      <c r="AL85" s="494"/>
      <c r="AM85" s="494"/>
      <c r="AN85" s="494"/>
      <c r="AO85" s="494"/>
      <c r="AP85" s="494"/>
      <c r="AQ85" s="494"/>
      <c r="AR85" s="494"/>
      <c r="AS85" s="494"/>
      <c r="AT85" s="494"/>
      <c r="AU85" s="494"/>
      <c r="AV85" s="494"/>
      <c r="AW85" s="494"/>
      <c r="AX85" s="494"/>
      <c r="AY85" s="494"/>
      <c r="AZ85" s="494"/>
      <c r="BA85" s="494"/>
      <c r="BB85" s="494"/>
      <c r="BC85" s="494"/>
      <c r="BD85" s="494"/>
      <c r="BE85" s="494"/>
      <c r="BF85" s="494"/>
      <c r="BG85" s="494"/>
      <c r="BH85" s="494"/>
      <c r="BI85" s="494"/>
      <c r="BJ85" s="494"/>
    </row>
    <row r="86" spans="2:62" s="493" customFormat="1" ht="15" hidden="1">
      <c r="B86" s="494"/>
      <c r="C86" s="494"/>
      <c r="I86" s="494"/>
      <c r="J86" s="494"/>
      <c r="K86" s="494"/>
      <c r="L86" s="494"/>
      <c r="M86" s="494"/>
      <c r="N86" s="494"/>
      <c r="O86" s="494"/>
      <c r="P86" s="494"/>
      <c r="Q86" s="494"/>
      <c r="R86" s="494"/>
      <c r="S86" s="494"/>
      <c r="T86" s="494"/>
      <c r="U86" s="494"/>
      <c r="V86" s="494"/>
      <c r="W86" s="494"/>
      <c r="X86" s="494"/>
      <c r="Y86" s="494"/>
      <c r="Z86" s="494"/>
      <c r="AA86" s="494"/>
      <c r="AB86" s="494"/>
      <c r="AC86" s="494"/>
      <c r="AD86" s="494"/>
      <c r="AE86" s="494"/>
      <c r="AF86" s="494"/>
      <c r="AG86" s="494"/>
      <c r="AH86" s="494"/>
      <c r="AI86" s="494"/>
      <c r="AJ86" s="494"/>
      <c r="AK86" s="494"/>
      <c r="AL86" s="494"/>
      <c r="AM86" s="494"/>
      <c r="AN86" s="494"/>
      <c r="AO86" s="494"/>
      <c r="AP86" s="494"/>
      <c r="AQ86" s="494"/>
      <c r="AR86" s="494"/>
      <c r="AS86" s="494"/>
      <c r="AT86" s="494"/>
      <c r="AU86" s="494"/>
      <c r="AV86" s="494"/>
      <c r="AW86" s="494"/>
      <c r="AX86" s="494"/>
      <c r="AY86" s="494"/>
      <c r="AZ86" s="494"/>
      <c r="BA86" s="494"/>
      <c r="BB86" s="494"/>
      <c r="BC86" s="494"/>
      <c r="BD86" s="494"/>
      <c r="BE86" s="494"/>
      <c r="BF86" s="494"/>
      <c r="BG86" s="494"/>
      <c r="BH86" s="494"/>
      <c r="BI86" s="494"/>
      <c r="BJ86" s="494"/>
    </row>
    <row r="87" spans="2:62" s="493" customFormat="1" ht="15" hidden="1">
      <c r="B87" s="494"/>
      <c r="C87" s="494"/>
      <c r="I87" s="494"/>
      <c r="J87" s="494"/>
      <c r="K87" s="494"/>
      <c r="L87" s="494"/>
      <c r="M87" s="494"/>
      <c r="N87" s="494"/>
      <c r="O87" s="494"/>
      <c r="P87" s="494"/>
      <c r="Q87" s="494"/>
      <c r="R87" s="494"/>
      <c r="S87" s="494"/>
      <c r="T87" s="494"/>
      <c r="U87" s="494"/>
      <c r="V87" s="494"/>
      <c r="W87" s="494"/>
      <c r="X87" s="494"/>
      <c r="Y87" s="494"/>
      <c r="Z87" s="494"/>
      <c r="AA87" s="494"/>
      <c r="AB87" s="494"/>
      <c r="AC87" s="494"/>
      <c r="AD87" s="494"/>
      <c r="AE87" s="494"/>
      <c r="AF87" s="494"/>
      <c r="AG87" s="494"/>
      <c r="AH87" s="494"/>
      <c r="AI87" s="494"/>
      <c r="AJ87" s="494"/>
      <c r="AK87" s="494"/>
      <c r="AL87" s="494"/>
      <c r="AM87" s="494"/>
      <c r="AN87" s="494"/>
      <c r="AO87" s="494"/>
      <c r="AP87" s="494"/>
      <c r="AQ87" s="494"/>
      <c r="AR87" s="494"/>
      <c r="AS87" s="494"/>
      <c r="AT87" s="494"/>
      <c r="AU87" s="494"/>
      <c r="AV87" s="494"/>
      <c r="AW87" s="494"/>
      <c r="AX87" s="494"/>
      <c r="AY87" s="494"/>
      <c r="AZ87" s="494"/>
      <c r="BA87" s="494"/>
      <c r="BB87" s="494"/>
      <c r="BC87" s="494"/>
      <c r="BD87" s="494"/>
      <c r="BE87" s="494"/>
      <c r="BF87" s="494"/>
      <c r="BG87" s="494"/>
      <c r="BH87" s="494"/>
      <c r="BI87" s="494"/>
      <c r="BJ87" s="494"/>
    </row>
    <row r="88" spans="2:62" s="493" customFormat="1" ht="15" hidden="1">
      <c r="B88" s="494"/>
      <c r="C88" s="494"/>
      <c r="I88" s="494"/>
      <c r="J88" s="494"/>
      <c r="K88" s="494"/>
      <c r="L88" s="494"/>
      <c r="M88" s="494"/>
      <c r="N88" s="494"/>
      <c r="O88" s="494"/>
      <c r="P88" s="494"/>
      <c r="Q88" s="494"/>
      <c r="R88" s="494"/>
      <c r="S88" s="494"/>
      <c r="T88" s="494"/>
      <c r="U88" s="494"/>
      <c r="V88" s="494"/>
      <c r="W88" s="494"/>
      <c r="X88" s="494"/>
      <c r="Y88" s="494"/>
      <c r="Z88" s="494"/>
      <c r="AA88" s="494"/>
      <c r="AB88" s="494"/>
      <c r="AC88" s="494"/>
      <c r="AD88" s="494"/>
      <c r="AE88" s="494"/>
      <c r="AF88" s="494"/>
      <c r="AG88" s="494"/>
      <c r="AH88" s="494"/>
      <c r="AI88" s="494"/>
      <c r="AJ88" s="494"/>
      <c r="AK88" s="494"/>
      <c r="AL88" s="494"/>
      <c r="AM88" s="494"/>
      <c r="AN88" s="494"/>
      <c r="AO88" s="494"/>
      <c r="AP88" s="494"/>
      <c r="AQ88" s="494"/>
      <c r="AR88" s="494"/>
      <c r="AS88" s="494"/>
      <c r="AT88" s="494"/>
      <c r="AU88" s="494"/>
      <c r="AV88" s="494"/>
      <c r="AW88" s="494"/>
      <c r="AX88" s="494"/>
      <c r="AY88" s="494"/>
      <c r="AZ88" s="494"/>
      <c r="BA88" s="494"/>
      <c r="BB88" s="494"/>
      <c r="BC88" s="494"/>
      <c r="BD88" s="494"/>
      <c r="BE88" s="494"/>
      <c r="BF88" s="494"/>
      <c r="BG88" s="494"/>
      <c r="BH88" s="494"/>
      <c r="BI88" s="494"/>
      <c r="BJ88" s="494"/>
    </row>
    <row r="89" spans="2:62" s="493" customFormat="1" ht="15" hidden="1">
      <c r="B89" s="494"/>
      <c r="C89" s="494"/>
      <c r="I89" s="494"/>
      <c r="J89" s="494"/>
      <c r="K89" s="494"/>
      <c r="L89" s="494"/>
      <c r="M89" s="494"/>
      <c r="N89" s="494"/>
      <c r="O89" s="494"/>
      <c r="P89" s="494"/>
      <c r="Q89" s="494"/>
      <c r="R89" s="494"/>
      <c r="S89" s="494"/>
      <c r="T89" s="494"/>
      <c r="U89" s="494"/>
      <c r="V89" s="494"/>
      <c r="W89" s="494"/>
      <c r="X89" s="494"/>
      <c r="Y89" s="494"/>
      <c r="Z89" s="494"/>
      <c r="AA89" s="494"/>
      <c r="AB89" s="494"/>
      <c r="AC89" s="494"/>
      <c r="AD89" s="494"/>
      <c r="AE89" s="494"/>
      <c r="AF89" s="494"/>
      <c r="AG89" s="494"/>
      <c r="AH89" s="494"/>
      <c r="AI89" s="494"/>
      <c r="AJ89" s="494"/>
      <c r="AK89" s="494"/>
      <c r="AL89" s="494"/>
      <c r="AM89" s="494"/>
      <c r="AN89" s="494"/>
      <c r="AO89" s="494"/>
      <c r="AP89" s="494"/>
      <c r="AQ89" s="494"/>
      <c r="AR89" s="494"/>
      <c r="AS89" s="494"/>
      <c r="AT89" s="494"/>
      <c r="AU89" s="494"/>
      <c r="AV89" s="494"/>
      <c r="AW89" s="494"/>
      <c r="AX89" s="494"/>
      <c r="AY89" s="494"/>
      <c r="AZ89" s="494"/>
      <c r="BA89" s="494"/>
      <c r="BB89" s="494"/>
      <c r="BC89" s="494"/>
      <c r="BD89" s="494"/>
      <c r="BE89" s="494"/>
      <c r="BF89" s="494"/>
      <c r="BG89" s="494"/>
      <c r="BH89" s="494"/>
      <c r="BI89" s="494"/>
      <c r="BJ89" s="494"/>
    </row>
    <row r="90" spans="2:62" s="493" customFormat="1" ht="15" hidden="1">
      <c r="B90" s="494"/>
      <c r="C90" s="494"/>
      <c r="I90" s="494"/>
      <c r="J90" s="494"/>
      <c r="K90" s="494"/>
      <c r="L90" s="494"/>
      <c r="M90" s="494"/>
      <c r="N90" s="494"/>
      <c r="O90" s="494"/>
      <c r="P90" s="494"/>
      <c r="Q90" s="494"/>
      <c r="R90" s="494"/>
      <c r="S90" s="494"/>
      <c r="T90" s="494"/>
      <c r="U90" s="494"/>
      <c r="V90" s="494"/>
      <c r="W90" s="494"/>
      <c r="X90" s="494"/>
      <c r="Y90" s="494"/>
      <c r="Z90" s="494"/>
      <c r="AA90" s="494"/>
      <c r="AB90" s="494"/>
      <c r="AC90" s="494"/>
      <c r="AD90" s="494"/>
      <c r="AE90" s="494"/>
      <c r="AF90" s="494"/>
      <c r="AG90" s="494"/>
      <c r="AH90" s="494"/>
      <c r="AI90" s="494"/>
      <c r="AJ90" s="494"/>
      <c r="AK90" s="494"/>
      <c r="AL90" s="494"/>
      <c r="AM90" s="494"/>
      <c r="AN90" s="494"/>
      <c r="AO90" s="494"/>
      <c r="AP90" s="494"/>
      <c r="AQ90" s="494"/>
      <c r="AR90" s="494"/>
      <c r="AS90" s="494"/>
      <c r="AT90" s="494"/>
      <c r="AU90" s="494"/>
      <c r="AV90" s="494"/>
      <c r="AW90" s="494"/>
      <c r="AX90" s="494"/>
      <c r="AY90" s="494"/>
      <c r="AZ90" s="494"/>
      <c r="BA90" s="494"/>
      <c r="BB90" s="494"/>
      <c r="BC90" s="494"/>
      <c r="BD90" s="494"/>
      <c r="BE90" s="494"/>
      <c r="BF90" s="494"/>
      <c r="BG90" s="494"/>
      <c r="BH90" s="494"/>
      <c r="BI90" s="494"/>
      <c r="BJ90" s="494"/>
    </row>
    <row r="91" spans="2:62" s="493" customFormat="1" ht="15" hidden="1">
      <c r="B91" s="494"/>
      <c r="C91" s="494"/>
      <c r="I91" s="494"/>
      <c r="J91" s="494"/>
      <c r="K91" s="494"/>
      <c r="L91" s="494"/>
      <c r="M91" s="494"/>
      <c r="N91" s="494"/>
      <c r="O91" s="494"/>
      <c r="P91" s="494"/>
      <c r="Q91" s="494"/>
      <c r="R91" s="494"/>
      <c r="S91" s="494"/>
      <c r="T91" s="494"/>
      <c r="U91" s="494"/>
      <c r="V91" s="494"/>
      <c r="W91" s="494"/>
      <c r="X91" s="494"/>
      <c r="Y91" s="494"/>
      <c r="Z91" s="494"/>
      <c r="AA91" s="494"/>
      <c r="AB91" s="494"/>
      <c r="AC91" s="494"/>
      <c r="AD91" s="494"/>
      <c r="AE91" s="494"/>
      <c r="AF91" s="494"/>
      <c r="AG91" s="494"/>
      <c r="AH91" s="494"/>
      <c r="AI91" s="494"/>
      <c r="AJ91" s="494"/>
      <c r="AK91" s="494"/>
      <c r="AL91" s="494"/>
      <c r="AM91" s="494"/>
      <c r="AN91" s="494"/>
      <c r="AO91" s="494"/>
      <c r="AP91" s="494"/>
      <c r="AQ91" s="494"/>
      <c r="AR91" s="494"/>
      <c r="AS91" s="494"/>
      <c r="AT91" s="494"/>
      <c r="AU91" s="494"/>
      <c r="AV91" s="494"/>
      <c r="AW91" s="494"/>
      <c r="AX91" s="494"/>
      <c r="AY91" s="494"/>
      <c r="AZ91" s="494"/>
      <c r="BA91" s="494"/>
      <c r="BB91" s="494"/>
      <c r="BC91" s="494"/>
      <c r="BD91" s="494"/>
      <c r="BE91" s="494"/>
      <c r="BF91" s="494"/>
      <c r="BG91" s="494"/>
      <c r="BH91" s="494"/>
      <c r="BI91" s="494"/>
      <c r="BJ91" s="494"/>
    </row>
    <row r="92" spans="2:62" s="493" customFormat="1" ht="15" hidden="1">
      <c r="B92" s="494"/>
      <c r="C92" s="494"/>
      <c r="I92" s="494"/>
      <c r="J92" s="494"/>
      <c r="K92" s="494"/>
      <c r="L92" s="494"/>
      <c r="M92" s="494"/>
      <c r="N92" s="494"/>
      <c r="O92" s="494"/>
      <c r="P92" s="494"/>
      <c r="Q92" s="494"/>
      <c r="R92" s="494"/>
      <c r="S92" s="494"/>
      <c r="T92" s="494"/>
      <c r="U92" s="494"/>
      <c r="V92" s="494"/>
      <c r="W92" s="494"/>
      <c r="X92" s="494"/>
      <c r="Y92" s="494"/>
      <c r="Z92" s="494"/>
      <c r="AA92" s="494"/>
      <c r="AB92" s="494"/>
      <c r="AC92" s="494"/>
      <c r="AD92" s="494"/>
      <c r="AE92" s="494"/>
      <c r="AF92" s="494"/>
      <c r="AG92" s="494"/>
      <c r="AH92" s="494"/>
      <c r="AI92" s="494"/>
      <c r="AJ92" s="494"/>
      <c r="AK92" s="494"/>
      <c r="AL92" s="494"/>
      <c r="AM92" s="494"/>
      <c r="AN92" s="494"/>
      <c r="AO92" s="494"/>
      <c r="AP92" s="494"/>
      <c r="AQ92" s="494"/>
      <c r="AR92" s="494"/>
      <c r="AS92" s="494"/>
      <c r="AT92" s="494"/>
      <c r="AU92" s="494"/>
      <c r="AV92" s="494"/>
      <c r="AW92" s="494"/>
      <c r="AX92" s="494"/>
      <c r="AY92" s="494"/>
      <c r="AZ92" s="494"/>
      <c r="BA92" s="494"/>
      <c r="BB92" s="494"/>
      <c r="BC92" s="494"/>
      <c r="BD92" s="494"/>
      <c r="BE92" s="494"/>
      <c r="BF92" s="494"/>
      <c r="BG92" s="494"/>
      <c r="BH92" s="494"/>
      <c r="BI92" s="494"/>
      <c r="BJ92" s="494"/>
    </row>
    <row r="93" spans="2:62" s="493" customFormat="1" ht="15" hidden="1">
      <c r="B93" s="494"/>
      <c r="C93" s="494"/>
      <c r="I93" s="494"/>
      <c r="J93" s="494"/>
      <c r="K93" s="494"/>
      <c r="L93" s="494"/>
      <c r="M93" s="494"/>
      <c r="N93" s="494"/>
      <c r="O93" s="494"/>
      <c r="P93" s="494"/>
      <c r="Q93" s="494"/>
      <c r="R93" s="494"/>
      <c r="S93" s="494"/>
      <c r="T93" s="494"/>
      <c r="U93" s="494"/>
      <c r="V93" s="494"/>
      <c r="W93" s="494"/>
      <c r="X93" s="494"/>
      <c r="Y93" s="494"/>
      <c r="Z93" s="494"/>
      <c r="AA93" s="494"/>
      <c r="AB93" s="494"/>
      <c r="AC93" s="494"/>
      <c r="AD93" s="494"/>
      <c r="AE93" s="494"/>
      <c r="AF93" s="494"/>
      <c r="AG93" s="494"/>
      <c r="AH93" s="494"/>
      <c r="AI93" s="494"/>
      <c r="AJ93" s="494"/>
      <c r="AK93" s="494"/>
      <c r="AL93" s="494"/>
      <c r="AM93" s="494"/>
      <c r="AN93" s="494"/>
      <c r="AO93" s="494"/>
      <c r="AP93" s="494"/>
      <c r="AQ93" s="494"/>
      <c r="AR93" s="494"/>
      <c r="AS93" s="494"/>
      <c r="AT93" s="494"/>
      <c r="AU93" s="494"/>
      <c r="AV93" s="494"/>
      <c r="AW93" s="494"/>
      <c r="AX93" s="494"/>
      <c r="AY93" s="494"/>
      <c r="AZ93" s="494"/>
      <c r="BA93" s="494"/>
      <c r="BB93" s="494"/>
      <c r="BC93" s="494"/>
      <c r="BD93" s="494"/>
      <c r="BE93" s="494"/>
      <c r="BF93" s="494"/>
      <c r="BG93" s="494"/>
      <c r="BH93" s="494"/>
      <c r="BI93" s="494"/>
      <c r="BJ93" s="494"/>
    </row>
    <row r="94" spans="2:62" s="493" customFormat="1" ht="15" hidden="1">
      <c r="B94" s="494"/>
      <c r="C94" s="494"/>
      <c r="I94" s="494"/>
      <c r="J94" s="494"/>
      <c r="K94" s="494"/>
      <c r="L94" s="494"/>
      <c r="M94" s="494"/>
      <c r="N94" s="494"/>
      <c r="O94" s="494"/>
      <c r="P94" s="494"/>
      <c r="Q94" s="494"/>
      <c r="R94" s="494"/>
      <c r="S94" s="494"/>
      <c r="T94" s="494"/>
      <c r="U94" s="494"/>
      <c r="V94" s="494"/>
      <c r="W94" s="494"/>
      <c r="X94" s="494"/>
      <c r="Y94" s="494"/>
      <c r="Z94" s="494"/>
      <c r="AA94" s="494"/>
      <c r="AB94" s="494"/>
      <c r="AC94" s="494"/>
      <c r="AD94" s="494"/>
      <c r="AE94" s="494"/>
      <c r="AF94" s="494"/>
      <c r="AG94" s="494"/>
      <c r="AH94" s="494"/>
      <c r="AI94" s="494"/>
      <c r="AJ94" s="494"/>
      <c r="AK94" s="494"/>
      <c r="AL94" s="494"/>
      <c r="AM94" s="494"/>
      <c r="AN94" s="494"/>
      <c r="AO94" s="494"/>
      <c r="AP94" s="494"/>
      <c r="AQ94" s="494"/>
      <c r="AR94" s="494"/>
      <c r="AS94" s="494"/>
      <c r="AT94" s="494"/>
      <c r="AU94" s="494"/>
      <c r="AV94" s="494"/>
      <c r="AW94" s="494"/>
      <c r="AX94" s="494"/>
      <c r="AY94" s="494"/>
      <c r="AZ94" s="494"/>
      <c r="BA94" s="494"/>
      <c r="BB94" s="494"/>
      <c r="BC94" s="494"/>
      <c r="BD94" s="494"/>
      <c r="BE94" s="494"/>
      <c r="BF94" s="494"/>
      <c r="BG94" s="494"/>
      <c r="BH94" s="494"/>
      <c r="BI94" s="494"/>
      <c r="BJ94" s="494"/>
    </row>
    <row r="95" spans="2:62" s="493" customFormat="1" ht="15" hidden="1">
      <c r="B95" s="494"/>
      <c r="C95" s="494"/>
      <c r="I95" s="494"/>
      <c r="J95" s="494"/>
      <c r="K95" s="494"/>
      <c r="L95" s="494"/>
      <c r="M95" s="494"/>
      <c r="N95" s="494"/>
      <c r="O95" s="494"/>
      <c r="P95" s="494"/>
      <c r="Q95" s="494"/>
      <c r="R95" s="494"/>
      <c r="S95" s="494"/>
      <c r="T95" s="494"/>
      <c r="U95" s="494"/>
      <c r="V95" s="494"/>
      <c r="W95" s="494"/>
      <c r="X95" s="494"/>
      <c r="Y95" s="494"/>
      <c r="Z95" s="494"/>
      <c r="AA95" s="494"/>
      <c r="AB95" s="494"/>
      <c r="AC95" s="494"/>
      <c r="AD95" s="494"/>
      <c r="AE95" s="494"/>
      <c r="AF95" s="494"/>
      <c r="AG95" s="494"/>
      <c r="AH95" s="494"/>
      <c r="AI95" s="494"/>
      <c r="AJ95" s="494"/>
      <c r="AK95" s="494"/>
      <c r="AL95" s="494"/>
      <c r="AM95" s="494"/>
      <c r="AN95" s="494"/>
      <c r="AO95" s="494"/>
      <c r="AP95" s="494"/>
      <c r="AQ95" s="494"/>
      <c r="AR95" s="494"/>
      <c r="AS95" s="494"/>
      <c r="AT95" s="494"/>
      <c r="AU95" s="494"/>
      <c r="AV95" s="494"/>
      <c r="AW95" s="494"/>
      <c r="AX95" s="494"/>
      <c r="AY95" s="494"/>
      <c r="AZ95" s="494"/>
      <c r="BA95" s="494"/>
      <c r="BB95" s="494"/>
      <c r="BC95" s="494"/>
      <c r="BD95" s="494"/>
      <c r="BE95" s="494"/>
      <c r="BF95" s="494"/>
      <c r="BG95" s="494"/>
      <c r="BH95" s="494"/>
      <c r="BI95" s="494"/>
      <c r="BJ95" s="494"/>
    </row>
    <row r="96" spans="2:62" s="493" customFormat="1" ht="15" hidden="1">
      <c r="B96" s="494"/>
      <c r="C96" s="494"/>
      <c r="I96" s="494"/>
      <c r="J96" s="494"/>
      <c r="K96" s="494"/>
      <c r="L96" s="494"/>
      <c r="M96" s="494"/>
      <c r="N96" s="494"/>
      <c r="O96" s="494"/>
      <c r="P96" s="494"/>
      <c r="Q96" s="494"/>
      <c r="R96" s="494"/>
      <c r="S96" s="494"/>
      <c r="T96" s="494"/>
      <c r="U96" s="494"/>
      <c r="V96" s="494"/>
      <c r="W96" s="494"/>
      <c r="X96" s="494"/>
      <c r="Y96" s="494"/>
      <c r="Z96" s="494"/>
      <c r="AA96" s="494"/>
      <c r="AB96" s="494"/>
      <c r="AC96" s="494"/>
      <c r="AD96" s="494"/>
      <c r="AE96" s="494"/>
      <c r="AF96" s="494"/>
      <c r="AG96" s="494"/>
      <c r="AH96" s="494"/>
      <c r="AI96" s="494"/>
      <c r="AJ96" s="494"/>
      <c r="AK96" s="494"/>
      <c r="AL96" s="494"/>
      <c r="AM96" s="494"/>
      <c r="AN96" s="494"/>
      <c r="AO96" s="494"/>
      <c r="AP96" s="494"/>
      <c r="AQ96" s="494"/>
      <c r="AR96" s="494"/>
      <c r="AS96" s="494"/>
      <c r="AT96" s="494"/>
      <c r="AU96" s="494"/>
      <c r="AV96" s="494"/>
      <c r="AW96" s="494"/>
      <c r="AX96" s="494"/>
      <c r="AY96" s="494"/>
      <c r="AZ96" s="494"/>
      <c r="BA96" s="494"/>
      <c r="BB96" s="494"/>
      <c r="BC96" s="494"/>
      <c r="BD96" s="494"/>
      <c r="BE96" s="494"/>
      <c r="BF96" s="494"/>
      <c r="BG96" s="494"/>
      <c r="BH96" s="494"/>
      <c r="BI96" s="494"/>
      <c r="BJ96" s="494"/>
    </row>
  </sheetData>
  <mergeCells count="1">
    <mergeCell ref="D5:G5"/>
  </mergeCells>
  <pageMargins left="0" right="0" top="1" bottom="1" header="0.5" footer="0.5"/>
  <pageSetup fitToHeight="4"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K117"/>
  <sheetViews>
    <sheetView topLeftCell="A4" zoomScale="90" zoomScaleNormal="90" workbookViewId="0">
      <selection activeCell="L30" sqref="L30"/>
    </sheetView>
  </sheetViews>
  <sheetFormatPr defaultColWidth="8.7109375" defaultRowHeight="15" zeroHeight="1" outlineLevelRow="1"/>
  <cols>
    <col min="1" max="1" width="11.28515625" style="256" bestFit="1" customWidth="1"/>
    <col min="2" max="2" width="39.7109375" style="256" customWidth="1"/>
    <col min="3" max="3" width="26.28515625" style="256" customWidth="1"/>
    <col min="4" max="6" width="15.7109375" style="256" customWidth="1"/>
    <col min="7" max="7" width="16" style="256" customWidth="1"/>
    <col min="8" max="8" width="18.140625" style="256" customWidth="1"/>
    <col min="9" max="9" width="11.5703125" style="256" customWidth="1"/>
    <col min="10" max="10" width="10.42578125" style="256" customWidth="1"/>
    <col min="11" max="11" width="9.42578125" style="256" customWidth="1"/>
    <col min="12" max="12" width="7.5703125" style="256" customWidth="1"/>
    <col min="13" max="13" width="8.7109375" style="256" customWidth="1"/>
    <col min="14" max="16384" width="8.7109375" style="256"/>
  </cols>
  <sheetData>
    <row r="1" spans="1:11" s="838" customFormat="1" ht="12.75" hidden="1" customHeight="1" outlineLevel="1">
      <c r="A1" s="1480" t="s">
        <v>730</v>
      </c>
      <c r="B1" s="839" t="s">
        <v>527</v>
      </c>
      <c r="C1" s="838">
        <v>1000</v>
      </c>
      <c r="D1" s="840" t="str">
        <f>D2&amp;"_"&amp;D3</f>
        <v>1_BESS</v>
      </c>
      <c r="E1" s="840" t="str">
        <f t="shared" ref="E1:G1" si="0">E2&amp;"_"&amp;E3</f>
        <v>2_BESS</v>
      </c>
      <c r="F1" s="840" t="str">
        <f t="shared" si="0"/>
        <v>3_BESS</v>
      </c>
      <c r="G1" s="840" t="str">
        <f t="shared" si="0"/>
        <v>4_BESS</v>
      </c>
      <c r="H1" s="840"/>
      <c r="I1" s="840"/>
      <c r="J1" s="840"/>
      <c r="K1" s="840"/>
    </row>
    <row r="2" spans="1:11" s="838" customFormat="1" ht="12.75" hidden="1" customHeight="1" outlineLevel="1">
      <c r="B2" s="839" t="s">
        <v>528</v>
      </c>
      <c r="C2" s="838">
        <v>1000000</v>
      </c>
      <c r="D2" s="842">
        <v>1</v>
      </c>
      <c r="E2" s="841">
        <v>2</v>
      </c>
      <c r="F2" s="841">
        <v>3</v>
      </c>
      <c r="G2" s="841">
        <v>4</v>
      </c>
    </row>
    <row r="3" spans="1:11" s="838" customFormat="1" ht="12.75" hidden="1" customHeight="1" outlineLevel="1">
      <c r="B3" s="839" t="s">
        <v>529</v>
      </c>
      <c r="C3" s="838">
        <v>24</v>
      </c>
      <c r="D3" s="842" t="s">
        <v>700</v>
      </c>
      <c r="E3" s="842" t="s">
        <v>700</v>
      </c>
      <c r="F3" s="842" t="s">
        <v>700</v>
      </c>
      <c r="G3" s="842" t="s">
        <v>700</v>
      </c>
      <c r="H3" s="841"/>
      <c r="I3" s="841"/>
      <c r="J3" s="841"/>
      <c r="K3" s="841"/>
    </row>
    <row r="4" spans="1:11" ht="12.75" customHeight="1" collapsed="1">
      <c r="B4" s="260"/>
      <c r="D4" s="690"/>
    </row>
    <row r="5" spans="1:11" ht="6" customHeight="1" thickBot="1">
      <c r="B5" s="691"/>
      <c r="C5" s="262"/>
      <c r="D5" s="262"/>
      <c r="E5" s="262"/>
      <c r="F5" s="262"/>
      <c r="G5" s="262"/>
      <c r="I5" s="463"/>
    </row>
    <row r="6" spans="1:11" ht="6" customHeight="1" thickTop="1">
      <c r="A6" s="260"/>
      <c r="C6" s="692"/>
      <c r="D6" s="1415"/>
      <c r="E6" s="1415"/>
      <c r="F6" s="1415"/>
      <c r="G6" s="692"/>
      <c r="I6" s="463"/>
    </row>
    <row r="7" spans="1:11" ht="12.75" customHeight="1">
      <c r="A7" s="260"/>
      <c r="C7" s="694"/>
      <c r="D7" s="695" t="s">
        <v>120</v>
      </c>
      <c r="E7" s="286" t="s">
        <v>121</v>
      </c>
      <c r="F7" s="286" t="s">
        <v>111</v>
      </c>
      <c r="G7" s="587" t="s">
        <v>122</v>
      </c>
      <c r="I7" s="463"/>
    </row>
    <row r="8" spans="1:11" ht="30">
      <c r="B8" s="277" t="s">
        <v>0</v>
      </c>
      <c r="C8" s="696" t="s">
        <v>125</v>
      </c>
      <c r="D8" s="582" t="s">
        <v>654</v>
      </c>
      <c r="E8" s="276" t="s">
        <v>654</v>
      </c>
      <c r="F8" s="276" t="s">
        <v>654</v>
      </c>
      <c r="G8" s="583" t="s">
        <v>654</v>
      </c>
      <c r="H8" s="277" t="s">
        <v>126</v>
      </c>
      <c r="I8" s="463"/>
    </row>
    <row r="9" spans="1:11" ht="6" customHeight="1">
      <c r="B9" s="465"/>
      <c r="C9" s="700"/>
      <c r="D9" s="284"/>
      <c r="E9" s="284"/>
      <c r="F9" s="284"/>
      <c r="G9" s="285"/>
      <c r="I9" s="463"/>
    </row>
    <row r="10" spans="1:11" ht="6" customHeight="1">
      <c r="B10" s="463"/>
      <c r="C10" s="694"/>
      <c r="D10" s="272"/>
      <c r="E10" s="272"/>
      <c r="F10" s="272"/>
      <c r="G10" s="288"/>
      <c r="I10" s="463"/>
    </row>
    <row r="11" spans="1:11">
      <c r="B11" s="588" t="s">
        <v>365</v>
      </c>
      <c r="C11" s="589"/>
      <c r="D11" s="588"/>
      <c r="E11" s="1384"/>
      <c r="F11" s="588"/>
      <c r="G11" s="670"/>
      <c r="I11" s="463"/>
    </row>
    <row r="12" spans="1:11">
      <c r="A12" s="701"/>
      <c r="B12" s="702" t="s">
        <v>686</v>
      </c>
      <c r="C12" s="703" t="s">
        <v>370</v>
      </c>
      <c r="D12" s="704" t="s">
        <v>685</v>
      </c>
      <c r="E12" s="704" t="s">
        <v>685</v>
      </c>
      <c r="F12" s="704" t="s">
        <v>685</v>
      </c>
      <c r="G12" s="710" t="s">
        <v>685</v>
      </c>
      <c r="I12" s="463"/>
    </row>
    <row r="13" spans="1:11" ht="12.75" customHeight="1">
      <c r="B13" s="702" t="s">
        <v>684</v>
      </c>
      <c r="C13" s="708" t="s">
        <v>670</v>
      </c>
      <c r="D13" s="1414">
        <v>200</v>
      </c>
      <c r="E13" s="1413">
        <v>200</v>
      </c>
      <c r="F13" s="1413">
        <v>200</v>
      </c>
      <c r="G13" s="1412">
        <v>200</v>
      </c>
      <c r="I13" s="463"/>
    </row>
    <row r="14" spans="1:11" ht="12.75" customHeight="1">
      <c r="B14" s="702" t="s">
        <v>651</v>
      </c>
      <c r="C14" s="708" t="s">
        <v>429</v>
      </c>
      <c r="D14" s="1414">
        <v>4</v>
      </c>
      <c r="E14" s="1413">
        <v>4</v>
      </c>
      <c r="F14" s="1413">
        <v>4</v>
      </c>
      <c r="G14" s="1412">
        <v>4</v>
      </c>
      <c r="I14" s="463"/>
    </row>
    <row r="15" spans="1:11" ht="12.75" customHeight="1">
      <c r="B15" s="702" t="s">
        <v>683</v>
      </c>
      <c r="C15" s="708" t="s">
        <v>682</v>
      </c>
      <c r="D15" s="1414">
        <v>15</v>
      </c>
      <c r="E15" s="1413">
        <v>15</v>
      </c>
      <c r="F15" s="1413">
        <v>15</v>
      </c>
      <c r="G15" s="1412">
        <v>15</v>
      </c>
      <c r="I15" s="463"/>
    </row>
    <row r="16" spans="1:11" ht="12.75" customHeight="1">
      <c r="B16" s="702" t="s">
        <v>681</v>
      </c>
      <c r="C16" s="708" t="s">
        <v>680</v>
      </c>
      <c r="D16" s="1414">
        <v>60</v>
      </c>
      <c r="E16" s="1413">
        <v>60</v>
      </c>
      <c r="F16" s="1413">
        <v>60</v>
      </c>
      <c r="G16" s="1412">
        <v>60</v>
      </c>
      <c r="I16" s="463"/>
    </row>
    <row r="17" spans="2:9" ht="12.75" customHeight="1">
      <c r="B17" s="702" t="s">
        <v>679</v>
      </c>
      <c r="C17" s="708" t="s">
        <v>163</v>
      </c>
      <c r="D17" s="1411">
        <v>0.02</v>
      </c>
      <c r="E17" s="1410">
        <v>0.02</v>
      </c>
      <c r="F17" s="1410">
        <v>0.02</v>
      </c>
      <c r="G17" s="1409">
        <v>0.02</v>
      </c>
      <c r="I17" s="463"/>
    </row>
    <row r="18" spans="2:9" ht="12.75" customHeight="1">
      <c r="B18" s="1402" t="s">
        <v>678</v>
      </c>
      <c r="C18" s="708"/>
      <c r="D18" s="704"/>
      <c r="E18" s="704"/>
      <c r="F18" s="704"/>
      <c r="G18" s="710"/>
      <c r="I18" s="463"/>
    </row>
    <row r="19" spans="2:9" ht="12.75" customHeight="1">
      <c r="B19" s="1400" t="s">
        <v>677</v>
      </c>
      <c r="C19" s="708" t="s">
        <v>163</v>
      </c>
      <c r="D19" s="1408">
        <v>5.0000000000000001E-4</v>
      </c>
      <c r="E19" s="1408">
        <v>5.0000000000000001E-4</v>
      </c>
      <c r="F19" s="1408">
        <v>5.0000000000000001E-4</v>
      </c>
      <c r="G19" s="1407">
        <v>5.0000000000000001E-4</v>
      </c>
      <c r="I19" s="463"/>
    </row>
    <row r="20" spans="2:9">
      <c r="B20" s="1400" t="s">
        <v>676</v>
      </c>
      <c r="C20" s="708" t="s">
        <v>163</v>
      </c>
      <c r="D20" s="1395">
        <v>5.0000000000000001E-3</v>
      </c>
      <c r="E20" s="1395">
        <v>5.0000000000000001E-3</v>
      </c>
      <c r="F20" s="1395">
        <v>5.0000000000000001E-3</v>
      </c>
      <c r="G20" s="1394">
        <v>5.0000000000000001E-3</v>
      </c>
      <c r="I20" s="463"/>
    </row>
    <row r="21" spans="2:9">
      <c r="B21" s="1400" t="s">
        <v>675</v>
      </c>
      <c r="C21" s="708" t="s">
        <v>163</v>
      </c>
      <c r="D21" s="1395">
        <v>0.03</v>
      </c>
      <c r="E21" s="1395">
        <v>0.03</v>
      </c>
      <c r="F21" s="1395">
        <v>0.03</v>
      </c>
      <c r="G21" s="1394">
        <v>0.03</v>
      </c>
      <c r="I21" s="463"/>
    </row>
    <row r="22" spans="2:9" ht="12.75" customHeight="1">
      <c r="B22" s="1400" t="s">
        <v>674</v>
      </c>
      <c r="C22" s="708" t="s">
        <v>163</v>
      </c>
      <c r="D22" s="1395">
        <v>3.0000000000000001E-3</v>
      </c>
      <c r="E22" s="1395">
        <v>3.0000000000000001E-3</v>
      </c>
      <c r="F22" s="1395">
        <v>3.0000000000000001E-3</v>
      </c>
      <c r="G22" s="1394">
        <v>3.0000000000000001E-3</v>
      </c>
      <c r="I22" s="463"/>
    </row>
    <row r="23" spans="2:9" ht="12.75" customHeight="1">
      <c r="B23" s="1400" t="s">
        <v>673</v>
      </c>
      <c r="C23" s="708" t="s">
        <v>163</v>
      </c>
      <c r="D23" s="1408">
        <v>7.3000000000000001E-3</v>
      </c>
      <c r="E23" s="1408">
        <v>7.3000000000000001E-3</v>
      </c>
      <c r="F23" s="1408">
        <v>7.3000000000000001E-3</v>
      </c>
      <c r="G23" s="1407">
        <v>7.3000000000000001E-3</v>
      </c>
      <c r="I23" s="463"/>
    </row>
    <row r="24" spans="2:9">
      <c r="B24" s="1400" t="s">
        <v>672</v>
      </c>
      <c r="C24" s="708" t="s">
        <v>163</v>
      </c>
      <c r="D24" s="1406">
        <v>4.58E-2</v>
      </c>
      <c r="E24" s="1406">
        <v>4.58E-2</v>
      </c>
      <c r="F24" s="1406">
        <v>4.58E-2</v>
      </c>
      <c r="G24" s="1405">
        <v>4.58E-2</v>
      </c>
      <c r="I24" s="463"/>
    </row>
    <row r="25" spans="2:9">
      <c r="B25" s="702" t="s">
        <v>671</v>
      </c>
      <c r="C25" s="708" t="s">
        <v>670</v>
      </c>
      <c r="D25" s="1404">
        <f>D13/(1-D24)</f>
        <v>209.59966464053656</v>
      </c>
      <c r="E25" s="1404">
        <f>E13/(1-E24)</f>
        <v>209.59966464053656</v>
      </c>
      <c r="F25" s="1404">
        <f>F13/(1-F24)</f>
        <v>209.59966464053656</v>
      </c>
      <c r="G25" s="1403">
        <f>G13/(1-G24)</f>
        <v>209.59966464053656</v>
      </c>
      <c r="I25" s="463"/>
    </row>
    <row r="26" spans="2:9">
      <c r="B26" s="717" t="s">
        <v>669</v>
      </c>
      <c r="C26" s="708" t="s">
        <v>162</v>
      </c>
      <c r="D26" s="711">
        <v>2.65</v>
      </c>
      <c r="E26" s="711">
        <v>2.65</v>
      </c>
      <c r="F26" s="711">
        <v>2.65</v>
      </c>
      <c r="G26" s="1219">
        <v>2.65</v>
      </c>
      <c r="I26" s="463"/>
    </row>
    <row r="27" spans="2:9" ht="12.75" customHeight="1">
      <c r="B27" s="702" t="s">
        <v>668</v>
      </c>
      <c r="C27" s="708" t="s">
        <v>163</v>
      </c>
      <c r="D27" s="1397">
        <v>1.6E-2</v>
      </c>
      <c r="E27" s="1397">
        <v>1.6E-2</v>
      </c>
      <c r="F27" s="1397">
        <v>1.6E-2</v>
      </c>
      <c r="G27" s="1396">
        <v>1.6E-2</v>
      </c>
      <c r="I27" s="463"/>
    </row>
    <row r="28" spans="2:9" ht="12.75" customHeight="1">
      <c r="B28" s="1402" t="s">
        <v>667</v>
      </c>
      <c r="C28" s="708"/>
      <c r="D28" s="704">
        <f>D25/(1-D27)</f>
        <v>213.00778926883797</v>
      </c>
      <c r="E28" s="704"/>
      <c r="F28" s="704"/>
      <c r="G28" s="710"/>
      <c r="I28" s="463"/>
    </row>
    <row r="29" spans="2:9">
      <c r="B29" s="1400" t="s">
        <v>666</v>
      </c>
      <c r="C29" s="708" t="s">
        <v>163</v>
      </c>
      <c r="D29" s="1393">
        <v>0.04</v>
      </c>
      <c r="E29" s="1393">
        <v>0.04</v>
      </c>
      <c r="F29" s="1393">
        <v>0.04</v>
      </c>
      <c r="G29" s="1392">
        <v>0.04</v>
      </c>
      <c r="I29" s="463"/>
    </row>
    <row r="30" spans="2:9">
      <c r="B30" s="1400" t="s">
        <v>665</v>
      </c>
      <c r="C30" s="708" t="s">
        <v>163</v>
      </c>
      <c r="D30" s="1393">
        <v>0.02</v>
      </c>
      <c r="E30" s="1393">
        <v>0.02</v>
      </c>
      <c r="F30" s="1393">
        <v>0.02</v>
      </c>
      <c r="G30" s="1392">
        <v>0.02</v>
      </c>
      <c r="I30" s="463"/>
    </row>
    <row r="31" spans="2:9">
      <c r="B31" s="1401" t="s">
        <v>664</v>
      </c>
      <c r="C31" s="708" t="s">
        <v>663</v>
      </c>
      <c r="D31" s="711">
        <v>5</v>
      </c>
      <c r="E31" s="711">
        <v>5</v>
      </c>
      <c r="F31" s="711">
        <v>5</v>
      </c>
      <c r="G31" s="1219">
        <v>5</v>
      </c>
      <c r="I31" s="463"/>
    </row>
    <row r="32" spans="2:9" ht="12.75" customHeight="1">
      <c r="B32" s="1400" t="s">
        <v>662</v>
      </c>
      <c r="C32" s="708" t="s">
        <v>163</v>
      </c>
      <c r="D32" s="1399">
        <v>0.12</v>
      </c>
      <c r="E32" s="1399">
        <v>0.12</v>
      </c>
      <c r="F32" s="1399">
        <v>0.12</v>
      </c>
      <c r="G32" s="1398">
        <v>0.12</v>
      </c>
      <c r="I32" s="463"/>
    </row>
    <row r="33" spans="1:9" ht="12.75" customHeight="1">
      <c r="B33" s="702" t="s">
        <v>722</v>
      </c>
      <c r="C33" s="708" t="s">
        <v>163</v>
      </c>
      <c r="D33" s="1395">
        <v>1</v>
      </c>
      <c r="E33" s="1395">
        <v>1</v>
      </c>
      <c r="F33" s="1395">
        <v>1</v>
      </c>
      <c r="G33" s="1394">
        <v>1</v>
      </c>
      <c r="I33" s="463"/>
    </row>
    <row r="34" spans="1:9">
      <c r="B34" s="702" t="s">
        <v>661</v>
      </c>
      <c r="C34" s="708" t="s">
        <v>163</v>
      </c>
      <c r="D34" s="1397">
        <v>0.05</v>
      </c>
      <c r="E34" s="1397">
        <v>0.05</v>
      </c>
      <c r="F34" s="1397">
        <v>0.05</v>
      </c>
      <c r="G34" s="1396">
        <v>0.05</v>
      </c>
      <c r="I34" s="463"/>
    </row>
    <row r="35" spans="1:9" ht="12.75" customHeight="1">
      <c r="B35" s="702" t="s">
        <v>723</v>
      </c>
      <c r="C35" s="708" t="s">
        <v>163</v>
      </c>
      <c r="D35" s="1395">
        <v>0.1118</v>
      </c>
      <c r="E35" s="1395">
        <v>0.11180000000000001</v>
      </c>
      <c r="F35" s="1395">
        <v>0.11180000000000001</v>
      </c>
      <c r="G35" s="1394">
        <v>0.11180000000000001</v>
      </c>
      <c r="I35" s="463"/>
    </row>
    <row r="36" spans="1:9" ht="12.75" customHeight="1">
      <c r="A36" s="1632"/>
      <c r="B36" s="702" t="s">
        <v>660</v>
      </c>
      <c r="C36" s="708" t="s">
        <v>427</v>
      </c>
      <c r="D36" s="715">
        <v>1029.9737820173787</v>
      </c>
      <c r="E36" s="715">
        <v>1029.9737820173787</v>
      </c>
      <c r="F36" s="715">
        <v>1029.9737820173787</v>
      </c>
      <c r="G36" s="716">
        <v>1029.9737820173787</v>
      </c>
      <c r="I36" s="463"/>
    </row>
    <row r="37" spans="1:9">
      <c r="A37" s="1632"/>
      <c r="B37" s="702" t="s">
        <v>659</v>
      </c>
      <c r="C37" s="708" t="s">
        <v>163</v>
      </c>
      <c r="D37" s="1393">
        <v>0.22328119999999996</v>
      </c>
      <c r="E37" s="1393">
        <v>0.22328119999999996</v>
      </c>
      <c r="F37" s="1393">
        <v>0.22328119999999996</v>
      </c>
      <c r="G37" s="1392">
        <v>0.22328119999999996</v>
      </c>
      <c r="I37" s="463"/>
    </row>
    <row r="38" spans="1:9">
      <c r="B38" s="702" t="s">
        <v>720</v>
      </c>
      <c r="C38" s="1474" t="s">
        <v>608</v>
      </c>
      <c r="D38" s="1404">
        <v>2</v>
      </c>
      <c r="E38" s="1404">
        <v>2</v>
      </c>
      <c r="F38" s="1404">
        <v>2</v>
      </c>
      <c r="G38" s="1403">
        <v>2</v>
      </c>
      <c r="I38" s="463"/>
    </row>
    <row r="39" spans="1:9">
      <c r="B39" s="702" t="s">
        <v>721</v>
      </c>
      <c r="C39" s="1474" t="s">
        <v>427</v>
      </c>
      <c r="D39" s="1404">
        <v>123.59685384208544</v>
      </c>
      <c r="E39" s="1404">
        <v>123.59685384208544</v>
      </c>
      <c r="F39" s="1404">
        <v>123.59685384208544</v>
      </c>
      <c r="G39" s="1403">
        <v>123.59685384208544</v>
      </c>
      <c r="I39" s="463"/>
    </row>
    <row r="40" spans="1:9">
      <c r="B40" s="717"/>
      <c r="C40" s="708"/>
      <c r="D40" s="711"/>
      <c r="E40" s="711"/>
      <c r="F40" s="711"/>
      <c r="G40" s="1219"/>
      <c r="I40" s="463"/>
    </row>
    <row r="41" spans="1:9" ht="12.75" customHeight="1">
      <c r="B41" s="717" t="s">
        <v>379</v>
      </c>
      <c r="C41" s="708" t="s">
        <v>380</v>
      </c>
      <c r="D41" s="719">
        <v>0.02</v>
      </c>
      <c r="E41" s="719">
        <v>0.02</v>
      </c>
      <c r="F41" s="719">
        <v>0.02</v>
      </c>
      <c r="G41" s="721">
        <v>0.02</v>
      </c>
      <c r="I41" s="463"/>
    </row>
    <row r="42" spans="1:9" ht="6" customHeight="1">
      <c r="B42" s="722"/>
      <c r="C42" s="723"/>
      <c r="D42" s="724"/>
      <c r="E42" s="724"/>
      <c r="F42" s="724"/>
      <c r="G42" s="726"/>
      <c r="I42" s="463"/>
    </row>
    <row r="43" spans="1:9" ht="6" customHeight="1">
      <c r="B43" s="727"/>
      <c r="C43" s="728"/>
      <c r="D43" s="729"/>
      <c r="E43" s="729"/>
      <c r="F43" s="729"/>
      <c r="G43" s="731"/>
      <c r="I43" s="463"/>
    </row>
    <row r="44" spans="1:9">
      <c r="B44" s="588" t="s">
        <v>124</v>
      </c>
      <c r="C44" s="589"/>
      <c r="D44" s="588"/>
      <c r="E44" s="1384"/>
      <c r="F44" s="588"/>
      <c r="G44" s="670"/>
      <c r="I44" s="463"/>
    </row>
    <row r="45" spans="1:9">
      <c r="B45" s="603" t="s">
        <v>141</v>
      </c>
      <c r="C45" s="708" t="s">
        <v>381</v>
      </c>
      <c r="D45" s="733">
        <v>0.1</v>
      </c>
      <c r="E45" s="733">
        <v>0.1</v>
      </c>
      <c r="F45" s="733">
        <v>0.1</v>
      </c>
      <c r="G45" s="734">
        <v>0.1</v>
      </c>
      <c r="I45" s="463"/>
    </row>
    <row r="46" spans="1:9">
      <c r="B46" s="603" t="s">
        <v>142</v>
      </c>
      <c r="C46" s="708" t="s">
        <v>381</v>
      </c>
      <c r="D46" s="733">
        <v>0.1</v>
      </c>
      <c r="E46" s="733">
        <v>0.1</v>
      </c>
      <c r="F46" s="733">
        <v>0.1</v>
      </c>
      <c r="G46" s="734">
        <v>0.1</v>
      </c>
      <c r="I46" s="463"/>
    </row>
    <row r="47" spans="1:9" s="735" customFormat="1">
      <c r="A47" s="256"/>
      <c r="B47" s="603" t="s">
        <v>382</v>
      </c>
      <c r="C47" s="708" t="s">
        <v>383</v>
      </c>
      <c r="D47" s="794">
        <v>0.05</v>
      </c>
      <c r="E47" s="794">
        <v>0.05</v>
      </c>
      <c r="F47" s="794">
        <v>0.05</v>
      </c>
      <c r="G47" s="796">
        <v>0.05</v>
      </c>
      <c r="H47" s="256"/>
      <c r="I47" s="1780"/>
    </row>
    <row r="48" spans="1:9" s="735" customFormat="1">
      <c r="A48" s="256"/>
      <c r="B48" s="603" t="s">
        <v>384</v>
      </c>
      <c r="C48" s="708" t="s">
        <v>383</v>
      </c>
      <c r="D48" s="794">
        <v>0.01</v>
      </c>
      <c r="E48" s="794">
        <v>0.01</v>
      </c>
      <c r="F48" s="794">
        <v>0.01</v>
      </c>
      <c r="G48" s="796">
        <v>0.01</v>
      </c>
      <c r="H48" s="256"/>
      <c r="I48" s="1780"/>
    </row>
    <row r="49" spans="1:9" s="735" customFormat="1" ht="75">
      <c r="A49" s="256"/>
      <c r="B49" s="603" t="s">
        <v>717</v>
      </c>
      <c r="C49" s="708" t="s">
        <v>383</v>
      </c>
      <c r="D49" s="794" t="s">
        <v>638</v>
      </c>
      <c r="E49" s="794" t="s">
        <v>638</v>
      </c>
      <c r="F49" s="794" t="s">
        <v>638</v>
      </c>
      <c r="G49" s="796" t="s">
        <v>638</v>
      </c>
      <c r="H49" s="1779" t="s">
        <v>724</v>
      </c>
      <c r="I49" s="1780"/>
    </row>
    <row r="50" spans="1:9" ht="12.75" customHeight="1">
      <c r="B50" s="736" t="s">
        <v>658</v>
      </c>
      <c r="C50" s="737" t="s">
        <v>725</v>
      </c>
      <c r="D50" s="799">
        <v>0.05</v>
      </c>
      <c r="E50" s="799">
        <v>0.05</v>
      </c>
      <c r="F50" s="799">
        <v>0.05</v>
      </c>
      <c r="G50" s="800">
        <v>0.05</v>
      </c>
      <c r="I50" s="463"/>
    </row>
    <row r="51" spans="1:9" ht="14.25" customHeight="1">
      <c r="B51" s="736" t="s">
        <v>115</v>
      </c>
      <c r="C51" s="737" t="s">
        <v>714</v>
      </c>
      <c r="D51" s="799">
        <v>0.04</v>
      </c>
      <c r="E51" s="799">
        <v>0.04</v>
      </c>
      <c r="F51" s="799">
        <v>0.04</v>
      </c>
      <c r="G51" s="800">
        <v>0.04</v>
      </c>
      <c r="I51" s="463"/>
    </row>
    <row r="52" spans="1:9">
      <c r="B52" s="1391" t="s">
        <v>605</v>
      </c>
      <c r="C52" s="1390" t="s">
        <v>383</v>
      </c>
      <c r="D52" s="1196">
        <v>0.08</v>
      </c>
      <c r="E52" s="1196">
        <v>0.08</v>
      </c>
      <c r="F52" s="1196">
        <v>0.08</v>
      </c>
      <c r="G52" s="800">
        <v>0.08</v>
      </c>
      <c r="H52" s="718"/>
      <c r="I52" s="463"/>
    </row>
    <row r="53" spans="1:9">
      <c r="B53" s="738" t="s">
        <v>386</v>
      </c>
      <c r="C53" s="739" t="s">
        <v>163</v>
      </c>
      <c r="D53" s="1389">
        <v>0.55000000000000004</v>
      </c>
      <c r="E53" s="1389">
        <v>0.55000000000000004</v>
      </c>
      <c r="F53" s="1389">
        <v>0.55000000000000004</v>
      </c>
      <c r="G53" s="1781">
        <v>0.55000000000000004</v>
      </c>
      <c r="I53" s="463"/>
    </row>
    <row r="54" spans="1:9" ht="12.75" customHeight="1">
      <c r="B54" s="740" t="s">
        <v>387</v>
      </c>
      <c r="C54" s="741" t="s">
        <v>609</v>
      </c>
      <c r="D54" s="1450">
        <f>D55*D13/$C$1</f>
        <v>3.7757490186653246</v>
      </c>
      <c r="E54" s="1450">
        <f>E55*E13/$C$1</f>
        <v>3.7757490186653246</v>
      </c>
      <c r="F54" s="1450">
        <f>F55*F13/$C$1</f>
        <v>3.7757490186653246</v>
      </c>
      <c r="G54" s="1782">
        <f>G55*G13/$C$1</f>
        <v>3.7757490186653246</v>
      </c>
      <c r="I54" s="463"/>
    </row>
    <row r="55" spans="1:9" ht="12.75" customHeight="1">
      <c r="B55" s="743" t="s">
        <v>388</v>
      </c>
      <c r="C55" s="741" t="s">
        <v>610</v>
      </c>
      <c r="D55" s="1451">
        <v>18.878745093326621</v>
      </c>
      <c r="E55" s="1451">
        <v>18.878745093326621</v>
      </c>
      <c r="F55" s="1451">
        <v>18.878745093326621</v>
      </c>
      <c r="G55" s="1783">
        <v>18.878745093326621</v>
      </c>
      <c r="I55" s="463"/>
    </row>
    <row r="56" spans="1:9" ht="12.75" customHeight="1">
      <c r="B56" s="747" t="s">
        <v>392</v>
      </c>
      <c r="C56" s="741" t="s">
        <v>609</v>
      </c>
      <c r="D56" s="746"/>
      <c r="E56" s="1388"/>
      <c r="F56" s="1388"/>
      <c r="G56" s="1387"/>
      <c r="I56" s="463"/>
    </row>
    <row r="57" spans="1:9" ht="12.75" customHeight="1">
      <c r="B57" s="748" t="s">
        <v>150</v>
      </c>
      <c r="C57" s="749" t="s">
        <v>164</v>
      </c>
      <c r="D57" s="746">
        <f t="shared" ref="D57:G57" si="1">D58*D59/$C$2</f>
        <v>0.42</v>
      </c>
      <c r="E57" s="746">
        <f t="shared" si="1"/>
        <v>0.33839999999999998</v>
      </c>
      <c r="F57" s="746">
        <f t="shared" si="1"/>
        <v>0.18720000000000001</v>
      </c>
      <c r="G57" s="1784">
        <f t="shared" si="1"/>
        <v>0.35160000000000002</v>
      </c>
      <c r="H57" s="718"/>
      <c r="I57" s="463"/>
    </row>
    <row r="58" spans="1:9" ht="12.75" customHeight="1">
      <c r="B58" s="743" t="s">
        <v>393</v>
      </c>
      <c r="C58" s="749" t="s">
        <v>394</v>
      </c>
      <c r="D58" s="750">
        <v>35000</v>
      </c>
      <c r="E58" s="750">
        <v>28200</v>
      </c>
      <c r="F58" s="750">
        <v>15600</v>
      </c>
      <c r="G58" s="1785">
        <v>29300</v>
      </c>
      <c r="I58" s="463"/>
    </row>
    <row r="59" spans="1:9" ht="12.75" customHeight="1">
      <c r="B59" s="752" t="s">
        <v>395</v>
      </c>
      <c r="C59" s="753" t="s">
        <v>396</v>
      </c>
      <c r="D59" s="754">
        <v>12</v>
      </c>
      <c r="E59" s="754">
        <v>12</v>
      </c>
      <c r="F59" s="754">
        <v>12</v>
      </c>
      <c r="G59" s="755">
        <v>12</v>
      </c>
      <c r="H59" s="256" t="s">
        <v>657</v>
      </c>
      <c r="I59" s="463"/>
    </row>
    <row r="60" spans="1:9" ht="12.75" customHeight="1">
      <c r="B60" s="738" t="s">
        <v>397</v>
      </c>
      <c r="C60" s="739" t="s">
        <v>163</v>
      </c>
      <c r="D60" s="1386">
        <v>0</v>
      </c>
      <c r="E60" s="1386">
        <v>0</v>
      </c>
      <c r="F60" s="1386">
        <v>0</v>
      </c>
      <c r="G60" s="1786">
        <v>0</v>
      </c>
      <c r="H60" s="256" t="s">
        <v>656</v>
      </c>
      <c r="I60" s="463"/>
    </row>
    <row r="61" spans="1:9" ht="12.75" customHeight="1">
      <c r="B61" s="738" t="s">
        <v>398</v>
      </c>
      <c r="C61" s="739" t="s">
        <v>163</v>
      </c>
      <c r="D61" s="950">
        <f>11.5%</f>
        <v>0.115</v>
      </c>
      <c r="E61" s="950">
        <v>8.2500000000000004E-2</v>
      </c>
      <c r="F61" s="950">
        <v>9.9900000000000003E-2</v>
      </c>
      <c r="G61" s="1787">
        <v>9.9900000000000003E-2</v>
      </c>
      <c r="I61" s="463"/>
    </row>
    <row r="62" spans="1:9" ht="12.75" customHeight="1">
      <c r="B62" s="621" t="s">
        <v>411</v>
      </c>
      <c r="C62" s="756"/>
      <c r="D62" s="1198" t="s">
        <v>702</v>
      </c>
      <c r="E62" s="1198" t="s">
        <v>702</v>
      </c>
      <c r="F62" s="1198" t="s">
        <v>702</v>
      </c>
      <c r="G62" s="1199" t="s">
        <v>702</v>
      </c>
      <c r="I62" s="463"/>
    </row>
    <row r="63" spans="1:9" ht="6" customHeight="1">
      <c r="B63" s="760"/>
      <c r="C63" s="761"/>
      <c r="D63" s="762"/>
      <c r="E63" s="762"/>
      <c r="F63" s="762"/>
      <c r="G63" s="763"/>
      <c r="I63" s="463"/>
    </row>
    <row r="64" spans="1:9" ht="6" customHeight="1">
      <c r="B64" s="764"/>
      <c r="C64" s="765"/>
      <c r="D64" s="1385"/>
      <c r="E64" s="1385"/>
      <c r="F64" s="1385"/>
      <c r="G64" s="767"/>
      <c r="I64" s="463"/>
    </row>
    <row r="65" spans="2:9" ht="12.75" customHeight="1">
      <c r="B65" s="588" t="s">
        <v>158</v>
      </c>
      <c r="C65" s="589"/>
      <c r="D65" s="588"/>
      <c r="E65" s="1384"/>
      <c r="F65" s="588"/>
      <c r="G65" s="670"/>
      <c r="I65" s="463"/>
    </row>
    <row r="66" spans="2:9">
      <c r="B66" s="768" t="s">
        <v>415</v>
      </c>
      <c r="C66" s="771" t="s">
        <v>416</v>
      </c>
      <c r="D66" s="1383">
        <v>4.0000000000000001E-3</v>
      </c>
      <c r="E66" s="1383">
        <v>4.0000000000000001E-3</v>
      </c>
      <c r="F66" s="1383">
        <v>4.0000000000000001E-3</v>
      </c>
      <c r="G66" s="1382">
        <v>4.0000000000000001E-3</v>
      </c>
      <c r="I66" s="463"/>
    </row>
    <row r="67" spans="2:9" ht="6" customHeight="1" thickBot="1">
      <c r="B67" s="691"/>
      <c r="C67" s="772"/>
      <c r="D67" s="262"/>
      <c r="E67" s="262"/>
      <c r="F67" s="262"/>
      <c r="G67" s="772"/>
      <c r="I67" s="463"/>
    </row>
    <row r="68" spans="2:9" ht="6" customHeight="1" thickTop="1"/>
    <row r="69" spans="2:9">
      <c r="B69" s="627" t="s">
        <v>317</v>
      </c>
    </row>
    <row r="70" spans="2:9" ht="30">
      <c r="B70" s="629" t="s">
        <v>318</v>
      </c>
    </row>
    <row r="71" spans="2:9" ht="12.75" customHeight="1">
      <c r="B71" s="630" t="s">
        <v>319</v>
      </c>
    </row>
    <row r="72" spans="2:9" ht="12.6" customHeight="1">
      <c r="B72" s="631" t="s">
        <v>607</v>
      </c>
    </row>
    <row r="73" spans="2:9" ht="12.75" hidden="1" customHeight="1"/>
    <row r="74" spans="2:9" ht="12.75" hidden="1" customHeight="1"/>
    <row r="75" spans="2:9" ht="12.75" hidden="1" customHeight="1"/>
    <row r="76" spans="2:9" hidden="1"/>
    <row r="77" spans="2:9" hidden="1"/>
    <row r="78" spans="2:9" hidden="1"/>
    <row r="79" spans="2:9" hidden="1"/>
    <row r="80" spans="2:9" hidden="1"/>
    <row r="81" spans="4:8" hidden="1">
      <c r="D81" s="1381"/>
      <c r="E81" s="1381"/>
      <c r="F81" s="1381"/>
      <c r="G81" s="1381"/>
      <c r="H81" s="1381"/>
    </row>
    <row r="82" spans="4:8" hidden="1"/>
    <row r="83" spans="4:8" hidden="1"/>
    <row r="84" spans="4:8" hidden="1"/>
    <row r="85" spans="4:8" hidden="1"/>
    <row r="86" spans="4:8" hidden="1"/>
    <row r="87" spans="4:8" hidden="1"/>
    <row r="88" spans="4:8" hidden="1"/>
    <row r="89" spans="4:8" hidden="1"/>
    <row r="90" spans="4:8" hidden="1"/>
    <row r="91" spans="4:8" hidden="1"/>
    <row r="92" spans="4:8" hidden="1"/>
    <row r="93" spans="4:8" hidden="1"/>
    <row r="94" spans="4:8" hidden="1"/>
    <row r="95" spans="4:8" hidden="1"/>
    <row r="96" spans="4:8"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sheetData>
  <conditionalFormatting sqref="D55:G55">
    <cfRule type="expression" dxfId="121" priority="12" stopIfTrue="1">
      <formula>MOD(#REF!,2)=1</formula>
    </cfRule>
  </conditionalFormatting>
  <conditionalFormatting sqref="D56:G56">
    <cfRule type="expression" dxfId="120" priority="11" stopIfTrue="1">
      <formula>MOD(#REF!,2)=1</formula>
    </cfRule>
  </conditionalFormatting>
  <conditionalFormatting sqref="D51:D53 D60:G60 E53:G53">
    <cfRule type="expression" dxfId="119" priority="10" stopIfTrue="1">
      <formula>MOD(#REF!,2)=1</formula>
    </cfRule>
  </conditionalFormatting>
  <conditionalFormatting sqref="D59">
    <cfRule type="expression" dxfId="118" priority="9" stopIfTrue="1">
      <formula>MOD(#REF!,2)=1</formula>
    </cfRule>
  </conditionalFormatting>
  <conditionalFormatting sqref="E51:G52">
    <cfRule type="expression" dxfId="117" priority="8" stopIfTrue="1">
      <formula>MOD(#REF!,2)=1</formula>
    </cfRule>
  </conditionalFormatting>
  <conditionalFormatting sqref="E59:G59">
    <cfRule type="expression" dxfId="116" priority="7" stopIfTrue="1">
      <formula>MOD(#REF!,2)=1</formula>
    </cfRule>
  </conditionalFormatting>
  <conditionalFormatting sqref="D58:G58">
    <cfRule type="expression" dxfId="115" priority="6" stopIfTrue="1">
      <formula>MOD(#REF!,2)=1</formula>
    </cfRule>
  </conditionalFormatting>
  <conditionalFormatting sqref="D57:G57">
    <cfRule type="expression" dxfId="114" priority="5" stopIfTrue="1">
      <formula>MOD(#REF!,2)=1</formula>
    </cfRule>
  </conditionalFormatting>
  <conditionalFormatting sqref="D61">
    <cfRule type="expression" dxfId="113" priority="4" stopIfTrue="1">
      <formula>MOD(#REF!,2)=1</formula>
    </cfRule>
  </conditionalFormatting>
  <conditionalFormatting sqref="E61 G61">
    <cfRule type="expression" dxfId="112" priority="3" stopIfTrue="1">
      <formula>MOD(#REF!,2)=1</formula>
    </cfRule>
  </conditionalFormatting>
  <conditionalFormatting sqref="F61">
    <cfRule type="expression" dxfId="111" priority="2" stopIfTrue="1">
      <formula>MOD(#REF!,2)=1</formula>
    </cfRule>
  </conditionalFormatting>
  <conditionalFormatting sqref="D50:G50">
    <cfRule type="expression" dxfId="110" priority="1" stopIfTrue="1">
      <formula>MOD(#REF!,2)=1</formula>
    </cfRule>
  </conditionalFormatting>
  <pageMargins left="0.7" right="0.7" top="0.75" bottom="0.75" header="0.3" footer="0.3"/>
  <pageSetup scale="36"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AD89"/>
  <sheetViews>
    <sheetView topLeftCell="F17" zoomScale="108" zoomScaleNormal="80" workbookViewId="0">
      <selection activeCell="N41" sqref="N41"/>
    </sheetView>
  </sheetViews>
  <sheetFormatPr defaultColWidth="9.140625" defaultRowHeight="12.75" outlineLevelRow="1"/>
  <cols>
    <col min="1" max="1" width="6.7109375" customWidth="1"/>
    <col min="2" max="2" width="39.28515625" customWidth="1"/>
    <col min="3" max="3" width="20.7109375" bestFit="1" customWidth="1"/>
    <col min="4" max="4" width="7.42578125" customWidth="1"/>
    <col min="5" max="8" width="19.5703125" customWidth="1"/>
    <col min="9" max="12" width="18.85546875" customWidth="1"/>
    <col min="13" max="13" width="3.28515625" customWidth="1"/>
    <col min="14" max="21" width="27.5703125" customWidth="1"/>
    <col min="22" max="22" width="17.7109375" customWidth="1"/>
    <col min="23" max="23" width="18.28515625" customWidth="1"/>
    <col min="24" max="24" width="17.42578125" customWidth="1"/>
    <col min="25" max="25" width="18" customWidth="1"/>
    <col min="26" max="26" width="16.42578125" customWidth="1"/>
    <col min="27" max="27" width="16.28515625" customWidth="1"/>
    <col min="28" max="28" width="14.7109375" customWidth="1"/>
    <col min="29" max="29" width="16.7109375" customWidth="1"/>
    <col min="30" max="30" width="76.5703125" bestFit="1" customWidth="1"/>
  </cols>
  <sheetData>
    <row r="1" spans="2:30" s="934" customFormat="1" hidden="1" outlineLevel="1">
      <c r="E1" s="953">
        <v>1000000</v>
      </c>
    </row>
    <row r="2" spans="2:30" ht="15" collapsed="1">
      <c r="B2" s="256"/>
      <c r="C2" s="256"/>
      <c r="D2" s="256"/>
      <c r="E2" s="1492" t="s">
        <v>739</v>
      </c>
      <c r="F2" s="1493"/>
      <c r="G2" s="1493"/>
      <c r="H2" s="1493"/>
      <c r="I2" s="1492" t="s">
        <v>739</v>
      </c>
      <c r="J2" s="1493"/>
      <c r="K2" s="1493"/>
      <c r="L2" s="1493"/>
      <c r="N2" s="1589" t="s">
        <v>741</v>
      </c>
      <c r="O2" s="1590"/>
      <c r="P2" s="1590"/>
      <c r="Q2" s="1590"/>
      <c r="R2" s="1589" t="s">
        <v>740</v>
      </c>
      <c r="S2" s="1590"/>
      <c r="T2" s="1590"/>
      <c r="V2" s="258"/>
      <c r="W2" s="258"/>
      <c r="X2" s="258"/>
      <c r="Y2" s="258"/>
      <c r="Z2" s="258"/>
      <c r="AA2" s="258"/>
      <c r="AB2" s="258"/>
      <c r="AC2" s="258"/>
      <c r="AD2" s="258"/>
    </row>
    <row r="3" spans="2:30" ht="6" customHeight="1" thickBot="1">
      <c r="B3" s="262"/>
      <c r="C3" s="262"/>
      <c r="D3" s="262"/>
      <c r="E3" s="263"/>
      <c r="F3" s="263"/>
      <c r="G3" s="263"/>
      <c r="H3" s="263"/>
      <c r="I3" s="263"/>
      <c r="J3" s="263"/>
      <c r="K3" s="263"/>
      <c r="L3" s="263"/>
      <c r="V3" s="262"/>
      <c r="W3" s="262"/>
      <c r="X3" s="262"/>
      <c r="Y3" s="262"/>
      <c r="Z3" s="262"/>
      <c r="AA3" s="262"/>
      <c r="AB3" s="262"/>
      <c r="AC3" s="262"/>
      <c r="AD3" s="264"/>
    </row>
    <row r="4" spans="2:30" ht="6" customHeight="1" thickTop="1">
      <c r="B4" s="265"/>
      <c r="C4" s="265"/>
      <c r="D4" s="1505"/>
      <c r="E4" s="267"/>
      <c r="F4" s="267"/>
      <c r="G4" s="267"/>
      <c r="H4" s="268"/>
      <c r="I4" s="574"/>
      <c r="J4" s="575"/>
      <c r="K4" s="575"/>
      <c r="L4" s="269"/>
      <c r="V4" s="1503"/>
      <c r="W4" s="1504"/>
      <c r="X4" s="1504"/>
      <c r="Y4" s="1505"/>
      <c r="Z4" s="1503"/>
      <c r="AA4" s="1504"/>
      <c r="AB4" s="1504"/>
      <c r="AC4" s="1505"/>
      <c r="AD4" s="576"/>
    </row>
    <row r="5" spans="2:30" ht="12.75" customHeight="1">
      <c r="B5" s="270" t="s">
        <v>125</v>
      </c>
      <c r="C5" s="270"/>
      <c r="D5" s="1788"/>
      <c r="E5" s="1934" t="s">
        <v>614</v>
      </c>
      <c r="F5" s="1932"/>
      <c r="G5" s="1932"/>
      <c r="H5" s="1933"/>
      <c r="I5" s="1931" t="s">
        <v>614</v>
      </c>
      <c r="J5" s="1932"/>
      <c r="K5" s="1932"/>
      <c r="L5" s="1933"/>
      <c r="N5" s="1931" t="s">
        <v>614</v>
      </c>
      <c r="O5" s="1932"/>
      <c r="P5" s="1932"/>
      <c r="Q5" s="1933"/>
      <c r="R5" s="1931" t="s">
        <v>614</v>
      </c>
      <c r="S5" s="1932"/>
      <c r="T5" s="1932"/>
      <c r="U5" s="1933"/>
      <c r="V5" s="1935" t="s">
        <v>655</v>
      </c>
      <c r="W5" s="1932"/>
      <c r="X5" s="1932"/>
      <c r="Y5" s="1933"/>
      <c r="Z5" s="1935" t="s">
        <v>655</v>
      </c>
      <c r="AA5" s="1932"/>
      <c r="AB5" s="1932"/>
      <c r="AC5" s="1933"/>
      <c r="AD5" s="577"/>
    </row>
    <row r="6" spans="2:30" ht="30">
      <c r="B6" s="270" t="s">
        <v>119</v>
      </c>
      <c r="C6" s="578" t="s">
        <v>315</v>
      </c>
      <c r="D6" s="1788"/>
      <c r="E6" s="580" t="s">
        <v>120</v>
      </c>
      <c r="F6" s="580" t="s">
        <v>121</v>
      </c>
      <c r="G6" s="580" t="s">
        <v>111</v>
      </c>
      <c r="H6" s="581" t="s">
        <v>122</v>
      </c>
      <c r="I6" s="579" t="s">
        <v>120</v>
      </c>
      <c r="J6" s="580" t="s">
        <v>121</v>
      </c>
      <c r="K6" s="580" t="s">
        <v>111</v>
      </c>
      <c r="L6" s="580" t="s">
        <v>122</v>
      </c>
      <c r="M6" s="1804"/>
      <c r="N6" s="695" t="s">
        <v>120</v>
      </c>
      <c r="O6" s="286" t="s">
        <v>121</v>
      </c>
      <c r="P6" s="286" t="s">
        <v>111</v>
      </c>
      <c r="Q6" s="286" t="s">
        <v>122</v>
      </c>
      <c r="R6" s="695" t="s">
        <v>120</v>
      </c>
      <c r="S6" s="286" t="s">
        <v>121</v>
      </c>
      <c r="T6" s="286" t="s">
        <v>111</v>
      </c>
      <c r="U6" s="286" t="s">
        <v>122</v>
      </c>
      <c r="V6" s="1506" t="s">
        <v>120</v>
      </c>
      <c r="W6" s="1507" t="s">
        <v>121</v>
      </c>
      <c r="X6" s="1507" t="s">
        <v>111</v>
      </c>
      <c r="Y6" s="1508" t="s">
        <v>122</v>
      </c>
      <c r="Z6" s="1506" t="s">
        <v>120</v>
      </c>
      <c r="AA6" s="1507" t="s">
        <v>121</v>
      </c>
      <c r="AB6" s="1507" t="s">
        <v>111</v>
      </c>
      <c r="AC6" s="1508" t="s">
        <v>122</v>
      </c>
      <c r="AD6" s="577"/>
    </row>
    <row r="7" spans="2:30" ht="38.25" customHeight="1">
      <c r="B7" s="270" t="s">
        <v>99</v>
      </c>
      <c r="C7" s="457" t="s">
        <v>308</v>
      </c>
      <c r="D7" s="1789"/>
      <c r="E7" s="276" t="s">
        <v>117</v>
      </c>
      <c r="F7" s="276" t="s">
        <v>117</v>
      </c>
      <c r="G7" s="276" t="s">
        <v>117</v>
      </c>
      <c r="H7" s="583" t="s">
        <v>117</v>
      </c>
      <c r="I7" s="582" t="s">
        <v>118</v>
      </c>
      <c r="J7" s="276" t="s">
        <v>118</v>
      </c>
      <c r="K7" s="276" t="s">
        <v>118</v>
      </c>
      <c r="L7" s="276" t="s">
        <v>118</v>
      </c>
      <c r="M7" s="1804"/>
      <c r="N7" s="276" t="s">
        <v>117</v>
      </c>
      <c r="O7" s="276" t="s">
        <v>117</v>
      </c>
      <c r="P7" s="276" t="s">
        <v>117</v>
      </c>
      <c r="Q7" s="276" t="s">
        <v>117</v>
      </c>
      <c r="R7" s="276" t="s">
        <v>117</v>
      </c>
      <c r="S7" s="276" t="s">
        <v>117</v>
      </c>
      <c r="T7" s="276" t="s">
        <v>117</v>
      </c>
      <c r="U7" s="276" t="s">
        <v>117</v>
      </c>
      <c r="V7" s="697" t="s">
        <v>737</v>
      </c>
      <c r="W7" s="698" t="s">
        <v>737</v>
      </c>
      <c r="X7" s="698" t="s">
        <v>737</v>
      </c>
      <c r="Y7" s="699" t="s">
        <v>737</v>
      </c>
      <c r="Z7" s="697" t="s">
        <v>738</v>
      </c>
      <c r="AA7" s="698" t="s">
        <v>738</v>
      </c>
      <c r="AB7" s="698" t="s">
        <v>738</v>
      </c>
      <c r="AC7" s="699" t="s">
        <v>738</v>
      </c>
      <c r="AD7" s="584" t="s">
        <v>126</v>
      </c>
    </row>
    <row r="8" spans="2:30" ht="15">
      <c r="B8" s="270" t="s">
        <v>65</v>
      </c>
      <c r="C8" s="585"/>
      <c r="D8" s="1790"/>
      <c r="E8" s="1561">
        <f>'Cost Assumptions'!D13</f>
        <v>360.589</v>
      </c>
      <c r="F8" s="1204">
        <f>'Cost Assumptions'!E13</f>
        <v>362.83800000000002</v>
      </c>
      <c r="G8" s="1204">
        <f>'Cost Assumptions'!F13</f>
        <v>352.92700000000002</v>
      </c>
      <c r="H8" s="1204">
        <f>'Cost Assumptions'!G13</f>
        <v>349.94</v>
      </c>
      <c r="I8" s="1204">
        <f>'Cost Assumptions'!H17</f>
        <v>1170.73</v>
      </c>
      <c r="J8" s="1204">
        <f>'Cost Assumptions'!I17</f>
        <v>1173.6579999999999</v>
      </c>
      <c r="K8" s="1204">
        <f>'Cost Assumptions'!J17</f>
        <v>1144.0940000000001</v>
      </c>
      <c r="L8" s="1204">
        <f>'Cost Assumptions'!K17</f>
        <v>1133.424</v>
      </c>
      <c r="M8" s="1804"/>
      <c r="V8" s="1372">
        <v>1055.637810406316</v>
      </c>
      <c r="W8" s="1372">
        <v>1062.8413427423161</v>
      </c>
      <c r="X8" s="1372">
        <v>1034.1655315783159</v>
      </c>
      <c r="Y8" s="1371">
        <v>1025.126781858316</v>
      </c>
      <c r="Z8" s="1372">
        <v>1045.0219999999999</v>
      </c>
      <c r="AA8" s="1372">
        <v>1052.153091454496</v>
      </c>
      <c r="AB8" s="1372">
        <v>1023.7656528474122</v>
      </c>
      <c r="AC8" s="1371">
        <v>1014.8177995053098</v>
      </c>
      <c r="AD8" s="586"/>
    </row>
    <row r="9" spans="2:30" ht="6" customHeight="1">
      <c r="B9" s="282"/>
      <c r="C9" s="282"/>
      <c r="D9" s="1791"/>
      <c r="E9" s="284"/>
      <c r="F9" s="284"/>
      <c r="G9" s="284"/>
      <c r="H9" s="285"/>
      <c r="I9" s="1194"/>
      <c r="J9" s="284"/>
      <c r="K9" s="284"/>
      <c r="L9" s="284"/>
      <c r="M9" s="1804"/>
      <c r="V9" s="1509"/>
      <c r="W9" s="1510"/>
      <c r="X9" s="1510"/>
      <c r="Y9" s="1511"/>
      <c r="Z9" s="1509"/>
      <c r="AA9" s="1510"/>
      <c r="AB9" s="1510"/>
      <c r="AC9" s="1511"/>
      <c r="AD9" s="587"/>
    </row>
    <row r="10" spans="2:30" ht="6" customHeight="1">
      <c r="B10" s="278"/>
      <c r="C10" s="278"/>
      <c r="D10" s="1790"/>
      <c r="E10" s="272"/>
      <c r="F10" s="272"/>
      <c r="G10" s="272"/>
      <c r="H10" s="288"/>
      <c r="I10" s="287"/>
      <c r="J10" s="272"/>
      <c r="K10" s="272"/>
      <c r="L10" s="272"/>
      <c r="M10" s="1804"/>
      <c r="V10" s="1512"/>
      <c r="W10" s="1513"/>
      <c r="X10" s="1513"/>
      <c r="Y10" s="1514"/>
      <c r="Z10" s="1512"/>
      <c r="AA10" s="1513"/>
      <c r="AB10" s="1513"/>
      <c r="AC10" s="1514"/>
      <c r="AD10" s="586"/>
    </row>
    <row r="11" spans="2:30" ht="15">
      <c r="B11" s="588" t="s">
        <v>127</v>
      </c>
      <c r="C11" s="589"/>
      <c r="D11" s="1792"/>
      <c r="E11" s="1205"/>
      <c r="F11" s="1205"/>
      <c r="G11" s="1205"/>
      <c r="H11" s="1206"/>
      <c r="I11" s="1207"/>
      <c r="J11" s="1207"/>
      <c r="K11" s="1207"/>
      <c r="L11" s="1207"/>
      <c r="M11" s="1804"/>
      <c r="V11" s="1515"/>
      <c r="W11" s="1516"/>
      <c r="X11" s="1516"/>
      <c r="Y11" s="1517"/>
      <c r="Z11" s="1515"/>
      <c r="AA11" s="1516"/>
      <c r="AB11" s="1516"/>
      <c r="AC11" s="1517"/>
      <c r="AD11" s="590"/>
    </row>
    <row r="12" spans="2:30" ht="6" customHeight="1">
      <c r="B12" s="289"/>
      <c r="C12" s="256"/>
      <c r="D12" s="1793"/>
      <c r="E12" s="292"/>
      <c r="F12" s="292"/>
      <c r="G12" s="292"/>
      <c r="H12" s="293"/>
      <c r="I12" s="295"/>
      <c r="J12" s="295"/>
      <c r="K12" s="295"/>
      <c r="L12" s="295"/>
      <c r="M12" s="1804"/>
      <c r="V12" s="1518"/>
      <c r="W12" s="1519"/>
      <c r="X12" s="1519"/>
      <c r="Y12" s="1520"/>
      <c r="Z12" s="1518"/>
      <c r="AA12" s="1519"/>
      <c r="AB12" s="1519"/>
      <c r="AC12" s="1520"/>
      <c r="AD12" s="577"/>
    </row>
    <row r="13" spans="2:30" ht="15">
      <c r="B13" s="289" t="s">
        <v>128</v>
      </c>
      <c r="C13" s="289"/>
      <c r="D13" s="1794"/>
      <c r="E13" s="298"/>
      <c r="F13" s="298"/>
      <c r="G13" s="298"/>
      <c r="H13" s="299"/>
      <c r="I13" s="298"/>
      <c r="J13" s="298"/>
      <c r="K13" s="298"/>
      <c r="L13" s="298"/>
      <c r="M13" s="1804"/>
      <c r="V13" s="1521"/>
      <c r="W13" s="1522"/>
      <c r="X13" s="1522"/>
      <c r="Y13" s="1523"/>
      <c r="Z13" s="1521"/>
      <c r="AA13" s="1522"/>
      <c r="AB13" s="1522"/>
      <c r="AC13" s="1523"/>
      <c r="AD13" s="577"/>
    </row>
    <row r="14" spans="2:30" ht="15">
      <c r="B14" s="591" t="s">
        <v>129</v>
      </c>
      <c r="C14" s="1317">
        <v>0</v>
      </c>
      <c r="D14" s="1795"/>
      <c r="E14" s="1560">
        <f>INDEX('Capital Costs Data'!$R$14:$U$14, MATCH('Capital Costs Data'!E$6, 'Capital Costs Data'!$R$6:$U$6, 0))</f>
        <v>69250000</v>
      </c>
      <c r="F14" s="1560">
        <f>INDEX('Capital Costs Data'!$R$14:$U$14, MATCH('Capital Costs Data'!F$6, 'Capital Costs Data'!$R$6:$U$6, 0))</f>
        <v>69250000</v>
      </c>
      <c r="G14" s="1560">
        <f>INDEX('Capital Costs Data'!$R$14:$U$14, MATCH('Capital Costs Data'!G$6, 'Capital Costs Data'!$R$6:$U$6, 0))</f>
        <v>69250000</v>
      </c>
      <c r="H14" s="1802">
        <f>INDEX('Capital Costs Data'!$R$14:$U$14, MATCH('Capital Costs Data'!H$6, 'Capital Costs Data'!$R$6:$U$6, 0))</f>
        <v>69250000</v>
      </c>
      <c r="I14" s="1560">
        <f>INDEX('Capital Costs Data'!$Z$14:$AC$14, MATCH('Capital Costs Data'!I$6, 'Capital Costs Data'!$Z$6:$AC$6, 0))</f>
        <v>138500000</v>
      </c>
      <c r="J14" s="1560">
        <f>INDEX('Capital Costs Data'!$Z$14:$AC$14, MATCH('Capital Costs Data'!J$6, 'Capital Costs Data'!$Z$6:$AC$6, 0))</f>
        <v>138500000</v>
      </c>
      <c r="K14" s="1560">
        <f>INDEX('Capital Costs Data'!$Z$14:$AC$14, MATCH('Capital Costs Data'!K$6, 'Capital Costs Data'!$Z$6:$AC$6, 0))</f>
        <v>138500000</v>
      </c>
      <c r="L14" s="1560">
        <f>INDEX('Capital Costs Data'!$Z$14:$AC$14, MATCH('Capital Costs Data'!L$6, 'Capital Costs Data'!$Z$6:$AC$6, 0))</f>
        <v>138500000</v>
      </c>
      <c r="M14" s="1804"/>
      <c r="N14" s="1214">
        <v>71850000</v>
      </c>
      <c r="O14" s="1215">
        <v>71850000</v>
      </c>
      <c r="P14" s="1215">
        <v>71850000</v>
      </c>
      <c r="Q14" s="1216">
        <v>71850000</v>
      </c>
      <c r="R14" s="1214">
        <v>69250000</v>
      </c>
      <c r="S14" s="1215">
        <v>69250000</v>
      </c>
      <c r="T14" s="1215">
        <v>69250000</v>
      </c>
      <c r="U14" s="1216">
        <v>69250000</v>
      </c>
      <c r="V14" s="1501">
        <v>138500000</v>
      </c>
      <c r="W14" s="1501">
        <v>138500000</v>
      </c>
      <c r="X14" s="1501">
        <v>138500000</v>
      </c>
      <c r="Y14" s="1502">
        <v>138500000</v>
      </c>
      <c r="Z14" s="1501">
        <v>138500000</v>
      </c>
      <c r="AA14" s="1501">
        <v>138500000</v>
      </c>
      <c r="AB14" s="1501">
        <v>138500000</v>
      </c>
      <c r="AC14" s="1502">
        <v>138500000</v>
      </c>
      <c r="AD14" s="577" t="s">
        <v>526</v>
      </c>
    </row>
    <row r="15" spans="2:30" ht="15">
      <c r="B15" s="591" t="s">
        <v>130</v>
      </c>
      <c r="C15" s="1317">
        <v>0</v>
      </c>
      <c r="D15" s="1795"/>
      <c r="E15" s="1560">
        <f>INDEX('Capital Costs Data'!$R$15:$U$15, MATCH('Capital Costs Data'!E$6, 'Capital Costs Data'!$R$6:$U$6, 0))</f>
        <v>29558900</v>
      </c>
      <c r="F15" s="1560">
        <f>INDEX('Capital Costs Data'!$R$15:$U$15, MATCH('Capital Costs Data'!F$6, 'Capital Costs Data'!$R$6:$U$6, 0))</f>
        <v>29558900</v>
      </c>
      <c r="G15" s="1560">
        <f>INDEX('Capital Costs Data'!$R$15:$U$15, MATCH('Capital Costs Data'!G$6, 'Capital Costs Data'!$R$6:$U$6, 0))</f>
        <v>29558900</v>
      </c>
      <c r="H15" s="1802">
        <f>INDEX('Capital Costs Data'!$R$15:$U$15, MATCH('Capital Costs Data'!H$6, 'Capital Costs Data'!$R$6:$U$6, 0))</f>
        <v>29558900</v>
      </c>
      <c r="I15" s="1560">
        <f>INDEX('Capital Costs Data'!$Z$15:$AC$15, MATCH('Capital Costs Data'!I$6, 'Capital Costs Data'!$Z$6:$AC$6, 0))</f>
        <v>72000000</v>
      </c>
      <c r="J15" s="1560">
        <f>INDEX('Capital Costs Data'!$Z$15:$AC$15, MATCH('Capital Costs Data'!J$6, 'Capital Costs Data'!$Z$6:$AC$6, 0))</f>
        <v>72000000</v>
      </c>
      <c r="K15" s="1560">
        <f>INDEX('Capital Costs Data'!$Z$15:$AC$15, MATCH('Capital Costs Data'!K$6, 'Capital Costs Data'!$Z$6:$AC$6, 0))</f>
        <v>72000000</v>
      </c>
      <c r="L15" s="1560">
        <f>INDEX('Capital Costs Data'!$Z$15:$AC$15, MATCH('Capital Costs Data'!L$6, 'Capital Costs Data'!$Z$6:$AC$6, 0))</f>
        <v>72000000</v>
      </c>
      <c r="M15" s="1804"/>
      <c r="N15" s="1214">
        <v>32000000</v>
      </c>
      <c r="O15" s="1215">
        <v>32000000</v>
      </c>
      <c r="P15" s="1215">
        <v>32000000</v>
      </c>
      <c r="Q15" s="1216">
        <v>32000000</v>
      </c>
      <c r="R15" s="1214">
        <v>29558900</v>
      </c>
      <c r="S15" s="1215">
        <v>29558900</v>
      </c>
      <c r="T15" s="1215">
        <v>29558900</v>
      </c>
      <c r="U15" s="1216">
        <v>29558900</v>
      </c>
      <c r="V15" s="1501">
        <v>72000000</v>
      </c>
      <c r="W15" s="1501">
        <v>72000000</v>
      </c>
      <c r="X15" s="1501">
        <v>72000000</v>
      </c>
      <c r="Y15" s="1502">
        <v>72000000</v>
      </c>
      <c r="Z15" s="1501">
        <v>72000000</v>
      </c>
      <c r="AA15" s="1501">
        <v>72000000</v>
      </c>
      <c r="AB15" s="1501">
        <v>72000000</v>
      </c>
      <c r="AC15" s="1502">
        <v>72000000</v>
      </c>
      <c r="AD15" s="577" t="s">
        <v>526</v>
      </c>
    </row>
    <row r="16" spans="2:30" ht="15">
      <c r="B16" s="591" t="s">
        <v>135</v>
      </c>
      <c r="C16" s="1317">
        <v>0</v>
      </c>
      <c r="D16" s="1795"/>
      <c r="E16" s="711"/>
      <c r="F16" s="1218"/>
      <c r="G16" s="711"/>
      <c r="H16" s="1219"/>
      <c r="I16" s="1560">
        <f>INDEX('Capital Costs Data'!$Z$16:$AC$16, MATCH('Capital Costs Data'!I$6, 'Capital Costs Data'!$Z$6:$AC$6, 0))</f>
        <v>75600000</v>
      </c>
      <c r="J16" s="1560">
        <f>INDEX('Capital Costs Data'!$Z$16:$AC$16, MATCH('Capital Costs Data'!J$6, 'Capital Costs Data'!$Z$6:$AC$6, 0))</f>
        <v>75600000</v>
      </c>
      <c r="K16" s="1560">
        <f>INDEX('Capital Costs Data'!$Z$16:$AC$16, MATCH('Capital Costs Data'!K$6, 'Capital Costs Data'!$Z$6:$AC$6, 0))</f>
        <v>75600000</v>
      </c>
      <c r="L16" s="1560">
        <f>INDEX('Capital Costs Data'!$Z$16:$AC$16, MATCH('Capital Costs Data'!L$6, 'Capital Costs Data'!$Z$6:$AC$6, 0))</f>
        <v>75600000</v>
      </c>
      <c r="M16" s="1804"/>
      <c r="V16" s="1524">
        <v>79800000</v>
      </c>
      <c r="W16" s="1524">
        <v>79800000</v>
      </c>
      <c r="X16" s="1524">
        <v>79800000</v>
      </c>
      <c r="Y16" s="1525">
        <v>79800000</v>
      </c>
      <c r="Z16" s="1524">
        <v>75600000</v>
      </c>
      <c r="AA16" s="1524">
        <v>75600000</v>
      </c>
      <c r="AB16" s="1524">
        <v>75600000</v>
      </c>
      <c r="AC16" s="1525">
        <v>75600000</v>
      </c>
      <c r="AD16" s="577" t="s">
        <v>526</v>
      </c>
    </row>
    <row r="17" spans="1:30" ht="15">
      <c r="B17" s="595" t="s">
        <v>131</v>
      </c>
      <c r="C17" s="596"/>
      <c r="D17" s="1796"/>
      <c r="E17" s="598">
        <v>0</v>
      </c>
      <c r="F17" s="598">
        <v>0</v>
      </c>
      <c r="G17" s="598">
        <v>0</v>
      </c>
      <c r="H17" s="599">
        <v>0</v>
      </c>
      <c r="I17" s="598">
        <v>0</v>
      </c>
      <c r="J17" s="598">
        <v>0</v>
      </c>
      <c r="K17" s="598">
        <v>0</v>
      </c>
      <c r="L17" s="598">
        <v>0</v>
      </c>
      <c r="M17" s="1804"/>
      <c r="V17" s="1342"/>
      <c r="W17" s="1526"/>
      <c r="X17" s="1526"/>
      <c r="Y17" s="1340"/>
      <c r="Z17" s="1342"/>
      <c r="AA17" s="1526"/>
      <c r="AB17" s="1526"/>
      <c r="AC17" s="1340"/>
      <c r="AD17" s="577"/>
    </row>
    <row r="18" spans="1:30" ht="15">
      <c r="B18" s="601" t="s">
        <v>132</v>
      </c>
      <c r="C18" s="596"/>
      <c r="D18" s="1796"/>
      <c r="E18" s="1263">
        <f t="shared" ref="E18:L18" si="0">SUM(E14:E17)</f>
        <v>98808900</v>
      </c>
      <c r="F18" s="1263">
        <f t="shared" si="0"/>
        <v>98808900</v>
      </c>
      <c r="G18" s="1263">
        <f t="shared" si="0"/>
        <v>98808900</v>
      </c>
      <c r="H18" s="1270">
        <f t="shared" si="0"/>
        <v>98808900</v>
      </c>
      <c r="I18" s="1263">
        <f t="shared" si="0"/>
        <v>286100000</v>
      </c>
      <c r="J18" s="1263">
        <f t="shared" si="0"/>
        <v>286100000</v>
      </c>
      <c r="K18" s="1263">
        <f t="shared" si="0"/>
        <v>286100000</v>
      </c>
      <c r="L18" s="1263">
        <f t="shared" si="0"/>
        <v>286100000</v>
      </c>
      <c r="M18" s="1804"/>
      <c r="V18" s="1527">
        <v>290300000</v>
      </c>
      <c r="W18" s="1527">
        <v>290300000</v>
      </c>
      <c r="X18" s="1527">
        <v>290300000</v>
      </c>
      <c r="Y18" s="1335">
        <v>290300000</v>
      </c>
      <c r="Z18" s="1527">
        <v>286100000</v>
      </c>
      <c r="AA18" s="1527">
        <v>286100000</v>
      </c>
      <c r="AB18" s="1527">
        <v>286100000</v>
      </c>
      <c r="AC18" s="1335">
        <v>286100000</v>
      </c>
      <c r="AD18" s="577"/>
    </row>
    <row r="19" spans="1:30" ht="6" customHeight="1">
      <c r="B19" s="300"/>
      <c r="C19" s="602"/>
      <c r="D19" s="1797"/>
      <c r="E19" s="298"/>
      <c r="F19" s="298"/>
      <c r="G19" s="298"/>
      <c r="H19" s="299"/>
      <c r="I19" s="298"/>
      <c r="J19" s="298"/>
      <c r="K19" s="298"/>
      <c r="L19" s="298"/>
      <c r="M19" s="1804"/>
      <c r="V19" s="1528"/>
      <c r="W19" s="1529"/>
      <c r="X19" s="1529"/>
      <c r="Y19" s="1530"/>
      <c r="Z19" s="1528"/>
      <c r="AA19" s="1529"/>
      <c r="AB19" s="1529"/>
      <c r="AC19" s="1530"/>
      <c r="AD19" s="600"/>
    </row>
    <row r="20" spans="1:30" ht="15">
      <c r="B20" s="289" t="s">
        <v>104</v>
      </c>
      <c r="C20" s="602"/>
      <c r="D20" s="1797"/>
      <c r="E20" s="298"/>
      <c r="F20" s="298"/>
      <c r="G20" s="298"/>
      <c r="H20" s="299"/>
      <c r="I20" s="298"/>
      <c r="J20" s="298"/>
      <c r="K20" s="298"/>
      <c r="L20" s="298"/>
      <c r="M20" s="1804"/>
      <c r="V20" s="1531"/>
      <c r="W20" s="1529"/>
      <c r="X20" s="1529"/>
      <c r="Y20" s="1530"/>
      <c r="Z20" s="1531"/>
      <c r="AA20" s="1529"/>
      <c r="AB20" s="1529"/>
      <c r="AC20" s="1530"/>
      <c r="AD20" s="600"/>
    </row>
    <row r="21" spans="1:30" ht="15">
      <c r="B21" s="603" t="s">
        <v>133</v>
      </c>
      <c r="C21" s="1318"/>
      <c r="D21" s="1795"/>
      <c r="E21" s="593"/>
      <c r="F21" s="593"/>
      <c r="G21" s="593"/>
      <c r="H21" s="594"/>
      <c r="I21" s="593"/>
      <c r="J21" s="593"/>
      <c r="K21" s="593"/>
      <c r="L21" s="593"/>
      <c r="M21" s="1804"/>
      <c r="V21" s="1532"/>
      <c r="W21" s="1533"/>
      <c r="X21" s="1533"/>
      <c r="Y21" s="1534"/>
      <c r="Z21" s="1532"/>
      <c r="AA21" s="1533"/>
      <c r="AB21" s="1533"/>
      <c r="AC21" s="1534"/>
      <c r="AD21" s="600"/>
    </row>
    <row r="22" spans="1:30" ht="15">
      <c r="B22" s="591" t="s">
        <v>134</v>
      </c>
      <c r="C22" s="1317">
        <v>0</v>
      </c>
      <c r="D22" s="1795"/>
      <c r="E22" s="711"/>
      <c r="F22" s="1218"/>
      <c r="G22" s="711"/>
      <c r="H22" s="1219"/>
      <c r="I22" s="1560">
        <f>INDEX('Capital Costs Data'!$Z$22:$AC$22, MATCH('Capital Costs Data'!I$6, 'Capital Costs Data'!$Z$6:$AC$6, 0))</f>
        <v>55000000</v>
      </c>
      <c r="J22" s="1560">
        <f>INDEX('Capital Costs Data'!$Z$22:$AC$22, MATCH('Capital Costs Data'!J$6, 'Capital Costs Data'!$Z$6:$AC$6, 0))</f>
        <v>55000000</v>
      </c>
      <c r="K22" s="1560">
        <f>INDEX('Capital Costs Data'!$Z$22:$AC$22, MATCH('Capital Costs Data'!K$6, 'Capital Costs Data'!$Z$6:$AC$6, 0))</f>
        <v>55000000</v>
      </c>
      <c r="L22" s="1560">
        <f>INDEX('Capital Costs Data'!$Z$22:$AC$22, MATCH('Capital Costs Data'!L$6, 'Capital Costs Data'!$Z$6:$AC$6, 0))</f>
        <v>55000000</v>
      </c>
      <c r="M22" s="1804"/>
      <c r="V22" s="1535">
        <v>7050000</v>
      </c>
      <c r="W22" s="1524">
        <v>7050000</v>
      </c>
      <c r="X22" s="1524">
        <v>7050000</v>
      </c>
      <c r="Y22" s="1525">
        <v>7050000</v>
      </c>
      <c r="Z22" s="1535">
        <v>55000000</v>
      </c>
      <c r="AA22" s="1524">
        <v>55000000</v>
      </c>
      <c r="AB22" s="1524">
        <v>55000000</v>
      </c>
      <c r="AC22" s="1525">
        <v>55000000</v>
      </c>
      <c r="AD22" s="577" t="s">
        <v>526</v>
      </c>
    </row>
    <row r="23" spans="1:30" ht="15">
      <c r="B23" s="591" t="s">
        <v>136</v>
      </c>
      <c r="C23" s="1317">
        <v>0</v>
      </c>
      <c r="D23" s="606"/>
      <c r="E23" s="1560">
        <f>INDEX('Capital Costs Data'!$R$23:$U$23, MATCH('Capital Costs Data'!E$6, 'Capital Costs Data'!$R$6:$U$6, 0))</f>
        <v>21281700</v>
      </c>
      <c r="F23" s="1560">
        <f>INDEX('Capital Costs Data'!$R$23:$U$23, MATCH('Capital Costs Data'!F$6, 'Capital Costs Data'!$R$6:$U$6, 0))</f>
        <v>21281700</v>
      </c>
      <c r="G23" s="1560">
        <f>INDEX('Capital Costs Data'!$R$23:$U$23, MATCH('Capital Costs Data'!G$6, 'Capital Costs Data'!$R$6:$U$6, 0))</f>
        <v>21281700</v>
      </c>
      <c r="H23" s="1802">
        <f>INDEX('Capital Costs Data'!$R$23:$U$23, MATCH('Capital Costs Data'!H$6, 'Capital Costs Data'!$R$6:$U$6, 0))</f>
        <v>21281700</v>
      </c>
      <c r="I23" s="1560">
        <f>INDEX('Capital Costs Data'!$Z$23:$AC$23, MATCH('Capital Costs Data'!I$6, 'Capital Costs Data'!$Z$6:$AC$6, 0))</f>
        <v>77014000</v>
      </c>
      <c r="J23" s="1560">
        <f>INDEX('Capital Costs Data'!$Z$23:$AC$23, MATCH('Capital Costs Data'!J$6, 'Capital Costs Data'!$Z$6:$AC$6, 0))</f>
        <v>77014000</v>
      </c>
      <c r="K23" s="1560">
        <f>INDEX('Capital Costs Data'!$Z$23:$AC$23, MATCH('Capital Costs Data'!K$6, 'Capital Costs Data'!$Z$6:$AC$6, 0))</f>
        <v>77014000</v>
      </c>
      <c r="L23" s="1560">
        <f>INDEX('Capital Costs Data'!$Z$23:$AC$23, MATCH('Capital Costs Data'!L$6, 'Capital Costs Data'!$Z$6:$AC$6, 0))</f>
        <v>77014000</v>
      </c>
      <c r="M23" s="1804"/>
      <c r="N23" s="592">
        <v>23351400</v>
      </c>
      <c r="O23" s="593">
        <v>23351400</v>
      </c>
      <c r="P23" s="593">
        <v>23351400</v>
      </c>
      <c r="Q23" s="594">
        <v>23351400</v>
      </c>
      <c r="R23" s="592">
        <v>21281700</v>
      </c>
      <c r="S23" s="593">
        <v>21281700</v>
      </c>
      <c r="T23" s="593">
        <v>21281700</v>
      </c>
      <c r="U23" s="594">
        <v>21281700</v>
      </c>
      <c r="V23" s="1535">
        <v>91384100</v>
      </c>
      <c r="W23" s="1524">
        <v>91384100</v>
      </c>
      <c r="X23" s="1524">
        <v>91384100</v>
      </c>
      <c r="Y23" s="1525">
        <v>91384100</v>
      </c>
      <c r="Z23" s="1535">
        <v>77014000</v>
      </c>
      <c r="AA23" s="1524">
        <v>77014000</v>
      </c>
      <c r="AB23" s="1524">
        <v>77014000</v>
      </c>
      <c r="AC23" s="1525">
        <v>77014000</v>
      </c>
      <c r="AD23" s="577" t="s">
        <v>526</v>
      </c>
    </row>
    <row r="24" spans="1:30" ht="15">
      <c r="B24" s="604" t="s">
        <v>137</v>
      </c>
      <c r="C24" s="1319"/>
      <c r="D24" s="609"/>
      <c r="E24" s="1263">
        <f t="shared" ref="E24:L24" si="1">SUM(E22:E23)</f>
        <v>21281700</v>
      </c>
      <c r="F24" s="1263">
        <f t="shared" si="1"/>
        <v>21281700</v>
      </c>
      <c r="G24" s="1263">
        <f t="shared" si="1"/>
        <v>21281700</v>
      </c>
      <c r="H24" s="1270">
        <f t="shared" si="1"/>
        <v>21281700</v>
      </c>
      <c r="I24" s="1263">
        <f t="shared" si="1"/>
        <v>132014000</v>
      </c>
      <c r="J24" s="1263">
        <f t="shared" si="1"/>
        <v>132014000</v>
      </c>
      <c r="K24" s="1263">
        <f t="shared" si="1"/>
        <v>132014000</v>
      </c>
      <c r="L24" s="1263">
        <f t="shared" si="1"/>
        <v>132014000</v>
      </c>
      <c r="M24" s="1804"/>
      <c r="V24" s="1345">
        <v>98434100</v>
      </c>
      <c r="W24" s="1536">
        <v>98434100</v>
      </c>
      <c r="X24" s="1536">
        <v>98434100</v>
      </c>
      <c r="Y24" s="1343">
        <v>98434100</v>
      </c>
      <c r="Z24" s="1345">
        <v>132014000</v>
      </c>
      <c r="AA24" s="1536">
        <v>132014000</v>
      </c>
      <c r="AB24" s="1536">
        <v>132014000</v>
      </c>
      <c r="AC24" s="1343">
        <v>132014000</v>
      </c>
      <c r="AD24" s="577"/>
    </row>
    <row r="25" spans="1:30" ht="15">
      <c r="A25" s="1112"/>
      <c r="B25" s="603" t="s">
        <v>138</v>
      </c>
      <c r="C25" s="1317">
        <v>1.6E-2</v>
      </c>
      <c r="D25" s="606"/>
      <c r="E25" s="1560">
        <f>INDEX('Capital Costs Data'!$R$25:$U$25, MATCH('Capital Costs Data'!E$6, 'Capital Costs Data'!$R$6:$U$6, 0))</f>
        <v>41657600</v>
      </c>
      <c r="F25" s="1560">
        <f>INDEX('Capital Costs Data'!$R$25:$U$25, MATCH('Capital Costs Data'!F$6, 'Capital Costs Data'!$R$6:$U$6, 0))</f>
        <v>31178500</v>
      </c>
      <c r="G25" s="1560">
        <f>INDEX('Capital Costs Data'!$R$25:$U$25, MATCH('Capital Costs Data'!G$6, 'Capital Costs Data'!$R$6:$U$6, 0))</f>
        <v>33466500</v>
      </c>
      <c r="H25" s="1802">
        <f>INDEX('Capital Costs Data'!$R$25:$U$25, MATCH('Capital Costs Data'!H$6, 'Capital Costs Data'!$R$6:$U$6, 0))</f>
        <v>37051400</v>
      </c>
      <c r="I25" s="1560">
        <f>INDEX('Capital Costs Data'!$Z$25:$AC$25, MATCH('Capital Costs Data'!I$6, 'Capital Costs Data'!$Z$6:$AC$6, 0))</f>
        <v>306589500</v>
      </c>
      <c r="J25" s="1560">
        <f>INDEX('Capital Costs Data'!$Z$25:$AC$25, MATCH('Capital Costs Data'!J$6, 'Capital Costs Data'!$Z$6:$AC$6, 0))</f>
        <v>237598100</v>
      </c>
      <c r="K25" s="1560">
        <f>INDEX('Capital Costs Data'!$Z$25:$AC$25, MATCH('Capital Costs Data'!K$6, 'Capital Costs Data'!$Z$6:$AC$6, 0))</f>
        <v>249164300</v>
      </c>
      <c r="L25" s="1560">
        <f>INDEX('Capital Costs Data'!$Z$25:$AC$25, MATCH('Capital Costs Data'!L$6, 'Capital Costs Data'!$Z$6:$AC$6, 0))</f>
        <v>277181900</v>
      </c>
      <c r="M25" s="1804"/>
      <c r="N25" s="1220">
        <v>40568600</v>
      </c>
      <c r="O25" s="1220">
        <v>30358900</v>
      </c>
      <c r="P25" s="1220">
        <v>32689000</v>
      </c>
      <c r="Q25" s="1221">
        <v>36171800</v>
      </c>
      <c r="R25" s="1220">
        <v>41657600</v>
      </c>
      <c r="S25" s="1220">
        <v>31178500</v>
      </c>
      <c r="T25" s="1220">
        <v>33466500</v>
      </c>
      <c r="U25" s="1221">
        <v>37051400</v>
      </c>
      <c r="V25" s="1489">
        <v>280280100</v>
      </c>
      <c r="W25" s="1537">
        <v>215412700</v>
      </c>
      <c r="X25" s="1537">
        <v>226448900</v>
      </c>
      <c r="Y25" s="1491">
        <v>250850200</v>
      </c>
      <c r="Z25" s="1489">
        <v>306589500</v>
      </c>
      <c r="AA25" s="1537">
        <v>237598100</v>
      </c>
      <c r="AB25" s="1537">
        <v>249164300</v>
      </c>
      <c r="AC25" s="1491">
        <v>277181900</v>
      </c>
      <c r="AD25" s="577" t="s">
        <v>526</v>
      </c>
    </row>
    <row r="26" spans="1:30" ht="12.75" customHeight="1">
      <c r="A26" s="1112"/>
      <c r="B26" s="607" t="s">
        <v>139</v>
      </c>
      <c r="C26" s="1317">
        <v>1.6E-2</v>
      </c>
      <c r="D26" s="606"/>
      <c r="E26" s="1560">
        <f>INDEX('Capital Costs Data'!$R$26:$U$26, MATCH('Capital Costs Data'!E$6, 'Capital Costs Data'!$R$6:$U$6, 0))</f>
        <v>13511600</v>
      </c>
      <c r="F26" s="1560">
        <f>INDEX('Capital Costs Data'!$R$26:$U$26, MATCH('Capital Costs Data'!F$6, 'Capital Costs Data'!$R$6:$U$6, 0))</f>
        <v>12673300</v>
      </c>
      <c r="G26" s="1560">
        <f>INDEX('Capital Costs Data'!$R$26:$U$26, MATCH('Capital Costs Data'!G$6, 'Capital Costs Data'!$R$6:$U$6, 0))</f>
        <v>12856400</v>
      </c>
      <c r="H26" s="1802">
        <f>INDEX('Capital Costs Data'!$R$26:$U$26, MATCH('Capital Costs Data'!H$6, 'Capital Costs Data'!$R$6:$U$6, 0))</f>
        <v>13143200</v>
      </c>
      <c r="I26" s="1560">
        <f>INDEX('Capital Costs Data'!$Z$26:$AC$26, MATCH('Capital Costs Data'!I$6, 'Capital Costs Data'!$Z$6:$AC$6, 0))</f>
        <v>63361100</v>
      </c>
      <c r="J26" s="1560">
        <f>INDEX('Capital Costs Data'!$Z$26:$AC$26, MATCH('Capital Costs Data'!J$6, 'Capital Costs Data'!$Z$6:$AC$6, 0))</f>
        <v>57841800</v>
      </c>
      <c r="K26" s="1560">
        <f>INDEX('Capital Costs Data'!$Z$26:$AC$26, MATCH('Capital Costs Data'!K$6, 'Capital Costs Data'!$Z$6:$AC$6, 0))</f>
        <v>58767100</v>
      </c>
      <c r="L26" s="1560">
        <f>INDEX('Capital Costs Data'!$Z$26:$AC$26, MATCH('Capital Costs Data'!L$6, 'Capital Costs Data'!$Z$6:$AC$6, 0))</f>
        <v>61008500</v>
      </c>
      <c r="M26" s="1804"/>
      <c r="N26" s="1220">
        <v>14020800</v>
      </c>
      <c r="O26" s="1220">
        <v>13204000</v>
      </c>
      <c r="P26" s="1220">
        <v>13390400</v>
      </c>
      <c r="Q26" s="1221">
        <v>13669000</v>
      </c>
      <c r="R26" s="1220">
        <v>13511600</v>
      </c>
      <c r="S26" s="1220">
        <v>12673300</v>
      </c>
      <c r="T26" s="1220">
        <v>12856400</v>
      </c>
      <c r="U26" s="1221">
        <v>13143200</v>
      </c>
      <c r="V26" s="1489">
        <v>59965400</v>
      </c>
      <c r="W26" s="1537">
        <v>54776000</v>
      </c>
      <c r="X26" s="1537">
        <v>55658900</v>
      </c>
      <c r="Y26" s="1491">
        <v>57611000</v>
      </c>
      <c r="Z26" s="1489">
        <v>63361100</v>
      </c>
      <c r="AA26" s="1537">
        <v>57841800</v>
      </c>
      <c r="AB26" s="1537">
        <v>58767100</v>
      </c>
      <c r="AC26" s="1491">
        <v>61008500</v>
      </c>
      <c r="AD26" s="577" t="s">
        <v>526</v>
      </c>
    </row>
    <row r="27" spans="1:30" ht="15">
      <c r="B27" s="603" t="s">
        <v>140</v>
      </c>
      <c r="C27" s="1317">
        <v>0</v>
      </c>
      <c r="D27" s="606"/>
      <c r="E27" s="1560">
        <f>INDEX('Capital Costs Data'!$R$27:$U$27, MATCH('Capital Costs Data'!E$6, 'Capital Costs Data'!$R$6:$U$6, 0))</f>
        <v>7146800</v>
      </c>
      <c r="F27" s="1560">
        <f>INDEX('Capital Costs Data'!$R$27:$U$27, MATCH('Capital Costs Data'!F$6, 'Capital Costs Data'!$R$6:$U$6, 0))</f>
        <v>7146800</v>
      </c>
      <c r="G27" s="1560">
        <f>INDEX('Capital Costs Data'!$R$27:$U$27, MATCH('Capital Costs Data'!G$6, 'Capital Costs Data'!$R$6:$U$6, 0))</f>
        <v>7146800</v>
      </c>
      <c r="H27" s="1802">
        <f>INDEX('Capital Costs Data'!$R$27:$U$27, MATCH('Capital Costs Data'!H$6, 'Capital Costs Data'!$R$6:$U$6, 0))</f>
        <v>7146800</v>
      </c>
      <c r="I27" s="1560">
        <f>INDEX('Capital Costs Data'!$Z$27:$AC$27, MATCH('Capital Costs Data'!I$6, 'Capital Costs Data'!$Z$6:$AC$6, 0))</f>
        <v>67310200</v>
      </c>
      <c r="J27" s="1560">
        <f>INDEX('Capital Costs Data'!$Z$27:$AC$27, MATCH('Capital Costs Data'!J$6, 'Capital Costs Data'!$Z$6:$AC$6, 0))</f>
        <v>67310200</v>
      </c>
      <c r="K27" s="1560">
        <f>INDEX('Capital Costs Data'!$Z$27:$AC$27, MATCH('Capital Costs Data'!K$6, 'Capital Costs Data'!$Z$6:$AC$6, 0))</f>
        <v>67310200</v>
      </c>
      <c r="L27" s="1560">
        <f>INDEX('Capital Costs Data'!$Z$27:$AC$27, MATCH('Capital Costs Data'!L$6, 'Capital Costs Data'!$Z$6:$AC$6, 0))</f>
        <v>67310200</v>
      </c>
      <c r="M27" s="1804"/>
      <c r="N27" s="1222">
        <v>7488800</v>
      </c>
      <c r="O27" s="1222">
        <v>7488800</v>
      </c>
      <c r="P27" s="1222">
        <v>7488800</v>
      </c>
      <c r="Q27" s="1223">
        <v>7488800</v>
      </c>
      <c r="R27" s="1222">
        <v>7146800</v>
      </c>
      <c r="S27" s="1222">
        <v>7146800</v>
      </c>
      <c r="T27" s="1222">
        <v>7146800</v>
      </c>
      <c r="U27" s="1223">
        <v>7146800</v>
      </c>
      <c r="V27" s="1535">
        <v>80552400</v>
      </c>
      <c r="W27" s="1524">
        <v>80552400</v>
      </c>
      <c r="X27" s="1524">
        <v>80552400</v>
      </c>
      <c r="Y27" s="1525">
        <v>80552400</v>
      </c>
      <c r="Z27" s="1535">
        <v>67310200</v>
      </c>
      <c r="AA27" s="1524">
        <v>67310200</v>
      </c>
      <c r="AB27" s="1524">
        <v>67310200</v>
      </c>
      <c r="AC27" s="1525">
        <v>67310200</v>
      </c>
      <c r="AD27" s="577" t="s">
        <v>526</v>
      </c>
    </row>
    <row r="28" spans="1:30" ht="15">
      <c r="B28" s="608" t="s">
        <v>131</v>
      </c>
      <c r="C28" s="596"/>
      <c r="D28" s="609"/>
      <c r="E28" s="1264">
        <f>'Cost Assumptions'!D52*(E27+E24)</f>
        <v>0</v>
      </c>
      <c r="F28" s="1264">
        <f>'Cost Assumptions'!E52*(F27+F24)</f>
        <v>0</v>
      </c>
      <c r="G28" s="1264">
        <f>'Cost Assumptions'!F52*(G27+G24)</f>
        <v>0</v>
      </c>
      <c r="H28" s="1265">
        <f>'Cost Assumptions'!G52*(H27+H24)</f>
        <v>0</v>
      </c>
      <c r="I28" s="1264">
        <f>'Cost Assumptions'!H52*(I27+I24)</f>
        <v>0</v>
      </c>
      <c r="J28" s="1264">
        <f>'Cost Assumptions'!I52*(J27+J24)</f>
        <v>0</v>
      </c>
      <c r="K28" s="1264">
        <f>'Cost Assumptions'!J52*(K27+K24)</f>
        <v>0</v>
      </c>
      <c r="L28" s="1264">
        <f>'Cost Assumptions'!K52*(L27+L24)</f>
        <v>0</v>
      </c>
      <c r="M28" s="1804"/>
      <c r="V28" s="1538"/>
      <c r="W28" s="1539"/>
      <c r="X28" s="1539"/>
      <c r="Y28" s="1540"/>
      <c r="Z28" s="1538"/>
      <c r="AA28" s="1539"/>
      <c r="AB28" s="1539"/>
      <c r="AC28" s="1540"/>
      <c r="AD28" s="577"/>
    </row>
    <row r="29" spans="1:30" ht="15">
      <c r="B29" s="608" t="s">
        <v>141</v>
      </c>
      <c r="C29" s="596"/>
      <c r="D29" s="609"/>
      <c r="E29" s="1264">
        <f>(SUM(E24:E28)+E15)*'Cost Assumptions'!D34</f>
        <v>11315660</v>
      </c>
      <c r="F29" s="1264">
        <f>(SUM(F24:F28)+F15)*'Cost Assumptions'!E34</f>
        <v>10183920</v>
      </c>
      <c r="G29" s="1264">
        <f>(SUM(G24:G28)+G15)*'Cost Assumptions'!F34</f>
        <v>10431030</v>
      </c>
      <c r="H29" s="1265">
        <f>(SUM(H24:H28)+H15)*'Cost Assumptions'!G34</f>
        <v>10818200</v>
      </c>
      <c r="I29" s="1264">
        <f>(SUM(I24:I28)+I15)*'Cost Assumptions'!H34</f>
        <v>64127480</v>
      </c>
      <c r="J29" s="1264">
        <f>(SUM(J24:J28)+J15)*'Cost Assumptions'!I34</f>
        <v>56676410</v>
      </c>
      <c r="K29" s="1264">
        <f>(SUM(K24:K28)+K15)*'Cost Assumptions'!J34</f>
        <v>57925560</v>
      </c>
      <c r="L29" s="1264">
        <f>(SUM(L24:L28)+L15)*'Cost Assumptions'!K34</f>
        <v>60951460</v>
      </c>
      <c r="M29" s="1804"/>
      <c r="V29" s="1342">
        <v>59123200</v>
      </c>
      <c r="W29" s="1526">
        <v>52117600</v>
      </c>
      <c r="X29" s="1526">
        <v>53309500</v>
      </c>
      <c r="Y29" s="1340">
        <v>55944800</v>
      </c>
      <c r="Z29" s="1342">
        <v>64127500</v>
      </c>
      <c r="AA29" s="1526">
        <v>56676500</v>
      </c>
      <c r="AB29" s="1526">
        <v>57925600</v>
      </c>
      <c r="AC29" s="1340">
        <v>60951500</v>
      </c>
      <c r="AD29" s="577"/>
    </row>
    <row r="30" spans="1:30" ht="15">
      <c r="B30" s="608" t="s">
        <v>142</v>
      </c>
      <c r="C30" s="596"/>
      <c r="D30" s="609"/>
      <c r="E30" s="1264">
        <f>(SUM(E24:E29)+E15)*'Cost Assumptions'!D35</f>
        <v>12447226</v>
      </c>
      <c r="F30" s="1264">
        <f>(SUM(F24:F29)+F15)*'Cost Assumptions'!E35</f>
        <v>11202312</v>
      </c>
      <c r="G30" s="1264">
        <f>(SUM(G24:G29)+G15)*'Cost Assumptions'!F35</f>
        <v>11474133</v>
      </c>
      <c r="H30" s="1265">
        <f>(SUM(H24:H29)+H15)*'Cost Assumptions'!G35</f>
        <v>11900020</v>
      </c>
      <c r="I30" s="1264">
        <f>(SUM(I24:I29)+I15)*'Cost Assumptions'!H35</f>
        <v>70540228</v>
      </c>
      <c r="J30" s="1264">
        <f>(SUM(J24:J29)+J15)*'Cost Assumptions'!I35</f>
        <v>62344051</v>
      </c>
      <c r="K30" s="1264">
        <f>(SUM(K24:K29)+K15)*'Cost Assumptions'!J35</f>
        <v>63718116</v>
      </c>
      <c r="L30" s="1264">
        <f>(SUM(L24:L29)+L15)*'Cost Assumptions'!K35</f>
        <v>67046606</v>
      </c>
      <c r="M30" s="1804"/>
      <c r="V30" s="1342">
        <v>65035600</v>
      </c>
      <c r="W30" s="1526">
        <v>57329300</v>
      </c>
      <c r="X30" s="1526">
        <v>58640400</v>
      </c>
      <c r="Y30" s="1340">
        <v>61539300</v>
      </c>
      <c r="Z30" s="1342">
        <v>70540300</v>
      </c>
      <c r="AA30" s="1526">
        <v>62344100</v>
      </c>
      <c r="AB30" s="1526">
        <v>63718200</v>
      </c>
      <c r="AC30" s="1340">
        <v>67046700</v>
      </c>
      <c r="AD30" s="577"/>
    </row>
    <row r="31" spans="1:30" ht="15">
      <c r="B31" s="601" t="s">
        <v>143</v>
      </c>
      <c r="C31" s="596"/>
      <c r="D31" s="609"/>
      <c r="E31" s="1213">
        <f>SUM(E24:E30)</f>
        <v>107360586</v>
      </c>
      <c r="F31" s="1213">
        <f t="shared" ref="F31:H31" si="2">SUM(F24:F30)</f>
        <v>93666532</v>
      </c>
      <c r="G31" s="1213">
        <f t="shared" si="2"/>
        <v>96656563</v>
      </c>
      <c r="H31" s="1271">
        <f t="shared" si="2"/>
        <v>101341320</v>
      </c>
      <c r="I31" s="1213">
        <f>SUM(I24:I30)</f>
        <v>703942508</v>
      </c>
      <c r="J31" s="1213">
        <f t="shared" ref="J31" si="3">SUM(J24:J30)</f>
        <v>613784561</v>
      </c>
      <c r="K31" s="1213">
        <f t="shared" ref="K31" si="4">SUM(K24:K30)</f>
        <v>628899276</v>
      </c>
      <c r="L31" s="1213">
        <f t="shared" ref="L31" si="5">SUM(L24:L30)</f>
        <v>665512666</v>
      </c>
      <c r="M31" s="1804"/>
      <c r="V31" s="1337">
        <v>643390800</v>
      </c>
      <c r="W31" s="1527">
        <v>558622100</v>
      </c>
      <c r="X31" s="1527">
        <v>573044200</v>
      </c>
      <c r="Y31" s="1335">
        <v>604931800</v>
      </c>
      <c r="Z31" s="1337">
        <v>703942600</v>
      </c>
      <c r="AA31" s="1527">
        <v>613784700</v>
      </c>
      <c r="AB31" s="1527">
        <v>628899400</v>
      </c>
      <c r="AC31" s="1335">
        <v>665512800</v>
      </c>
      <c r="AD31" s="577"/>
    </row>
    <row r="32" spans="1:30" ht="6" customHeight="1">
      <c r="B32" s="261"/>
      <c r="C32" s="610"/>
      <c r="D32" s="1748"/>
      <c r="E32" s="1226"/>
      <c r="F32" s="1226"/>
      <c r="G32" s="1226"/>
      <c r="H32" s="1227"/>
      <c r="I32" s="1226"/>
      <c r="J32" s="1226"/>
      <c r="K32" s="1226"/>
      <c r="L32" s="1226"/>
      <c r="M32" s="1804"/>
      <c r="V32" s="1522"/>
      <c r="W32" s="1522"/>
      <c r="X32" s="1522"/>
      <c r="Y32" s="1523"/>
      <c r="Z32" s="1522"/>
      <c r="AA32" s="1522"/>
      <c r="AB32" s="1522"/>
      <c r="AC32" s="1523"/>
      <c r="AD32" s="577"/>
    </row>
    <row r="33" spans="1:30" s="260" customFormat="1" ht="15">
      <c r="B33" s="601" t="s">
        <v>144</v>
      </c>
      <c r="C33" s="611"/>
      <c r="D33" s="625"/>
      <c r="E33" s="1213">
        <f t="shared" ref="E33:L33" si="6">E31+E18</f>
        <v>206169486</v>
      </c>
      <c r="F33" s="1213">
        <f t="shared" si="6"/>
        <v>192475432</v>
      </c>
      <c r="G33" s="1213">
        <f t="shared" si="6"/>
        <v>195465463</v>
      </c>
      <c r="H33" s="1271">
        <f t="shared" si="6"/>
        <v>200150220</v>
      </c>
      <c r="I33" s="1213">
        <f t="shared" si="6"/>
        <v>990042508</v>
      </c>
      <c r="J33" s="1213">
        <f t="shared" si="6"/>
        <v>899884561</v>
      </c>
      <c r="K33" s="1213">
        <f t="shared" si="6"/>
        <v>914999276</v>
      </c>
      <c r="L33" s="1213">
        <f t="shared" si="6"/>
        <v>951612666</v>
      </c>
      <c r="M33" s="843"/>
      <c r="V33" s="1541"/>
      <c r="W33" s="1541"/>
      <c r="X33" s="1541"/>
      <c r="Y33" s="1542"/>
      <c r="Z33" s="1541"/>
      <c r="AA33" s="1541"/>
      <c r="AB33" s="1541"/>
      <c r="AC33" s="1542"/>
      <c r="AD33" s="577"/>
    </row>
    <row r="34" spans="1:30" ht="6" customHeight="1">
      <c r="A34" s="256"/>
      <c r="B34" s="309"/>
      <c r="C34" s="613"/>
      <c r="D34" s="1798"/>
      <c r="E34" s="1228"/>
      <c r="F34" s="1228"/>
      <c r="G34" s="1228"/>
      <c r="H34" s="1229"/>
      <c r="I34" s="1228"/>
      <c r="J34" s="1228"/>
      <c r="K34" s="1228"/>
      <c r="L34" s="1228"/>
      <c r="M34" s="1804"/>
      <c r="V34" s="313"/>
      <c r="W34" s="313"/>
      <c r="X34" s="313"/>
      <c r="Y34" s="1543"/>
      <c r="Z34" s="313"/>
      <c r="AA34" s="313"/>
      <c r="AB34" s="313"/>
      <c r="AC34" s="1543"/>
      <c r="AD34" s="614"/>
    </row>
    <row r="35" spans="1:30" ht="6" customHeight="1">
      <c r="A35" s="256"/>
      <c r="B35" s="292"/>
      <c r="C35" s="615"/>
      <c r="D35" s="293"/>
      <c r="E35" s="1230"/>
      <c r="F35" s="1230"/>
      <c r="G35" s="1230"/>
      <c r="H35" s="1231"/>
      <c r="I35" s="1230"/>
      <c r="J35" s="1230"/>
      <c r="K35" s="1230"/>
      <c r="L35" s="1230"/>
      <c r="M35" s="1804"/>
      <c r="V35" s="1544"/>
      <c r="W35" s="1545"/>
      <c r="X35" s="1545"/>
      <c r="Y35" s="1546"/>
      <c r="Z35" s="1544"/>
      <c r="AA35" s="1545"/>
      <c r="AB35" s="1545"/>
      <c r="AC35" s="1546"/>
      <c r="AD35" s="577"/>
    </row>
    <row r="36" spans="1:30" ht="15">
      <c r="A36" s="256"/>
      <c r="B36" s="588" t="s">
        <v>145</v>
      </c>
      <c r="C36" s="616"/>
      <c r="D36" s="1792"/>
      <c r="E36" s="1232"/>
      <c r="F36" s="1232"/>
      <c r="G36" s="1232"/>
      <c r="H36" s="1233"/>
      <c r="I36" s="1234"/>
      <c r="J36" s="1234"/>
      <c r="K36" s="1234"/>
      <c r="L36" s="1234"/>
      <c r="M36" s="1804"/>
      <c r="V36" s="1515"/>
      <c r="W36" s="1516"/>
      <c r="X36" s="1516"/>
      <c r="Y36" s="1517"/>
      <c r="Z36" s="1515"/>
      <c r="AA36" s="1516"/>
      <c r="AB36" s="1516"/>
      <c r="AC36" s="1517"/>
      <c r="AD36" s="590"/>
    </row>
    <row r="37" spans="1:30" s="257" customFormat="1" ht="6" customHeight="1">
      <c r="B37" s="617"/>
      <c r="D37" s="1799"/>
      <c r="E37" s="1235"/>
      <c r="F37" s="1235"/>
      <c r="G37" s="1235"/>
      <c r="H37" s="1236"/>
      <c r="I37" s="1237"/>
      <c r="J37" s="1237"/>
      <c r="K37" s="1237"/>
      <c r="L37" s="1237"/>
      <c r="M37" s="844"/>
      <c r="V37" s="1547"/>
      <c r="W37" s="1548"/>
      <c r="X37" s="1548"/>
      <c r="Y37" s="1549"/>
      <c r="Z37" s="1547"/>
      <c r="AA37" s="1548"/>
      <c r="AB37" s="1548"/>
      <c r="AC37" s="1549"/>
      <c r="AD37" s="618"/>
    </row>
    <row r="38" spans="1:30" ht="15">
      <c r="A38" s="256"/>
      <c r="B38" s="608" t="s">
        <v>382</v>
      </c>
      <c r="C38" s="619"/>
      <c r="D38" s="609"/>
      <c r="E38" s="1266">
        <f>E33*INDEX('Cost Assumptions'!$D$36:$G$41,MATCH('Capital Costs Data'!$B38,'Cost Assumptions'!$B$36:$B$41,0),MATCH('Capital Costs Data'!E$6,'Cost Assumptions'!$D$7:$G$7,0))</f>
        <v>10308474.300000001</v>
      </c>
      <c r="F38" s="1266">
        <f>F33*INDEX('Cost Assumptions'!$D$36:$G$41,MATCH('Capital Costs Data'!$B38,'Cost Assumptions'!$B$36:$B$41,0),MATCH('Capital Costs Data'!F$6,'Cost Assumptions'!$D$7:$G$7,0))</f>
        <v>9623771.5999999996</v>
      </c>
      <c r="G38" s="1266">
        <f>G33*INDEX('Cost Assumptions'!$D$36:$G$41,MATCH('Capital Costs Data'!$B38,'Cost Assumptions'!$B$36:$B$41,0),MATCH('Capital Costs Data'!G$6,'Cost Assumptions'!$D$7:$G$7,0))</f>
        <v>9773273.1500000004</v>
      </c>
      <c r="H38" s="1267">
        <f>H33*INDEX('Cost Assumptions'!$D$36:$G$41,MATCH('Capital Costs Data'!$B38,'Cost Assumptions'!$B$36:$B$41,0),MATCH('Capital Costs Data'!H$6,'Cost Assumptions'!$D$7:$G$7,0))</f>
        <v>10007511</v>
      </c>
      <c r="I38" s="1266">
        <f>I33*INDEX('Cost Assumptions'!$D$36:$G$41,MATCH('Capital Costs Data'!$B38,'Cost Assumptions'!$B$36:$B$41,0),MATCH('Capital Costs Data'!I$6,'Cost Assumptions'!$D$7:$G$7,0))</f>
        <v>49502125.400000006</v>
      </c>
      <c r="J38" s="1266">
        <f>J33*INDEX('Cost Assumptions'!$D$36:$G$41,MATCH('Capital Costs Data'!$B38,'Cost Assumptions'!$B$36:$B$41,0),MATCH('Capital Costs Data'!J$6,'Cost Assumptions'!$D$7:$G$7,0))</f>
        <v>44994228.050000004</v>
      </c>
      <c r="K38" s="1266">
        <f>K33*INDEX('Cost Assumptions'!$D$36:$G$41,MATCH('Capital Costs Data'!$B38,'Cost Assumptions'!$B$36:$B$41,0),MATCH('Capital Costs Data'!K$6,'Cost Assumptions'!$D$7:$G$7,0))</f>
        <v>45749963.800000004</v>
      </c>
      <c r="L38" s="1266">
        <f>L33*INDEX('Cost Assumptions'!$D$36:$G$41,MATCH('Capital Costs Data'!$B38,'Cost Assumptions'!$B$36:$B$41,0),MATCH('Capital Costs Data'!L$6,'Cost Assumptions'!$D$7:$G$7,0))</f>
        <v>47580633.300000004</v>
      </c>
      <c r="M38" s="1804"/>
      <c r="V38" s="1550"/>
      <c r="W38" s="1550"/>
      <c r="X38" s="1550"/>
      <c r="Y38" s="599"/>
      <c r="Z38" s="1550"/>
      <c r="AA38" s="1550"/>
      <c r="AB38" s="1550"/>
      <c r="AC38" s="599"/>
      <c r="AD38" s="577"/>
    </row>
    <row r="39" spans="1:30" ht="15">
      <c r="A39" s="256"/>
      <c r="B39" s="608" t="s">
        <v>384</v>
      </c>
      <c r="C39" s="619"/>
      <c r="D39" s="609"/>
      <c r="E39" s="1266">
        <f>E33*INDEX('Cost Assumptions'!$D$36:$G$41,MATCH('Capital Costs Data'!$B39,'Cost Assumptions'!$B$36:$B$41,0),MATCH('Capital Costs Data'!E$6,'Cost Assumptions'!$D$7:$G$7,0))</f>
        <v>2061694.86</v>
      </c>
      <c r="F39" s="1266">
        <f>F33*INDEX('Cost Assumptions'!$D$36:$G$41,MATCH('Capital Costs Data'!$B39,'Cost Assumptions'!$B$36:$B$41,0),MATCH('Capital Costs Data'!F$6,'Cost Assumptions'!$D$7:$G$7,0))</f>
        <v>1924754.32</v>
      </c>
      <c r="G39" s="1266">
        <f>G33*INDEX('Cost Assumptions'!$D$36:$G$41,MATCH('Capital Costs Data'!$B39,'Cost Assumptions'!$B$36:$B$41,0),MATCH('Capital Costs Data'!G$6,'Cost Assumptions'!$D$7:$G$7,0))</f>
        <v>1954654.6300000001</v>
      </c>
      <c r="H39" s="1267">
        <f>H33*INDEX('Cost Assumptions'!$D$36:$G$41,MATCH('Capital Costs Data'!$B39,'Cost Assumptions'!$B$36:$B$41,0),MATCH('Capital Costs Data'!H$6,'Cost Assumptions'!$D$7:$G$7,0))</f>
        <v>2001502.2</v>
      </c>
      <c r="I39" s="1266">
        <f>I33*INDEX('Cost Assumptions'!$D$36:$G$41,MATCH('Capital Costs Data'!$B39,'Cost Assumptions'!$B$36:$B$41,0),MATCH('Capital Costs Data'!I$6,'Cost Assumptions'!$D$7:$G$7,0))</f>
        <v>9900425.0800000001</v>
      </c>
      <c r="J39" s="1266">
        <f>J33*INDEX('Cost Assumptions'!$D$36:$G$41,MATCH('Capital Costs Data'!$B39,'Cost Assumptions'!$B$36:$B$41,0),MATCH('Capital Costs Data'!J$6,'Cost Assumptions'!$D$7:$G$7,0))</f>
        <v>8998845.6099999994</v>
      </c>
      <c r="K39" s="1266">
        <f>K33*INDEX('Cost Assumptions'!$D$36:$G$41,MATCH('Capital Costs Data'!$B39,'Cost Assumptions'!$B$36:$B$41,0),MATCH('Capital Costs Data'!K$6,'Cost Assumptions'!$D$7:$G$7,0))</f>
        <v>9149992.7599999998</v>
      </c>
      <c r="L39" s="1266">
        <f>L33*INDEX('Cost Assumptions'!$D$36:$G$41,MATCH('Capital Costs Data'!$B39,'Cost Assumptions'!$B$36:$B$41,0),MATCH('Capital Costs Data'!L$6,'Cost Assumptions'!$D$7:$G$7,0))</f>
        <v>9516126.6600000001</v>
      </c>
      <c r="M39" s="1804"/>
      <c r="V39" s="1550"/>
      <c r="W39" s="1550"/>
      <c r="X39" s="1550"/>
      <c r="Y39" s="599"/>
      <c r="Z39" s="1550"/>
      <c r="AA39" s="1550"/>
      <c r="AB39" s="1550"/>
      <c r="AC39" s="599"/>
      <c r="AD39" s="577"/>
    </row>
    <row r="40" spans="1:30" ht="15">
      <c r="A40" s="256"/>
      <c r="B40" s="608" t="s">
        <v>114</v>
      </c>
      <c r="C40" s="596"/>
      <c r="D40" s="609"/>
      <c r="E40" s="1266">
        <f>(SUM(E38:E39)+SUM(E41:E47))*INDEX('Cost Assumptions'!$D$36:$G$41,MATCH('Capital Costs Data'!$B40,'Cost Assumptions'!$B$36:$B$41,0),MATCH('Capital Costs Data'!E$6,'Cost Assumptions'!$D$7:$G$7,0))</f>
        <v>3965990.7056710911</v>
      </c>
      <c r="F40" s="1266">
        <f>(SUM(F38:F39)+SUM(F41:F47))*INDEX('Cost Assumptions'!$D$36:$G$41,MATCH('Capital Costs Data'!$B40,'Cost Assumptions'!$B$36:$B$41,0),MATCH('Capital Costs Data'!F$6,'Cost Assumptions'!$D$7:$G$7,0))</f>
        <v>3892211.0773296645</v>
      </c>
      <c r="G40" s="1266">
        <f>(SUM(G38:G39)+SUM(G41:G47))*INDEX('Cost Assumptions'!$D$36:$G$41,MATCH('Capital Costs Data'!$B40,'Cost Assumptions'!$B$36:$B$41,0),MATCH('Capital Costs Data'!G$6,'Cost Assumptions'!$D$7:$G$7,0))</f>
        <v>3936592.8394641317</v>
      </c>
      <c r="H40" s="1267">
        <f>(SUM(H38:H39)+SUM(H41:H47))*INDEX('Cost Assumptions'!$D$36:$G$41,MATCH('Capital Costs Data'!$B40,'Cost Assumptions'!$B$36:$B$41,0),MATCH('Capital Costs Data'!H$6,'Cost Assumptions'!$D$7:$G$7,0))</f>
        <v>3915380.0087151136</v>
      </c>
      <c r="I40" s="1266">
        <f>(SUM(I38:I39)+SUM(I41:I47))*INDEX('Cost Assumptions'!$D$36:$G$41,MATCH('Capital Costs Data'!$B40,'Cost Assumptions'!$B$36:$B$41,0),MATCH('Capital Costs Data'!I$6,'Cost Assumptions'!$D$7:$G$7,0))</f>
        <v>8502799.1106175892</v>
      </c>
      <c r="J40" s="1266">
        <f>(SUM(J38:J39)+SUM(J41:J47))*INDEX('Cost Assumptions'!$D$36:$G$41,MATCH('Capital Costs Data'!$B40,'Cost Assumptions'!$B$36:$B$41,0),MATCH('Capital Costs Data'!J$6,'Cost Assumptions'!$D$7:$G$7,0))</f>
        <v>7998208.0410295986</v>
      </c>
      <c r="K40" s="1266">
        <f>(SUM(K38:K39)+SUM(K41:K47))*INDEX('Cost Assumptions'!$D$36:$G$41,MATCH('Capital Costs Data'!$B40,'Cost Assumptions'!$B$36:$B$41,0),MATCH('Capital Costs Data'!K$6,'Cost Assumptions'!$D$7:$G$7,0))</f>
        <v>8306098.0431521917</v>
      </c>
      <c r="L40" s="1266">
        <f>(SUM(L38:L39)+SUM(L41:L47))*INDEX('Cost Assumptions'!$D$36:$G$41,MATCH('Capital Costs Data'!$B40,'Cost Assumptions'!$B$36:$B$41,0),MATCH('Capital Costs Data'!L$6,'Cost Assumptions'!$D$7:$G$7,0))</f>
        <v>8252019.742216724</v>
      </c>
      <c r="M40" s="1804"/>
      <c r="V40" s="1550"/>
      <c r="W40" s="1550"/>
      <c r="X40" s="1550"/>
      <c r="Y40" s="599"/>
      <c r="Z40" s="1550"/>
      <c r="AA40" s="1550"/>
      <c r="AB40" s="1550"/>
      <c r="AC40" s="599"/>
      <c r="AD40" s="577"/>
    </row>
    <row r="41" spans="1:30" ht="15">
      <c r="A41" s="256"/>
      <c r="B41" s="608" t="s">
        <v>152</v>
      </c>
      <c r="C41" s="620"/>
      <c r="D41" s="609"/>
      <c r="E41" s="1266">
        <f>E33*INDEX('Cost Assumptions'!$D$36:$G$41,MATCH('Capital Costs Data'!$B41,'Cost Assumptions'!$B$36:$B$41,0),MATCH('Capital Costs Data'!E$6,'Cost Assumptions'!$D$7:$G$7,0))</f>
        <v>1030847.43</v>
      </c>
      <c r="F41" s="1266">
        <f>F33*INDEX('Cost Assumptions'!$D$36:$G$41,MATCH('Capital Costs Data'!$B41,'Cost Assumptions'!$B$36:$B$41,0),MATCH('Capital Costs Data'!F$6,'Cost Assumptions'!$D$7:$G$7,0))</f>
        <v>962377.16</v>
      </c>
      <c r="G41" s="1266">
        <f>G33*INDEX('Cost Assumptions'!$D$36:$G$41,MATCH('Capital Costs Data'!$B41,'Cost Assumptions'!$B$36:$B$41,0),MATCH('Capital Costs Data'!G$6,'Cost Assumptions'!$D$7:$G$7,0))</f>
        <v>977327.31500000006</v>
      </c>
      <c r="H41" s="1267">
        <f>H33*INDEX('Cost Assumptions'!$D$36:$G$41,MATCH('Capital Costs Data'!$B41,'Cost Assumptions'!$B$36:$B$41,0),MATCH('Capital Costs Data'!H$6,'Cost Assumptions'!$D$7:$G$7,0))</f>
        <v>1000751.1</v>
      </c>
      <c r="I41" s="1266">
        <f>I33*INDEX('Cost Assumptions'!$D$36:$G$41,MATCH('Capital Costs Data'!$B41,'Cost Assumptions'!$B$36:$B$41,0),MATCH('Capital Costs Data'!I$6,'Cost Assumptions'!$D$7:$G$7,0))</f>
        <v>4950212.54</v>
      </c>
      <c r="J41" s="1266">
        <f>J33*INDEX('Cost Assumptions'!$D$36:$G$41,MATCH('Capital Costs Data'!$B41,'Cost Assumptions'!$B$36:$B$41,0),MATCH('Capital Costs Data'!J$6,'Cost Assumptions'!$D$7:$G$7,0))</f>
        <v>4499422.8049999997</v>
      </c>
      <c r="K41" s="1266">
        <f>K33*INDEX('Cost Assumptions'!$D$36:$G$41,MATCH('Capital Costs Data'!$B41,'Cost Assumptions'!$B$36:$B$41,0),MATCH('Capital Costs Data'!K$6,'Cost Assumptions'!$D$7:$G$7,0))</f>
        <v>4574996.38</v>
      </c>
      <c r="L41" s="1266">
        <f>L33*INDEX('Cost Assumptions'!$D$36:$G$41,MATCH('Capital Costs Data'!$B41,'Cost Assumptions'!$B$36:$B$41,0),MATCH('Capital Costs Data'!L$6,'Cost Assumptions'!$D$7:$G$7,0))</f>
        <v>4758063.33</v>
      </c>
      <c r="M41" s="1804"/>
      <c r="V41" s="1550"/>
      <c r="W41" s="1550"/>
      <c r="X41" s="1550"/>
      <c r="Y41" s="599"/>
      <c r="Z41" s="1550"/>
      <c r="AA41" s="1550"/>
      <c r="AB41" s="1550"/>
      <c r="AC41" s="599"/>
      <c r="AD41" s="577"/>
    </row>
    <row r="42" spans="1:30" ht="15" outlineLevel="1">
      <c r="A42" s="256"/>
      <c r="B42" s="621" t="s">
        <v>148</v>
      </c>
      <c r="C42" s="622"/>
      <c r="D42" s="1469"/>
      <c r="E42" s="1208">
        <f>'Additional Estimates'!B$29*'Additional Estimates'!$A$35</f>
        <v>-551455.3188556768</v>
      </c>
      <c r="F42" s="1208">
        <f>'Additional Estimates'!C$29*'Additional Estimates'!$A$35</f>
        <v>-555045.4608383975</v>
      </c>
      <c r="G42" s="1208">
        <f>'Additional Estimates'!D$29*'Additional Estimates'!$A$35</f>
        <v>123481.79346240241</v>
      </c>
      <c r="H42" s="1803">
        <f>'Additional Estimates'!E$29*'Additional Estimates'!$A$35</f>
        <v>-531796.98430655792</v>
      </c>
      <c r="I42" s="1208">
        <f>'Additional Estimates'!B$31*'Additional Estimates'!$A$35</f>
        <v>-13917542.115677161</v>
      </c>
      <c r="J42" s="1208">
        <f>'Additional Estimates'!C$31*'Additional Estimates'!$A$35</f>
        <v>-13993940.896160306</v>
      </c>
      <c r="K42" s="1208">
        <f>'Additional Estimates'!D$31*'Additional Estimates'!$A$35</f>
        <v>-9783641.1246887818</v>
      </c>
      <c r="L42" s="1803">
        <f>'Additional Estimates'!E$31*'Additional Estimates'!$A$35</f>
        <v>-13490054.02623635</v>
      </c>
      <c r="M42" s="1804"/>
      <c r="V42" s="1539"/>
      <c r="W42" s="1539"/>
      <c r="X42" s="1539"/>
      <c r="Y42" s="1540"/>
      <c r="Z42" s="1539"/>
      <c r="AA42" s="1539"/>
      <c r="AB42" s="1539"/>
      <c r="AC42" s="1540"/>
      <c r="AD42" s="1268" t="s">
        <v>541</v>
      </c>
    </row>
    <row r="43" spans="1:30" ht="15" outlineLevel="1">
      <c r="A43" s="256"/>
      <c r="B43" s="621" t="s">
        <v>149</v>
      </c>
      <c r="C43" s="623">
        <v>2E-3</v>
      </c>
      <c r="D43" s="1469"/>
      <c r="E43" s="1210">
        <f>'Cost Assumptions'!D$43*$E$1</f>
        <v>6807467.8144575525</v>
      </c>
      <c r="F43" s="1210">
        <f>'Cost Assumptions'!E$43*$E$1</f>
        <v>6849926.1121724444</v>
      </c>
      <c r="G43" s="1210">
        <f>'Cost Assumptions'!F$43*$E$1</f>
        <v>6662818.8695524847</v>
      </c>
      <c r="H43" s="1272">
        <f>'Cost Assumptions'!G$43*$E$1</f>
        <v>6606428.0579587175</v>
      </c>
      <c r="I43" s="1210">
        <f>'Cost Assumptions'!H$43*$E$1</f>
        <v>22101913.243110277</v>
      </c>
      <c r="J43" s="1210">
        <f>'Cost Assumptions'!I$43*$E$1</f>
        <v>22157190.208743531</v>
      </c>
      <c r="K43" s="1210">
        <f>'Cost Assumptions'!J$43*$E$1</f>
        <v>21599058.988804426</v>
      </c>
      <c r="L43" s="1210">
        <f>'Cost Assumptions'!K$43*$E$1</f>
        <v>21397622.778658632</v>
      </c>
      <c r="M43" s="1804"/>
      <c r="V43" s="1539"/>
      <c r="W43" s="1539"/>
      <c r="X43" s="1539"/>
      <c r="Y43" s="1540"/>
      <c r="Z43" s="1539"/>
      <c r="AA43" s="1539"/>
      <c r="AB43" s="1539"/>
      <c r="AC43" s="1540"/>
      <c r="AD43" s="1269" t="s">
        <v>542</v>
      </c>
    </row>
    <row r="44" spans="1:30" ht="15" outlineLevel="1">
      <c r="A44" s="256"/>
      <c r="B44" s="621" t="s">
        <v>98</v>
      </c>
      <c r="C44" s="623">
        <v>2E-3</v>
      </c>
      <c r="D44" s="1469"/>
      <c r="E44" s="1211">
        <f>'Cost Assumptions'!D$45*$E$1</f>
        <v>29551854.735286757</v>
      </c>
      <c r="F44" s="1211">
        <f>'Cost Assumptions'!E$45*$E$1</f>
        <v>29551854.735286757</v>
      </c>
      <c r="G44" s="1211">
        <f>'Cost Assumptions'!F$45*$E$1</f>
        <v>29551854.735286757</v>
      </c>
      <c r="H44" s="1273">
        <f>'Cost Assumptions'!G$45*$E$1</f>
        <v>29551854.735286757</v>
      </c>
      <c r="I44" s="1211">
        <f>'Cost Assumptions'!H$45*$E$1</f>
        <v>29551854.735286757</v>
      </c>
      <c r="J44" s="1211">
        <f>'Cost Assumptions'!I$45*$E$1</f>
        <v>29551854.735286757</v>
      </c>
      <c r="K44" s="1211">
        <f>'Cost Assumptions'!J$45*$E$1</f>
        <v>29551854.735286757</v>
      </c>
      <c r="L44" s="1211">
        <f>'Cost Assumptions'!K$45*$E$1</f>
        <v>29551854.735286757</v>
      </c>
      <c r="M44" s="1804"/>
      <c r="V44" s="1553"/>
      <c r="W44" s="1553"/>
      <c r="X44" s="1553"/>
      <c r="Y44" s="1554"/>
      <c r="Z44" s="1553"/>
      <c r="AA44" s="1553"/>
      <c r="AB44" s="1553"/>
      <c r="AC44" s="1554"/>
      <c r="AD44" s="1269" t="s">
        <v>542</v>
      </c>
    </row>
    <row r="45" spans="1:30" ht="15" outlineLevel="1">
      <c r="A45" s="261"/>
      <c r="B45" s="621" t="s">
        <v>150</v>
      </c>
      <c r="C45" s="623">
        <v>0</v>
      </c>
      <c r="D45" s="1469"/>
      <c r="E45" s="1210">
        <f>'Cost Assumptions'!D$49*$E$1</f>
        <v>366000</v>
      </c>
      <c r="F45" s="1210">
        <f>'Cost Assumptions'!E$49*$E$1</f>
        <v>295000</v>
      </c>
      <c r="G45" s="1210">
        <f>'Cost Assumptions'!F$49*$E$1</f>
        <v>164000</v>
      </c>
      <c r="H45" s="1272">
        <f>'Cost Assumptions'!G$49*$E$1</f>
        <v>306000</v>
      </c>
      <c r="I45" s="1210">
        <f>'Cost Assumptions'!H$49*$E$1</f>
        <v>2196000</v>
      </c>
      <c r="J45" s="1210">
        <f>'Cost Assumptions'!I$49*$E$1</f>
        <v>1770000</v>
      </c>
      <c r="K45" s="1210">
        <f>'Cost Assumptions'!J$49*$E$1</f>
        <v>984000</v>
      </c>
      <c r="L45" s="1210">
        <f>'Cost Assumptions'!K$49*$E$1</f>
        <v>1836000</v>
      </c>
      <c r="M45" s="1804"/>
      <c r="V45" s="1539"/>
      <c r="W45" s="1539"/>
      <c r="X45" s="1539"/>
      <c r="Y45" s="1540"/>
      <c r="Z45" s="1539"/>
      <c r="AA45" s="1539"/>
      <c r="AB45" s="1539"/>
      <c r="AC45" s="1540"/>
      <c r="AD45" s="1269" t="s">
        <v>542</v>
      </c>
    </row>
    <row r="46" spans="1:30" ht="15" outlineLevel="1">
      <c r="A46" s="261"/>
      <c r="B46" s="621" t="s">
        <v>151</v>
      </c>
      <c r="C46" s="623">
        <v>0.06</v>
      </c>
      <c r="D46" s="1469"/>
      <c r="E46" s="1212">
        <f>'Cost Assumptions'!D54</f>
        <v>0</v>
      </c>
      <c r="F46" s="1212">
        <f>'Cost Assumptions'!E54</f>
        <v>0</v>
      </c>
      <c r="G46" s="1212">
        <f>'Cost Assumptions'!F54</f>
        <v>0</v>
      </c>
      <c r="H46" s="1274">
        <f>'Cost Assumptions'!G54</f>
        <v>0</v>
      </c>
      <c r="I46" s="1212">
        <f>'Cost Assumptions'!H54</f>
        <v>0</v>
      </c>
      <c r="J46" s="1212">
        <f>'Cost Assumptions'!I54</f>
        <v>0</v>
      </c>
      <c r="K46" s="1212">
        <f>'Cost Assumptions'!J54</f>
        <v>0</v>
      </c>
      <c r="L46" s="1212">
        <f>'Cost Assumptions'!K54</f>
        <v>0</v>
      </c>
      <c r="M46" s="1804"/>
      <c r="V46" s="1539"/>
      <c r="W46" s="1539"/>
      <c r="X46" s="1539"/>
      <c r="Y46" s="1540"/>
      <c r="Z46" s="1539"/>
      <c r="AA46" s="1539"/>
      <c r="AB46" s="1539"/>
      <c r="AC46" s="1540"/>
      <c r="AD46" s="1269" t="s">
        <v>542</v>
      </c>
    </row>
    <row r="47" spans="1:30" ht="15" outlineLevel="1">
      <c r="A47" s="1472"/>
      <c r="B47" s="624" t="s">
        <v>491</v>
      </c>
      <c r="C47" s="624"/>
      <c r="D47" s="609"/>
      <c r="E47" s="1224">
        <v>0</v>
      </c>
      <c r="F47" s="1224">
        <v>0</v>
      </c>
      <c r="G47" s="1224">
        <v>0</v>
      </c>
      <c r="H47" s="1225">
        <v>0</v>
      </c>
      <c r="I47" s="1560">
        <f>INDEX('Capital Costs Data'!$Z$47:$AC$47, MATCH('Capital Costs Data'!I$6, 'Capital Costs Data'!$Z$6:$AC$6, 0))</f>
        <v>2000000</v>
      </c>
      <c r="J47" s="1560">
        <f>INDEX('Capital Costs Data'!$Z$47:$AC$47, MATCH('Capital Costs Data'!J$6, 'Capital Costs Data'!$Z$6:$AC$6, 0))</f>
        <v>2000000</v>
      </c>
      <c r="K47" s="1560">
        <f>INDEX('Capital Costs Data'!$Z$47:$AC$47, MATCH('Capital Costs Data'!K$6, 'Capital Costs Data'!$Z$6:$AC$6, 0))</f>
        <v>2000000</v>
      </c>
      <c r="L47" s="1560">
        <f>INDEX('Capital Costs Data'!$Z$47:$AC$47, MATCH('Capital Costs Data'!L$6, 'Capital Costs Data'!$Z$6:$AC$6, 0))</f>
        <v>2000000</v>
      </c>
      <c r="M47" s="1804"/>
      <c r="V47" s="1551">
        <v>2000000</v>
      </c>
      <c r="W47" s="1551">
        <v>2000000</v>
      </c>
      <c r="X47" s="1551">
        <v>2000000</v>
      </c>
      <c r="Y47" s="1552">
        <v>2000000</v>
      </c>
      <c r="Z47" s="1551">
        <v>2000000</v>
      </c>
      <c r="AA47" s="1551">
        <v>2000000</v>
      </c>
      <c r="AB47" s="1551">
        <v>2000000</v>
      </c>
      <c r="AC47" s="1552">
        <v>2000000</v>
      </c>
      <c r="AD47" s="577"/>
    </row>
    <row r="48" spans="1:30" ht="15">
      <c r="A48" s="289"/>
      <c r="B48" s="624" t="s">
        <v>154</v>
      </c>
      <c r="C48" s="624"/>
      <c r="D48" s="609"/>
      <c r="E48" s="1264">
        <f>SUM(E38:E47)</f>
        <v>53540874.526559725</v>
      </c>
      <c r="F48" s="1264">
        <f t="shared" ref="F48:H48" si="7">SUM(F38:F47)</f>
        <v>52544849.543950468</v>
      </c>
      <c r="G48" s="1264">
        <f t="shared" si="7"/>
        <v>53144003.332765773</v>
      </c>
      <c r="H48" s="1265">
        <f t="shared" si="7"/>
        <v>52857630.117654026</v>
      </c>
      <c r="I48" s="1264">
        <f>SUM(I38:I47)</f>
        <v>114787787.99333747</v>
      </c>
      <c r="J48" s="1264">
        <f t="shared" ref="J48" si="8">SUM(J38:J47)</f>
        <v>107975808.55389959</v>
      </c>
      <c r="K48" s="1264">
        <f t="shared" ref="K48" si="9">SUM(K38:K47)</f>
        <v>112132323.58255459</v>
      </c>
      <c r="L48" s="1264">
        <f t="shared" ref="L48" si="10">SUM(L38:L47)</f>
        <v>111402266.51992577</v>
      </c>
      <c r="M48" s="1804"/>
      <c r="V48" s="1550"/>
      <c r="W48" s="1550"/>
      <c r="X48" s="1550"/>
      <c r="Y48" s="599"/>
      <c r="Z48" s="1550"/>
      <c r="AA48" s="1550"/>
      <c r="AB48" s="1550"/>
      <c r="AC48" s="599"/>
      <c r="AD48" s="577"/>
    </row>
    <row r="49" spans="1:30" ht="15">
      <c r="A49" s="256"/>
      <c r="B49" s="608" t="s">
        <v>115</v>
      </c>
      <c r="C49" s="608"/>
      <c r="D49" s="609"/>
      <c r="E49" s="598"/>
      <c r="F49" s="598"/>
      <c r="G49" s="598"/>
      <c r="H49" s="599"/>
      <c r="I49" s="598"/>
      <c r="J49" s="598"/>
      <c r="K49" s="598"/>
      <c r="L49" s="598"/>
      <c r="M49" s="1804"/>
      <c r="V49" s="1550"/>
      <c r="W49" s="1550"/>
      <c r="X49" s="1550"/>
      <c r="Y49" s="599"/>
      <c r="Z49" s="1550"/>
      <c r="AA49" s="1550"/>
      <c r="AB49" s="1550"/>
      <c r="AC49" s="599"/>
      <c r="AD49" s="577"/>
    </row>
    <row r="50" spans="1:30" s="260" customFormat="1" ht="15">
      <c r="B50" s="601" t="s">
        <v>155</v>
      </c>
      <c r="C50" s="601"/>
      <c r="D50" s="625"/>
      <c r="E50" s="1213">
        <f>SUM(E48:E49)</f>
        <v>53540874.526559725</v>
      </c>
      <c r="F50" s="1213">
        <f t="shared" ref="F50:H50" si="11">SUM(F48:F49)</f>
        <v>52544849.543950468</v>
      </c>
      <c r="G50" s="1213">
        <f t="shared" si="11"/>
        <v>53144003.332765773</v>
      </c>
      <c r="H50" s="1271">
        <f t="shared" si="11"/>
        <v>52857630.117654026</v>
      </c>
      <c r="I50" s="1213">
        <f>SUM(I48:I49)</f>
        <v>114787787.99333747</v>
      </c>
      <c r="J50" s="1213">
        <f t="shared" ref="J50" si="12">SUM(J48:J49)</f>
        <v>107975808.55389959</v>
      </c>
      <c r="K50" s="1213">
        <f t="shared" ref="K50" si="13">SUM(K48:K49)</f>
        <v>112132323.58255459</v>
      </c>
      <c r="L50" s="1213">
        <f t="shared" ref="L50" si="14">SUM(L48:L49)</f>
        <v>111402266.51992577</v>
      </c>
      <c r="M50" s="843"/>
      <c r="V50" s="1555"/>
      <c r="W50" s="1541"/>
      <c r="X50" s="1541"/>
      <c r="Y50" s="1541"/>
      <c r="Z50" s="1555"/>
      <c r="AA50" s="1541"/>
      <c r="AB50" s="1541"/>
      <c r="AC50" s="1541"/>
      <c r="AD50" s="577"/>
    </row>
    <row r="51" spans="1:30" ht="6" customHeight="1">
      <c r="B51" s="319"/>
      <c r="C51" s="319"/>
      <c r="D51" s="1275"/>
      <c r="E51" s="1276"/>
      <c r="F51" s="1276"/>
      <c r="G51" s="1276"/>
      <c r="H51" s="1277"/>
      <c r="I51" s="1276"/>
      <c r="J51" s="1276"/>
      <c r="K51" s="1276"/>
      <c r="L51" s="1276"/>
      <c r="M51" s="1804"/>
      <c r="V51" s="313"/>
      <c r="W51" s="313"/>
      <c r="X51" s="313"/>
      <c r="Y51" s="1543"/>
      <c r="Z51" s="313"/>
      <c r="AA51" s="313"/>
      <c r="AB51" s="313"/>
      <c r="AC51" s="1543"/>
      <c r="AD51" s="614"/>
    </row>
    <row r="52" spans="1:30" ht="6" customHeight="1">
      <c r="B52" s="320"/>
      <c r="C52" s="320"/>
      <c r="D52" s="1800"/>
      <c r="E52" s="1278"/>
      <c r="F52" s="1278"/>
      <c r="G52" s="1278"/>
      <c r="H52" s="1279"/>
      <c r="I52" s="1278"/>
      <c r="J52" s="1278"/>
      <c r="K52" s="1278"/>
      <c r="L52" s="1278"/>
      <c r="M52" s="1804"/>
      <c r="V52" s="1545"/>
      <c r="W52" s="1545"/>
      <c r="X52" s="1545"/>
      <c r="Y52" s="1546"/>
      <c r="Z52" s="1545"/>
      <c r="AA52" s="1545"/>
      <c r="AB52" s="1545"/>
      <c r="AC52" s="1546"/>
      <c r="AD52" s="577"/>
    </row>
    <row r="53" spans="1:30" s="260" customFormat="1" ht="15">
      <c r="B53" s="601" t="s">
        <v>156</v>
      </c>
      <c r="C53" s="601"/>
      <c r="D53" s="625"/>
      <c r="E53" s="1280">
        <f t="shared" ref="E53:L53" si="15">E50+E31+E18</f>
        <v>259710360.52655971</v>
      </c>
      <c r="F53" s="1280">
        <f t="shared" si="15"/>
        <v>245020281.54395047</v>
      </c>
      <c r="G53" s="1280">
        <f t="shared" si="15"/>
        <v>248609466.33276576</v>
      </c>
      <c r="H53" s="1281">
        <f t="shared" si="15"/>
        <v>253007850.11765403</v>
      </c>
      <c r="I53" s="1280">
        <f t="shared" si="15"/>
        <v>1104830295.9933376</v>
      </c>
      <c r="J53" s="1280">
        <f t="shared" si="15"/>
        <v>1007860369.5538995</v>
      </c>
      <c r="K53" s="1280">
        <f t="shared" si="15"/>
        <v>1027131599.5825546</v>
      </c>
      <c r="L53" s="1280">
        <f t="shared" si="15"/>
        <v>1063014932.5199258</v>
      </c>
      <c r="M53" s="843"/>
      <c r="V53" s="1541"/>
      <c r="W53" s="1541"/>
      <c r="X53" s="1541"/>
      <c r="Y53" s="1542"/>
      <c r="Z53" s="1541"/>
      <c r="AA53" s="1541"/>
      <c r="AB53" s="1541"/>
      <c r="AC53" s="1542"/>
      <c r="AD53" s="915"/>
    </row>
    <row r="54" spans="1:30" ht="15">
      <c r="B54" s="601" t="s">
        <v>157</v>
      </c>
      <c r="C54" s="601"/>
      <c r="D54" s="626"/>
      <c r="E54" s="1213">
        <f t="shared" ref="E54:L54" si="16">E53/(E8*1000)</f>
        <v>720.23927664615314</v>
      </c>
      <c r="F54" s="1213">
        <f t="shared" si="16"/>
        <v>675.2883698618956</v>
      </c>
      <c r="G54" s="1213">
        <f t="shared" si="16"/>
        <v>704.42178221775544</v>
      </c>
      <c r="H54" s="1271">
        <f t="shared" si="16"/>
        <v>723.00351522447852</v>
      </c>
      <c r="I54" s="1213">
        <f t="shared" si="16"/>
        <v>943.71058740558249</v>
      </c>
      <c r="J54" s="1213">
        <f t="shared" si="16"/>
        <v>858.73429018836794</v>
      </c>
      <c r="K54" s="1213">
        <f t="shared" si="16"/>
        <v>897.76853963271776</v>
      </c>
      <c r="L54" s="1213">
        <f t="shared" si="16"/>
        <v>937.87932187771378</v>
      </c>
      <c r="M54" s="1804"/>
      <c r="V54" s="1541"/>
      <c r="W54" s="1541"/>
      <c r="X54" s="1541"/>
      <c r="Y54" s="1542"/>
      <c r="Z54" s="1541"/>
      <c r="AA54" s="1541"/>
      <c r="AB54" s="1541"/>
      <c r="AC54" s="1542"/>
      <c r="AD54" s="915"/>
    </row>
    <row r="55" spans="1:30" ht="6" customHeight="1" thickBot="1">
      <c r="B55" s="322"/>
      <c r="C55" s="322"/>
      <c r="D55" s="1801"/>
      <c r="E55" s="324"/>
      <c r="F55" s="324"/>
      <c r="G55" s="324"/>
      <c r="H55" s="325"/>
      <c r="I55" s="324"/>
      <c r="J55" s="324"/>
      <c r="K55" s="324"/>
      <c r="L55" s="324"/>
      <c r="M55" s="1804"/>
      <c r="V55" s="1556"/>
      <c r="W55" s="1557"/>
      <c r="X55" s="1557"/>
      <c r="Y55" s="1558"/>
      <c r="Z55" s="1556"/>
      <c r="AA55" s="1557"/>
      <c r="AB55" s="1557"/>
      <c r="AC55" s="1558"/>
      <c r="AD55" s="326"/>
    </row>
    <row r="56" spans="1:30" ht="6" customHeight="1" thickTop="1">
      <c r="B56" s="290" t="s">
        <v>123</v>
      </c>
      <c r="C56" s="290"/>
      <c r="D56" s="290"/>
      <c r="E56" s="327"/>
      <c r="F56" s="327"/>
      <c r="G56" s="327"/>
      <c r="H56" s="327"/>
      <c r="I56" s="327"/>
      <c r="J56" s="327"/>
      <c r="K56" s="327"/>
      <c r="L56" s="327"/>
      <c r="AD56" s="273"/>
    </row>
    <row r="57" spans="1:30" ht="15" customHeight="1">
      <c r="B57" s="627" t="s">
        <v>317</v>
      </c>
      <c r="C57" s="628"/>
      <c r="D57" s="329"/>
      <c r="E57" s="476"/>
      <c r="F57" s="476"/>
      <c r="G57" s="476"/>
      <c r="H57" s="476"/>
      <c r="I57" s="476"/>
      <c r="J57" s="476"/>
      <c r="K57" s="476"/>
      <c r="L57" s="476"/>
      <c r="V57" s="1559"/>
      <c r="W57" s="1559"/>
      <c r="X57" s="1559"/>
      <c r="Y57" s="1559"/>
      <c r="Z57" s="1559"/>
      <c r="AA57" s="1559"/>
      <c r="AB57" s="1559"/>
      <c r="AC57" s="1559"/>
      <c r="AD57" s="330"/>
    </row>
    <row r="58" spans="1:30" ht="30">
      <c r="B58" s="629" t="s">
        <v>318</v>
      </c>
      <c r="C58" s="292"/>
      <c r="D58" s="271"/>
      <c r="E58" s="292"/>
      <c r="F58" s="292"/>
      <c r="G58" s="292"/>
      <c r="H58" s="292"/>
      <c r="I58" s="1019"/>
      <c r="J58" s="329"/>
      <c r="K58" s="476"/>
      <c r="L58" s="329"/>
      <c r="V58" s="330"/>
      <c r="W58" s="330"/>
      <c r="X58" s="330"/>
      <c r="Y58" s="330"/>
      <c r="Z58" s="330"/>
      <c r="AA58" s="330"/>
      <c r="AB58" s="330"/>
      <c r="AC58" s="330"/>
      <c r="AD58" s="330"/>
    </row>
    <row r="59" spans="1:30" ht="15">
      <c r="B59" s="630" t="s">
        <v>319</v>
      </c>
      <c r="C59" s="261"/>
      <c r="D59" s="303"/>
      <c r="E59" s="298"/>
      <c r="F59" s="298"/>
      <c r="G59" s="298"/>
      <c r="H59" s="298"/>
      <c r="I59" s="1612"/>
      <c r="J59" s="1612"/>
      <c r="K59" s="1612"/>
      <c r="L59" s="298"/>
      <c r="V59" s="273"/>
      <c r="W59" s="273"/>
      <c r="X59" s="273"/>
      <c r="Y59" s="273"/>
      <c r="Z59" s="273"/>
      <c r="AA59" s="273"/>
      <c r="AB59" s="273"/>
      <c r="AC59" s="273"/>
      <c r="AD59" s="273"/>
    </row>
    <row r="60" spans="1:30" ht="15">
      <c r="B60" s="631" t="s">
        <v>607</v>
      </c>
      <c r="C60" s="306"/>
      <c r="D60" s="303"/>
      <c r="E60" s="298"/>
      <c r="F60" s="298"/>
      <c r="G60" s="298"/>
      <c r="H60" s="298"/>
      <c r="I60" s="292"/>
      <c r="J60" s="329"/>
      <c r="K60" s="329"/>
      <c r="L60" s="329"/>
      <c r="V60" s="273"/>
      <c r="W60" s="273"/>
      <c r="X60" s="273"/>
      <c r="Y60" s="273"/>
      <c r="Z60" s="273"/>
      <c r="AA60" s="273"/>
      <c r="AB60" s="273"/>
      <c r="AC60" s="273"/>
      <c r="AD60" s="273"/>
    </row>
    <row r="61" spans="1:30" ht="15" hidden="1">
      <c r="B61" s="632" t="s">
        <v>320</v>
      </c>
      <c r="C61" s="632"/>
      <c r="D61" s="632"/>
      <c r="E61" s="633" t="s">
        <v>321</v>
      </c>
      <c r="F61" s="633" t="s">
        <v>321</v>
      </c>
      <c r="G61" s="633" t="s">
        <v>321</v>
      </c>
      <c r="H61" s="633" t="s">
        <v>321</v>
      </c>
      <c r="I61" s="634" t="s">
        <v>321</v>
      </c>
      <c r="J61" s="633" t="s">
        <v>321</v>
      </c>
      <c r="K61" s="633" t="s">
        <v>321</v>
      </c>
      <c r="L61" s="633" t="s">
        <v>321</v>
      </c>
      <c r="V61" s="330"/>
      <c r="W61" s="330"/>
      <c r="X61" s="330"/>
      <c r="Y61" s="330"/>
      <c r="Z61" s="330"/>
      <c r="AA61" s="330"/>
      <c r="AB61" s="330"/>
      <c r="AC61" s="330"/>
      <c r="AD61" s="330"/>
    </row>
    <row r="62" spans="1:30" ht="15" hidden="1">
      <c r="B62" s="635" t="s">
        <v>322</v>
      </c>
      <c r="C62" s="635"/>
      <c r="D62" s="635"/>
      <c r="E62" s="636">
        <v>4400134.0961098401</v>
      </c>
      <c r="F62" s="636">
        <v>0</v>
      </c>
      <c r="G62" s="636">
        <v>4292744.988558352</v>
      </c>
      <c r="H62" s="636">
        <v>4284677.8947368423</v>
      </c>
      <c r="I62" s="637">
        <v>4367294.8837209307</v>
      </c>
      <c r="J62" s="636">
        <v>4241022.1767441863</v>
      </c>
      <c r="K62" s="636">
        <v>4268719.2558139535</v>
      </c>
      <c r="L62" s="636">
        <v>4261314.2325581396</v>
      </c>
      <c r="V62" s="330"/>
      <c r="W62" s="330"/>
      <c r="X62" s="330"/>
      <c r="Y62" s="330"/>
      <c r="Z62" s="330"/>
      <c r="AA62" s="330"/>
      <c r="AB62" s="330"/>
      <c r="AC62" s="330"/>
      <c r="AD62" s="330"/>
    </row>
    <row r="63" spans="1:30" ht="15" hidden="1">
      <c r="B63" s="635" t="s">
        <v>323</v>
      </c>
      <c r="C63" s="635"/>
      <c r="D63" s="635"/>
      <c r="E63" s="636">
        <v>904643.71951219509</v>
      </c>
      <c r="F63" s="636">
        <v>0</v>
      </c>
      <c r="G63" s="636">
        <v>849720.86585365853</v>
      </c>
      <c r="H63" s="636">
        <v>845595.04878048785</v>
      </c>
      <c r="I63" s="476">
        <v>55491.567430303578</v>
      </c>
      <c r="J63" s="476">
        <v>50863.098646686769</v>
      </c>
      <c r="K63" s="476">
        <v>51031.147606323531</v>
      </c>
      <c r="L63" s="476">
        <v>51398.311613077167</v>
      </c>
      <c r="V63" s="330"/>
      <c r="W63" s="330"/>
      <c r="X63" s="330"/>
      <c r="Y63" s="330"/>
      <c r="Z63" s="330"/>
      <c r="AA63" s="330"/>
      <c r="AB63" s="330"/>
      <c r="AC63" s="330"/>
      <c r="AD63" s="330"/>
    </row>
    <row r="64" spans="1:30" ht="15" hidden="1">
      <c r="B64" s="256" t="s">
        <v>324</v>
      </c>
      <c r="C64" s="256"/>
      <c r="D64" s="256"/>
      <c r="E64" s="638">
        <v>644838.11422044248</v>
      </c>
      <c r="F64" s="638">
        <v>0</v>
      </c>
      <c r="G64" s="638">
        <v>574314.51927817031</v>
      </c>
      <c r="H64" s="638">
        <v>567916.48033742048</v>
      </c>
      <c r="I64" s="638">
        <v>93983.134860607155</v>
      </c>
      <c r="J64" s="638">
        <v>84726.197293373538</v>
      </c>
      <c r="K64" s="638">
        <v>85062.295212647063</v>
      </c>
      <c r="L64" s="638">
        <v>85796.623226154334</v>
      </c>
      <c r="V64" s="258"/>
      <c r="W64" s="258"/>
      <c r="X64" s="258"/>
      <c r="Y64" s="258"/>
      <c r="Z64" s="258"/>
      <c r="AA64" s="258"/>
      <c r="AB64" s="258"/>
      <c r="AC64" s="258"/>
      <c r="AD64" s="258"/>
    </row>
    <row r="65" spans="2:30" ht="15" hidden="1">
      <c r="B65" s="256" t="s">
        <v>325</v>
      </c>
      <c r="C65" s="256"/>
      <c r="D65" s="256"/>
      <c r="E65" s="638">
        <v>3924000</v>
      </c>
      <c r="F65" s="638">
        <v>0</v>
      </c>
      <c r="G65" s="638">
        <v>3924000</v>
      </c>
      <c r="H65" s="638">
        <v>3924000</v>
      </c>
      <c r="I65" s="638">
        <v>36707.057797403068</v>
      </c>
      <c r="J65" s="638">
        <v>32739.798840017233</v>
      </c>
      <c r="K65" s="638">
        <v>32883.840805420172</v>
      </c>
      <c r="L65" s="638">
        <v>33198.552811208996</v>
      </c>
      <c r="V65" s="258"/>
      <c r="W65" s="258"/>
      <c r="X65" s="258"/>
      <c r="Y65" s="258"/>
      <c r="Z65" s="258"/>
      <c r="AA65" s="258"/>
      <c r="AB65" s="258"/>
      <c r="AC65" s="258"/>
      <c r="AD65" s="258"/>
    </row>
    <row r="66" spans="2:30" s="256" customFormat="1" ht="15" hidden="1">
      <c r="B66" s="256" t="s">
        <v>326</v>
      </c>
      <c r="E66" s="638">
        <v>100000</v>
      </c>
      <c r="F66" s="638">
        <v>0</v>
      </c>
      <c r="G66" s="638">
        <v>100000</v>
      </c>
      <c r="H66" s="638">
        <v>100000</v>
      </c>
      <c r="I66" s="638">
        <v>67000</v>
      </c>
      <c r="J66" s="638">
        <v>67000</v>
      </c>
      <c r="K66" s="638">
        <v>67000</v>
      </c>
      <c r="L66" s="638">
        <v>67000</v>
      </c>
    </row>
    <row r="67" spans="2:30" s="256" customFormat="1" ht="15" hidden="1">
      <c r="B67" s="256" t="s">
        <v>327</v>
      </c>
      <c r="E67" s="638">
        <v>508763.82557622326</v>
      </c>
      <c r="F67" s="638">
        <v>0</v>
      </c>
      <c r="G67" s="638">
        <v>401099.66650753131</v>
      </c>
      <c r="H67" s="638">
        <v>425529.63445124001</v>
      </c>
      <c r="I67" s="638">
        <v>2700000</v>
      </c>
      <c r="J67" s="638">
        <v>2700000</v>
      </c>
      <c r="K67" s="638">
        <v>2700000</v>
      </c>
      <c r="L67" s="638">
        <v>2700000</v>
      </c>
    </row>
    <row r="68" spans="2:30" s="256" customFormat="1" ht="15" hidden="1">
      <c r="B68" s="256" t="s">
        <v>328</v>
      </c>
      <c r="E68" s="638">
        <v>265729.42457580002</v>
      </c>
      <c r="F68" s="638">
        <v>0</v>
      </c>
      <c r="G68" s="638">
        <v>209040.87858736282</v>
      </c>
      <c r="H68" s="638">
        <v>204815.76352673772</v>
      </c>
      <c r="I68" s="638">
        <v>400000</v>
      </c>
      <c r="J68" s="638">
        <v>400000</v>
      </c>
      <c r="K68" s="638">
        <v>400000</v>
      </c>
      <c r="L68" s="638">
        <v>400000</v>
      </c>
    </row>
    <row r="69" spans="2:30" s="256" customFormat="1" ht="15" hidden="1">
      <c r="B69" s="256" t="s">
        <v>329</v>
      </c>
      <c r="E69" s="638">
        <v>186130.56958582014</v>
      </c>
      <c r="F69" s="638">
        <v>0</v>
      </c>
      <c r="G69" s="638">
        <v>161721.09680232557</v>
      </c>
      <c r="H69" s="638">
        <v>162747.6894075427</v>
      </c>
      <c r="I69" s="638">
        <v>15882.34</v>
      </c>
      <c r="J69" s="638">
        <v>13860.043942857143</v>
      </c>
      <c r="K69" s="638">
        <v>14303.621142857142</v>
      </c>
      <c r="L69" s="638">
        <v>14185.027428571429</v>
      </c>
    </row>
    <row r="70" spans="2:30" s="256" customFormat="1" ht="15" hidden="1">
      <c r="B70" s="256" t="s">
        <v>206</v>
      </c>
      <c r="E70" s="638">
        <v>46343.838749999995</v>
      </c>
      <c r="F70" s="638">
        <v>0</v>
      </c>
      <c r="G70" s="638">
        <v>46343.838749999995</v>
      </c>
      <c r="H70" s="638">
        <v>46343.838749999995</v>
      </c>
      <c r="I70" s="638">
        <v>386180.36113080534</v>
      </c>
      <c r="J70" s="638">
        <v>312097.48566382501</v>
      </c>
      <c r="K70" s="638">
        <v>314787.26293815661</v>
      </c>
      <c r="L70" s="638">
        <v>320664.05862587254</v>
      </c>
    </row>
    <row r="71" spans="2:30" s="256" customFormat="1" ht="15" hidden="1">
      <c r="B71" s="256" t="s">
        <v>330</v>
      </c>
      <c r="E71" s="638">
        <v>237094</v>
      </c>
      <c r="F71" s="638">
        <v>0</v>
      </c>
      <c r="G71" s="638">
        <v>237094</v>
      </c>
      <c r="H71" s="638">
        <v>237094</v>
      </c>
      <c r="I71" s="638">
        <v>77309.796829898361</v>
      </c>
      <c r="J71" s="638">
        <v>60376.568151731422</v>
      </c>
      <c r="K71" s="638">
        <v>60991.37438586435</v>
      </c>
      <c r="L71" s="638">
        <v>62334.641971628007</v>
      </c>
    </row>
    <row r="72" spans="2:30" s="256" customFormat="1" ht="15" hidden="1">
      <c r="B72" s="465"/>
      <c r="C72" s="465"/>
      <c r="D72" s="465"/>
      <c r="E72" s="639"/>
      <c r="F72" s="639"/>
      <c r="G72" s="639"/>
      <c r="H72" s="639"/>
      <c r="I72" s="638">
        <v>45011.707999999999</v>
      </c>
      <c r="J72" s="638">
        <v>42499.466</v>
      </c>
      <c r="K72" s="638">
        <v>42336.637999999999</v>
      </c>
      <c r="L72" s="638">
        <v>43066.1</v>
      </c>
    </row>
    <row r="73" spans="2:30" s="256" customFormat="1" ht="15" hidden="1">
      <c r="B73" s="256" t="s">
        <v>331</v>
      </c>
      <c r="E73" s="638">
        <v>11217677.588330321</v>
      </c>
      <c r="F73" s="638">
        <v>0</v>
      </c>
      <c r="G73" s="638">
        <v>10796079.8543374</v>
      </c>
      <c r="H73" s="638">
        <v>10798720.349990269</v>
      </c>
      <c r="I73" s="638">
        <v>12383.781000000001</v>
      </c>
      <c r="J73" s="638">
        <v>10499.5995</v>
      </c>
      <c r="K73" s="638">
        <v>10377.478500000001</v>
      </c>
      <c r="L73" s="638">
        <v>10924.575000000001</v>
      </c>
    </row>
    <row r="74" spans="2:30" s="256" customFormat="1" ht="15" hidden="1">
      <c r="E74" s="638"/>
      <c r="F74" s="638"/>
      <c r="G74" s="638"/>
      <c r="H74" s="638"/>
      <c r="I74" s="638">
        <v>334312.12782638439</v>
      </c>
      <c r="J74" s="638">
        <v>273923.15453583281</v>
      </c>
      <c r="K74" s="638">
        <v>276115.73800337844</v>
      </c>
      <c r="L74" s="638">
        <v>280906.23318303289</v>
      </c>
    </row>
    <row r="75" spans="2:30" s="256" customFormat="1" ht="15" hidden="1">
      <c r="B75" s="256" t="s">
        <v>332</v>
      </c>
      <c r="E75" s="638"/>
      <c r="F75" s="638"/>
      <c r="G75" s="638"/>
      <c r="H75" s="638"/>
      <c r="I75" s="638">
        <v>29440.375</v>
      </c>
      <c r="J75" s="638">
        <v>29440.375</v>
      </c>
      <c r="K75" s="638">
        <v>29440.375</v>
      </c>
      <c r="L75" s="638">
        <v>29440.375</v>
      </c>
    </row>
    <row r="76" spans="2:30" s="256" customFormat="1" ht="15" hidden="1">
      <c r="B76" s="256" t="s">
        <v>333</v>
      </c>
      <c r="E76" s="638">
        <v>673060.65529981919</v>
      </c>
      <c r="F76" s="638">
        <v>0</v>
      </c>
      <c r="G76" s="638">
        <v>647764.79126024398</v>
      </c>
      <c r="H76" s="638">
        <v>647923.22099941608</v>
      </c>
      <c r="I76" s="638">
        <v>84963.375</v>
      </c>
      <c r="J76" s="638">
        <v>84963.375</v>
      </c>
      <c r="K76" s="638">
        <v>84963.375</v>
      </c>
      <c r="L76" s="638">
        <v>84963.375</v>
      </c>
    </row>
    <row r="77" spans="2:30" s="256" customFormat="1" ht="15" hidden="1">
      <c r="B77" s="256" t="s">
        <v>334</v>
      </c>
      <c r="E77" s="638">
        <v>224353.55176660643</v>
      </c>
      <c r="F77" s="638">
        <v>0</v>
      </c>
      <c r="G77" s="638">
        <v>215921.59708674799</v>
      </c>
      <c r="H77" s="638">
        <v>215974.40699980539</v>
      </c>
      <c r="I77" s="639"/>
      <c r="J77" s="639"/>
      <c r="K77" s="639"/>
      <c r="L77" s="639"/>
    </row>
    <row r="78" spans="2:30" s="256" customFormat="1" ht="15" hidden="1">
      <c r="B78" s="256" t="s">
        <v>335</v>
      </c>
      <c r="E78" s="638">
        <v>112176.77588330321</v>
      </c>
      <c r="F78" s="638">
        <v>0</v>
      </c>
      <c r="G78" s="638">
        <v>107960.798543374</v>
      </c>
      <c r="H78" s="638">
        <v>107987.20349990269</v>
      </c>
      <c r="I78" s="638">
        <v>8705960.5085963327</v>
      </c>
      <c r="J78" s="638">
        <v>8404011.3393185101</v>
      </c>
      <c r="K78" s="638">
        <v>8438012.4024085999</v>
      </c>
      <c r="L78" s="638">
        <v>8445192.1064176857</v>
      </c>
    </row>
    <row r="79" spans="2:30" s="256" customFormat="1" ht="15" hidden="1">
      <c r="E79" s="638"/>
      <c r="F79" s="638"/>
      <c r="G79" s="638"/>
      <c r="H79" s="638"/>
      <c r="I79" s="638"/>
      <c r="J79" s="638"/>
      <c r="K79" s="638"/>
      <c r="L79" s="638"/>
    </row>
    <row r="80" spans="2:30" s="256" customFormat="1" ht="15" hidden="1">
      <c r="B80" s="256" t="s">
        <v>336</v>
      </c>
      <c r="E80" s="638">
        <v>1467272.228553606</v>
      </c>
      <c r="F80" s="638">
        <v>0</v>
      </c>
      <c r="G80" s="638">
        <v>1412127.2449473317</v>
      </c>
      <c r="H80" s="638">
        <v>1412472.621778727</v>
      </c>
      <c r="I80" s="638"/>
      <c r="J80" s="638"/>
      <c r="K80" s="638"/>
      <c r="L80" s="638"/>
    </row>
    <row r="81" spans="2:12" s="256" customFormat="1" ht="15" hidden="1">
      <c r="B81" s="256" t="s">
        <v>337</v>
      </c>
      <c r="E81" s="638">
        <v>1369454.0799833657</v>
      </c>
      <c r="F81" s="638">
        <v>0</v>
      </c>
      <c r="G81" s="638">
        <v>1317985.4286175098</v>
      </c>
      <c r="H81" s="638">
        <v>1318307.7803268121</v>
      </c>
      <c r="I81" s="638">
        <v>522357.63051577995</v>
      </c>
      <c r="J81" s="638">
        <v>504240.68035911059</v>
      </c>
      <c r="K81" s="638">
        <v>506280.74414451595</v>
      </c>
      <c r="L81" s="638">
        <v>506711.52638506115</v>
      </c>
    </row>
    <row r="82" spans="2:12" s="256" customFormat="1" ht="15" hidden="1">
      <c r="B82" s="465"/>
      <c r="C82" s="465"/>
      <c r="D82" s="465"/>
      <c r="E82" s="639"/>
      <c r="F82" s="639"/>
      <c r="G82" s="639"/>
      <c r="H82" s="639"/>
      <c r="I82" s="638">
        <v>174119.21017192665</v>
      </c>
      <c r="J82" s="638">
        <v>168080.22678637021</v>
      </c>
      <c r="K82" s="638">
        <v>168760.24804817201</v>
      </c>
      <c r="L82" s="638">
        <v>168903.84212835372</v>
      </c>
    </row>
    <row r="83" spans="2:12" s="256" customFormat="1" ht="15" hidden="1">
      <c r="B83" s="256" t="s">
        <v>338</v>
      </c>
      <c r="E83" s="638">
        <v>15063994.879817024</v>
      </c>
      <c r="F83" s="638">
        <v>0</v>
      </c>
      <c r="G83" s="638">
        <v>14497839.714792605</v>
      </c>
      <c r="H83" s="638">
        <v>14501385.583594931</v>
      </c>
      <c r="I83" s="638">
        <v>87059.605085963325</v>
      </c>
      <c r="J83" s="638">
        <v>84040.113393185107</v>
      </c>
      <c r="K83" s="638">
        <v>84380.124024086006</v>
      </c>
      <c r="L83" s="638">
        <v>84451.921064176859</v>
      </c>
    </row>
    <row r="84" spans="2:12" s="256" customFormat="1" ht="15" hidden="1">
      <c r="E84" s="257"/>
      <c r="F84" s="257"/>
      <c r="G84" s="257"/>
      <c r="H84" s="257"/>
      <c r="I84" s="638"/>
      <c r="J84" s="638"/>
      <c r="K84" s="638"/>
      <c r="L84" s="638"/>
    </row>
    <row r="85" spans="2:12" s="256" customFormat="1" ht="15" hidden="1">
      <c r="E85" s="257"/>
      <c r="F85" s="257"/>
      <c r="G85" s="257"/>
      <c r="H85" s="257"/>
      <c r="I85" s="638">
        <v>1138739.6345244003</v>
      </c>
      <c r="J85" s="638">
        <v>1099244.683182861</v>
      </c>
      <c r="K85" s="638">
        <v>1103692.0222350447</v>
      </c>
      <c r="L85" s="638">
        <v>1104631.1275194334</v>
      </c>
    </row>
    <row r="86" spans="2:12" s="256" customFormat="1" ht="15" hidden="1">
      <c r="E86" s="257"/>
      <c r="F86" s="257"/>
      <c r="G86" s="257"/>
      <c r="H86" s="257"/>
      <c r="I86" s="638">
        <v>1062823.6588894406</v>
      </c>
      <c r="J86" s="638">
        <v>1025961.7043040037</v>
      </c>
      <c r="K86" s="638">
        <v>1030112.5540860419</v>
      </c>
      <c r="L86" s="638">
        <v>1030989.052351471</v>
      </c>
    </row>
    <row r="87" spans="2:12" s="256" customFormat="1" ht="15" hidden="1">
      <c r="E87" s="257"/>
      <c r="F87" s="257"/>
      <c r="G87" s="257"/>
      <c r="H87" s="257"/>
      <c r="I87" s="640"/>
      <c r="J87" s="639"/>
      <c r="K87" s="639"/>
      <c r="L87" s="639"/>
    </row>
    <row r="88" spans="2:12" s="256" customFormat="1" ht="15" hidden="1">
      <c r="E88" s="257"/>
      <c r="F88" s="257"/>
      <c r="G88" s="257"/>
      <c r="H88" s="257"/>
      <c r="I88" s="638">
        <v>11691060.247783845</v>
      </c>
      <c r="J88" s="638">
        <v>11285578.747344041</v>
      </c>
      <c r="K88" s="638">
        <v>11331238.094946461</v>
      </c>
      <c r="L88" s="638">
        <v>11340879.575866181</v>
      </c>
    </row>
    <row r="89" spans="2:12" ht="15">
      <c r="B89" s="256"/>
      <c r="C89" s="256"/>
      <c r="D89" s="256"/>
      <c r="E89" s="257"/>
      <c r="F89" s="257"/>
      <c r="G89" s="257"/>
      <c r="H89" s="257"/>
      <c r="I89" s="257"/>
      <c r="J89" s="257"/>
      <c r="K89" s="257"/>
      <c r="L89" s="257"/>
    </row>
  </sheetData>
  <mergeCells count="6">
    <mergeCell ref="E5:H5"/>
    <mergeCell ref="I5:L5"/>
    <mergeCell ref="V5:Y5"/>
    <mergeCell ref="Z5:AC5"/>
    <mergeCell ref="N5:Q5"/>
    <mergeCell ref="R5:U5"/>
  </mergeCells>
  <pageMargins left="0.7" right="0.7" top="0.75" bottom="0.75" header="0.3" footer="0.3"/>
  <pageSetup orientation="portrait" horizontalDpi="1200" verticalDpi="1200" r:id="rId1"/>
  <ignoredErrors>
    <ignoredError sqref="E24:H24 I24:L24" formula="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AF91"/>
  <sheetViews>
    <sheetView topLeftCell="A4" zoomScale="90" zoomScaleNormal="90" workbookViewId="0">
      <selection activeCell="A10" sqref="A10"/>
    </sheetView>
  </sheetViews>
  <sheetFormatPr defaultColWidth="9.140625" defaultRowHeight="15" outlineLevelRow="1" outlineLevelCol="1"/>
  <cols>
    <col min="1" max="1" width="11.140625" style="256" bestFit="1" customWidth="1"/>
    <col min="2" max="2" width="39.85546875" style="256" customWidth="1"/>
    <col min="3" max="3" width="26.28515625" style="256" customWidth="1"/>
    <col min="4" max="11" width="15.7109375" style="256" customWidth="1"/>
    <col min="12" max="12" width="2.5703125" style="256" customWidth="1"/>
    <col min="13" max="16" width="26.85546875" style="256" customWidth="1" outlineLevel="1"/>
    <col min="17" max="20" width="26.140625" style="256" customWidth="1" outlineLevel="1"/>
    <col min="21" max="24" width="15.7109375" style="256" customWidth="1" outlineLevel="1"/>
    <col min="25" max="25" width="10.5703125" style="256" customWidth="1" outlineLevel="1"/>
    <col min="26" max="26" width="11.5703125" style="256" customWidth="1" outlineLevel="1"/>
    <col min="27" max="27" width="10.42578125" style="256" customWidth="1" outlineLevel="1"/>
    <col min="28" max="28" width="9.42578125" style="256" customWidth="1" outlineLevel="1"/>
    <col min="29" max="29" width="7.5703125" style="256" bestFit="1" customWidth="1"/>
    <col min="30" max="16384" width="9.140625" style="256"/>
  </cols>
  <sheetData>
    <row r="1" spans="1:32" s="838" customFormat="1" ht="12.75" hidden="1" customHeight="1" outlineLevel="1">
      <c r="B1" s="839" t="s">
        <v>527</v>
      </c>
      <c r="C1" s="838">
        <v>1000</v>
      </c>
      <c r="D1" s="840" t="str">
        <f>D2&amp;"_"&amp;D3</f>
        <v>1_CT</v>
      </c>
      <c r="E1" s="840" t="str">
        <f t="shared" ref="E1:K1" si="0">E2&amp;"_"&amp;E3</f>
        <v>2_CT</v>
      </c>
      <c r="F1" s="840" t="str">
        <f t="shared" si="0"/>
        <v>3_CT</v>
      </c>
      <c r="G1" s="840" t="str">
        <f t="shared" si="0"/>
        <v>4_CT</v>
      </c>
      <c r="H1" s="840" t="str">
        <f t="shared" si="0"/>
        <v>1_CC</v>
      </c>
      <c r="I1" s="840" t="str">
        <f t="shared" si="0"/>
        <v>2_CC</v>
      </c>
      <c r="J1" s="840" t="str">
        <f t="shared" si="0"/>
        <v>3_CC</v>
      </c>
      <c r="K1" s="840" t="str">
        <f t="shared" si="0"/>
        <v>4_CC</v>
      </c>
      <c r="L1" s="840"/>
      <c r="M1" s="840"/>
      <c r="N1" s="840"/>
      <c r="O1" s="840"/>
      <c r="P1" s="840"/>
      <c r="Q1" s="840"/>
      <c r="R1" s="840"/>
      <c r="S1" s="840"/>
      <c r="T1" s="840"/>
      <c r="U1" s="840"/>
      <c r="V1" s="840"/>
      <c r="W1" s="840"/>
      <c r="X1" s="840"/>
    </row>
    <row r="2" spans="1:32" s="838" customFormat="1" ht="12.75" hidden="1" customHeight="1" outlineLevel="1">
      <c r="B2" s="839" t="s">
        <v>528</v>
      </c>
      <c r="C2" s="838">
        <v>1000000</v>
      </c>
      <c r="D2" s="842">
        <v>1</v>
      </c>
      <c r="E2" s="841">
        <v>2</v>
      </c>
      <c r="F2" s="841">
        <v>3</v>
      </c>
      <c r="G2" s="841">
        <v>4</v>
      </c>
      <c r="H2" s="838">
        <v>1</v>
      </c>
      <c r="I2" s="838">
        <v>2</v>
      </c>
      <c r="J2" s="838">
        <v>3</v>
      </c>
      <c r="K2" s="838">
        <v>4</v>
      </c>
    </row>
    <row r="3" spans="1:32" s="838" customFormat="1" ht="12.75" hidden="1" customHeight="1" outlineLevel="1">
      <c r="B3" s="839" t="s">
        <v>529</v>
      </c>
      <c r="C3" s="838">
        <v>24</v>
      </c>
      <c r="D3" s="842" t="s">
        <v>76</v>
      </c>
      <c r="E3" s="842" t="s">
        <v>76</v>
      </c>
      <c r="F3" s="842" t="s">
        <v>76</v>
      </c>
      <c r="G3" s="842" t="s">
        <v>76</v>
      </c>
      <c r="H3" s="841" t="s">
        <v>77</v>
      </c>
      <c r="I3" s="841" t="s">
        <v>77</v>
      </c>
      <c r="J3" s="841" t="s">
        <v>77</v>
      </c>
      <c r="K3" s="841" t="s">
        <v>77</v>
      </c>
      <c r="L3" s="841"/>
      <c r="M3" s="842" t="s">
        <v>76</v>
      </c>
      <c r="N3" s="842" t="s">
        <v>76</v>
      </c>
      <c r="O3" s="842" t="s">
        <v>76</v>
      </c>
      <c r="P3" s="842" t="s">
        <v>76</v>
      </c>
      <c r="Q3" s="841"/>
      <c r="R3" s="841"/>
      <c r="S3" s="841"/>
      <c r="T3" s="841"/>
      <c r="U3" s="841"/>
      <c r="V3" s="841"/>
      <c r="W3" s="841"/>
      <c r="X3" s="841"/>
    </row>
    <row r="4" spans="1:32" ht="12.75" customHeight="1" collapsed="1">
      <c r="B4" s="260"/>
      <c r="D4" s="1492" t="s">
        <v>739</v>
      </c>
      <c r="E4" s="1493"/>
      <c r="F4" s="1493"/>
      <c r="G4" s="1493"/>
      <c r="H4" s="1492" t="s">
        <v>739</v>
      </c>
      <c r="I4" s="1493"/>
      <c r="J4" s="1493"/>
      <c r="K4" s="1493"/>
      <c r="M4" s="1589" t="s">
        <v>741</v>
      </c>
      <c r="N4" s="1590"/>
      <c r="O4" s="1590"/>
      <c r="P4" s="1590"/>
      <c r="Q4" s="1589" t="s">
        <v>740</v>
      </c>
      <c r="R4" s="1590"/>
      <c r="S4" s="1590"/>
      <c r="T4" s="1590"/>
      <c r="U4" s="1589" t="s">
        <v>748</v>
      </c>
      <c r="V4" s="1589"/>
      <c r="W4" s="1589"/>
      <c r="X4" s="1589"/>
      <c r="Y4" s="1589" t="s">
        <v>749</v>
      </c>
      <c r="Z4" s="1589"/>
      <c r="AA4" s="1589"/>
      <c r="AB4" s="1589"/>
    </row>
    <row r="5" spans="1:32" ht="6" customHeight="1" thickBot="1">
      <c r="B5" s="691"/>
      <c r="C5" s="262"/>
      <c r="D5" s="262"/>
      <c r="E5" s="262"/>
      <c r="F5" s="262"/>
      <c r="G5" s="262"/>
      <c r="H5" s="262"/>
      <c r="I5" s="262"/>
      <c r="J5" s="262"/>
      <c r="K5" s="262"/>
      <c r="L5" s="463"/>
      <c r="M5" s="262"/>
      <c r="N5" s="262"/>
      <c r="O5" s="262"/>
      <c r="P5" s="262"/>
      <c r="Q5" s="262"/>
      <c r="R5" s="262"/>
      <c r="S5" s="262"/>
      <c r="T5" s="262"/>
      <c r="U5" s="262"/>
      <c r="V5" s="262"/>
      <c r="W5" s="262"/>
      <c r="X5" s="262"/>
      <c r="Y5" s="262"/>
      <c r="Z5" s="262"/>
      <c r="AA5" s="262"/>
      <c r="AB5" s="262"/>
    </row>
    <row r="6" spans="1:32" ht="6" customHeight="1" thickTop="1">
      <c r="A6" s="260"/>
      <c r="B6" s="693"/>
      <c r="C6" s="692"/>
      <c r="G6" s="692"/>
      <c r="H6" s="1415"/>
      <c r="K6" s="692"/>
      <c r="L6" s="463"/>
      <c r="M6" s="693"/>
      <c r="P6" s="692"/>
      <c r="Q6" s="1415"/>
      <c r="T6" s="692"/>
      <c r="U6" s="1415"/>
      <c r="X6" s="692"/>
      <c r="Y6" s="1415"/>
      <c r="AB6" s="692"/>
    </row>
    <row r="7" spans="1:32" ht="12.75" customHeight="1">
      <c r="A7" s="260"/>
      <c r="B7" s="759"/>
      <c r="C7" s="694"/>
      <c r="D7" s="695" t="s">
        <v>120</v>
      </c>
      <c r="E7" s="286" t="s">
        <v>121</v>
      </c>
      <c r="F7" s="286" t="s">
        <v>111</v>
      </c>
      <c r="G7" s="587" t="s">
        <v>122</v>
      </c>
      <c r="H7" s="695" t="s">
        <v>120</v>
      </c>
      <c r="I7" s="286" t="s">
        <v>121</v>
      </c>
      <c r="J7" s="286" t="s">
        <v>111</v>
      </c>
      <c r="K7" s="587" t="s">
        <v>122</v>
      </c>
      <c r="L7" s="281"/>
      <c r="M7" s="695" t="s">
        <v>120</v>
      </c>
      <c r="N7" s="286" t="s">
        <v>121</v>
      </c>
      <c r="O7" s="286" t="s">
        <v>111</v>
      </c>
      <c r="P7" s="587" t="s">
        <v>122</v>
      </c>
      <c r="Q7" s="286" t="s">
        <v>120</v>
      </c>
      <c r="R7" s="286" t="s">
        <v>121</v>
      </c>
      <c r="S7" s="286" t="s">
        <v>111</v>
      </c>
      <c r="T7" s="587" t="s">
        <v>122</v>
      </c>
      <c r="U7" s="286" t="s">
        <v>120</v>
      </c>
      <c r="V7" s="286" t="s">
        <v>121</v>
      </c>
      <c r="W7" s="286" t="s">
        <v>111</v>
      </c>
      <c r="X7" s="587" t="s">
        <v>122</v>
      </c>
      <c r="Y7" s="286" t="s">
        <v>120</v>
      </c>
      <c r="Z7" s="286" t="s">
        <v>121</v>
      </c>
      <c r="AA7" s="286" t="s">
        <v>111</v>
      </c>
      <c r="AB7" s="587" t="s">
        <v>122</v>
      </c>
    </row>
    <row r="8" spans="1:32" ht="45">
      <c r="B8" s="1852" t="s">
        <v>0</v>
      </c>
      <c r="C8" s="696" t="s">
        <v>125</v>
      </c>
      <c r="D8" s="276" t="s">
        <v>117</v>
      </c>
      <c r="E8" s="276" t="s">
        <v>117</v>
      </c>
      <c r="F8" s="276" t="s">
        <v>117</v>
      </c>
      <c r="G8" s="583" t="s">
        <v>117</v>
      </c>
      <c r="H8" s="276" t="str">
        <f>'Cost Assumptions'!Y8</f>
        <v>Combined Cycle Dry ACC</v>
      </c>
      <c r="I8" s="276" t="str">
        <f>'Cost Assumptions'!Z8</f>
        <v>Combined Cycle Dry ACC</v>
      </c>
      <c r="J8" s="276" t="str">
        <f>'Cost Assumptions'!AA8</f>
        <v>Combined Cycle Dry ACC</v>
      </c>
      <c r="K8" s="583" t="str">
        <f>'Cost Assumptions'!AB8</f>
        <v>Combined Cycle Dry ACC</v>
      </c>
      <c r="L8" s="276"/>
      <c r="M8" s="582" t="s">
        <v>117</v>
      </c>
      <c r="N8" s="276" t="s">
        <v>117</v>
      </c>
      <c r="O8" s="276" t="s">
        <v>117</v>
      </c>
      <c r="P8" s="583" t="s">
        <v>117</v>
      </c>
      <c r="Q8" s="276" t="s">
        <v>117</v>
      </c>
      <c r="R8" s="276" t="s">
        <v>117</v>
      </c>
      <c r="S8" s="276" t="s">
        <v>117</v>
      </c>
      <c r="T8" s="583" t="s">
        <v>117</v>
      </c>
      <c r="U8" s="1806" t="s">
        <v>737</v>
      </c>
      <c r="V8" s="698" t="s">
        <v>737</v>
      </c>
      <c r="W8" s="698" t="s">
        <v>737</v>
      </c>
      <c r="X8" s="699" t="s">
        <v>737</v>
      </c>
      <c r="Y8" s="1806" t="s">
        <v>738</v>
      </c>
      <c r="Z8" s="698" t="s">
        <v>738</v>
      </c>
      <c r="AA8" s="698" t="s">
        <v>738</v>
      </c>
      <c r="AB8" s="699" t="s">
        <v>738</v>
      </c>
      <c r="AD8" s="584" t="s">
        <v>126</v>
      </c>
    </row>
    <row r="9" spans="1:32" ht="6" customHeight="1">
      <c r="B9" s="1853"/>
      <c r="C9" s="700"/>
      <c r="D9" s="284"/>
      <c r="E9" s="284"/>
      <c r="F9" s="284"/>
      <c r="G9" s="285"/>
      <c r="H9" s="1738"/>
      <c r="I9" s="284"/>
      <c r="J9" s="284"/>
      <c r="K9" s="285"/>
      <c r="L9" s="272"/>
      <c r="M9" s="1738"/>
      <c r="N9" s="284"/>
      <c r="O9" s="284"/>
      <c r="P9" s="285"/>
      <c r="Q9" s="284"/>
      <c r="R9" s="284"/>
      <c r="S9" s="284"/>
      <c r="T9" s="285"/>
      <c r="U9" s="284"/>
      <c r="V9" s="284"/>
      <c r="W9" s="284"/>
      <c r="X9" s="285"/>
      <c r="Y9" s="284"/>
      <c r="Z9" s="284"/>
      <c r="AA9" s="284"/>
      <c r="AB9" s="285"/>
    </row>
    <row r="10" spans="1:32" ht="6" customHeight="1">
      <c r="B10" s="759"/>
      <c r="C10" s="694"/>
      <c r="D10" s="272"/>
      <c r="E10" s="272"/>
      <c r="F10" s="272"/>
      <c r="G10" s="288"/>
      <c r="H10" s="272"/>
      <c r="I10" s="272"/>
      <c r="J10" s="272"/>
      <c r="K10" s="288"/>
      <c r="L10" s="272"/>
      <c r="M10" s="287"/>
      <c r="N10" s="272"/>
      <c r="O10" s="272"/>
      <c r="P10" s="288"/>
      <c r="Q10" s="272"/>
      <c r="R10" s="272"/>
      <c r="S10" s="272"/>
      <c r="T10" s="288"/>
      <c r="U10" s="272"/>
      <c r="V10" s="272"/>
      <c r="W10" s="272"/>
      <c r="X10" s="288"/>
      <c r="Y10" s="272"/>
      <c r="Z10" s="272"/>
      <c r="AA10" s="272"/>
      <c r="AB10" s="1851"/>
    </row>
    <row r="11" spans="1:32">
      <c r="B11" s="1828" t="s">
        <v>365</v>
      </c>
      <c r="C11" s="589"/>
      <c r="D11" s="588"/>
      <c r="E11" s="589"/>
      <c r="F11" s="588"/>
      <c r="G11" s="670"/>
      <c r="H11" s="588"/>
      <c r="I11" s="1384"/>
      <c r="J11" s="588"/>
      <c r="K11" s="670"/>
      <c r="L11" s="589"/>
      <c r="M11" s="1827"/>
      <c r="N11" s="589"/>
      <c r="O11" s="589"/>
      <c r="P11" s="670"/>
      <c r="Q11" s="589"/>
      <c r="R11" s="589"/>
      <c r="S11" s="589"/>
      <c r="T11" s="670"/>
      <c r="U11" s="588"/>
      <c r="V11" s="589"/>
      <c r="W11" s="588"/>
      <c r="X11" s="670"/>
      <c r="Y11" s="588"/>
      <c r="Z11" s="589"/>
      <c r="AA11" s="588"/>
      <c r="AB11" s="670"/>
    </row>
    <row r="12" spans="1:32">
      <c r="A12" s="701"/>
      <c r="B12" s="1854" t="s">
        <v>366</v>
      </c>
      <c r="C12" s="703"/>
      <c r="D12" s="704"/>
      <c r="E12" s="704"/>
      <c r="F12" s="704"/>
      <c r="G12" s="710"/>
      <c r="H12" s="706"/>
      <c r="I12" s="706"/>
      <c r="J12" s="706"/>
      <c r="K12" s="707"/>
      <c r="L12" s="706"/>
      <c r="M12" s="705"/>
      <c r="N12" s="706"/>
      <c r="O12" s="706"/>
      <c r="P12" s="707"/>
      <c r="Q12" s="706"/>
      <c r="R12" s="706"/>
      <c r="S12" s="706"/>
      <c r="T12" s="707"/>
      <c r="U12" s="706"/>
      <c r="V12" s="706"/>
      <c r="W12" s="706"/>
      <c r="X12" s="707"/>
      <c r="Y12" s="706"/>
      <c r="Z12" s="706"/>
      <c r="AA12" s="706"/>
      <c r="AB12" s="707"/>
    </row>
    <row r="13" spans="1:32" ht="12.75" customHeight="1">
      <c r="B13" s="1854" t="s">
        <v>367</v>
      </c>
      <c r="C13" s="708" t="s">
        <v>162</v>
      </c>
      <c r="D13" s="1494">
        <f>INDEX('Cost Assumptions'!$Q$13:$T$13, MATCH('Cost Assumptions'!D$7, 'Cost Assumptions'!$Q$7:$T$7, 0))</f>
        <v>360.589</v>
      </c>
      <c r="E13" s="1494">
        <f>INDEX('Cost Assumptions'!$Q$13:$T$13, MATCH('Cost Assumptions'!E$7, 'Cost Assumptions'!$Q$7:$T$7, 0))</f>
        <v>362.83800000000002</v>
      </c>
      <c r="F13" s="1494">
        <f>INDEX('Cost Assumptions'!$Q$13:$T$13, MATCH('Cost Assumptions'!F$7, 'Cost Assumptions'!$Q$7:$T$7, 0))</f>
        <v>352.92700000000002</v>
      </c>
      <c r="G13" s="1807">
        <f>INDEX('Cost Assumptions'!$Q$13:$T$13, MATCH('Cost Assumptions'!G$7, 'Cost Assumptions'!$Q$7:$T$7, 0))</f>
        <v>349.94</v>
      </c>
      <c r="H13" s="1494">
        <f>INDEX('Cost Assumptions'!$Y$13:$AB$13, MATCH('Cost Assumptions'!H$7, 'Cost Assumptions'!$Y$7:$AB$7, 0))</f>
        <v>1043.3599999999999</v>
      </c>
      <c r="I13" s="1494">
        <f>INDEX('Cost Assumptions'!$Y$13:$AB$13, MATCH('Cost Assumptions'!I$7, 'Cost Assumptions'!$Y$7:$AB$7, 0))</f>
        <v>1046.7660000000001</v>
      </c>
      <c r="J13" s="1494">
        <f>INDEX('Cost Assumptions'!$Y$13:$AB$13, MATCH('Cost Assumptions'!J$7, 'Cost Assumptions'!$Y$7:$AB$7, 0))</f>
        <v>1020.405</v>
      </c>
      <c r="K13" s="1807">
        <f>INDEX('Cost Assumptions'!$Y$13:$AB$13, MATCH('Cost Assumptions'!K$7, 'Cost Assumptions'!$Y$7:$AB$7, 0))</f>
        <v>1011.076</v>
      </c>
      <c r="L13" s="704"/>
      <c r="M13" s="709">
        <v>360.589</v>
      </c>
      <c r="N13" s="704">
        <v>362.83800000000002</v>
      </c>
      <c r="O13" s="704">
        <v>352.92700000000002</v>
      </c>
      <c r="P13" s="710">
        <v>349.94</v>
      </c>
      <c r="Q13" s="704">
        <v>360.589</v>
      </c>
      <c r="R13" s="704">
        <v>362.83800000000002</v>
      </c>
      <c r="S13" s="704">
        <v>352.92700000000002</v>
      </c>
      <c r="T13" s="710">
        <v>349.94</v>
      </c>
      <c r="U13" s="1487">
        <v>1055.637810406316</v>
      </c>
      <c r="V13" s="1487">
        <v>1062.8413427423161</v>
      </c>
      <c r="W13" s="1487">
        <v>1034.1655315783159</v>
      </c>
      <c r="X13" s="1488">
        <v>1025.126781858316</v>
      </c>
      <c r="Y13" s="1487">
        <v>1043.3599999999999</v>
      </c>
      <c r="Z13" s="1487">
        <v>1046.7660000000001</v>
      </c>
      <c r="AA13" s="1487">
        <v>1020.405</v>
      </c>
      <c r="AB13" s="1488">
        <v>1011.076</v>
      </c>
      <c r="AE13" s="1475">
        <f>MIN(Y13:AB13)</f>
        <v>1011.076</v>
      </c>
      <c r="AF13" s="1475">
        <f>MAX(Y13:AB13)</f>
        <v>1046.7660000000001</v>
      </c>
    </row>
    <row r="14" spans="1:32" ht="12.75" customHeight="1">
      <c r="B14" s="1854" t="s">
        <v>368</v>
      </c>
      <c r="C14" s="708" t="s">
        <v>162</v>
      </c>
      <c r="D14" s="1494">
        <f>INDEX('Cost Assumptions'!$Q$14:$T$14, MATCH('Cost Assumptions'!D$7, 'Cost Assumptions'!$Q$7:$T$7, 0))</f>
        <v>371.10399999999998</v>
      </c>
      <c r="E14" s="1494">
        <f>INDEX('Cost Assumptions'!$Q$14:$T$14, MATCH('Cost Assumptions'!E$7, 'Cost Assumptions'!$Q$7:$T$7, 0))</f>
        <v>373.52</v>
      </c>
      <c r="F14" s="1494">
        <f>INDEX('Cost Assumptions'!$Q$14:$T$14, MATCH('Cost Assumptions'!F$7, 'Cost Assumptions'!$Q$7:$T$7, 0))</f>
        <v>362.31900000000002</v>
      </c>
      <c r="G14" s="1807">
        <f>INDEX('Cost Assumptions'!$Q$14:$T$14, MATCH('Cost Assumptions'!G$7, 'Cost Assumptions'!$Q$7:$T$7, 0))</f>
        <v>359.55099999999999</v>
      </c>
      <c r="H14" s="1494">
        <f>INDEX('Cost Assumptions'!$Y$14:$AB$14, MATCH('Cost Assumptions'!H$7, 'Cost Assumptions'!$Y$7:$AB$7, 0))</f>
        <v>1070.7760000000001</v>
      </c>
      <c r="I14" s="1494">
        <f>INDEX('Cost Assumptions'!$Y$14:$AB$14, MATCH('Cost Assumptions'!I$7, 'Cost Assumptions'!$Y$7:$AB$7, 0))</f>
        <v>1077.26</v>
      </c>
      <c r="J14" s="1494">
        <f>INDEX('Cost Assumptions'!$Y$14:$AB$14, MATCH('Cost Assumptions'!J$7, 'Cost Assumptions'!$Y$7:$AB$7, 0))</f>
        <v>1045.7339999999999</v>
      </c>
      <c r="K14" s="1807">
        <f>INDEX('Cost Assumptions'!$Y$14:$AB$14, MATCH('Cost Assumptions'!K$7, 'Cost Assumptions'!$Y$7:$AB$7, 0))</f>
        <v>1037.8330000000001</v>
      </c>
      <c r="L14" s="704"/>
      <c r="M14" s="709">
        <v>371.10399999999998</v>
      </c>
      <c r="N14" s="704">
        <v>373.52</v>
      </c>
      <c r="O14" s="704">
        <v>362.31900000000002</v>
      </c>
      <c r="P14" s="710">
        <v>359.55099999999999</v>
      </c>
      <c r="Q14" s="704">
        <v>371.10399999999998</v>
      </c>
      <c r="R14" s="704">
        <v>373.52</v>
      </c>
      <c r="S14" s="704">
        <v>362.31900000000002</v>
      </c>
      <c r="T14" s="710">
        <v>359.55099999999999</v>
      </c>
      <c r="U14" s="1487">
        <v>1081.0748180023161</v>
      </c>
      <c r="V14" s="1487">
        <v>1087.6159926423161</v>
      </c>
      <c r="W14" s="1487">
        <v>1056.327831738316</v>
      </c>
      <c r="X14" s="1488">
        <v>1048.1904064423161</v>
      </c>
      <c r="Y14" s="1487">
        <v>1070.7760000000001</v>
      </c>
      <c r="Z14" s="1487">
        <v>1077.26</v>
      </c>
      <c r="AA14" s="1487">
        <v>1045.7339999999999</v>
      </c>
      <c r="AB14" s="1488">
        <v>1037.8330000000001</v>
      </c>
    </row>
    <row r="15" spans="1:32" ht="12.75" customHeight="1">
      <c r="B15" s="1854"/>
      <c r="C15" s="708"/>
      <c r="D15" s="704"/>
      <c r="E15" s="704"/>
      <c r="F15" s="704"/>
      <c r="G15" s="710"/>
      <c r="H15" s="704"/>
      <c r="I15" s="704"/>
      <c r="J15" s="704"/>
      <c r="K15" s="710"/>
      <c r="L15" s="704"/>
      <c r="M15" s="709"/>
      <c r="N15" s="704"/>
      <c r="O15" s="704"/>
      <c r="P15" s="710"/>
      <c r="Q15" s="704"/>
      <c r="R15" s="704"/>
      <c r="S15" s="704"/>
      <c r="T15" s="710"/>
      <c r="U15" s="1487"/>
      <c r="V15" s="1487"/>
      <c r="W15" s="1487"/>
      <c r="X15" s="1488"/>
      <c r="Y15" s="1487"/>
      <c r="Z15" s="1487"/>
      <c r="AA15" s="1487"/>
      <c r="AB15" s="1488"/>
    </row>
    <row r="16" spans="1:32" ht="12.75" customHeight="1">
      <c r="B16" s="1854" t="s">
        <v>369</v>
      </c>
      <c r="C16" s="708"/>
      <c r="D16" s="704"/>
      <c r="E16" s="704"/>
      <c r="F16" s="704"/>
      <c r="G16" s="710"/>
      <c r="H16" s="704"/>
      <c r="I16" s="704"/>
      <c r="J16" s="704"/>
      <c r="K16" s="710"/>
      <c r="L16" s="704"/>
      <c r="M16" s="709"/>
      <c r="N16" s="704"/>
      <c r="O16" s="704"/>
      <c r="P16" s="710"/>
      <c r="Q16" s="704"/>
      <c r="R16" s="704"/>
      <c r="S16" s="704"/>
      <c r="T16" s="710"/>
      <c r="U16" s="1487"/>
      <c r="V16" s="1487"/>
      <c r="W16" s="1487"/>
      <c r="X16" s="1488"/>
      <c r="Y16" s="1487"/>
      <c r="Z16" s="1487"/>
      <c r="AA16" s="1487"/>
      <c r="AB16" s="1488"/>
    </row>
    <row r="17" spans="2:32" ht="12.75" customHeight="1">
      <c r="B17" s="1854" t="s">
        <v>367</v>
      </c>
      <c r="C17" s="708" t="s">
        <v>162</v>
      </c>
      <c r="D17" s="1494" t="str">
        <f>INDEX('Cost Assumptions'!$Q$17:$T$17, MATCH('Cost Assumptions'!D$7, 'Cost Assumptions'!$Q$7:$T$7, 0))</f>
        <v>--</v>
      </c>
      <c r="E17" s="1494" t="str">
        <f>INDEX('Cost Assumptions'!$Q$17:$T$17, MATCH('Cost Assumptions'!E$7, 'Cost Assumptions'!$Q$7:$T$7, 0))</f>
        <v>--</v>
      </c>
      <c r="F17" s="1494" t="str">
        <f>INDEX('Cost Assumptions'!$Q$17:$T$17, MATCH('Cost Assumptions'!F$7, 'Cost Assumptions'!$Q$7:$T$7, 0))</f>
        <v>--</v>
      </c>
      <c r="G17" s="1807" t="str">
        <f>INDEX('Cost Assumptions'!$Q$17:$T$17, MATCH('Cost Assumptions'!G$7, 'Cost Assumptions'!$Q$7:$T$7, 0))</f>
        <v>--</v>
      </c>
      <c r="H17" s="1494">
        <f>INDEX('Cost Assumptions'!$Y$17:$AB$17, MATCH('Cost Assumptions'!H$7, 'Cost Assumptions'!$Y$7:$AB$7, 0))</f>
        <v>1170.73</v>
      </c>
      <c r="I17" s="1494">
        <f>INDEX('Cost Assumptions'!$Y$17:$AB$17, MATCH('Cost Assumptions'!I$7, 'Cost Assumptions'!$Y$7:$AB$7, 0))</f>
        <v>1173.6579999999999</v>
      </c>
      <c r="J17" s="1494">
        <f>INDEX('Cost Assumptions'!$Y$17:$AB$17, MATCH('Cost Assumptions'!J$7, 'Cost Assumptions'!$Y$7:$AB$7, 0))</f>
        <v>1144.0940000000001</v>
      </c>
      <c r="K17" s="1807">
        <f>INDEX('Cost Assumptions'!$Y$17:$AB$17, MATCH('Cost Assumptions'!K$7, 'Cost Assumptions'!$Y$7:$AB$7, 0))</f>
        <v>1133.424</v>
      </c>
      <c r="L17" s="704"/>
      <c r="M17" s="1217" t="s">
        <v>370</v>
      </c>
      <c r="N17" s="711" t="s">
        <v>370</v>
      </c>
      <c r="O17" s="711" t="s">
        <v>370</v>
      </c>
      <c r="P17" s="1219" t="s">
        <v>370</v>
      </c>
      <c r="Q17" s="711" t="s">
        <v>370</v>
      </c>
      <c r="R17" s="711" t="s">
        <v>370</v>
      </c>
      <c r="S17" s="711" t="s">
        <v>370</v>
      </c>
      <c r="T17" s="1219" t="s">
        <v>370</v>
      </c>
      <c r="U17" s="1487">
        <v>1185.224483622316</v>
      </c>
      <c r="V17" s="1487">
        <v>1192.420168118316</v>
      </c>
      <c r="W17" s="1487">
        <v>1160.239315414316</v>
      </c>
      <c r="X17" s="1488">
        <v>1149.8483828623159</v>
      </c>
      <c r="Y17" s="1487">
        <v>1170.73</v>
      </c>
      <c r="Z17" s="1487">
        <v>1173.6579999999999</v>
      </c>
      <c r="AA17" s="1487">
        <v>1144.0940000000001</v>
      </c>
      <c r="AB17" s="1488">
        <v>1133.424</v>
      </c>
      <c r="AE17" s="1475">
        <f>MIN(Y17:AB17)</f>
        <v>1133.424</v>
      </c>
      <c r="AF17" s="1475">
        <f>MAX(Y17:AB17)</f>
        <v>1173.6579999999999</v>
      </c>
    </row>
    <row r="18" spans="2:32" ht="12.6" customHeight="1">
      <c r="B18" s="1854" t="s">
        <v>368</v>
      </c>
      <c r="C18" s="708" t="s">
        <v>162</v>
      </c>
      <c r="D18" s="1494" t="str">
        <f>INDEX('Cost Assumptions'!$Q$18:$T$18, MATCH('Cost Assumptions'!D$7, 'Cost Assumptions'!$Q$7:$T$7, 0))</f>
        <v>--</v>
      </c>
      <c r="E18" s="1494" t="str">
        <f>INDEX('Cost Assumptions'!$Q$18:$T$18, MATCH('Cost Assumptions'!E$7, 'Cost Assumptions'!$Q$7:$T$7, 0))</f>
        <v>--</v>
      </c>
      <c r="F18" s="1494" t="str">
        <f>INDEX('Cost Assumptions'!$Q$18:$T$18, MATCH('Cost Assumptions'!F$7, 'Cost Assumptions'!$Q$7:$T$7, 0))</f>
        <v>--</v>
      </c>
      <c r="G18" s="1807" t="str">
        <f>INDEX('Cost Assumptions'!$Q$18:$T$18, MATCH('Cost Assumptions'!G$7, 'Cost Assumptions'!$Q$7:$T$7, 0))</f>
        <v>--</v>
      </c>
      <c r="H18" s="1494">
        <f>INDEX('Cost Assumptions'!$Y$18:$AB$18, MATCH('Cost Assumptions'!H$7, 'Cost Assumptions'!$Y$7:$AB$7, 0))</f>
        <v>1196.655</v>
      </c>
      <c r="I18" s="1494">
        <f>INDEX('Cost Assumptions'!$Y$18:$AB$18, MATCH('Cost Assumptions'!I$7, 'Cost Assumptions'!$Y$7:$AB$7, 0))</f>
        <v>1203.115</v>
      </c>
      <c r="J18" s="1494">
        <f>INDEX('Cost Assumptions'!$Y$18:$AB$18, MATCH('Cost Assumptions'!J$7, 'Cost Assumptions'!$Y$7:$AB$7, 0))</f>
        <v>1168.2809999999999</v>
      </c>
      <c r="K18" s="1807">
        <f>INDEX('Cost Assumptions'!$Y$18:$AB$18, MATCH('Cost Assumptions'!K$7, 'Cost Assumptions'!$Y$7:$AB$7, 0))</f>
        <v>1159.172</v>
      </c>
      <c r="L18" s="704"/>
      <c r="M18" s="1217" t="s">
        <v>370</v>
      </c>
      <c r="N18" s="704" t="s">
        <v>370</v>
      </c>
      <c r="O18" s="704" t="s">
        <v>370</v>
      </c>
      <c r="P18" s="710" t="s">
        <v>370</v>
      </c>
      <c r="Q18" s="711" t="s">
        <v>370</v>
      </c>
      <c r="R18" s="704" t="s">
        <v>370</v>
      </c>
      <c r="S18" s="704" t="s">
        <v>370</v>
      </c>
      <c r="T18" s="710" t="s">
        <v>370</v>
      </c>
      <c r="U18" s="1487">
        <v>1211.3179630343161</v>
      </c>
      <c r="V18" s="1487">
        <v>1217.999025422316</v>
      </c>
      <c r="W18" s="1487">
        <v>1183.008253606316</v>
      </c>
      <c r="X18" s="1488">
        <v>1173.511582422316</v>
      </c>
      <c r="Y18" s="1487">
        <v>1196.655</v>
      </c>
      <c r="Z18" s="1487">
        <v>1203.115</v>
      </c>
      <c r="AA18" s="1487">
        <v>1168.2809999999999</v>
      </c>
      <c r="AB18" s="1488">
        <v>1159.172</v>
      </c>
    </row>
    <row r="19" spans="2:32" ht="12.75" customHeight="1">
      <c r="B19" s="1854"/>
      <c r="C19" s="708"/>
      <c r="D19" s="704"/>
      <c r="E19" s="704"/>
      <c r="F19" s="704"/>
      <c r="G19" s="710"/>
      <c r="H19" s="704"/>
      <c r="I19" s="704"/>
      <c r="J19" s="704"/>
      <c r="K19" s="710"/>
      <c r="L19" s="704"/>
      <c r="M19" s="709"/>
      <c r="N19" s="704"/>
      <c r="O19" s="704"/>
      <c r="P19" s="710"/>
      <c r="Q19" s="704"/>
      <c r="R19" s="704"/>
      <c r="S19" s="704"/>
      <c r="T19" s="710"/>
      <c r="U19" s="704"/>
      <c r="V19" s="704"/>
      <c r="W19" s="704"/>
      <c r="X19" s="710"/>
      <c r="Y19" s="704"/>
      <c r="Z19" s="704"/>
      <c r="AA19" s="704"/>
      <c r="AB19" s="710"/>
    </row>
    <row r="20" spans="2:32" ht="12.75" customHeight="1">
      <c r="B20" s="1854" t="s">
        <v>371</v>
      </c>
      <c r="C20" s="708"/>
      <c r="D20" s="704"/>
      <c r="E20" s="704"/>
      <c r="F20" s="704"/>
      <c r="G20" s="710"/>
      <c r="H20" s="704"/>
      <c r="I20" s="704"/>
      <c r="J20" s="704"/>
      <c r="K20" s="710"/>
      <c r="L20" s="704"/>
      <c r="M20" s="709"/>
      <c r="N20" s="704"/>
      <c r="O20" s="704"/>
      <c r="P20" s="710"/>
      <c r="Q20" s="704"/>
      <c r="R20" s="704"/>
      <c r="S20" s="704"/>
      <c r="T20" s="710"/>
      <c r="U20" s="704"/>
      <c r="V20" s="704"/>
      <c r="W20" s="704"/>
      <c r="X20" s="710"/>
      <c r="Y20" s="704"/>
      <c r="Z20" s="704"/>
      <c r="AA20" s="704"/>
      <c r="AB20" s="710"/>
    </row>
    <row r="21" spans="2:32">
      <c r="B21" s="1854" t="s">
        <v>372</v>
      </c>
      <c r="C21" s="708" t="s">
        <v>373</v>
      </c>
      <c r="D21" s="1495">
        <f>INDEX('Cost Assumptions'!$Q$21:$T$21, MATCH('Cost Assumptions'!D$7, 'Cost Assumptions'!$Q$7:$T$7, 0))</f>
        <v>9320</v>
      </c>
      <c r="E21" s="1495">
        <f>INDEX('Cost Assumptions'!$Q$21:$T$21, MATCH('Cost Assumptions'!E$7, 'Cost Assumptions'!$Q$7:$T$7, 0))</f>
        <v>9317</v>
      </c>
      <c r="F21" s="1495">
        <f>INDEX('Cost Assumptions'!$Q$21:$T$21, MATCH('Cost Assumptions'!F$7, 'Cost Assumptions'!$Q$7:$T$7, 0))</f>
        <v>9304</v>
      </c>
      <c r="G21" s="1601">
        <f>INDEX('Cost Assumptions'!$Q$21:$T$21, MATCH('Cost Assumptions'!G$7, 'Cost Assumptions'!$Q$7:$T$7, 0))</f>
        <v>9311</v>
      </c>
      <c r="H21" s="1597">
        <f>INDEX('Cost Assumptions'!$Y$21:$AB$21, MATCH('Cost Assumptions'!H$7, 'Cost Assumptions'!$Y$7:$AB$7, 0))</f>
        <v>6365</v>
      </c>
      <c r="I21" s="1597">
        <f>INDEX('Cost Assumptions'!$Y$21:$AB$21, MATCH('Cost Assumptions'!I$7, 'Cost Assumptions'!$Y$7:$AB$7, 0))</f>
        <v>6383</v>
      </c>
      <c r="J21" s="1597">
        <f>INDEX('Cost Assumptions'!$Y$21:$AB$21, MATCH('Cost Assumptions'!J$7, 'Cost Assumptions'!$Y$7:$AB$7, 0))</f>
        <v>6359</v>
      </c>
      <c r="K21" s="1598">
        <f>INDEX('Cost Assumptions'!$Y$21:$AB$21, MATCH('Cost Assumptions'!K$7, 'Cost Assumptions'!$Y$7:$AB$7, 0))</f>
        <v>6368</v>
      </c>
      <c r="L21" s="712"/>
      <c r="M21" s="713">
        <v>9320</v>
      </c>
      <c r="N21" s="712">
        <v>9317</v>
      </c>
      <c r="O21" s="712">
        <v>9304</v>
      </c>
      <c r="P21" s="714">
        <v>9311</v>
      </c>
      <c r="Q21" s="712">
        <v>9320</v>
      </c>
      <c r="R21" s="712">
        <v>9317</v>
      </c>
      <c r="S21" s="712">
        <v>9304</v>
      </c>
      <c r="T21" s="714">
        <v>9311</v>
      </c>
      <c r="U21" s="712">
        <v>6290.9993246100103</v>
      </c>
      <c r="V21" s="712">
        <v>6286.1930127463966</v>
      </c>
      <c r="W21" s="712">
        <v>6274.3948203404152</v>
      </c>
      <c r="X21" s="714">
        <v>6280.9792475716304</v>
      </c>
      <c r="Y21" s="1201">
        <v>6365</v>
      </c>
      <c r="Z21" s="1201">
        <v>6383</v>
      </c>
      <c r="AA21" s="1201">
        <v>6359</v>
      </c>
      <c r="AB21" s="1203">
        <v>6368</v>
      </c>
      <c r="AE21" s="1475">
        <f>MIN(Y21:AB21)</f>
        <v>6359</v>
      </c>
      <c r="AF21" s="1475">
        <f>MAX(Y21:AB21)</f>
        <v>6383</v>
      </c>
    </row>
    <row r="22" spans="2:32">
      <c r="B22" s="1854" t="s">
        <v>368</v>
      </c>
      <c r="C22" s="708" t="s">
        <v>373</v>
      </c>
      <c r="D22" s="1495">
        <f>INDEX('Cost Assumptions'!$Q$22:$T$22, MATCH('Cost Assumptions'!D$7, 'Cost Assumptions'!$Q$7:$T$7, 0))</f>
        <v>9187</v>
      </c>
      <c r="E22" s="1495">
        <f>INDEX('Cost Assumptions'!$Q$22:$T$22, MATCH('Cost Assumptions'!E$7, 'Cost Assumptions'!$Q$7:$T$7, 0))</f>
        <v>9187</v>
      </c>
      <c r="F22" s="1495">
        <f>INDEX('Cost Assumptions'!$Q$22:$T$22, MATCH('Cost Assumptions'!F$7, 'Cost Assumptions'!$Q$7:$T$7, 0))</f>
        <v>9190</v>
      </c>
      <c r="G22" s="1601">
        <f>INDEX('Cost Assumptions'!$Q$22:$T$22, MATCH('Cost Assumptions'!G$7, 'Cost Assumptions'!$Q$7:$T$7, 0))</f>
        <v>9191</v>
      </c>
      <c r="H22" s="1597">
        <f>INDEX('Cost Assumptions'!$Y$22:$AB$22, MATCH('Cost Assumptions'!H$7, 'Cost Assumptions'!$Y$7:$AB$7, 0))</f>
        <v>6292</v>
      </c>
      <c r="I22" s="1597">
        <f>INDEX('Cost Assumptions'!$Y$22:$AB$22, MATCH('Cost Assumptions'!I$7, 'Cost Assumptions'!$Y$7:$AB$7, 0))</f>
        <v>6295</v>
      </c>
      <c r="J22" s="1597">
        <f>INDEX('Cost Assumptions'!$Y$22:$AB$22, MATCH('Cost Assumptions'!J$7, 'Cost Assumptions'!$Y$7:$AB$7, 0))</f>
        <v>6292</v>
      </c>
      <c r="K22" s="1598">
        <f>INDEX('Cost Assumptions'!$Y$22:$AB$22, MATCH('Cost Assumptions'!K$7, 'Cost Assumptions'!$Y$7:$AB$7, 0))</f>
        <v>6292</v>
      </c>
      <c r="L22" s="712"/>
      <c r="M22" s="713">
        <v>9187</v>
      </c>
      <c r="N22" s="712">
        <v>9187</v>
      </c>
      <c r="O22" s="712">
        <v>9190</v>
      </c>
      <c r="P22" s="714">
        <v>9191</v>
      </c>
      <c r="Q22" s="712">
        <v>9187</v>
      </c>
      <c r="R22" s="712">
        <v>9187</v>
      </c>
      <c r="S22" s="712">
        <v>9190</v>
      </c>
      <c r="T22" s="714">
        <v>9191</v>
      </c>
      <c r="U22" s="712">
        <v>6232.5465051638548</v>
      </c>
      <c r="V22" s="712">
        <v>6234.6674225318038</v>
      </c>
      <c r="W22" s="712">
        <v>6229.0011461490576</v>
      </c>
      <c r="X22" s="714">
        <v>6230.1233903254497</v>
      </c>
      <c r="Y22" s="1201">
        <v>6292</v>
      </c>
      <c r="Z22" s="1201">
        <v>6295</v>
      </c>
      <c r="AA22" s="1201">
        <v>6292</v>
      </c>
      <c r="AB22" s="1203">
        <v>6292</v>
      </c>
    </row>
    <row r="23" spans="2:32" ht="12.75" customHeight="1">
      <c r="B23" s="1854"/>
      <c r="C23" s="708"/>
      <c r="D23" s="712"/>
      <c r="E23" s="712"/>
      <c r="F23" s="712"/>
      <c r="G23" s="714"/>
      <c r="H23" s="712"/>
      <c r="I23" s="712"/>
      <c r="J23" s="712"/>
      <c r="K23" s="714"/>
      <c r="L23" s="712"/>
      <c r="M23" s="713"/>
      <c r="N23" s="712"/>
      <c r="O23" s="712"/>
      <c r="P23" s="714"/>
      <c r="Q23" s="712"/>
      <c r="R23" s="712"/>
      <c r="S23" s="712"/>
      <c r="T23" s="714"/>
      <c r="U23" s="712"/>
      <c r="V23" s="712"/>
      <c r="W23" s="712"/>
      <c r="X23" s="714"/>
      <c r="Y23" s="1201"/>
      <c r="Z23" s="1201"/>
      <c r="AA23" s="1201"/>
      <c r="AB23" s="1203"/>
    </row>
    <row r="24" spans="2:32" ht="12.75" customHeight="1">
      <c r="B24" s="1854" t="s">
        <v>374</v>
      </c>
      <c r="C24" s="708"/>
      <c r="D24" s="704"/>
      <c r="E24" s="704"/>
      <c r="F24" s="704"/>
      <c r="G24" s="710"/>
      <c r="H24" s="704"/>
      <c r="I24" s="704"/>
      <c r="J24" s="704"/>
      <c r="K24" s="710"/>
      <c r="L24" s="704"/>
      <c r="M24" s="709"/>
      <c r="N24" s="704"/>
      <c r="O24" s="704"/>
      <c r="P24" s="710"/>
      <c r="Q24" s="704"/>
      <c r="R24" s="704"/>
      <c r="S24" s="704"/>
      <c r="T24" s="710"/>
      <c r="U24" s="704"/>
      <c r="V24" s="704"/>
      <c r="W24" s="704"/>
      <c r="X24" s="710"/>
      <c r="Y24" s="1487"/>
      <c r="Z24" s="1487"/>
      <c r="AA24" s="1487"/>
      <c r="AB24" s="1488"/>
    </row>
    <row r="25" spans="2:32">
      <c r="B25" s="1854" t="s">
        <v>372</v>
      </c>
      <c r="C25" s="708" t="s">
        <v>373</v>
      </c>
      <c r="D25" s="1494" t="str">
        <f>INDEX('Cost Assumptions'!$Q$25:$T$25, MATCH('Cost Assumptions'!D$7, 'Cost Assumptions'!$Q$7:$T$7, 0))</f>
        <v>--</v>
      </c>
      <c r="E25" s="1494" t="str">
        <f>INDEX('Cost Assumptions'!$Q$25:$T$25, MATCH('Cost Assumptions'!E$7, 'Cost Assumptions'!$Q$7:$T$7, 0))</f>
        <v>--</v>
      </c>
      <c r="F25" s="1494" t="str">
        <f>INDEX('Cost Assumptions'!$Q$25:$T$25, MATCH('Cost Assumptions'!F$7, 'Cost Assumptions'!$Q$7:$T$7, 0))</f>
        <v>--</v>
      </c>
      <c r="G25" s="1807" t="str">
        <f>INDEX('Cost Assumptions'!$Q$25:$T$25, MATCH('Cost Assumptions'!G$7, 'Cost Assumptions'!$Q$7:$T$7, 0))</f>
        <v>--</v>
      </c>
      <c r="H25" s="1902">
        <f>INDEX('Cost Assumptions'!$Y$25:$AB$25, MATCH('Cost Assumptions'!H$7, 'Cost Assumptions'!$Y$7:$AB$7, 0))</f>
        <v>6602</v>
      </c>
      <c r="I25" s="1902">
        <f>INDEX('Cost Assumptions'!$Y$25:$AB$25, MATCH('Cost Assumptions'!I$7, 'Cost Assumptions'!$Y$7:$AB$7, 0))</f>
        <v>6619</v>
      </c>
      <c r="J25" s="1902">
        <f>INDEX('Cost Assumptions'!$Y$25:$AB$25, MATCH('Cost Assumptions'!J$7, 'Cost Assumptions'!$Y$7:$AB$7, 0))</f>
        <v>6593</v>
      </c>
      <c r="K25" s="1903">
        <f>INDEX('Cost Assumptions'!$Y$25:$AB$25, MATCH('Cost Assumptions'!K$7, 'Cost Assumptions'!$Y$7:$AB$7, 0))</f>
        <v>6601</v>
      </c>
      <c r="L25" s="712"/>
      <c r="M25" s="1217" t="s">
        <v>370</v>
      </c>
      <c r="N25" s="711" t="s">
        <v>370</v>
      </c>
      <c r="O25" s="711" t="s">
        <v>370</v>
      </c>
      <c r="P25" s="1219" t="s">
        <v>370</v>
      </c>
      <c r="Q25" s="711" t="s">
        <v>370</v>
      </c>
      <c r="R25" s="711" t="s">
        <v>370</v>
      </c>
      <c r="S25" s="711" t="s">
        <v>370</v>
      </c>
      <c r="T25" s="1219" t="s">
        <v>370</v>
      </c>
      <c r="U25" s="712">
        <v>6520.9729829776452</v>
      </c>
      <c r="V25" s="712">
        <v>6515.3425900455795</v>
      </c>
      <c r="W25" s="712">
        <v>6501.4714743854383</v>
      </c>
      <c r="X25" s="714">
        <v>6507.1185191331269</v>
      </c>
      <c r="Y25" s="1201">
        <v>6602</v>
      </c>
      <c r="Z25" s="1201">
        <v>6619</v>
      </c>
      <c r="AA25" s="1201">
        <v>6593</v>
      </c>
      <c r="AB25" s="1203">
        <v>6601</v>
      </c>
      <c r="AE25" s="1475">
        <f>MIN(Y25:AB25)</f>
        <v>6593</v>
      </c>
      <c r="AF25" s="1475">
        <f>MAX(Y25:AB25)</f>
        <v>6619</v>
      </c>
    </row>
    <row r="26" spans="2:32">
      <c r="B26" s="1854" t="s">
        <v>368</v>
      </c>
      <c r="C26" s="708" t="s">
        <v>373</v>
      </c>
      <c r="D26" s="1494" t="str">
        <f>INDEX('Cost Assumptions'!$Q$26:$T$26, MATCH('Cost Assumptions'!D$7, 'Cost Assumptions'!$Q$7:$T$7, 0))</f>
        <v>--</v>
      </c>
      <c r="E26" s="1494" t="str">
        <f>INDEX('Cost Assumptions'!$Q$26:$T$26, MATCH('Cost Assumptions'!E$7, 'Cost Assumptions'!$Q$7:$T$7, 0))</f>
        <v>--</v>
      </c>
      <c r="F26" s="1494" t="str">
        <f>INDEX('Cost Assumptions'!$Q$26:$T$26, MATCH('Cost Assumptions'!F$7, 'Cost Assumptions'!$Q$7:$T$7, 0))</f>
        <v>--</v>
      </c>
      <c r="G26" s="1807" t="str">
        <f>INDEX('Cost Assumptions'!$Q$26:$T$26, MATCH('Cost Assumptions'!G$7, 'Cost Assumptions'!$Q$7:$T$7, 0))</f>
        <v>--</v>
      </c>
      <c r="H26" s="1902">
        <f>INDEX('Cost Assumptions'!$Y$26:$AB$26, MATCH('Cost Assumptions'!H$7, 'Cost Assumptions'!$Y$7:$AB$7, 0))</f>
        <v>6540</v>
      </c>
      <c r="I26" s="1902">
        <f>INDEX('Cost Assumptions'!$Y$26:$AB$26, MATCH('Cost Assumptions'!I$7, 'Cost Assumptions'!$Y$7:$AB$7, 0))</f>
        <v>6540</v>
      </c>
      <c r="J26" s="1902">
        <f>INDEX('Cost Assumptions'!$Y$26:$AB$26, MATCH('Cost Assumptions'!J$7, 'Cost Assumptions'!$Y$7:$AB$7, 0))</f>
        <v>6535</v>
      </c>
      <c r="K26" s="1903">
        <f>INDEX('Cost Assumptions'!$Y$26:$AB$26, MATCH('Cost Assumptions'!K$7, 'Cost Assumptions'!$Y$7:$AB$7, 0))</f>
        <v>6534</v>
      </c>
      <c r="L26" s="712"/>
      <c r="M26" s="1217" t="s">
        <v>370</v>
      </c>
      <c r="N26" s="711" t="s">
        <v>370</v>
      </c>
      <c r="O26" s="711" t="s">
        <v>370</v>
      </c>
      <c r="P26" s="1219" t="s">
        <v>370</v>
      </c>
      <c r="Q26" s="711" t="s">
        <v>370</v>
      </c>
      <c r="R26" s="711" t="s">
        <v>370</v>
      </c>
      <c r="S26" s="711" t="s">
        <v>370</v>
      </c>
      <c r="T26" s="1219" t="s">
        <v>370</v>
      </c>
      <c r="U26" s="712">
        <v>6460.4417681743889</v>
      </c>
      <c r="V26" s="712">
        <v>6460.3697683494875</v>
      </c>
      <c r="W26" s="712">
        <v>6453.3507769293938</v>
      </c>
      <c r="X26" s="714">
        <v>6453.9245674885015</v>
      </c>
      <c r="Y26" s="1201">
        <v>6540</v>
      </c>
      <c r="Z26" s="1201">
        <v>6540</v>
      </c>
      <c r="AA26" s="1201">
        <v>6535</v>
      </c>
      <c r="AB26" s="1203">
        <v>6534</v>
      </c>
    </row>
    <row r="27" spans="2:32">
      <c r="B27" s="1855"/>
      <c r="C27" s="708"/>
      <c r="D27" s="711"/>
      <c r="E27" s="711"/>
      <c r="F27" s="711"/>
      <c r="G27" s="1219"/>
      <c r="H27" s="711"/>
      <c r="I27" s="711"/>
      <c r="J27" s="711"/>
      <c r="K27" s="1219"/>
      <c r="L27" s="712"/>
      <c r="M27" s="1217"/>
      <c r="N27" s="711"/>
      <c r="O27" s="711"/>
      <c r="P27" s="1219"/>
      <c r="Q27" s="711"/>
      <c r="R27" s="711"/>
      <c r="S27" s="711"/>
      <c r="T27" s="1219"/>
      <c r="U27" s="712"/>
      <c r="V27" s="712"/>
      <c r="W27" s="712"/>
      <c r="X27" s="714"/>
      <c r="Y27" s="712"/>
      <c r="Z27" s="712"/>
      <c r="AA27" s="712"/>
      <c r="AB27" s="714"/>
    </row>
    <row r="28" spans="2:32" ht="12.75" customHeight="1">
      <c r="B28" s="1854" t="s">
        <v>375</v>
      </c>
      <c r="C28" s="708" t="s">
        <v>376</v>
      </c>
      <c r="D28" s="1495">
        <f>INDEX('Cost Assumptions'!$Q$28:$T$28, MATCH('Cost Assumptions'!D$7, 'Cost Assumptions'!$Q$7:$T$7, 0))</f>
        <v>21</v>
      </c>
      <c r="E28" s="1495">
        <f>INDEX('Cost Assumptions'!$Q$28:$T$28, MATCH('Cost Assumptions'!E$7, 'Cost Assumptions'!$Q$7:$T$7, 0))</f>
        <v>21</v>
      </c>
      <c r="F28" s="1495">
        <f>INDEX('Cost Assumptions'!$Q$28:$T$28, MATCH('Cost Assumptions'!F$7, 'Cost Assumptions'!$Q$7:$T$7, 0))</f>
        <v>21</v>
      </c>
      <c r="G28" s="1601">
        <f>INDEX('Cost Assumptions'!$Q$28:$T$28, MATCH('Cost Assumptions'!G$7, 'Cost Assumptions'!$Q$7:$T$7, 0))</f>
        <v>21</v>
      </c>
      <c r="H28" s="1902">
        <f>INDEX('Cost Assumptions'!$Y$28:$AB$28, MATCH('Cost Assumptions'!H$7, 'Cost Assumptions'!$Y$7:$AB$7, 0))</f>
        <v>120</v>
      </c>
      <c r="I28" s="1902">
        <f>INDEX('Cost Assumptions'!$Y$28:$AB$28, MATCH('Cost Assumptions'!I$7, 'Cost Assumptions'!$Y$7:$AB$7, 0))</f>
        <v>120</v>
      </c>
      <c r="J28" s="1902">
        <f>INDEX('Cost Assumptions'!$Y$28:$AB$28, MATCH('Cost Assumptions'!J$7, 'Cost Assumptions'!$Y$7:$AB$7, 0))</f>
        <v>120</v>
      </c>
      <c r="K28" s="1903">
        <f>INDEX('Cost Assumptions'!$Y$28:$AB$28, MATCH('Cost Assumptions'!K$7, 'Cost Assumptions'!$Y$7:$AB$7, 0))</f>
        <v>120</v>
      </c>
      <c r="L28" s="712"/>
      <c r="M28" s="713">
        <v>21</v>
      </c>
      <c r="N28" s="712">
        <v>21</v>
      </c>
      <c r="O28" s="712">
        <v>21</v>
      </c>
      <c r="P28" s="714">
        <v>21</v>
      </c>
      <c r="Q28" s="712">
        <v>21</v>
      </c>
      <c r="R28" s="712">
        <v>21</v>
      </c>
      <c r="S28" s="712">
        <v>21</v>
      </c>
      <c r="T28" s="714">
        <v>21</v>
      </c>
      <c r="U28" s="712">
        <v>120</v>
      </c>
      <c r="V28" s="712">
        <v>120</v>
      </c>
      <c r="W28" s="712">
        <v>120</v>
      </c>
      <c r="X28" s="714">
        <v>120</v>
      </c>
      <c r="Y28" s="712">
        <v>120</v>
      </c>
      <c r="Z28" s="712">
        <v>120</v>
      </c>
      <c r="AA28" s="712">
        <v>120</v>
      </c>
      <c r="AB28" s="714">
        <v>120</v>
      </c>
    </row>
    <row r="29" spans="2:32">
      <c r="B29" s="1854" t="s">
        <v>377</v>
      </c>
      <c r="C29" s="708" t="s">
        <v>378</v>
      </c>
      <c r="D29" s="1495">
        <f>INDEX('Cost Assumptions'!$Q$29:$T$29, MATCH('Cost Assumptions'!D$7, 'Cost Assumptions'!$Q$7:$T$7, 0))</f>
        <v>461.62361345919993</v>
      </c>
      <c r="E29" s="1495">
        <f>INDEX('Cost Assumptions'!$Q$29:$T$29, MATCH('Cost Assumptions'!E$7, 'Cost Assumptions'!$Q$7:$T$7, 0))</f>
        <v>464.6289236959999</v>
      </c>
      <c r="F29" s="1495">
        <f>INDEX('Cost Assumptions'!$Q$29:$T$29, MATCH('Cost Assumptions'!F$7, 'Cost Assumptions'!$Q$7:$T$7, 0))</f>
        <v>450.84295199400003</v>
      </c>
      <c r="G29" s="1601">
        <f>INDEX('Cost Assumptions'!$Q$29:$T$29, MATCH('Cost Assumptions'!G$7, 'Cost Assumptions'!$Q$7:$T$7, 0))</f>
        <v>447.44734083139997</v>
      </c>
      <c r="H29" s="1495">
        <f>INDEX('Cost Assumptions'!$Y$29:$AB$29, MATCH('Cost Assumptions'!H$7, 'Cost Assumptions'!$Y$7:$AB$7, 0))</f>
        <v>8084.7871104000005</v>
      </c>
      <c r="I29" s="1495">
        <f>INDEX('Cost Assumptions'!$Y$29:$AB$29, MATCH('Cost Assumptions'!I$7, 'Cost Assumptions'!$Y$7:$AB$7, 0))</f>
        <v>8137.6220400000011</v>
      </c>
      <c r="J29" s="1495">
        <f>INDEX('Cost Assumptions'!$Y$29:$AB$29, MATCH('Cost Assumptions'!J$7, 'Cost Assumptions'!$Y$7:$AB$7, 0))</f>
        <v>7895.7099935999986</v>
      </c>
      <c r="K29" s="1601">
        <f>INDEX('Cost Assumptions'!$Y$29:$AB$29, MATCH('Cost Assumptions'!K$7, 'Cost Assumptions'!$Y$7:$AB$7, 0))</f>
        <v>7836.0542832000001</v>
      </c>
      <c r="L29" s="712"/>
      <c r="M29" s="713">
        <v>461.62361345919993</v>
      </c>
      <c r="N29" s="712">
        <v>464.6289236959999</v>
      </c>
      <c r="O29" s="712">
        <v>450.84295199400003</v>
      </c>
      <c r="P29" s="714">
        <v>447.44734083139997</v>
      </c>
      <c r="Q29" s="712">
        <v>461.62361345919993</v>
      </c>
      <c r="R29" s="712">
        <v>464.6289236959999</v>
      </c>
      <c r="S29" s="712">
        <v>450.84295199400003</v>
      </c>
      <c r="T29" s="714">
        <v>447.44734083139997</v>
      </c>
      <c r="U29" s="1201">
        <v>8085.4188945131827</v>
      </c>
      <c r="V29" s="1201">
        <v>8137.1087970619656</v>
      </c>
      <c r="W29" s="1201">
        <v>7895.8407295285424</v>
      </c>
      <c r="X29" s="1203">
        <v>7836.4266824292172</v>
      </c>
      <c r="Y29" s="1201">
        <v>8084.7871104000005</v>
      </c>
      <c r="Z29" s="1201">
        <v>8137.6220400000011</v>
      </c>
      <c r="AA29" s="1201">
        <v>7895.7099935999986</v>
      </c>
      <c r="AB29" s="1203">
        <v>7836.0542832000001</v>
      </c>
    </row>
    <row r="30" spans="2:32" ht="12.75" customHeight="1">
      <c r="B30" s="1855" t="s">
        <v>379</v>
      </c>
      <c r="C30" s="708" t="s">
        <v>380</v>
      </c>
      <c r="D30" s="1591">
        <f>INDEX('Cost Assumptions'!$Q$30:$T$30, MATCH('Cost Assumptions'!D$7, 'Cost Assumptions'!$Q$7:$T$7, 0))</f>
        <v>2.1999999999999999E-2</v>
      </c>
      <c r="E30" s="1591">
        <f>INDEX('Cost Assumptions'!$Q$30:$T$30, MATCH('Cost Assumptions'!E$7, 'Cost Assumptions'!$Q$7:$T$7, 0))</f>
        <v>2.1999999999999999E-2</v>
      </c>
      <c r="F30" s="1591">
        <f>INDEX('Cost Assumptions'!$Q$30:$T$30, MATCH('Cost Assumptions'!F$7, 'Cost Assumptions'!$Q$7:$T$7, 0))</f>
        <v>2.1999999999999999E-2</v>
      </c>
      <c r="G30" s="1808">
        <f>INDEX('Cost Assumptions'!$Q$30:$T$30, MATCH('Cost Assumptions'!G$7, 'Cost Assumptions'!$Q$7:$T$7, 0))</f>
        <v>2.1999999999999999E-2</v>
      </c>
      <c r="H30" s="1496">
        <f>INDEX('Cost Assumptions'!$Y$30:$AB$30, MATCH('Cost Assumptions'!H$7, 'Cost Assumptions'!$Y$7:$AB$7, 0))</f>
        <v>0.02</v>
      </c>
      <c r="I30" s="1496">
        <f>INDEX('Cost Assumptions'!$Y$30:$AB$30, MATCH('Cost Assumptions'!I$7, 'Cost Assumptions'!$Y$7:$AB$7, 0))</f>
        <v>0.02</v>
      </c>
      <c r="J30" s="1496">
        <f>INDEX('Cost Assumptions'!$Y$30:$AB$30, MATCH('Cost Assumptions'!J$7, 'Cost Assumptions'!$Y$7:$AB$7, 0))</f>
        <v>0.02</v>
      </c>
      <c r="K30" s="1815">
        <f>INDEX('Cost Assumptions'!$Y$30:$AB$30, MATCH('Cost Assumptions'!K$7, 'Cost Assumptions'!$Y$7:$AB$7, 0))</f>
        <v>0.02</v>
      </c>
      <c r="L30" s="1496"/>
      <c r="M30" s="720">
        <v>2.1999999999999999E-2</v>
      </c>
      <c r="N30" s="719">
        <v>2.1999999999999999E-2</v>
      </c>
      <c r="O30" s="719">
        <v>2.1999999999999999E-2</v>
      </c>
      <c r="P30" s="721">
        <v>2.1999999999999999E-2</v>
      </c>
      <c r="Q30" s="719">
        <v>2.1999999999999999E-2</v>
      </c>
      <c r="R30" s="719">
        <v>2.1999999999999999E-2</v>
      </c>
      <c r="S30" s="719">
        <v>2.1999999999999999E-2</v>
      </c>
      <c r="T30" s="721">
        <v>2.1999999999999999E-2</v>
      </c>
      <c r="U30" s="719">
        <v>0.02</v>
      </c>
      <c r="V30" s="719">
        <v>0.02</v>
      </c>
      <c r="W30" s="719">
        <v>0.02</v>
      </c>
      <c r="X30" s="721">
        <v>0.02</v>
      </c>
      <c r="Y30" s="719">
        <v>0.02</v>
      </c>
      <c r="Z30" s="719">
        <v>0.02</v>
      </c>
      <c r="AA30" s="719">
        <v>0.02</v>
      </c>
      <c r="AB30" s="721">
        <v>0.02</v>
      </c>
    </row>
    <row r="31" spans="2:32" ht="6" customHeight="1">
      <c r="B31" s="1856"/>
      <c r="C31" s="723"/>
      <c r="D31" s="724"/>
      <c r="E31" s="724"/>
      <c r="F31" s="724"/>
      <c r="G31" s="726"/>
      <c r="H31" s="725"/>
      <c r="I31" s="724"/>
      <c r="J31" s="724"/>
      <c r="K31" s="726"/>
      <c r="L31" s="729"/>
      <c r="M31" s="725"/>
      <c r="N31" s="724"/>
      <c r="O31" s="724"/>
      <c r="P31" s="726"/>
      <c r="Q31" s="725"/>
      <c r="R31" s="724"/>
      <c r="S31" s="724"/>
      <c r="T31" s="726"/>
      <c r="U31" s="724"/>
      <c r="V31" s="724"/>
      <c r="W31" s="724"/>
      <c r="X31" s="726"/>
      <c r="Y31" s="724"/>
      <c r="Z31" s="724"/>
      <c r="AA31" s="724"/>
      <c r="AB31" s="726"/>
    </row>
    <row r="32" spans="2:32" ht="6" customHeight="1">
      <c r="B32" s="1857"/>
      <c r="C32" s="728"/>
      <c r="D32" s="729"/>
      <c r="E32" s="729"/>
      <c r="F32" s="729"/>
      <c r="G32" s="731"/>
      <c r="H32" s="729"/>
      <c r="I32" s="729"/>
      <c r="J32" s="729"/>
      <c r="K32" s="731"/>
      <c r="L32" s="729"/>
      <c r="M32" s="730"/>
      <c r="N32" s="729"/>
      <c r="O32" s="729"/>
      <c r="P32" s="731"/>
      <c r="Q32" s="729"/>
      <c r="R32" s="729"/>
      <c r="S32" s="729"/>
      <c r="T32" s="731"/>
      <c r="U32" s="729"/>
      <c r="V32" s="729"/>
      <c r="W32" s="729"/>
      <c r="X32" s="731"/>
      <c r="Y32" s="729"/>
      <c r="Z32" s="729"/>
      <c r="AA32" s="729"/>
      <c r="AB32" s="731"/>
    </row>
    <row r="33" spans="1:30">
      <c r="B33" s="1828" t="s">
        <v>124</v>
      </c>
      <c r="C33" s="589"/>
      <c r="D33" s="588"/>
      <c r="E33" s="589"/>
      <c r="F33" s="588"/>
      <c r="G33" s="670"/>
      <c r="H33" s="1497"/>
      <c r="I33" s="1599"/>
      <c r="J33" s="1497"/>
      <c r="K33" s="1500"/>
      <c r="L33" s="589"/>
      <c r="M33" s="1828"/>
      <c r="N33" s="589"/>
      <c r="O33" s="588"/>
      <c r="P33" s="670"/>
      <c r="Q33" s="589"/>
      <c r="R33" s="589"/>
      <c r="S33" s="589"/>
      <c r="T33" s="670"/>
      <c r="U33" s="588"/>
      <c r="V33" s="589"/>
      <c r="W33" s="588"/>
      <c r="X33" s="670"/>
      <c r="Y33" s="588"/>
      <c r="Z33" s="589"/>
      <c r="AA33" s="588"/>
      <c r="AB33" s="670"/>
    </row>
    <row r="34" spans="1:30">
      <c r="B34" s="1858" t="s">
        <v>141</v>
      </c>
      <c r="C34" s="708" t="s">
        <v>381</v>
      </c>
      <c r="D34" s="1592">
        <f>INDEX('Cost Assumptions'!$Q$34:$T$34, MATCH('Cost Assumptions'!D$7, 'Cost Assumptions'!$Q$7:$T$7, 0))</f>
        <v>0.1</v>
      </c>
      <c r="E34" s="1592">
        <f>INDEX('Cost Assumptions'!$Q$34:$T$34, MATCH('Cost Assumptions'!E$7, 'Cost Assumptions'!$Q$7:$T$7, 0))</f>
        <v>0.1</v>
      </c>
      <c r="F34" s="1592">
        <f>INDEX('Cost Assumptions'!$Q$34:$T$34, MATCH('Cost Assumptions'!F$7, 'Cost Assumptions'!$Q$7:$T$7, 0))</f>
        <v>0.1</v>
      </c>
      <c r="G34" s="1809">
        <f>INDEX('Cost Assumptions'!$Q$34:$T$34, MATCH('Cost Assumptions'!G$7, 'Cost Assumptions'!$Q$7:$T$7, 0))</f>
        <v>0.1</v>
      </c>
      <c r="H34" s="1904">
        <f>INDEX('Cost Assumptions'!$Y$34:$AB$34, MATCH('Cost Assumptions'!H$7, 'Cost Assumptions'!$Y$7:$AB$7, 0))</f>
        <v>0.1</v>
      </c>
      <c r="I34" s="1904">
        <f>INDEX('Cost Assumptions'!$Y$34:$AB$34, MATCH('Cost Assumptions'!I$7, 'Cost Assumptions'!$Y$7:$AB$7, 0))</f>
        <v>0.1</v>
      </c>
      <c r="J34" s="1904">
        <f>INDEX('Cost Assumptions'!$Y$34:$AB$34, MATCH('Cost Assumptions'!J$7, 'Cost Assumptions'!$Y$7:$AB$7, 0))</f>
        <v>0.1</v>
      </c>
      <c r="K34" s="1905">
        <f>INDEX('Cost Assumptions'!$Y$34:$AB$34, MATCH('Cost Assumptions'!K$7, 'Cost Assumptions'!$Y$7:$AB$7, 0))</f>
        <v>0.1</v>
      </c>
      <c r="L34" s="733"/>
      <c r="M34" s="732">
        <v>0.1</v>
      </c>
      <c r="N34" s="733">
        <v>0.1</v>
      </c>
      <c r="O34" s="733">
        <v>0.1</v>
      </c>
      <c r="P34" s="734">
        <v>0.1</v>
      </c>
      <c r="Q34" s="733">
        <v>0.1</v>
      </c>
      <c r="R34" s="733">
        <v>0.1</v>
      </c>
      <c r="S34" s="733">
        <v>0.1</v>
      </c>
      <c r="T34" s="734">
        <v>0.1</v>
      </c>
      <c r="U34" s="733">
        <v>0.1</v>
      </c>
      <c r="V34" s="733">
        <v>0.1</v>
      </c>
      <c r="W34" s="733">
        <v>0.1</v>
      </c>
      <c r="X34" s="734">
        <v>0.1</v>
      </c>
      <c r="Y34" s="733">
        <v>0.1</v>
      </c>
      <c r="Z34" s="733">
        <v>0.1</v>
      </c>
      <c r="AA34" s="733">
        <v>0.1</v>
      </c>
      <c r="AB34" s="734">
        <v>0.1</v>
      </c>
    </row>
    <row r="35" spans="1:30">
      <c r="B35" s="1858" t="s">
        <v>142</v>
      </c>
      <c r="C35" s="708" t="s">
        <v>381</v>
      </c>
      <c r="D35" s="1592">
        <f>INDEX('Cost Assumptions'!$Q$35:$T$35, MATCH('Cost Assumptions'!D$7, 'Cost Assumptions'!$Q$7:$T$7, 0))</f>
        <v>0.1</v>
      </c>
      <c r="E35" s="1592">
        <f>INDEX('Cost Assumptions'!$Q$35:$T$35, MATCH('Cost Assumptions'!E$7, 'Cost Assumptions'!$Q$7:$T$7, 0))</f>
        <v>0.1</v>
      </c>
      <c r="F35" s="1592">
        <f>INDEX('Cost Assumptions'!$Q$35:$T$35, MATCH('Cost Assumptions'!F$7, 'Cost Assumptions'!$Q$7:$T$7, 0))</f>
        <v>0.1</v>
      </c>
      <c r="G35" s="1809">
        <f>INDEX('Cost Assumptions'!$Q$35:$T$35, MATCH('Cost Assumptions'!G$7, 'Cost Assumptions'!$Q$7:$T$7, 0))</f>
        <v>0.1</v>
      </c>
      <c r="H35" s="1904">
        <f>INDEX('Cost Assumptions'!$Y$35:$AB$35, MATCH('Cost Assumptions'!H$7, 'Cost Assumptions'!$Y$7:$AB$7, 0))</f>
        <v>0.1</v>
      </c>
      <c r="I35" s="1904">
        <f>INDEX('Cost Assumptions'!$Y$35:$AB$35, MATCH('Cost Assumptions'!I$7, 'Cost Assumptions'!$Y$7:$AB$7, 0))</f>
        <v>0.1</v>
      </c>
      <c r="J35" s="1904">
        <f>INDEX('Cost Assumptions'!$Y$35:$AB$35, MATCH('Cost Assumptions'!J$7, 'Cost Assumptions'!$Y$7:$AB$7, 0))</f>
        <v>0.1</v>
      </c>
      <c r="K35" s="1905">
        <f>INDEX('Cost Assumptions'!$Y$35:$AB$35, MATCH('Cost Assumptions'!K$7, 'Cost Assumptions'!$Y$7:$AB$7, 0))</f>
        <v>0.1</v>
      </c>
      <c r="L35" s="1904"/>
      <c r="M35" s="732">
        <v>0.1</v>
      </c>
      <c r="N35" s="733">
        <v>0.1</v>
      </c>
      <c r="O35" s="733">
        <v>0.1</v>
      </c>
      <c r="P35" s="734">
        <v>0.1</v>
      </c>
      <c r="Q35" s="733">
        <v>0.1</v>
      </c>
      <c r="R35" s="733">
        <v>0.1</v>
      </c>
      <c r="S35" s="733">
        <v>0.1</v>
      </c>
      <c r="T35" s="734">
        <v>0.1</v>
      </c>
      <c r="U35" s="733">
        <v>0.1</v>
      </c>
      <c r="V35" s="733">
        <v>0.1</v>
      </c>
      <c r="W35" s="733">
        <v>0.1</v>
      </c>
      <c r="X35" s="734">
        <v>0.1</v>
      </c>
      <c r="Y35" s="733">
        <v>0.1</v>
      </c>
      <c r="Z35" s="733">
        <v>0.1</v>
      </c>
      <c r="AA35" s="733">
        <v>0.1</v>
      </c>
      <c r="AB35" s="734">
        <v>0.1</v>
      </c>
    </row>
    <row r="36" spans="1:30" s="735" customFormat="1">
      <c r="A36" s="256"/>
      <c r="B36" s="1858" t="s">
        <v>382</v>
      </c>
      <c r="C36" s="708" t="s">
        <v>383</v>
      </c>
      <c r="D36" s="1591">
        <f>INDEX('Cost Assumptions'!$Q$36:$T$36, MATCH('Cost Assumptions'!D$7, 'Cost Assumptions'!$Q$7:$T$7, 0))</f>
        <v>0.05</v>
      </c>
      <c r="E36" s="1591">
        <f>INDEX('Cost Assumptions'!$Q$36:$T$36, MATCH('Cost Assumptions'!E$7, 'Cost Assumptions'!$Q$7:$T$7, 0))</f>
        <v>0.05</v>
      </c>
      <c r="F36" s="1591">
        <f>INDEX('Cost Assumptions'!$Q$36:$T$36, MATCH('Cost Assumptions'!F$7, 'Cost Assumptions'!$Q$7:$T$7, 0))</f>
        <v>0.05</v>
      </c>
      <c r="G36" s="1808">
        <f>INDEX('Cost Assumptions'!$Q$36:$T$36, MATCH('Cost Assumptions'!G$7, 'Cost Assumptions'!$Q$7:$T$7, 0))</f>
        <v>0.05</v>
      </c>
      <c r="H36" s="1496">
        <f>INDEX('Cost Assumptions'!$Y$36:$AB$36, MATCH('Cost Assumptions'!H$7, 'Cost Assumptions'!$Y$7:$AB$7, 0))</f>
        <v>0.05</v>
      </c>
      <c r="I36" s="1496">
        <f>INDEX('Cost Assumptions'!$Y$36:$AB$36, MATCH('Cost Assumptions'!I$7, 'Cost Assumptions'!$Y$7:$AB$7, 0))</f>
        <v>0.05</v>
      </c>
      <c r="J36" s="1496">
        <f>INDEX('Cost Assumptions'!$Y$36:$AB$36, MATCH('Cost Assumptions'!J$7, 'Cost Assumptions'!$Y$7:$AB$7, 0))</f>
        <v>0.05</v>
      </c>
      <c r="K36" s="1815">
        <f>INDEX('Cost Assumptions'!$Y$36:$AB$36, MATCH('Cost Assumptions'!K$7, 'Cost Assumptions'!$Y$7:$AB$7, 0))</f>
        <v>0.05</v>
      </c>
      <c r="L36" s="794"/>
      <c r="M36" s="795">
        <v>0.05</v>
      </c>
      <c r="N36" s="794">
        <v>0.05</v>
      </c>
      <c r="O36" s="794">
        <v>0.05</v>
      </c>
      <c r="P36" s="796">
        <v>0.05</v>
      </c>
      <c r="Q36" s="794">
        <v>0.05</v>
      </c>
      <c r="R36" s="794">
        <v>0.05</v>
      </c>
      <c r="S36" s="794">
        <v>0.05</v>
      </c>
      <c r="T36" s="796">
        <v>0.05</v>
      </c>
      <c r="U36" s="794">
        <v>0.05</v>
      </c>
      <c r="V36" s="794">
        <v>0.05</v>
      </c>
      <c r="W36" s="794">
        <v>0.05</v>
      </c>
      <c r="X36" s="796">
        <v>0.05</v>
      </c>
      <c r="Y36" s="794">
        <v>0.05</v>
      </c>
      <c r="Z36" s="794">
        <v>0.05</v>
      </c>
      <c r="AA36" s="794">
        <v>0.05</v>
      </c>
      <c r="AB36" s="796">
        <v>0.05</v>
      </c>
    </row>
    <row r="37" spans="1:30" s="735" customFormat="1">
      <c r="A37" s="256"/>
      <c r="B37" s="1858" t="s">
        <v>384</v>
      </c>
      <c r="C37" s="708" t="s">
        <v>383</v>
      </c>
      <c r="D37" s="1591">
        <f>INDEX('Cost Assumptions'!$Q$37:$T$37, MATCH('Cost Assumptions'!D$7, 'Cost Assumptions'!$Q$7:$T$7, 0))</f>
        <v>0.01</v>
      </c>
      <c r="E37" s="1591">
        <f>INDEX('Cost Assumptions'!$Q$37:$T$37, MATCH('Cost Assumptions'!E$7, 'Cost Assumptions'!$Q$7:$T$7, 0))</f>
        <v>0.01</v>
      </c>
      <c r="F37" s="1591">
        <f>INDEX('Cost Assumptions'!$Q$37:$T$37, MATCH('Cost Assumptions'!F$7, 'Cost Assumptions'!$Q$7:$T$7, 0))</f>
        <v>0.01</v>
      </c>
      <c r="G37" s="1808">
        <f>INDEX('Cost Assumptions'!$Q$37:$T$37, MATCH('Cost Assumptions'!G$7, 'Cost Assumptions'!$Q$7:$T$7, 0))</f>
        <v>0.01</v>
      </c>
      <c r="H37" s="1496">
        <f>INDEX('Cost Assumptions'!$Y$37:$AB$37, MATCH('Cost Assumptions'!H$7, 'Cost Assumptions'!$Y$7:$AB$7, 0))</f>
        <v>0.01</v>
      </c>
      <c r="I37" s="1496">
        <f>INDEX('Cost Assumptions'!$Y$37:$AB$37, MATCH('Cost Assumptions'!I$7, 'Cost Assumptions'!$Y$7:$AB$7, 0))</f>
        <v>0.01</v>
      </c>
      <c r="J37" s="1496">
        <f>INDEX('Cost Assumptions'!$Y$37:$AB$37, MATCH('Cost Assumptions'!J$7, 'Cost Assumptions'!$Y$7:$AB$7, 0))</f>
        <v>0.01</v>
      </c>
      <c r="K37" s="1815">
        <f>INDEX('Cost Assumptions'!$Y$37:$AB$37, MATCH('Cost Assumptions'!K$7, 'Cost Assumptions'!$Y$7:$AB$7, 0))</f>
        <v>0.01</v>
      </c>
      <c r="L37" s="794"/>
      <c r="M37" s="795">
        <v>0.01</v>
      </c>
      <c r="N37" s="794">
        <v>0.01</v>
      </c>
      <c r="O37" s="794">
        <v>0.01</v>
      </c>
      <c r="P37" s="796">
        <v>0.01</v>
      </c>
      <c r="Q37" s="794">
        <v>0.01</v>
      </c>
      <c r="R37" s="794">
        <v>0.01</v>
      </c>
      <c r="S37" s="794">
        <v>0.01</v>
      </c>
      <c r="T37" s="796">
        <v>0.01</v>
      </c>
      <c r="U37" s="794">
        <v>0.01</v>
      </c>
      <c r="V37" s="794">
        <v>0.01</v>
      </c>
      <c r="W37" s="794">
        <v>0.01</v>
      </c>
      <c r="X37" s="796">
        <v>0.01</v>
      </c>
      <c r="Y37" s="794">
        <v>0.01</v>
      </c>
      <c r="Z37" s="794">
        <v>0.01</v>
      </c>
      <c r="AA37" s="794">
        <v>0.01</v>
      </c>
      <c r="AB37" s="796">
        <v>0.01</v>
      </c>
    </row>
    <row r="38" spans="1:30" s="735" customFormat="1">
      <c r="A38" s="256"/>
      <c r="B38" s="1858" t="s">
        <v>152</v>
      </c>
      <c r="C38" s="708" t="s">
        <v>383</v>
      </c>
      <c r="D38" s="1591">
        <f>INDEX('Cost Assumptions'!$Q$38:$T$38, MATCH('Cost Assumptions'!D$7, 'Cost Assumptions'!$Q$7:$T$7, 0))</f>
        <v>5.0000000000000001E-3</v>
      </c>
      <c r="E38" s="1591">
        <f>INDEX('Cost Assumptions'!$Q$38:$T$38, MATCH('Cost Assumptions'!E$7, 'Cost Assumptions'!$Q$7:$T$7, 0))</f>
        <v>5.0000000000000001E-3</v>
      </c>
      <c r="F38" s="1591">
        <f>INDEX('Cost Assumptions'!$Q$38:$T$38, MATCH('Cost Assumptions'!F$7, 'Cost Assumptions'!$Q$7:$T$7, 0))</f>
        <v>5.0000000000000001E-3</v>
      </c>
      <c r="G38" s="1808">
        <f>INDEX('Cost Assumptions'!$Q$38:$T$38, MATCH('Cost Assumptions'!G$7, 'Cost Assumptions'!$Q$7:$T$7, 0))</f>
        <v>5.0000000000000001E-3</v>
      </c>
      <c r="H38" s="1496">
        <f>INDEX('Cost Assumptions'!$Y$38:$AB$38, MATCH('Cost Assumptions'!H$7, 'Cost Assumptions'!$Y$7:$AB$7, 0))</f>
        <v>5.0000000000000001E-3</v>
      </c>
      <c r="I38" s="1496">
        <f>INDEX('Cost Assumptions'!$Y$38:$AB$38, MATCH('Cost Assumptions'!I$7, 'Cost Assumptions'!$Y$7:$AB$7, 0))</f>
        <v>5.0000000000000001E-3</v>
      </c>
      <c r="J38" s="1496">
        <f>INDEX('Cost Assumptions'!$Y$38:$AB$38, MATCH('Cost Assumptions'!J$7, 'Cost Assumptions'!$Y$7:$AB$7, 0))</f>
        <v>5.0000000000000001E-3</v>
      </c>
      <c r="K38" s="1815">
        <f>INDEX('Cost Assumptions'!$Y$38:$AB$38, MATCH('Cost Assumptions'!K$7, 'Cost Assumptions'!$Y$7:$AB$7, 0))</f>
        <v>5.0000000000000001E-3</v>
      </c>
      <c r="L38" s="794"/>
      <c r="M38" s="795">
        <v>5.0000000000000001E-3</v>
      </c>
      <c r="N38" s="794">
        <v>5.0000000000000001E-3</v>
      </c>
      <c r="O38" s="794">
        <v>5.0000000000000001E-3</v>
      </c>
      <c r="P38" s="796">
        <v>5.0000000000000001E-3</v>
      </c>
      <c r="Q38" s="794">
        <v>5.0000000000000001E-3</v>
      </c>
      <c r="R38" s="794">
        <v>5.0000000000000001E-3</v>
      </c>
      <c r="S38" s="794">
        <v>5.0000000000000001E-3</v>
      </c>
      <c r="T38" s="796">
        <v>5.0000000000000001E-3</v>
      </c>
      <c r="U38" s="794">
        <v>5.0000000000000001E-3</v>
      </c>
      <c r="V38" s="794">
        <v>5.0000000000000001E-3</v>
      </c>
      <c r="W38" s="794">
        <v>5.0000000000000001E-3</v>
      </c>
      <c r="X38" s="796">
        <v>5.0000000000000001E-3</v>
      </c>
      <c r="Y38" s="794">
        <v>5.0000000000000001E-3</v>
      </c>
      <c r="Z38" s="794">
        <v>5.0000000000000001E-3</v>
      </c>
      <c r="AA38" s="794">
        <v>5.0000000000000001E-3</v>
      </c>
      <c r="AB38" s="796">
        <v>5.0000000000000001E-3</v>
      </c>
    </row>
    <row r="39" spans="1:30" ht="12.75" customHeight="1">
      <c r="B39" s="1859" t="s">
        <v>114</v>
      </c>
      <c r="C39" s="737" t="s">
        <v>385</v>
      </c>
      <c r="D39" s="1592">
        <f>INDEX('Cost Assumptions'!$Q$39:$T$39, MATCH('Cost Assumptions'!D$7, 'Cost Assumptions'!$Q$7:$T$7, 0))</f>
        <v>0.08</v>
      </c>
      <c r="E39" s="1592">
        <f>INDEX('Cost Assumptions'!$Q$39:$T$39, MATCH('Cost Assumptions'!E$7, 'Cost Assumptions'!$Q$7:$T$7, 0))</f>
        <v>0.08</v>
      </c>
      <c r="F39" s="1592">
        <f>INDEX('Cost Assumptions'!$Q$39:$T$39, MATCH('Cost Assumptions'!F$7, 'Cost Assumptions'!$Q$7:$T$7, 0))</f>
        <v>0.08</v>
      </c>
      <c r="G39" s="1809">
        <f>INDEX('Cost Assumptions'!$Q$39:$T$39, MATCH('Cost Assumptions'!G$7, 'Cost Assumptions'!$Q$7:$T$7, 0))</f>
        <v>0.08</v>
      </c>
      <c r="H39" s="1904">
        <f>INDEX('Cost Assumptions'!$Y$39:$AB$39, MATCH('Cost Assumptions'!H$7, 'Cost Assumptions'!$Y$7:$AB$7, 0))</f>
        <v>0.08</v>
      </c>
      <c r="I39" s="1904">
        <f>INDEX('Cost Assumptions'!$Y$39:$AB$39, MATCH('Cost Assumptions'!I$7, 'Cost Assumptions'!$Y$7:$AB$7, 0))</f>
        <v>0.08</v>
      </c>
      <c r="J39" s="1904">
        <f>INDEX('Cost Assumptions'!$Y$39:$AB$39, MATCH('Cost Assumptions'!J$7, 'Cost Assumptions'!$Y$7:$AB$7, 0))</f>
        <v>0.08</v>
      </c>
      <c r="K39" s="1905">
        <f>INDEX('Cost Assumptions'!$Y$39:$AB$39, MATCH('Cost Assumptions'!K$7, 'Cost Assumptions'!$Y$7:$AB$7, 0))</f>
        <v>0.08</v>
      </c>
      <c r="L39" s="799"/>
      <c r="M39" s="798">
        <v>0.08</v>
      </c>
      <c r="N39" s="797">
        <v>0.08</v>
      </c>
      <c r="O39" s="797">
        <v>0.08</v>
      </c>
      <c r="P39" s="800">
        <v>0.08</v>
      </c>
      <c r="Q39" s="797">
        <v>0.08</v>
      </c>
      <c r="R39" s="797">
        <v>0.08</v>
      </c>
      <c r="S39" s="797">
        <v>0.08</v>
      </c>
      <c r="T39" s="800">
        <v>0.08</v>
      </c>
      <c r="U39" s="799">
        <v>0.08</v>
      </c>
      <c r="V39" s="799">
        <v>0.08</v>
      </c>
      <c r="W39" s="799">
        <v>0.08</v>
      </c>
      <c r="X39" s="800">
        <v>0.08</v>
      </c>
      <c r="Y39" s="799">
        <v>0.08</v>
      </c>
      <c r="Z39" s="799">
        <v>0.08</v>
      </c>
      <c r="AA39" s="799">
        <v>0.08</v>
      </c>
      <c r="AB39" s="800">
        <v>0.08</v>
      </c>
    </row>
    <row r="40" spans="1:30" ht="12.75" customHeight="1">
      <c r="B40" s="1859" t="s">
        <v>115</v>
      </c>
      <c r="C40" s="737" t="s">
        <v>714</v>
      </c>
      <c r="D40" s="1592">
        <f>INDEX('Cost Assumptions'!$Q$40:$T$40, MATCH('Cost Assumptions'!D$7, 'Cost Assumptions'!$Q$7:$T$7, 0))</f>
        <v>0.04</v>
      </c>
      <c r="E40" s="1592">
        <f>INDEX('Cost Assumptions'!$Q$40:$T$40, MATCH('Cost Assumptions'!E$7, 'Cost Assumptions'!$Q$7:$T$7, 0))</f>
        <v>0.04</v>
      </c>
      <c r="F40" s="1592">
        <f>INDEX('Cost Assumptions'!$Q$40:$T$40, MATCH('Cost Assumptions'!F$7, 'Cost Assumptions'!$Q$7:$T$7, 0))</f>
        <v>0.04</v>
      </c>
      <c r="G40" s="1809">
        <f>INDEX('Cost Assumptions'!$Q$40:$T$40, MATCH('Cost Assumptions'!G$7, 'Cost Assumptions'!$Q$7:$T$7, 0))</f>
        <v>0.04</v>
      </c>
      <c r="H40" s="1904">
        <f>INDEX('Cost Assumptions'!$Y$40:$AB$40, MATCH('Cost Assumptions'!H$7, 'Cost Assumptions'!$Y$7:$AB$7, 0))</f>
        <v>0.04</v>
      </c>
      <c r="I40" s="1904">
        <f>INDEX('Cost Assumptions'!$Y$40:$AB$40, MATCH('Cost Assumptions'!I$7, 'Cost Assumptions'!$Y$7:$AB$7, 0))</f>
        <v>0.04</v>
      </c>
      <c r="J40" s="1904">
        <f>INDEX('Cost Assumptions'!$Y$40:$AB$40, MATCH('Cost Assumptions'!J$7, 'Cost Assumptions'!$Y$7:$AB$7, 0))</f>
        <v>0.04</v>
      </c>
      <c r="K40" s="1905">
        <f>INDEX('Cost Assumptions'!$Y$40:$AB$40, MATCH('Cost Assumptions'!K$7, 'Cost Assumptions'!$Y$7:$AB$7, 0))</f>
        <v>0.04</v>
      </c>
      <c r="L40" s="799"/>
      <c r="M40" s="798">
        <v>0.04</v>
      </c>
      <c r="N40" s="797">
        <v>0.04</v>
      </c>
      <c r="O40" s="797">
        <v>0.04</v>
      </c>
      <c r="P40" s="800">
        <v>0.04</v>
      </c>
      <c r="Q40" s="797">
        <v>0.04</v>
      </c>
      <c r="R40" s="797">
        <v>0.04</v>
      </c>
      <c r="S40" s="797">
        <v>0.04</v>
      </c>
      <c r="T40" s="800">
        <v>0.04</v>
      </c>
      <c r="U40" s="799">
        <v>0.04</v>
      </c>
      <c r="V40" s="799">
        <v>0.04</v>
      </c>
      <c r="W40" s="799">
        <v>0.04</v>
      </c>
      <c r="X40" s="800">
        <v>0.04</v>
      </c>
      <c r="Y40" s="799">
        <v>0.04</v>
      </c>
      <c r="Z40" s="799">
        <v>0.04</v>
      </c>
      <c r="AA40" s="799">
        <v>0.04</v>
      </c>
      <c r="AB40" s="800">
        <v>0.04</v>
      </c>
    </row>
    <row r="41" spans="1:30" ht="12.75" customHeight="1">
      <c r="B41" s="1860" t="s">
        <v>605</v>
      </c>
      <c r="C41" s="737" t="s">
        <v>606</v>
      </c>
      <c r="D41" s="1592">
        <f>INDEX('Cost Assumptions'!$Q$41:$T$41, MATCH('Cost Assumptions'!D$7, 'Cost Assumptions'!$Q$7:$T$7, 0))</f>
        <v>0.08</v>
      </c>
      <c r="E41" s="1592">
        <f>INDEX('Cost Assumptions'!$Q$41:$T$41, MATCH('Cost Assumptions'!E$7, 'Cost Assumptions'!$Q$7:$T$7, 0))</f>
        <v>0.08</v>
      </c>
      <c r="F41" s="1592">
        <f>INDEX('Cost Assumptions'!$Q$41:$T$41, MATCH('Cost Assumptions'!F$7, 'Cost Assumptions'!$Q$7:$T$7, 0))</f>
        <v>0.08</v>
      </c>
      <c r="G41" s="1809">
        <f>INDEX('Cost Assumptions'!$Q$41:$T$41, MATCH('Cost Assumptions'!G$7, 'Cost Assumptions'!$Q$7:$T$7, 0))</f>
        <v>0.08</v>
      </c>
      <c r="H41" s="1904">
        <f>INDEX('Cost Assumptions'!$Y$41:$AB$41, MATCH('Cost Assumptions'!H$7, 'Cost Assumptions'!$Y$7:$AB$7, 0))</f>
        <v>0.08</v>
      </c>
      <c r="I41" s="1904">
        <f>INDEX('Cost Assumptions'!$Y$41:$AB$41, MATCH('Cost Assumptions'!I$7, 'Cost Assumptions'!$Y$7:$AB$7, 0))</f>
        <v>0.08</v>
      </c>
      <c r="J41" s="1904">
        <f>INDEX('Cost Assumptions'!$Y$41:$AB$41, MATCH('Cost Assumptions'!J$7, 'Cost Assumptions'!$Y$7:$AB$7, 0))</f>
        <v>0.08</v>
      </c>
      <c r="K41" s="1905">
        <f>INDEX('Cost Assumptions'!$Y$41:$AB$41, MATCH('Cost Assumptions'!K$7, 'Cost Assumptions'!$Y$7:$AB$7, 0))</f>
        <v>0.08</v>
      </c>
      <c r="L41" s="1196"/>
      <c r="M41" s="1829">
        <v>0.08</v>
      </c>
      <c r="N41" s="1195">
        <v>0.08</v>
      </c>
      <c r="O41" s="1195">
        <v>0.08</v>
      </c>
      <c r="P41" s="800">
        <v>0.08</v>
      </c>
      <c r="Q41" s="1195">
        <v>0.08</v>
      </c>
      <c r="R41" s="1195">
        <v>0.08</v>
      </c>
      <c r="S41" s="1195">
        <v>0.08</v>
      </c>
      <c r="T41" s="800">
        <v>0.08</v>
      </c>
      <c r="U41" s="1196">
        <v>0.08</v>
      </c>
      <c r="V41" s="1196">
        <v>0.08</v>
      </c>
      <c r="W41" s="1196">
        <v>0.08</v>
      </c>
      <c r="X41" s="1197">
        <v>0.08</v>
      </c>
      <c r="Y41" s="1196">
        <v>0.08</v>
      </c>
      <c r="Z41" s="1196">
        <v>0.08</v>
      </c>
      <c r="AA41" s="1196">
        <v>0.08</v>
      </c>
      <c r="AB41" s="1197">
        <v>0.08</v>
      </c>
    </row>
    <row r="42" spans="1:30">
      <c r="B42" s="1861" t="s">
        <v>386</v>
      </c>
      <c r="C42" s="739" t="s">
        <v>163</v>
      </c>
      <c r="D42" s="1262">
        <f>CONE_Calculations!Debt_Fraction</f>
        <v>0.55000000000000004</v>
      </c>
      <c r="E42" s="1262">
        <f>CONE_Calculations!Debt_Fraction</f>
        <v>0.55000000000000004</v>
      </c>
      <c r="F42" s="1262">
        <f>CONE_Calculations!Debt_Fraction</f>
        <v>0.55000000000000004</v>
      </c>
      <c r="G42" s="1810">
        <f>CONE_Calculations!Debt_Fraction</f>
        <v>0.55000000000000004</v>
      </c>
      <c r="H42" s="1805">
        <f>CONE_Calculations!Debt_Fraction</f>
        <v>0.55000000000000004</v>
      </c>
      <c r="I42" s="1805">
        <f>CONE_Calculations!Debt_Fraction</f>
        <v>0.55000000000000004</v>
      </c>
      <c r="J42" s="1805">
        <f>CONE_Calculations!Debt_Fraction</f>
        <v>0.55000000000000004</v>
      </c>
      <c r="K42" s="1810">
        <f>CONE_Calculations!Debt_Fraction</f>
        <v>0.55000000000000004</v>
      </c>
      <c r="L42" s="1262"/>
      <c r="M42" s="1830">
        <f>CONE_Calculations!Debt_Fraction</f>
        <v>0.55000000000000004</v>
      </c>
      <c r="N42" s="1262">
        <f>CONE_Calculations!Debt_Fraction</f>
        <v>0.55000000000000004</v>
      </c>
      <c r="O42" s="1262">
        <f>CONE_Calculations!Debt_Fraction</f>
        <v>0.55000000000000004</v>
      </c>
      <c r="P42" s="1810">
        <f>CONE_Calculations!Debt_Fraction</f>
        <v>0.55000000000000004</v>
      </c>
      <c r="Q42" s="1262">
        <f>CONE_Calculations!Debt_Fraction</f>
        <v>0.55000000000000004</v>
      </c>
      <c r="R42" s="1262">
        <f>CONE_Calculations!Debt_Fraction</f>
        <v>0.55000000000000004</v>
      </c>
      <c r="S42" s="1262">
        <f>CONE_Calculations!Debt_Fraction</f>
        <v>0.55000000000000004</v>
      </c>
      <c r="T42" s="1810">
        <f>CONE_Calculations!Debt_Fraction</f>
        <v>0.55000000000000004</v>
      </c>
      <c r="U42" s="1262"/>
      <c r="V42" s="1262"/>
      <c r="W42" s="1262"/>
      <c r="X42" s="1810"/>
      <c r="Y42" s="463"/>
      <c r="AB42" s="694"/>
    </row>
    <row r="43" spans="1:30" ht="12.75" customHeight="1">
      <c r="B43" s="1862" t="s">
        <v>387</v>
      </c>
      <c r="C43" s="741" t="s">
        <v>609</v>
      </c>
      <c r="D43" s="1593">
        <f>INDEX('Cost Assumptions'!$Q$43:$T$43, MATCH('Cost Assumptions'!D$7, 'Cost Assumptions'!$Q$7:$T$7, 0))</f>
        <v>6.8074678144575529</v>
      </c>
      <c r="E43" s="1593">
        <f>INDEX('Cost Assumptions'!$Q$43:$T$43, MATCH('Cost Assumptions'!E$7, 'Cost Assumptions'!$Q$7:$T$7, 0))</f>
        <v>6.8499261121724446</v>
      </c>
      <c r="F43" s="1593">
        <f>INDEX('Cost Assumptions'!$Q$43:$T$43, MATCH('Cost Assumptions'!F$7, 'Cost Assumptions'!$Q$7:$T$7, 0))</f>
        <v>6.6628188695524848</v>
      </c>
      <c r="G43" s="1811">
        <f>INDEX('Cost Assumptions'!$Q$43:$T$43, MATCH('Cost Assumptions'!G$7, 'Cost Assumptions'!$Q$7:$T$7, 0))</f>
        <v>6.6064280579587171</v>
      </c>
      <c r="H43" s="1602">
        <f>H44*H17/$C$1</f>
        <v>22.101913243110278</v>
      </c>
      <c r="I43" s="1602">
        <f>I44*I17/$C$1</f>
        <v>22.157190208743533</v>
      </c>
      <c r="J43" s="1602">
        <f>J44*J17/$C$1</f>
        <v>21.599058988804426</v>
      </c>
      <c r="K43" s="1782">
        <f>K44*K17/$C$1</f>
        <v>21.397622778658633</v>
      </c>
      <c r="L43" s="850"/>
      <c r="M43" s="1831">
        <f t="shared" ref="M43:T43" si="1">M44*M13/$C$1</f>
        <v>6.8074678144575529</v>
      </c>
      <c r="N43" s="742">
        <f t="shared" si="1"/>
        <v>6.8499261121724446</v>
      </c>
      <c r="O43" s="742">
        <f t="shared" si="1"/>
        <v>6.6628188695524848</v>
      </c>
      <c r="P43" s="1844">
        <f t="shared" si="1"/>
        <v>6.6064280579587171</v>
      </c>
      <c r="Q43" s="742">
        <f t="shared" si="1"/>
        <v>6.8074678144575529</v>
      </c>
      <c r="R43" s="742">
        <f t="shared" si="1"/>
        <v>6.8499261121724446</v>
      </c>
      <c r="S43" s="742">
        <f t="shared" si="1"/>
        <v>6.6628188695524848</v>
      </c>
      <c r="T43" s="1844">
        <f t="shared" si="1"/>
        <v>6.6064280579587171</v>
      </c>
      <c r="U43" s="850"/>
      <c r="V43" s="850"/>
      <c r="W43" s="850"/>
      <c r="X43" s="1844"/>
      <c r="Y43" s="463"/>
      <c r="AB43" s="694"/>
    </row>
    <row r="44" spans="1:30" ht="12.75" customHeight="1">
      <c r="B44" s="1863" t="s">
        <v>388</v>
      </c>
      <c r="C44" s="741" t="s">
        <v>610</v>
      </c>
      <c r="D44" s="1594">
        <f>INDEX('Cost Assumptions'!$Q$44:$T$44, MATCH('Cost Assumptions'!D$7, 'Cost Assumptions'!$Q$7:$T$7, 0))</f>
        <v>18.878745093326621</v>
      </c>
      <c r="E44" s="1594">
        <f>INDEX('Cost Assumptions'!$Q$44:$T$44, MATCH('Cost Assumptions'!E$7, 'Cost Assumptions'!$Q$7:$T$7, 0))</f>
        <v>18.878745093326621</v>
      </c>
      <c r="F44" s="1594">
        <f>INDEX('Cost Assumptions'!$Q$44:$T$44, MATCH('Cost Assumptions'!F$7, 'Cost Assumptions'!$Q$7:$T$7, 0))</f>
        <v>18.878745093326621</v>
      </c>
      <c r="G44" s="1812">
        <f>INDEX('Cost Assumptions'!$Q$44:$T$44, MATCH('Cost Assumptions'!G$7, 'Cost Assumptions'!$Q$7:$T$7, 0))</f>
        <v>18.878745093326621</v>
      </c>
      <c r="H44" s="1451">
        <f>'Additional Estimates'!$E$62</f>
        <v>18.878745093326621</v>
      </c>
      <c r="I44" s="1451">
        <f>'Additional Estimates'!$E$62</f>
        <v>18.878745093326621</v>
      </c>
      <c r="J44" s="1451">
        <f>'Additional Estimates'!$E$62</f>
        <v>18.878745093326621</v>
      </c>
      <c r="K44" s="1783">
        <f>'Additional Estimates'!$E$62</f>
        <v>18.878745093326621</v>
      </c>
      <c r="L44" s="745"/>
      <c r="M44" s="1832">
        <f>'Additional Estimates'!$E$62</f>
        <v>18.878745093326621</v>
      </c>
      <c r="N44" s="745">
        <f>'Additional Estimates'!$E$62</f>
        <v>18.878745093326621</v>
      </c>
      <c r="O44" s="745">
        <f>'Additional Estimates'!$E$62</f>
        <v>18.878745093326621</v>
      </c>
      <c r="P44" s="1387">
        <f>'Additional Estimates'!$E$62</f>
        <v>18.878745093326621</v>
      </c>
      <c r="Q44" s="745">
        <f>'Additional Estimates'!$E$62</f>
        <v>18.878745093326621</v>
      </c>
      <c r="R44" s="745">
        <f>'Additional Estimates'!$E$62</f>
        <v>18.878745093326621</v>
      </c>
      <c r="S44" s="745">
        <f>'Additional Estimates'!$E$62</f>
        <v>18.878745093326621</v>
      </c>
      <c r="T44" s="1387">
        <f>'Additional Estimates'!$E$62</f>
        <v>18.878745093326621</v>
      </c>
      <c r="U44" s="745"/>
      <c r="V44" s="745"/>
      <c r="W44" s="745"/>
      <c r="X44" s="1387"/>
      <c r="Y44" s="463"/>
      <c r="AB44" s="694"/>
    </row>
    <row r="45" spans="1:30" ht="12.75" customHeight="1">
      <c r="B45" s="1862" t="s">
        <v>98</v>
      </c>
      <c r="C45" s="741" t="s">
        <v>609</v>
      </c>
      <c r="D45" s="1594">
        <f>INDEX('Cost Assumptions'!$Q$45:$T$45, MATCH('Cost Assumptions'!D$7, 'Cost Assumptions'!$Q$7:$T$7, 0))</f>
        <v>29.551854735286756</v>
      </c>
      <c r="E45" s="1594">
        <f>INDEX('Cost Assumptions'!$Q$45:$T$45, MATCH('Cost Assumptions'!E$7, 'Cost Assumptions'!$Q$7:$T$7, 0))</f>
        <v>29.551854735286756</v>
      </c>
      <c r="F45" s="1594">
        <f>INDEX('Cost Assumptions'!$Q$45:$T$45, MATCH('Cost Assumptions'!F$7, 'Cost Assumptions'!$Q$7:$T$7, 0))</f>
        <v>29.551854735286756</v>
      </c>
      <c r="G45" s="1812">
        <f>INDEX('Cost Assumptions'!$Q$45:$T$45, MATCH('Cost Assumptions'!G$7, 'Cost Assumptions'!$Q$7:$T$7, 0))</f>
        <v>29.551854735286756</v>
      </c>
      <c r="H45" s="1604">
        <f>H46*H47+H48</f>
        <v>29.551854735286756</v>
      </c>
      <c r="I45" s="1604">
        <f t="shared" ref="I45:K45" si="2">I46*I47+I48</f>
        <v>29.551854735286756</v>
      </c>
      <c r="J45" s="1604">
        <f t="shared" si="2"/>
        <v>29.551854735286756</v>
      </c>
      <c r="K45" s="1816">
        <f t="shared" si="2"/>
        <v>29.551854735286756</v>
      </c>
      <c r="L45" s="744"/>
      <c r="M45" s="1833">
        <f>M46*M47+M48</f>
        <v>29.551854735286756</v>
      </c>
      <c r="N45" s="745">
        <f>$D$45</f>
        <v>29.551854735286756</v>
      </c>
      <c r="O45" s="745">
        <f t="shared" ref="O45:P45" si="3">$D$45</f>
        <v>29.551854735286756</v>
      </c>
      <c r="P45" s="1387">
        <f t="shared" si="3"/>
        <v>29.551854735286756</v>
      </c>
      <c r="Q45" s="744">
        <f>Q46*Q47+Q48</f>
        <v>29.551854735286756</v>
      </c>
      <c r="R45" s="745">
        <f>$D$45</f>
        <v>29.551854735286756</v>
      </c>
      <c r="S45" s="745">
        <f t="shared" ref="S45:T45" si="4">$D$45</f>
        <v>29.551854735286756</v>
      </c>
      <c r="T45" s="1387">
        <f t="shared" si="4"/>
        <v>29.551854735286756</v>
      </c>
      <c r="U45" s="744"/>
      <c r="V45" s="744"/>
      <c r="W45" s="744"/>
      <c r="X45" s="1784"/>
      <c r="Y45" s="463"/>
      <c r="AB45" s="694"/>
      <c r="AD45" s="463"/>
    </row>
    <row r="46" spans="1:30" ht="12.75" customHeight="1">
      <c r="B46" s="1864" t="s">
        <v>389</v>
      </c>
      <c r="C46" s="741" t="s">
        <v>611</v>
      </c>
      <c r="D46" s="1593">
        <f>INDEX('Cost Assumptions'!$Q$46:$T$46, MATCH('Cost Assumptions'!D$7, 'Cost Assumptions'!$Q$7:$T$7, 0))</f>
        <v>5.1072582191548639</v>
      </c>
      <c r="E46" s="1593">
        <f>INDEX('Cost Assumptions'!$Q$46:$T$46, MATCH('Cost Assumptions'!E$7, 'Cost Assumptions'!$Q$7:$T$7, 0))</f>
        <v>5.1072582191548639</v>
      </c>
      <c r="F46" s="1593">
        <f>INDEX('Cost Assumptions'!$Q$46:$T$46, MATCH('Cost Assumptions'!F$7, 'Cost Assumptions'!$Q$7:$T$7, 0))</f>
        <v>5.1072582191548639</v>
      </c>
      <c r="G46" s="1811">
        <f>INDEX('Cost Assumptions'!$Q$46:$T$46, MATCH('Cost Assumptions'!G$7, 'Cost Assumptions'!$Q$7:$T$7, 0))</f>
        <v>5.1072582191548639</v>
      </c>
      <c r="H46" s="1602">
        <f>$D$46</f>
        <v>5.1072582191548639</v>
      </c>
      <c r="I46" s="1602">
        <f t="shared" ref="I46:K46" si="5">$D$46</f>
        <v>5.1072582191548639</v>
      </c>
      <c r="J46" s="1602">
        <f t="shared" si="5"/>
        <v>5.1072582191548639</v>
      </c>
      <c r="K46" s="1782">
        <f t="shared" si="5"/>
        <v>5.1072582191548639</v>
      </c>
      <c r="L46" s="914"/>
      <c r="M46" s="1834">
        <f>'Additional Estimates'!$J$82</f>
        <v>5.1072582191548639</v>
      </c>
      <c r="N46" s="914">
        <f>$D$46</f>
        <v>5.1072582191548639</v>
      </c>
      <c r="O46" s="914">
        <f t="shared" ref="O46:P46" si="6">$D$46</f>
        <v>5.1072582191548639</v>
      </c>
      <c r="P46" s="1845">
        <f t="shared" si="6"/>
        <v>5.1072582191548639</v>
      </c>
      <c r="Q46" s="914">
        <f>'Additional Estimates'!$J$82</f>
        <v>5.1072582191548639</v>
      </c>
      <c r="R46" s="914">
        <f>$D$46</f>
        <v>5.1072582191548639</v>
      </c>
      <c r="S46" s="914">
        <f t="shared" ref="S46:T46" si="7">$D$46</f>
        <v>5.1072582191548639</v>
      </c>
      <c r="T46" s="1845">
        <f t="shared" si="7"/>
        <v>5.1072582191548639</v>
      </c>
      <c r="U46" s="914"/>
      <c r="V46" s="914"/>
      <c r="W46" s="914"/>
      <c r="X46" s="1845"/>
      <c r="AB46" s="694"/>
      <c r="AD46" s="463" t="s">
        <v>613</v>
      </c>
    </row>
    <row r="47" spans="1:30" ht="12.75" customHeight="1">
      <c r="B47" s="1864" t="s">
        <v>390</v>
      </c>
      <c r="C47" s="741" t="s">
        <v>391</v>
      </c>
      <c r="D47" s="1595">
        <f>INDEX('Cost Assumptions'!$Q$47:$T$47, MATCH('Cost Assumptions'!D$7, 'Cost Assumptions'!$Q$7:$T$7, 0))</f>
        <v>5</v>
      </c>
      <c r="E47" s="1595">
        <f>INDEX('Cost Assumptions'!$Q$47:$T$47, MATCH('Cost Assumptions'!E$7, 'Cost Assumptions'!$Q$7:$T$7, 0))</f>
        <v>5</v>
      </c>
      <c r="F47" s="1595">
        <f>INDEX('Cost Assumptions'!$Q$47:$T$47, MATCH('Cost Assumptions'!F$7, 'Cost Assumptions'!$Q$7:$T$7, 0))</f>
        <v>5</v>
      </c>
      <c r="G47" s="1813">
        <f>INDEX('Cost Assumptions'!$Q$47:$T$47, MATCH('Cost Assumptions'!G$7, 'Cost Assumptions'!$Q$7:$T$7, 0))</f>
        <v>5</v>
      </c>
      <c r="H47" s="1603">
        <v>5</v>
      </c>
      <c r="I47" s="1603">
        <v>5</v>
      </c>
      <c r="J47" s="1603">
        <v>5</v>
      </c>
      <c r="K47" s="1817">
        <v>5</v>
      </c>
      <c r="L47" s="1261"/>
      <c r="M47" s="1835">
        <v>5</v>
      </c>
      <c r="N47" s="1260">
        <v>5</v>
      </c>
      <c r="O47" s="1260">
        <v>5</v>
      </c>
      <c r="P47" s="1846">
        <v>5</v>
      </c>
      <c r="Q47" s="1260">
        <v>5</v>
      </c>
      <c r="R47" s="1260">
        <v>5</v>
      </c>
      <c r="S47" s="1260">
        <v>5</v>
      </c>
      <c r="T47" s="1846">
        <v>5</v>
      </c>
      <c r="U47" s="1261"/>
      <c r="V47" s="1261"/>
      <c r="W47" s="1261"/>
      <c r="X47" s="1846"/>
      <c r="AB47" s="694"/>
    </row>
    <row r="48" spans="1:30" ht="12.75" customHeight="1">
      <c r="B48" s="1864" t="s">
        <v>392</v>
      </c>
      <c r="C48" s="741" t="s">
        <v>609</v>
      </c>
      <c r="D48" s="1594">
        <f>INDEX('Cost Assumptions'!$Q$48:$T$48, MATCH('Cost Assumptions'!D$7, 'Cost Assumptions'!$Q$7:$T$7, 0))</f>
        <v>4.0155636395124361</v>
      </c>
      <c r="E48" s="1594">
        <f>INDEX('Cost Assumptions'!$Q$48:$T$48, MATCH('Cost Assumptions'!E$7, 'Cost Assumptions'!$Q$7:$T$7, 0))</f>
        <v>4.0155636395124361</v>
      </c>
      <c r="F48" s="1594">
        <f>INDEX('Cost Assumptions'!$Q$48:$T$48, MATCH('Cost Assumptions'!F$7, 'Cost Assumptions'!$Q$7:$T$7, 0))</f>
        <v>4.0155636395124361</v>
      </c>
      <c r="G48" s="1812">
        <f>INDEX('Cost Assumptions'!$Q$48:$T$48, MATCH('Cost Assumptions'!G$7, 'Cost Assumptions'!$Q$7:$T$7, 0))</f>
        <v>4.0155636395124361</v>
      </c>
      <c r="H48" s="1604">
        <f t="shared" ref="H48:K48" si="8">$D$48</f>
        <v>4.0155636395124361</v>
      </c>
      <c r="I48" s="1451">
        <f t="shared" si="8"/>
        <v>4.0155636395124361</v>
      </c>
      <c r="J48" s="1451">
        <f t="shared" si="8"/>
        <v>4.0155636395124361</v>
      </c>
      <c r="K48" s="1783">
        <f t="shared" si="8"/>
        <v>4.0155636395124361</v>
      </c>
      <c r="L48" s="745"/>
      <c r="M48" s="1832">
        <f>'Additional Estimates'!$N$82</f>
        <v>4.0155636395124361</v>
      </c>
      <c r="N48" s="745">
        <f>$D$48</f>
        <v>4.0155636395124361</v>
      </c>
      <c r="O48" s="745">
        <f t="shared" ref="O48:P48" si="9">$D$48</f>
        <v>4.0155636395124361</v>
      </c>
      <c r="P48" s="1387">
        <f t="shared" si="9"/>
        <v>4.0155636395124361</v>
      </c>
      <c r="Q48" s="745">
        <f>'Additional Estimates'!$N$82</f>
        <v>4.0155636395124361</v>
      </c>
      <c r="R48" s="745">
        <f>$D$48</f>
        <v>4.0155636395124361</v>
      </c>
      <c r="S48" s="745">
        <f t="shared" ref="S48:T48" si="10">$D$48</f>
        <v>4.0155636395124361</v>
      </c>
      <c r="T48" s="1387">
        <f t="shared" si="10"/>
        <v>4.0155636395124361</v>
      </c>
      <c r="U48" s="745"/>
      <c r="V48" s="745"/>
      <c r="W48" s="745"/>
      <c r="X48" s="1387"/>
      <c r="Y48" s="463"/>
      <c r="AB48" s="694"/>
    </row>
    <row r="49" spans="2:28" ht="12.75" customHeight="1">
      <c r="B49" s="1862" t="s">
        <v>150</v>
      </c>
      <c r="C49" s="749" t="s">
        <v>164</v>
      </c>
      <c r="D49" s="1594">
        <f>INDEX('Cost Assumptions'!$Q$49:$T$49, MATCH('Cost Assumptions'!D$7, 'Cost Assumptions'!$Q$7:$T$7, 0))</f>
        <v>0.36599999999999999</v>
      </c>
      <c r="E49" s="1594">
        <f>INDEX('Cost Assumptions'!$Q$49:$T$49, MATCH('Cost Assumptions'!E$7, 'Cost Assumptions'!$Q$7:$T$7, 0))</f>
        <v>0.29499999999999998</v>
      </c>
      <c r="F49" s="1594">
        <f>INDEX('Cost Assumptions'!$Q$49:$T$49, MATCH('Cost Assumptions'!F$7, 'Cost Assumptions'!$Q$7:$T$7, 0))</f>
        <v>0.16400000000000001</v>
      </c>
      <c r="G49" s="1812">
        <f>INDEX('Cost Assumptions'!$Q$49:$T$49, MATCH('Cost Assumptions'!G$7, 'Cost Assumptions'!$Q$7:$T$7, 0))</f>
        <v>0.30599999999999999</v>
      </c>
      <c r="H49" s="1604">
        <f t="shared" ref="H49:K49" si="11">H50*H51/$C$2</f>
        <v>2.1960000000000002</v>
      </c>
      <c r="I49" s="1604">
        <f t="shared" si="11"/>
        <v>1.77</v>
      </c>
      <c r="J49" s="1604">
        <f t="shared" si="11"/>
        <v>0.98399999999999999</v>
      </c>
      <c r="K49" s="1816">
        <f t="shared" si="11"/>
        <v>1.8360000000000001</v>
      </c>
      <c r="L49" s="746"/>
      <c r="M49" s="1833">
        <f t="shared" ref="M49:T49" si="12">M50*M51/$C$2</f>
        <v>0.36599999999999999</v>
      </c>
      <c r="N49" s="746">
        <f t="shared" si="12"/>
        <v>0.29499999999999998</v>
      </c>
      <c r="O49" s="746">
        <f t="shared" si="12"/>
        <v>0.16400000000000001</v>
      </c>
      <c r="P49" s="1784">
        <f t="shared" si="12"/>
        <v>0.30599999999999999</v>
      </c>
      <c r="Q49" s="746">
        <f t="shared" si="12"/>
        <v>0.36599999999999999</v>
      </c>
      <c r="R49" s="746">
        <f t="shared" si="12"/>
        <v>0.29499999999999998</v>
      </c>
      <c r="S49" s="746">
        <f t="shared" si="12"/>
        <v>0.16400000000000001</v>
      </c>
      <c r="T49" s="1784">
        <f t="shared" si="12"/>
        <v>0.30599999999999999</v>
      </c>
      <c r="U49" s="746"/>
      <c r="V49" s="746"/>
      <c r="W49" s="746"/>
      <c r="X49" s="1784"/>
      <c r="Y49" s="463"/>
      <c r="AB49" s="694"/>
    </row>
    <row r="50" spans="2:28" ht="12.75" customHeight="1">
      <c r="B50" s="1863" t="s">
        <v>393</v>
      </c>
      <c r="C50" s="749" t="s">
        <v>394</v>
      </c>
      <c r="D50" s="1596">
        <f>INDEX('Cost Assumptions'!$Q$50:$T$50, MATCH('Cost Assumptions'!D$7, 'Cost Assumptions'!$Q$7:$T$7, 0))</f>
        <v>36600</v>
      </c>
      <c r="E50" s="1596">
        <f>INDEX('Cost Assumptions'!$Q$50:$T$50, MATCH('Cost Assumptions'!E$7, 'Cost Assumptions'!$Q$7:$T$7, 0))</f>
        <v>29500</v>
      </c>
      <c r="F50" s="1596">
        <f>INDEX('Cost Assumptions'!$Q$50:$T$50, MATCH('Cost Assumptions'!F$7, 'Cost Assumptions'!$Q$7:$T$7, 0))</f>
        <v>16400</v>
      </c>
      <c r="G50" s="1814">
        <f>INDEX('Cost Assumptions'!$Q$50:$T$50, MATCH('Cost Assumptions'!G$7, 'Cost Assumptions'!$Q$7:$T$7, 0))</f>
        <v>30600</v>
      </c>
      <c r="H50" s="1605">
        <f>D$50</f>
        <v>36600</v>
      </c>
      <c r="I50" s="1605">
        <f>E$50</f>
        <v>29500</v>
      </c>
      <c r="J50" s="1605">
        <f>F$50</f>
        <v>16400</v>
      </c>
      <c r="K50" s="1818">
        <f>G$50</f>
        <v>30600</v>
      </c>
      <c r="L50" s="751"/>
      <c r="M50" s="1836">
        <f t="array" ref="M50:P50">TRANSPOSE('Additional Estimates'!B41:B44)</f>
        <v>36600</v>
      </c>
      <c r="N50" s="750">
        <v>29500</v>
      </c>
      <c r="O50" s="750">
        <v>16400</v>
      </c>
      <c r="P50" s="1785">
        <v>30600</v>
      </c>
      <c r="Q50" s="750">
        <f t="array" ref="Q50:T50">TRANSPOSE('Additional Estimates'!B41:B44)</f>
        <v>36600</v>
      </c>
      <c r="R50" s="750">
        <v>29500</v>
      </c>
      <c r="S50" s="750">
        <v>16400</v>
      </c>
      <c r="T50" s="1785">
        <v>30600</v>
      </c>
      <c r="U50" s="751"/>
      <c r="V50" s="751"/>
      <c r="W50" s="751"/>
      <c r="X50" s="1849"/>
      <c r="Y50" s="463"/>
      <c r="AB50" s="694"/>
    </row>
    <row r="51" spans="2:28" ht="12.75" customHeight="1">
      <c r="B51" s="1865" t="s">
        <v>395</v>
      </c>
      <c r="C51" s="753" t="s">
        <v>396</v>
      </c>
      <c r="D51" s="754">
        <v>10</v>
      </c>
      <c r="E51" s="754">
        <v>10</v>
      </c>
      <c r="F51" s="754">
        <v>10</v>
      </c>
      <c r="G51" s="755">
        <v>10</v>
      </c>
      <c r="H51" s="1495">
        <f>INDEX('Cost Assumptions'!$Y$51:$AB$51, MATCH('Cost Assumptions'!H$7, 'Cost Assumptions'!$Y$7:$AB$7, 0))</f>
        <v>60</v>
      </c>
      <c r="I51" s="1495">
        <f>INDEX('Cost Assumptions'!$Y$51:$AB$51, MATCH('Cost Assumptions'!I$7, 'Cost Assumptions'!$Y$7:$AB$7, 0))</f>
        <v>60</v>
      </c>
      <c r="J51" s="1495">
        <f>INDEX('Cost Assumptions'!$Y$51:$AB$51, MATCH('Cost Assumptions'!J$7, 'Cost Assumptions'!$Y$7:$AB$7, 0))</f>
        <v>60</v>
      </c>
      <c r="K51" s="1601">
        <f>INDEX('Cost Assumptions'!$Y$51:$AB$51, MATCH('Cost Assumptions'!K$7, 'Cost Assumptions'!$Y$7:$AB$7, 0))</f>
        <v>60</v>
      </c>
      <c r="L51" s="754"/>
      <c r="M51" s="1837">
        <v>10</v>
      </c>
      <c r="N51" s="754">
        <v>10</v>
      </c>
      <c r="O51" s="754">
        <v>10</v>
      </c>
      <c r="P51" s="755">
        <v>10</v>
      </c>
      <c r="Q51" s="754">
        <v>10</v>
      </c>
      <c r="R51" s="754">
        <v>10</v>
      </c>
      <c r="S51" s="754">
        <v>10</v>
      </c>
      <c r="T51" s="755">
        <v>10</v>
      </c>
      <c r="U51" s="1490">
        <v>60</v>
      </c>
      <c r="V51" s="1490">
        <v>60</v>
      </c>
      <c r="W51" s="1490">
        <v>60</v>
      </c>
      <c r="X51" s="1491">
        <v>60</v>
      </c>
      <c r="Y51" s="1490">
        <v>60</v>
      </c>
      <c r="Z51" s="1490">
        <v>60</v>
      </c>
      <c r="AA51" s="1490">
        <v>60</v>
      </c>
      <c r="AB51" s="1491">
        <v>60</v>
      </c>
    </row>
    <row r="52" spans="2:28" ht="12.75" customHeight="1">
      <c r="B52" s="1861" t="s">
        <v>397</v>
      </c>
      <c r="C52" s="739" t="s">
        <v>163</v>
      </c>
      <c r="D52" s="950">
        <f t="array" ref="D52:G52">TRANSPOSE('Additional Estimates'!G94:G97)</f>
        <v>0</v>
      </c>
      <c r="E52" s="950">
        <v>0</v>
      </c>
      <c r="F52" s="950">
        <v>0</v>
      </c>
      <c r="G52" s="1787">
        <v>0</v>
      </c>
      <c r="H52" s="1606">
        <f>D52</f>
        <v>0</v>
      </c>
      <c r="I52" s="1606">
        <f t="shared" ref="I52:K53" si="13">E52</f>
        <v>0</v>
      </c>
      <c r="J52" s="1606">
        <f t="shared" si="13"/>
        <v>0</v>
      </c>
      <c r="K52" s="1819">
        <f t="shared" si="13"/>
        <v>0</v>
      </c>
      <c r="L52" s="951"/>
      <c r="M52" s="1838">
        <f t="array" ref="M52:P52">TRANSPOSE('Additional Estimates'!G94:G97)</f>
        <v>0</v>
      </c>
      <c r="N52" s="950">
        <v>0</v>
      </c>
      <c r="O52" s="950">
        <v>0</v>
      </c>
      <c r="P52" s="1787">
        <v>0</v>
      </c>
      <c r="Q52" s="950">
        <f t="array" ref="Q52:T52">TRANSPOSE('Additional Estimates'!G94:G97)</f>
        <v>0</v>
      </c>
      <c r="R52" s="950">
        <v>0</v>
      </c>
      <c r="S52" s="950">
        <v>0</v>
      </c>
      <c r="T52" s="1787">
        <v>0</v>
      </c>
      <c r="U52" s="951"/>
      <c r="V52" s="951"/>
      <c r="W52" s="951"/>
      <c r="X52" s="1850"/>
      <c r="Y52" s="463"/>
      <c r="AB52" s="694"/>
    </row>
    <row r="53" spans="2:28" ht="12.75" customHeight="1">
      <c r="B53" s="1861" t="s">
        <v>398</v>
      </c>
      <c r="C53" s="739" t="s">
        <v>163</v>
      </c>
      <c r="D53" s="950">
        <f t="array" ref="D53:G53">TRANSPOSE('Additional Estimates'!F94:F97)</f>
        <v>0.115</v>
      </c>
      <c r="E53" s="950">
        <v>8.2500000000000004E-2</v>
      </c>
      <c r="F53" s="950">
        <v>9.9900000000000003E-2</v>
      </c>
      <c r="G53" s="1787">
        <v>9.9900000000000003E-2</v>
      </c>
      <c r="H53" s="1606">
        <f>D53</f>
        <v>0.115</v>
      </c>
      <c r="I53" s="1606">
        <f t="shared" si="13"/>
        <v>8.2500000000000004E-2</v>
      </c>
      <c r="J53" s="1606">
        <f t="shared" si="13"/>
        <v>9.9900000000000003E-2</v>
      </c>
      <c r="K53" s="1819">
        <f t="shared" si="13"/>
        <v>9.9900000000000003E-2</v>
      </c>
      <c r="L53" s="951"/>
      <c r="M53" s="1838">
        <f t="array" ref="M53:P53">TRANSPOSE('Additional Estimates'!F94:F97)</f>
        <v>0.115</v>
      </c>
      <c r="N53" s="950">
        <v>8.2500000000000004E-2</v>
      </c>
      <c r="O53" s="950">
        <v>9.9900000000000003E-2</v>
      </c>
      <c r="P53" s="1787">
        <v>9.9900000000000003E-2</v>
      </c>
      <c r="Q53" s="950">
        <f t="array" ref="Q53:T53">TRANSPOSE('Additional Estimates'!F94:F97)</f>
        <v>0.115</v>
      </c>
      <c r="R53" s="950">
        <v>8.2500000000000004E-2</v>
      </c>
      <c r="S53" s="950">
        <v>9.9900000000000003E-2</v>
      </c>
      <c r="T53" s="1787">
        <v>9.9900000000000003E-2</v>
      </c>
      <c r="U53" s="951"/>
      <c r="V53" s="951"/>
      <c r="W53" s="951"/>
      <c r="X53" s="1850"/>
      <c r="Y53" s="463"/>
      <c r="AB53" s="694"/>
    </row>
    <row r="54" spans="2:28">
      <c r="B54" s="1866" t="s">
        <v>399</v>
      </c>
      <c r="C54" s="756" t="s">
        <v>400</v>
      </c>
      <c r="D54" s="1891">
        <f>INDEX('Cost Assumptions'!$Q$54:$T$54, MATCH('Cost Assumptions'!D$7, 'Cost Assumptions'!$Q$7:$T$7, 0))</f>
        <v>0</v>
      </c>
      <c r="E54" s="1891">
        <f>INDEX('Cost Assumptions'!$Q$54:$T$54, MATCH('Cost Assumptions'!E$7, 'Cost Assumptions'!$Q$7:$T$7, 0))</f>
        <v>0</v>
      </c>
      <c r="F54" s="1891">
        <f>INDEX('Cost Assumptions'!$Q$54:$T$54, MATCH('Cost Assumptions'!F$7, 'Cost Assumptions'!$Q$7:$T$7, 0))</f>
        <v>0</v>
      </c>
      <c r="G54" s="1896">
        <f>INDEX('Cost Assumptions'!$Q$54:$T$54, MATCH('Cost Assumptions'!G$7, 'Cost Assumptions'!$Q$7:$T$7, 0))</f>
        <v>0</v>
      </c>
      <c r="H54" s="757"/>
      <c r="I54" s="757"/>
      <c r="J54" s="757"/>
      <c r="K54" s="1820"/>
      <c r="L54" s="757"/>
      <c r="M54" s="758">
        <f>M59*M60</f>
        <v>3497274.4638421312</v>
      </c>
      <c r="N54" s="757">
        <f>N59*N60</f>
        <v>3364769.133484256</v>
      </c>
      <c r="O54" s="757">
        <f>O59*O60</f>
        <v>3408543.975118157</v>
      </c>
      <c r="P54" s="1820">
        <f>P59*P60</f>
        <v>3380479.3074848037</v>
      </c>
      <c r="Q54" s="757"/>
      <c r="R54" s="757"/>
      <c r="S54" s="757"/>
      <c r="T54" s="1820"/>
      <c r="U54" s="757"/>
      <c r="V54" s="757"/>
      <c r="W54" s="757"/>
      <c r="X54" s="1820"/>
      <c r="Y54" s="463"/>
      <c r="AB54" s="694"/>
    </row>
    <row r="55" spans="2:28">
      <c r="B55" s="1867" t="s">
        <v>401</v>
      </c>
      <c r="C55" s="756" t="s">
        <v>402</v>
      </c>
      <c r="D55" s="1891">
        <f>INDEX('Cost Assumptions'!$Q$55:$T$55, MATCH('Cost Assumptions'!D$7, 'Cost Assumptions'!$Q$7:$T$7, 0))</f>
        <v>0</v>
      </c>
      <c r="E55" s="1891">
        <f>INDEX('Cost Assumptions'!$Q$55:$T$55, MATCH('Cost Assumptions'!E$7, 'Cost Assumptions'!$Q$7:$T$7, 0))</f>
        <v>0</v>
      </c>
      <c r="F55" s="1891">
        <f>INDEX('Cost Assumptions'!$Q$55:$T$55, MATCH('Cost Assumptions'!F$7, 'Cost Assumptions'!$Q$7:$T$7, 0))</f>
        <v>0</v>
      </c>
      <c r="G55" s="1896">
        <f>INDEX('Cost Assumptions'!$Q$55:$T$55, MATCH('Cost Assumptions'!G$7, 'Cost Assumptions'!$Q$7:$T$7, 0))</f>
        <v>0</v>
      </c>
      <c r="H55" s="801"/>
      <c r="I55" s="801"/>
      <c r="J55" s="801"/>
      <c r="K55" s="1821"/>
      <c r="L55" s="801"/>
      <c r="M55" s="802">
        <v>3</v>
      </c>
      <c r="N55" s="801">
        <v>3</v>
      </c>
      <c r="O55" s="801">
        <v>3</v>
      </c>
      <c r="P55" s="1821">
        <v>3</v>
      </c>
      <c r="Q55" s="801"/>
      <c r="R55" s="801"/>
      <c r="S55" s="801"/>
      <c r="T55" s="1821"/>
      <c r="U55" s="801"/>
      <c r="V55" s="801"/>
      <c r="W55" s="801"/>
      <c r="X55" s="1821"/>
      <c r="Y55" s="463"/>
      <c r="AB55" s="694"/>
    </row>
    <row r="56" spans="2:28" ht="12.75" customHeight="1">
      <c r="B56" s="1867" t="s">
        <v>403</v>
      </c>
      <c r="C56" s="756" t="s">
        <v>163</v>
      </c>
      <c r="D56" s="1892">
        <f>INDEX('Cost Assumptions'!$Q$56:$T$56, MATCH('Cost Assumptions'!D$7, 'Cost Assumptions'!$Q$7:$T$7, 0))</f>
        <v>0</v>
      </c>
      <c r="E56" s="1892">
        <f>INDEX('Cost Assumptions'!$Q$56:$T$56, MATCH('Cost Assumptions'!E$7, 'Cost Assumptions'!$Q$7:$T$7, 0))</f>
        <v>0</v>
      </c>
      <c r="F56" s="1892">
        <f>INDEX('Cost Assumptions'!$Q$56:$T$56, MATCH('Cost Assumptions'!F$7, 'Cost Assumptions'!$Q$7:$T$7, 0))</f>
        <v>0</v>
      </c>
      <c r="G56" s="1897">
        <f>INDEX('Cost Assumptions'!$Q$56:$T$56, MATCH('Cost Assumptions'!G$7, 'Cost Assumptions'!$Q$7:$T$7, 0))</f>
        <v>0</v>
      </c>
      <c r="H56" s="803"/>
      <c r="I56" s="803"/>
      <c r="J56" s="803"/>
      <c r="K56" s="1822"/>
      <c r="L56" s="803"/>
      <c r="M56" s="804">
        <v>1</v>
      </c>
      <c r="N56" s="803">
        <v>1</v>
      </c>
      <c r="O56" s="803">
        <v>1</v>
      </c>
      <c r="P56" s="1822">
        <v>1</v>
      </c>
      <c r="Q56" s="803"/>
      <c r="R56" s="803"/>
      <c r="S56" s="803"/>
      <c r="T56" s="1822"/>
      <c r="U56" s="803"/>
      <c r="V56" s="803"/>
      <c r="W56" s="803"/>
      <c r="X56" s="1822"/>
      <c r="Y56" s="463"/>
      <c r="AB56" s="694"/>
    </row>
    <row r="57" spans="2:28" ht="12.75" customHeight="1">
      <c r="B57" s="1867" t="s">
        <v>404</v>
      </c>
      <c r="C57" s="756" t="s">
        <v>405</v>
      </c>
      <c r="D57" s="1893">
        <f>INDEX('Cost Assumptions'!$Q$57:$T$57, MATCH('Cost Assumptions'!D$7, 'Cost Assumptions'!$Q$7:$T$7, 0))</f>
        <v>0</v>
      </c>
      <c r="E57" s="1893">
        <f>INDEX('Cost Assumptions'!$Q$57:$T$57, MATCH('Cost Assumptions'!E$7, 'Cost Assumptions'!$Q$7:$T$7, 0))</f>
        <v>0</v>
      </c>
      <c r="F57" s="1893">
        <f>INDEX('Cost Assumptions'!$Q$57:$T$57, MATCH('Cost Assumptions'!F$7, 'Cost Assumptions'!$Q$7:$T$7, 0))</f>
        <v>0</v>
      </c>
      <c r="G57" s="1898">
        <f>INDEX('Cost Assumptions'!$Q$57:$T$57, MATCH('Cost Assumptions'!G$7, 'Cost Assumptions'!$Q$7:$T$7, 0))</f>
        <v>0</v>
      </c>
      <c r="H57" s="1258"/>
      <c r="I57" s="1258"/>
      <c r="J57" s="1258"/>
      <c r="K57" s="1259"/>
      <c r="L57" s="1258"/>
      <c r="M57" s="1839">
        <f>INDEX('Additional Estimates'!$B$106:$E$107,MATCH('Cost Assumptions'!M$3,'Additional Estimates'!$A$106:$A$107,0),MATCH('Cost Assumptions'!M$7,'Additional Estimates'!$B$105:$E$105,0))</f>
        <v>13.824006045569911</v>
      </c>
      <c r="N57" s="1258">
        <f>INDEX('Additional Estimates'!$B$106:$E$107,MATCH('Cost Assumptions'!N$3,'Additional Estimates'!$A$106:$A$107,0),MATCH('Cost Assumptions'!N$7,'Additional Estimates'!$B$105:$E$105,0))</f>
        <v>13.824006045569911</v>
      </c>
      <c r="O57" s="1258">
        <f>INDEX('Additional Estimates'!$B$106:$E$107,MATCH('Cost Assumptions'!O$3,'Additional Estimates'!$A$106:$A$107,0),MATCH('Cost Assumptions'!O$7,'Additional Estimates'!$B$105:$E$105,0))</f>
        <v>13.824006045569911</v>
      </c>
      <c r="P57" s="1259">
        <f>INDEX('Additional Estimates'!$B$106:$E$107,MATCH('Cost Assumptions'!P$3,'Additional Estimates'!$A$106:$A$107,0),MATCH('Cost Assumptions'!P$7,'Additional Estimates'!$B$105:$E$105,0))</f>
        <v>13.824006045569911</v>
      </c>
      <c r="Q57" s="1258"/>
      <c r="R57" s="1258"/>
      <c r="S57" s="1258"/>
      <c r="T57" s="1259"/>
      <c r="U57" s="1258"/>
      <c r="V57" s="1258"/>
      <c r="W57" s="1258"/>
      <c r="X57" s="1259"/>
      <c r="Y57" s="463"/>
      <c r="AB57" s="694"/>
    </row>
    <row r="58" spans="2:28" ht="12.75" customHeight="1">
      <c r="B58" s="1867" t="s">
        <v>406</v>
      </c>
      <c r="C58" s="756" t="s">
        <v>407</v>
      </c>
      <c r="D58" s="1895">
        <f>INDEX('Cost Assumptions'!$Q$58:$T$58, MATCH('Cost Assumptions'!D$7, 'Cost Assumptions'!$Q$7:$T$7, 0))</f>
        <v>0</v>
      </c>
      <c r="E58" s="1895">
        <f>INDEX('Cost Assumptions'!$Q$58:$T$58, MATCH('Cost Assumptions'!E$7, 'Cost Assumptions'!$Q$7:$T$7, 0))</f>
        <v>0</v>
      </c>
      <c r="F58" s="1895">
        <f>INDEX('Cost Assumptions'!$Q$58:$T$58, MATCH('Cost Assumptions'!F$7, 'Cost Assumptions'!$Q$7:$T$7, 0))</f>
        <v>0</v>
      </c>
      <c r="G58" s="1899">
        <f>INDEX('Cost Assumptions'!$Q$58:$T$58, MATCH('Cost Assumptions'!G$7, 'Cost Assumptions'!$Q$7:$T$7, 0))</f>
        <v>0</v>
      </c>
      <c r="H58" s="785"/>
      <c r="I58" s="785"/>
      <c r="J58" s="785"/>
      <c r="K58" s="1823"/>
      <c r="L58" s="785"/>
      <c r="M58" s="786">
        <v>140000</v>
      </c>
      <c r="N58" s="785">
        <v>140000</v>
      </c>
      <c r="O58" s="785">
        <v>140000</v>
      </c>
      <c r="P58" s="1823">
        <v>140000</v>
      </c>
      <c r="Q58" s="785"/>
      <c r="R58" s="785"/>
      <c r="S58" s="785"/>
      <c r="T58" s="1823"/>
      <c r="U58" s="785"/>
      <c r="V58" s="785"/>
      <c r="W58" s="785"/>
      <c r="X58" s="1823"/>
      <c r="Y58" s="463"/>
      <c r="AB58" s="694"/>
    </row>
    <row r="59" spans="2:28" ht="12.75" customHeight="1">
      <c r="B59" s="1867" t="s">
        <v>408</v>
      </c>
      <c r="C59" s="756" t="s">
        <v>409</v>
      </c>
      <c r="D59" s="1895">
        <f>INDEX('Cost Assumptions'!$Q$59:$T$59, MATCH('Cost Assumptions'!D$7, 'Cost Assumptions'!$Q$7:$T$7, 0))</f>
        <v>0</v>
      </c>
      <c r="E59" s="1895">
        <f>INDEX('Cost Assumptions'!$Q$59:$T$59, MATCH('Cost Assumptions'!E$7, 'Cost Assumptions'!$Q$7:$T$7, 0))</f>
        <v>0</v>
      </c>
      <c r="F59" s="1895">
        <f>INDEX('Cost Assumptions'!$Q$59:$T$59, MATCH('Cost Assumptions'!F$7, 'Cost Assumptions'!$Q$7:$T$7, 0))</f>
        <v>0</v>
      </c>
      <c r="G59" s="1899">
        <f>INDEX('Cost Assumptions'!$Q$59:$T$59, MATCH('Cost Assumptions'!G$7, 'Cost Assumptions'!$Q$7:$T$7, 0))</f>
        <v>0</v>
      </c>
      <c r="H59" s="788"/>
      <c r="I59" s="788"/>
      <c r="J59" s="788"/>
      <c r="K59" s="1824"/>
      <c r="L59" s="788"/>
      <c r="M59" s="1840">
        <v>1807040</v>
      </c>
      <c r="N59" s="1588">
        <f>N$55*$C$3*N$56*N$13*$C$1*N$21/N$58</f>
        <v>1738574.5608000003</v>
      </c>
      <c r="O59" s="1588">
        <v>1761193</v>
      </c>
      <c r="P59" s="1847">
        <v>1746692</v>
      </c>
      <c r="Q59" s="788"/>
      <c r="R59" s="788"/>
      <c r="S59" s="788"/>
      <c r="T59" s="1824"/>
      <c r="U59" s="788"/>
      <c r="V59" s="788"/>
      <c r="W59" s="788"/>
      <c r="X59" s="1824"/>
      <c r="Y59" s="463"/>
      <c r="AB59" s="694"/>
    </row>
    <row r="60" spans="2:28" ht="12.75" customHeight="1">
      <c r="B60" s="1867" t="s">
        <v>404</v>
      </c>
      <c r="C60" s="756" t="s">
        <v>410</v>
      </c>
      <c r="D60" s="1894">
        <f>INDEX('Cost Assumptions'!$Q$60:$T$60, MATCH('Cost Assumptions'!D$7, 'Cost Assumptions'!$Q$7:$T$7, 0))</f>
        <v>0</v>
      </c>
      <c r="E60" s="1894">
        <f>INDEX('Cost Assumptions'!$Q$60:$T$60, MATCH('Cost Assumptions'!E$7, 'Cost Assumptions'!$Q$7:$T$7, 0))</f>
        <v>0</v>
      </c>
      <c r="F60" s="1894">
        <f>INDEX('Cost Assumptions'!$Q$60:$T$60, MATCH('Cost Assumptions'!F$7, 'Cost Assumptions'!$Q$7:$T$7, 0))</f>
        <v>0</v>
      </c>
      <c r="G60" s="1900">
        <f>INDEX('Cost Assumptions'!$Q$60:$T$60, MATCH('Cost Assumptions'!G$7, 'Cost Assumptions'!$Q$7:$T$7, 0))</f>
        <v>0</v>
      </c>
      <c r="H60" s="787"/>
      <c r="I60" s="787"/>
      <c r="J60" s="787"/>
      <c r="K60" s="1825"/>
      <c r="L60" s="787"/>
      <c r="M60" s="789">
        <f t="shared" ref="M60:P60" si="14">M$57*M$58/$C$2</f>
        <v>1.9353608463797876</v>
      </c>
      <c r="N60" s="787">
        <f t="shared" si="14"/>
        <v>1.9353608463797876</v>
      </c>
      <c r="O60" s="787">
        <f t="shared" si="14"/>
        <v>1.9353608463797876</v>
      </c>
      <c r="P60" s="1825">
        <f t="shared" si="14"/>
        <v>1.9353608463797876</v>
      </c>
      <c r="Q60" s="787"/>
      <c r="R60" s="787"/>
      <c r="S60" s="787"/>
      <c r="T60" s="1825"/>
      <c r="U60" s="787"/>
      <c r="V60" s="787"/>
      <c r="W60" s="787"/>
      <c r="X60" s="1825"/>
      <c r="Y60" s="463"/>
      <c r="AB60" s="694"/>
    </row>
    <row r="61" spans="2:28" ht="12.75" customHeight="1">
      <c r="B61" s="1866" t="s">
        <v>411</v>
      </c>
      <c r="C61" s="756"/>
      <c r="D61" s="1198" t="s">
        <v>9</v>
      </c>
      <c r="E61" s="1198" t="s">
        <v>9</v>
      </c>
      <c r="F61" s="1198" t="s">
        <v>9</v>
      </c>
      <c r="G61" s="1199" t="s">
        <v>9</v>
      </c>
      <c r="H61" s="1200" t="s">
        <v>10</v>
      </c>
      <c r="I61" s="1200" t="s">
        <v>10</v>
      </c>
      <c r="J61" s="1200" t="s">
        <v>10</v>
      </c>
      <c r="K61" s="1199" t="s">
        <v>10</v>
      </c>
      <c r="L61" s="1200"/>
      <c r="M61" s="1841" t="s">
        <v>9</v>
      </c>
      <c r="N61" s="1198" t="s">
        <v>9</v>
      </c>
      <c r="O61" s="1198" t="s">
        <v>9</v>
      </c>
      <c r="P61" s="1199" t="s">
        <v>9</v>
      </c>
      <c r="Q61" s="1200"/>
      <c r="R61" s="1200"/>
      <c r="S61" s="1200"/>
      <c r="T61" s="1199"/>
      <c r="U61" s="1200"/>
      <c r="V61" s="1200"/>
      <c r="W61" s="1200"/>
      <c r="X61" s="1199"/>
      <c r="AB61" s="694"/>
    </row>
    <row r="62" spans="2:28" ht="6" customHeight="1">
      <c r="B62" s="1868"/>
      <c r="C62" s="761"/>
      <c r="D62" s="762"/>
      <c r="E62" s="762"/>
      <c r="F62" s="762"/>
      <c r="G62" s="763"/>
      <c r="H62" s="1826"/>
      <c r="I62" s="762"/>
      <c r="J62" s="762"/>
      <c r="K62" s="763"/>
      <c r="L62" s="1385"/>
      <c r="M62" s="1826"/>
      <c r="N62" s="762"/>
      <c r="O62" s="762"/>
      <c r="P62" s="763"/>
      <c r="Q62" s="762"/>
      <c r="R62" s="762"/>
      <c r="S62" s="762"/>
      <c r="T62" s="763"/>
      <c r="U62" s="1826"/>
      <c r="V62" s="762"/>
      <c r="W62" s="762"/>
      <c r="X62" s="763"/>
      <c r="Y62" s="465"/>
      <c r="Z62" s="465"/>
      <c r="AA62" s="465"/>
      <c r="AB62" s="700"/>
    </row>
    <row r="63" spans="2:28" ht="6" customHeight="1">
      <c r="B63" s="1869"/>
      <c r="C63" s="765"/>
      <c r="D63" s="766"/>
      <c r="E63" s="766"/>
      <c r="F63" s="766"/>
      <c r="G63" s="767"/>
      <c r="H63" s="766"/>
      <c r="I63" s="766"/>
      <c r="J63" s="766"/>
      <c r="K63" s="767"/>
      <c r="L63" s="1385"/>
      <c r="M63" s="1842"/>
      <c r="N63" s="1385"/>
      <c r="O63" s="1385"/>
      <c r="P63" s="767"/>
      <c r="Q63" s="1385"/>
      <c r="R63" s="1385"/>
      <c r="S63" s="1385"/>
      <c r="T63" s="767"/>
      <c r="U63" s="1385"/>
      <c r="V63" s="1385"/>
      <c r="W63" s="1385"/>
      <c r="X63" s="767"/>
      <c r="AB63" s="694"/>
    </row>
    <row r="64" spans="2:28" ht="12.75" customHeight="1">
      <c r="B64" s="1828" t="s">
        <v>158</v>
      </c>
      <c r="C64" s="589"/>
      <c r="D64" s="588"/>
      <c r="E64" s="589"/>
      <c r="F64" s="588"/>
      <c r="G64" s="670"/>
      <c r="H64" s="588"/>
      <c r="I64" s="589"/>
      <c r="J64" s="588"/>
      <c r="K64" s="670"/>
      <c r="L64" s="589"/>
      <c r="M64" s="1827"/>
      <c r="N64" s="589"/>
      <c r="O64" s="589"/>
      <c r="P64" s="670"/>
      <c r="Q64" s="589"/>
      <c r="R64" s="589"/>
      <c r="S64" s="589"/>
      <c r="T64" s="670"/>
      <c r="U64" s="589"/>
      <c r="V64" s="589"/>
      <c r="W64" s="589"/>
      <c r="X64" s="670"/>
      <c r="AB64" s="694"/>
    </row>
    <row r="65" spans="2:30" ht="12.75" customHeight="1">
      <c r="B65" s="1870" t="s">
        <v>412</v>
      </c>
      <c r="C65" s="708" t="s">
        <v>413</v>
      </c>
      <c r="D65" s="712">
        <f>D29</f>
        <v>461.62361345919993</v>
      </c>
      <c r="E65" s="712">
        <f t="shared" ref="E65:G65" si="15">E29</f>
        <v>464.6289236959999</v>
      </c>
      <c r="F65" s="712">
        <f t="shared" si="15"/>
        <v>450.84295199400003</v>
      </c>
      <c r="G65" s="714">
        <f t="shared" si="15"/>
        <v>447.44734083139997</v>
      </c>
      <c r="H65" s="1495">
        <f>INDEX('Cost Assumptions'!$Y$65:$AB$65, MATCH('Cost Assumptions'!H$7, 'Cost Assumptions'!$Y$7:$AB$7, 0))</f>
        <v>8084.7871104000005</v>
      </c>
      <c r="I65" s="1495">
        <f>INDEX('Cost Assumptions'!$Y$65:$AB$65, MATCH('Cost Assumptions'!I$7, 'Cost Assumptions'!$Y$7:$AB$7, 0))</f>
        <v>8137.6220400000011</v>
      </c>
      <c r="J65" s="1495">
        <f>INDEX('Cost Assumptions'!$Y$65:$AB$65, MATCH('Cost Assumptions'!J$7, 'Cost Assumptions'!$Y$7:$AB$7, 0))</f>
        <v>7895.7099935999986</v>
      </c>
      <c r="K65" s="1601">
        <f>INDEX('Cost Assumptions'!$Y$65:$AB$65, MATCH('Cost Assumptions'!K$7, 'Cost Assumptions'!$Y$7:$AB$7, 0))</f>
        <v>7836.0542832000001</v>
      </c>
      <c r="L65" s="712"/>
      <c r="M65" s="713">
        <f>M29</f>
        <v>461.62361345919993</v>
      </c>
      <c r="N65" s="712">
        <f t="shared" ref="N65:P65" si="16">N29</f>
        <v>464.6289236959999</v>
      </c>
      <c r="O65" s="712">
        <f t="shared" si="16"/>
        <v>450.84295199400003</v>
      </c>
      <c r="P65" s="714">
        <f t="shared" si="16"/>
        <v>447.44734083139997</v>
      </c>
      <c r="Q65" s="712">
        <f>Q29</f>
        <v>461.62361345919993</v>
      </c>
      <c r="R65" s="712">
        <f t="shared" ref="R65:T65" si="17">R29</f>
        <v>464.6289236959999</v>
      </c>
      <c r="S65" s="712">
        <f t="shared" si="17"/>
        <v>450.84295199400003</v>
      </c>
      <c r="T65" s="714">
        <f t="shared" si="17"/>
        <v>447.44734083139997</v>
      </c>
      <c r="U65" s="1201">
        <v>8085.4188945131827</v>
      </c>
      <c r="V65" s="1201">
        <v>8137.1087970619656</v>
      </c>
      <c r="W65" s="1201">
        <v>7895.8407295285424</v>
      </c>
      <c r="X65" s="1203">
        <v>7836.4266824292172</v>
      </c>
      <c r="Y65" s="1201">
        <v>8084.7871104000005</v>
      </c>
      <c r="Z65" s="1201">
        <v>8137.6220400000011</v>
      </c>
      <c r="AA65" s="1201">
        <v>7895.7099935999986</v>
      </c>
      <c r="AB65" s="1203">
        <v>7836.0542832000001</v>
      </c>
      <c r="AD65" s="256" t="s">
        <v>414</v>
      </c>
    </row>
    <row r="66" spans="2:30" ht="12.75" customHeight="1">
      <c r="B66" s="1870" t="s">
        <v>415</v>
      </c>
      <c r="C66" s="771" t="s">
        <v>416</v>
      </c>
      <c r="D66" s="1315">
        <v>6.0000000000000001E-3</v>
      </c>
      <c r="E66" s="1315">
        <v>6.0000000000000001E-3</v>
      </c>
      <c r="F66" s="1315">
        <v>6.0000000000000001E-3</v>
      </c>
      <c r="G66" s="1316">
        <v>6.0000000000000001E-3</v>
      </c>
      <c r="H66" s="1498">
        <f>INDEX('Cost Assumptions'!$Y$66:$AB$66, MATCH('Cost Assumptions'!H$7, 'Cost Assumptions'!$Y$7:$AB$7, 0))</f>
        <v>6.0000000000000001E-3</v>
      </c>
      <c r="I66" s="1498">
        <f>INDEX('Cost Assumptions'!$Y$66:$AB$66, MATCH('Cost Assumptions'!I$7, 'Cost Assumptions'!$Y$7:$AB$7, 0))</f>
        <v>6.0000000000000001E-3</v>
      </c>
      <c r="J66" s="1498">
        <f>INDEX('Cost Assumptions'!$Y$66:$AB$66, MATCH('Cost Assumptions'!J$7, 'Cost Assumptions'!$Y$7:$AB$7, 0))</f>
        <v>6.0000000000000001E-3</v>
      </c>
      <c r="K66" s="1499">
        <f>INDEX('Cost Assumptions'!$Y$66:$AB$66, MATCH('Cost Assumptions'!K$7, 'Cost Assumptions'!$Y$7:$AB$7, 0))</f>
        <v>6.0000000000000001E-3</v>
      </c>
      <c r="L66" s="1315"/>
      <c r="M66" s="1843">
        <v>6.0000000000000001E-3</v>
      </c>
      <c r="N66" s="1586">
        <v>6.0000000000000001E-3</v>
      </c>
      <c r="O66" s="1586">
        <v>6.0000000000000001E-3</v>
      </c>
      <c r="P66" s="1587">
        <v>6.0000000000000001E-3</v>
      </c>
      <c r="Q66" s="1315">
        <v>6.0000000000000001E-3</v>
      </c>
      <c r="R66" s="1315">
        <v>6.0000000000000001E-3</v>
      </c>
      <c r="S66" s="1315">
        <v>6.0000000000000001E-3</v>
      </c>
      <c r="T66" s="1316">
        <v>6.0000000000000001E-3</v>
      </c>
      <c r="U66" s="1383">
        <v>6.0000000000000001E-3</v>
      </c>
      <c r="V66" s="1383">
        <v>6.0000000000000001E-3</v>
      </c>
      <c r="W66" s="1383">
        <v>6.0000000000000001E-3</v>
      </c>
      <c r="X66" s="1382">
        <v>6.0000000000000001E-3</v>
      </c>
      <c r="Y66" s="1383">
        <v>6.0000000000000001E-3</v>
      </c>
      <c r="Z66" s="1383">
        <v>6.0000000000000001E-3</v>
      </c>
      <c r="AA66" s="1383">
        <v>6.0000000000000001E-3</v>
      </c>
      <c r="AB66" s="1382">
        <v>6.0000000000000001E-3</v>
      </c>
    </row>
    <row r="67" spans="2:30" ht="6" customHeight="1" thickBot="1">
      <c r="B67" s="1871"/>
      <c r="C67" s="772"/>
      <c r="D67" s="262"/>
      <c r="E67" s="262"/>
      <c r="F67" s="262"/>
      <c r="G67" s="772"/>
      <c r="H67" s="262"/>
      <c r="I67" s="262"/>
      <c r="J67" s="262"/>
      <c r="K67" s="772"/>
      <c r="L67" s="463"/>
      <c r="M67" s="1848"/>
      <c r="N67" s="262"/>
      <c r="O67" s="262"/>
      <c r="P67" s="772"/>
      <c r="Q67" s="262"/>
      <c r="R67" s="262"/>
      <c r="S67" s="262"/>
      <c r="T67" s="772"/>
      <c r="U67" s="1848"/>
      <c r="V67" s="262"/>
      <c r="W67" s="262"/>
      <c r="X67" s="772"/>
      <c r="Y67" s="262"/>
      <c r="Z67" s="262"/>
      <c r="AA67" s="262"/>
      <c r="AB67" s="772"/>
    </row>
    <row r="68" spans="2:30" ht="6" customHeight="1" thickTop="1"/>
    <row r="69" spans="2:30">
      <c r="B69" s="627" t="s">
        <v>317</v>
      </c>
    </row>
    <row r="70" spans="2:30" ht="30">
      <c r="B70" s="629" t="s">
        <v>318</v>
      </c>
    </row>
    <row r="71" spans="2:30" ht="12.75" customHeight="1">
      <c r="B71" s="630" t="s">
        <v>319</v>
      </c>
    </row>
    <row r="72" spans="2:30" ht="12.75" customHeight="1">
      <c r="B72" s="631" t="s">
        <v>607</v>
      </c>
    </row>
    <row r="73" spans="2:30" ht="12.75" customHeight="1"/>
    <row r="74" spans="2:30" ht="12.75" customHeight="1">
      <c r="B74" s="256" t="s">
        <v>417</v>
      </c>
    </row>
    <row r="75" spans="2:30" ht="12.75" customHeight="1">
      <c r="B75" s="256" t="s">
        <v>418</v>
      </c>
    </row>
    <row r="76" spans="2:30" ht="12.75" customHeight="1"/>
    <row r="77" spans="2:30" ht="12.75" customHeight="1">
      <c r="B77" s="588" t="s">
        <v>419</v>
      </c>
      <c r="C77" s="589"/>
      <c r="D77" s="588"/>
      <c r="E77" s="589"/>
      <c r="F77" s="588"/>
      <c r="G77" s="589"/>
      <c r="H77" s="588"/>
      <c r="I77" s="589"/>
      <c r="J77" s="588"/>
      <c r="K77" s="670"/>
      <c r="L77" s="1384"/>
      <c r="M77" s="1384"/>
      <c r="N77" s="1384"/>
      <c r="O77" s="1384"/>
      <c r="P77" s="1384"/>
      <c r="Q77" s="1384"/>
      <c r="R77" s="1384"/>
      <c r="S77" s="1384"/>
      <c r="T77" s="1384"/>
      <c r="U77" s="1384"/>
      <c r="V77" s="1384"/>
      <c r="W77" s="1384"/>
      <c r="X77" s="1384"/>
    </row>
    <row r="78" spans="2:30" ht="12.75" customHeight="1">
      <c r="B78" s="768" t="s">
        <v>420</v>
      </c>
      <c r="C78" s="708" t="s">
        <v>421</v>
      </c>
      <c r="D78" s="1597">
        <f>INDEX('Cost Assumptions'!$Q$78:$T$78, MATCH('Cost Assumptions'!D$7, 'Cost Assumptions'!$Q$7:$T$7, 0))</f>
        <v>1636479.57504</v>
      </c>
      <c r="E78" s="1597">
        <f>INDEX('Cost Assumptions'!$Q$78:$T$78, MATCH('Cost Assumptions'!E$7, 'Cost Assumptions'!$Q$7:$T$7, 0))</f>
        <v>1647133.5551999998</v>
      </c>
      <c r="F78" s="1597">
        <f>INDEX('Cost Assumptions'!$Q$78:$T$78, MATCH('Cost Assumptions'!F$7, 'Cost Assumptions'!$Q$7:$T$7, 0))</f>
        <v>1598261.5728000002</v>
      </c>
      <c r="G78" s="1598">
        <f>INDEX('Cost Assumptions'!$Q$78:$T$78, MATCH('Cost Assumptions'!G$7, 'Cost Assumptions'!$Q$7:$T$7, 0))</f>
        <v>1586223.9556799999</v>
      </c>
      <c r="H78" s="1495">
        <f>INDEX('Cost Assumptions'!$Y$78:$AB$78, MATCH('Cost Assumptions'!H$7, 'Cost Assumptions'!$Y$7:$AB$7, 0))</f>
        <v>6468335.1156105399</v>
      </c>
      <c r="I78" s="1495">
        <f>INDEX('Cost Assumptions'!$Y$78:$AB$78, MATCH('Cost Assumptions'!I$7, 'Cost Assumptions'!$Y$7:$AB$7, 0))</f>
        <v>6509687.0376495803</v>
      </c>
      <c r="J78" s="1495">
        <f>INDEX('Cost Assumptions'!$Y$78:$AB$78, MATCH('Cost Assumptions'!J$7, 'Cost Assumptions'!$Y$7:$AB$7, 0))</f>
        <v>6316672.5836228402</v>
      </c>
      <c r="K78" s="1601">
        <f>INDEX('Cost Assumptions'!$Y$78:$AB$78, MATCH('Cost Assumptions'!K$7, 'Cost Assumptions'!$Y$7:$AB$7, 0))</f>
        <v>6269141.3459433597</v>
      </c>
      <c r="L78" s="715"/>
      <c r="M78" s="715">
        <v>1636479.57504</v>
      </c>
      <c r="N78" s="715">
        <v>1647133.5551999998</v>
      </c>
      <c r="O78" s="715">
        <v>1598261.5728000002</v>
      </c>
      <c r="P78" s="716">
        <v>1586223.9556799999</v>
      </c>
      <c r="Q78" s="715">
        <v>1636479.57504</v>
      </c>
      <c r="R78" s="715">
        <v>1647133.5551999998</v>
      </c>
      <c r="S78" s="715">
        <v>1598261.5728000002</v>
      </c>
      <c r="T78" s="716">
        <v>1586223.9556799999</v>
      </c>
      <c r="U78" s="1448">
        <f>2*3234167.55780527</f>
        <v>6468335.1156105399</v>
      </c>
      <c r="V78" s="1448">
        <f>2*3254843.51882479</f>
        <v>6509687.0376495803</v>
      </c>
      <c r="W78" s="1448">
        <f>2*3158336.29181142</f>
        <v>6316672.5836228402</v>
      </c>
      <c r="X78" s="1447">
        <f>2*3134570.67297168</f>
        <v>6269141.3459433597</v>
      </c>
      <c r="Y78" s="1448">
        <v>6468335.1156105399</v>
      </c>
      <c r="Z78" s="1448">
        <v>6509687.0376495803</v>
      </c>
      <c r="AA78" s="1448">
        <v>6316672.5836228402</v>
      </c>
      <c r="AB78" s="1447">
        <v>6269141.3459433597</v>
      </c>
    </row>
    <row r="79" spans="2:30" ht="12.75" customHeight="1">
      <c r="B79" s="768" t="s">
        <v>422</v>
      </c>
      <c r="C79" s="708" t="s">
        <v>423</v>
      </c>
      <c r="D79" s="1597">
        <f>INDEX('Cost Assumptions'!$Q$79:$T$79, MATCH('Cost Assumptions'!D$7, 'Cost Assumptions'!$Q$7:$T$7, 0))</f>
        <v>20</v>
      </c>
      <c r="E79" s="1597">
        <f>INDEX('Cost Assumptions'!$Q$79:$T$79, MATCH('Cost Assumptions'!E$7, 'Cost Assumptions'!$Q$7:$T$7, 0))</f>
        <v>20</v>
      </c>
      <c r="F79" s="1597">
        <f>INDEX('Cost Assumptions'!$Q$79:$T$79, MATCH('Cost Assumptions'!F$7, 'Cost Assumptions'!$Q$7:$T$7, 0))</f>
        <v>20</v>
      </c>
      <c r="G79" s="1598">
        <f>INDEX('Cost Assumptions'!$Q$79:$T$79, MATCH('Cost Assumptions'!G$7, 'Cost Assumptions'!$Q$7:$T$7, 0))</f>
        <v>20</v>
      </c>
      <c r="H79" s="1495">
        <f>INDEX('Cost Assumptions'!$Y$79:$AB$79, MATCH('Cost Assumptions'!H$7, 'Cost Assumptions'!$Y$7:$AB$7, 0))</f>
        <v>40</v>
      </c>
      <c r="I79" s="1495">
        <f>INDEX('Cost Assumptions'!$Y$79:$AB$79, MATCH('Cost Assumptions'!I$7, 'Cost Assumptions'!$Y$7:$AB$7, 0))</f>
        <v>40</v>
      </c>
      <c r="J79" s="1495">
        <f>INDEX('Cost Assumptions'!$Y$79:$AB$79, MATCH('Cost Assumptions'!J$7, 'Cost Assumptions'!$Y$7:$AB$7, 0))</f>
        <v>40</v>
      </c>
      <c r="K79" s="1601">
        <f>INDEX('Cost Assumptions'!$Y$79:$AB$79, MATCH('Cost Assumptions'!K$7, 'Cost Assumptions'!$Y$7:$AB$7, 0))</f>
        <v>40</v>
      </c>
      <c r="L79" s="769"/>
      <c r="M79" s="715">
        <v>20</v>
      </c>
      <c r="N79" s="715">
        <v>20</v>
      </c>
      <c r="O79" s="715">
        <v>20</v>
      </c>
      <c r="P79" s="716">
        <v>20</v>
      </c>
      <c r="Q79" s="715">
        <v>20</v>
      </c>
      <c r="R79" s="715">
        <v>20</v>
      </c>
      <c r="S79" s="715">
        <v>20</v>
      </c>
      <c r="T79" s="716">
        <v>20</v>
      </c>
      <c r="U79" s="769">
        <v>40</v>
      </c>
      <c r="V79" s="769">
        <v>40</v>
      </c>
      <c r="W79" s="769">
        <v>40</v>
      </c>
      <c r="X79" s="770">
        <v>40</v>
      </c>
      <c r="Y79" s="769">
        <v>40</v>
      </c>
      <c r="Z79" s="769">
        <v>40</v>
      </c>
      <c r="AA79" s="769">
        <v>40</v>
      </c>
      <c r="AB79" s="770">
        <v>40</v>
      </c>
    </row>
    <row r="80" spans="2:30" ht="6" customHeight="1">
      <c r="B80" s="722"/>
      <c r="C80" s="723"/>
      <c r="D80" s="729"/>
      <c r="E80" s="729"/>
      <c r="F80" s="729"/>
      <c r="G80" s="729"/>
      <c r="H80" s="724"/>
      <c r="I80" s="724"/>
      <c r="J80" s="724"/>
      <c r="K80" s="726"/>
      <c r="L80" s="729"/>
      <c r="M80" s="729"/>
      <c r="N80" s="729"/>
      <c r="O80" s="729"/>
      <c r="P80" s="729"/>
      <c r="Q80" s="729"/>
      <c r="R80" s="729"/>
      <c r="S80" s="729"/>
      <c r="T80" s="729"/>
      <c r="U80" s="729"/>
      <c r="V80" s="729"/>
      <c r="W80" s="729"/>
      <c r="X80" s="729"/>
    </row>
    <row r="81" spans="2:28" ht="6" customHeight="1">
      <c r="B81" s="727"/>
      <c r="C81" s="728"/>
      <c r="D81" s="729"/>
      <c r="E81" s="729"/>
      <c r="F81" s="729"/>
      <c r="G81" s="729"/>
      <c r="H81" s="729"/>
      <c r="I81" s="729"/>
      <c r="J81" s="729"/>
      <c r="K81" s="731"/>
      <c r="L81" s="729"/>
      <c r="M81" s="729"/>
      <c r="N81" s="729"/>
      <c r="O81" s="729"/>
      <c r="P81" s="729"/>
      <c r="Q81" s="729"/>
      <c r="R81" s="729"/>
      <c r="S81" s="729"/>
      <c r="T81" s="729"/>
      <c r="U81" s="729"/>
      <c r="V81" s="729"/>
      <c r="W81" s="729"/>
      <c r="X81" s="729"/>
    </row>
    <row r="82" spans="2:28" ht="12.75" customHeight="1">
      <c r="B82" s="588" t="s">
        <v>424</v>
      </c>
      <c r="C82" s="589"/>
      <c r="D82" s="1599"/>
      <c r="E82" s="1599"/>
      <c r="F82" s="1599"/>
      <c r="G82" s="1599"/>
      <c r="H82" s="1497"/>
      <c r="I82" s="616"/>
      <c r="J82" s="1497"/>
      <c r="K82" s="1500"/>
      <c r="L82" s="1384"/>
      <c r="M82" s="1384"/>
      <c r="N82" s="1384"/>
      <c r="O82" s="1384"/>
      <c r="P82" s="1384"/>
      <c r="Q82" s="1384"/>
      <c r="R82" s="1384"/>
      <c r="S82" s="1384"/>
      <c r="T82" s="1384"/>
      <c r="U82" s="1384"/>
      <c r="V82" s="1384"/>
      <c r="W82" s="1384"/>
      <c r="X82" s="1384"/>
    </row>
    <row r="83" spans="2:28">
      <c r="B83" s="768" t="s">
        <v>420</v>
      </c>
      <c r="C83" s="708" t="s">
        <v>421</v>
      </c>
      <c r="D83" s="1600">
        <f>INDEX('Cost Assumptions'!$Q$83:$T$83, MATCH('Cost Assumptions'!D$7, 'Cost Assumptions'!$Q$7:$T$7, 0))</f>
        <v>0</v>
      </c>
      <c r="E83" s="1600">
        <f>INDEX('Cost Assumptions'!$Q$83:$T$83, MATCH('Cost Assumptions'!E$7, 'Cost Assumptions'!$Q$7:$T$7, 0))</f>
        <v>0</v>
      </c>
      <c r="F83" s="1600">
        <f>INDEX('Cost Assumptions'!$Q$83:$T$83, MATCH('Cost Assumptions'!F$7, 'Cost Assumptions'!$Q$7:$T$7, 0))</f>
        <v>0</v>
      </c>
      <c r="G83" s="1901">
        <f>INDEX('Cost Assumptions'!$Q$83:$T$83, MATCH('Cost Assumptions'!G$7, 'Cost Assumptions'!$Q$7:$T$7, 0))</f>
        <v>0</v>
      </c>
      <c r="H83" s="715"/>
      <c r="I83" s="773"/>
      <c r="J83" s="715"/>
      <c r="K83" s="716"/>
      <c r="L83" s="715"/>
      <c r="M83" s="715">
        <v>84328.512000000017</v>
      </c>
      <c r="N83" s="773" t="s">
        <v>608</v>
      </c>
      <c r="O83" s="715">
        <v>82189.008000000002</v>
      </c>
      <c r="P83" s="716">
        <v>81512.304000000004</v>
      </c>
      <c r="Q83" s="715"/>
      <c r="R83" s="715"/>
      <c r="S83" s="715"/>
      <c r="T83" s="715"/>
      <c r="U83" s="715"/>
      <c r="V83" s="715"/>
      <c r="W83" s="715"/>
      <c r="X83" s="715"/>
    </row>
    <row r="84" spans="2:28">
      <c r="B84" s="768" t="s">
        <v>422</v>
      </c>
      <c r="C84" s="708" t="s">
        <v>423</v>
      </c>
      <c r="D84" s="1600">
        <f>INDEX('Cost Assumptions'!$Q$84:$T$84, MATCH('Cost Assumptions'!D$7, 'Cost Assumptions'!$Q$7:$T$7, 0))</f>
        <v>0</v>
      </c>
      <c r="E84" s="1600">
        <f>INDEX('Cost Assumptions'!$Q$84:$T$84, MATCH('Cost Assumptions'!E$7, 'Cost Assumptions'!$Q$7:$T$7, 0))</f>
        <v>0</v>
      </c>
      <c r="F84" s="1600">
        <f>INDEX('Cost Assumptions'!$Q$84:$T$84, MATCH('Cost Assumptions'!F$7, 'Cost Assumptions'!$Q$7:$T$7, 0))</f>
        <v>0</v>
      </c>
      <c r="G84" s="1901">
        <f>INDEX('Cost Assumptions'!$Q$84:$T$84, MATCH('Cost Assumptions'!G$7, 'Cost Assumptions'!$Q$7:$T$7, 0))</f>
        <v>0</v>
      </c>
      <c r="H84" s="769"/>
      <c r="I84" s="773"/>
      <c r="J84" s="769"/>
      <c r="K84" s="770"/>
      <c r="L84" s="769"/>
      <c r="M84" s="715">
        <v>1</v>
      </c>
      <c r="N84" s="773" t="s">
        <v>608</v>
      </c>
      <c r="O84" s="715">
        <v>1</v>
      </c>
      <c r="P84" s="716">
        <v>1</v>
      </c>
      <c r="Q84" s="769"/>
      <c r="R84" s="769"/>
      <c r="S84" s="769"/>
      <c r="T84" s="769"/>
      <c r="U84" s="769"/>
      <c r="V84" s="769"/>
      <c r="W84" s="769"/>
      <c r="X84" s="769"/>
    </row>
    <row r="85" spans="2:28" ht="6" customHeight="1">
      <c r="B85" s="722"/>
      <c r="C85" s="723"/>
      <c r="D85" s="729"/>
      <c r="E85" s="729"/>
      <c r="F85" s="729"/>
      <c r="G85" s="729"/>
      <c r="H85" s="724"/>
      <c r="I85" s="724"/>
      <c r="J85" s="724"/>
      <c r="K85" s="726"/>
      <c r="L85" s="729"/>
      <c r="M85" s="729"/>
      <c r="N85" s="729"/>
      <c r="O85" s="729"/>
      <c r="P85" s="729"/>
      <c r="Q85" s="729"/>
      <c r="R85" s="729"/>
      <c r="S85" s="729"/>
      <c r="T85" s="729"/>
      <c r="U85" s="729"/>
      <c r="V85" s="729"/>
      <c r="W85" s="729"/>
      <c r="X85" s="729"/>
    </row>
    <row r="86" spans="2:28" ht="6" customHeight="1">
      <c r="B86" s="727"/>
      <c r="C86" s="728"/>
      <c r="D86" s="729"/>
      <c r="E86" s="729"/>
      <c r="F86" s="729"/>
      <c r="G86" s="729"/>
      <c r="H86" s="729"/>
      <c r="I86" s="729"/>
      <c r="J86" s="729"/>
      <c r="K86" s="731"/>
      <c r="L86" s="729"/>
      <c r="M86" s="729"/>
      <c r="N86" s="729"/>
      <c r="O86" s="729"/>
      <c r="P86" s="729"/>
      <c r="Q86" s="729"/>
      <c r="R86" s="729"/>
      <c r="S86" s="729"/>
      <c r="T86" s="729"/>
      <c r="U86" s="729"/>
      <c r="V86" s="729"/>
      <c r="W86" s="729"/>
      <c r="X86" s="729"/>
    </row>
    <row r="87" spans="2:28">
      <c r="B87" s="588" t="s">
        <v>425</v>
      </c>
      <c r="C87" s="589"/>
      <c r="D87" s="1599"/>
      <c r="E87" s="1599"/>
      <c r="F87" s="1599"/>
      <c r="G87" s="1599"/>
      <c r="H87" s="1497"/>
      <c r="I87" s="616"/>
      <c r="J87" s="1497"/>
      <c r="K87" s="1500"/>
      <c r="L87" s="1384"/>
      <c r="M87" s="1384"/>
      <c r="N87" s="1384"/>
      <c r="O87" s="1384"/>
      <c r="P87" s="1384"/>
      <c r="Q87" s="1384"/>
      <c r="R87" s="1384"/>
      <c r="S87" s="1384"/>
      <c r="T87" s="1384"/>
      <c r="U87" s="1384"/>
      <c r="V87" s="1384"/>
      <c r="W87" s="1384"/>
      <c r="X87" s="1384"/>
    </row>
    <row r="88" spans="2:28">
      <c r="B88" s="768" t="s">
        <v>426</v>
      </c>
      <c r="C88" s="774" t="s">
        <v>427</v>
      </c>
      <c r="D88" s="1600">
        <f>INDEX('Cost Assumptions'!$Q$88:$T$88, MATCH('Cost Assumptions'!D$7, 'Cost Assumptions'!$Q$7:$T$7, 0))</f>
        <v>178129.92000000001</v>
      </c>
      <c r="E88" s="1600">
        <f>INDEX('Cost Assumptions'!$Q$88:$T$88, MATCH('Cost Assumptions'!E$7, 'Cost Assumptions'!$Q$7:$T$7, 0))</f>
        <v>179289.59999999998</v>
      </c>
      <c r="F88" s="1600">
        <f>INDEX('Cost Assumptions'!$Q$88:$T$88, MATCH('Cost Assumptions'!F$7, 'Cost Assumptions'!$Q$7:$T$7, 0))</f>
        <v>173913.12</v>
      </c>
      <c r="G88" s="1901">
        <f>INDEX('Cost Assumptions'!$Q$88:$T$88, MATCH('Cost Assumptions'!G$7, 'Cost Assumptions'!$Q$7:$T$7, 0))</f>
        <v>172584.47999999998</v>
      </c>
      <c r="H88" s="1495">
        <f>INDEX('Cost Assumptions'!$Y$88:$AB$88, MATCH('Cost Assumptions'!H$7, 'Cost Assumptions'!$Y$7:$AB$7, 0))</f>
        <v>1027944.9600000001</v>
      </c>
      <c r="I88" s="1495">
        <f>INDEX('Cost Assumptions'!$Y$88:$AB$88, MATCH('Cost Assumptions'!I$7, 'Cost Assumptions'!$Y$7:$AB$7, 0))</f>
        <v>1034169.6</v>
      </c>
      <c r="J88" s="1495">
        <f>INDEX('Cost Assumptions'!$Y$88:$AB$88, MATCH('Cost Assumptions'!J$7, 'Cost Assumptions'!$Y$7:$AB$7, 0))</f>
        <v>1003904.6399999999</v>
      </c>
      <c r="K88" s="1601">
        <f>INDEX('Cost Assumptions'!$Y$88:$AB$88, MATCH('Cost Assumptions'!K$7, 'Cost Assumptions'!$Y$7:$AB$7, 0))</f>
        <v>996319.68</v>
      </c>
      <c r="L88" s="712"/>
      <c r="M88" s="712">
        <v>187036.41599999997</v>
      </c>
      <c r="N88" s="712">
        <v>179289.59999999998</v>
      </c>
      <c r="O88" s="712">
        <v>182608.77600000001</v>
      </c>
      <c r="P88" s="714">
        <v>181213.704</v>
      </c>
      <c r="Q88" s="712">
        <v>178129.92000000001</v>
      </c>
      <c r="R88" s="712">
        <v>179289.59999999998</v>
      </c>
      <c r="S88" s="712">
        <v>173913.12</v>
      </c>
      <c r="T88" s="714">
        <v>172584.47999999998</v>
      </c>
      <c r="U88" s="1201">
        <v>1037831.8252822234</v>
      </c>
      <c r="V88" s="1201">
        <v>1044111.3529366234</v>
      </c>
      <c r="W88" s="1201">
        <v>1014074.7184687834</v>
      </c>
      <c r="X88" s="1203">
        <v>1006262.7901846234</v>
      </c>
      <c r="Y88" s="1201">
        <v>1027944.9600000001</v>
      </c>
      <c r="Z88" s="1201">
        <v>1034169.6</v>
      </c>
      <c r="AA88" s="1201">
        <v>1003904.6399999999</v>
      </c>
      <c r="AB88" s="1203">
        <v>996319.68</v>
      </c>
    </row>
    <row r="90" spans="2:28">
      <c r="B90" s="588" t="s">
        <v>186</v>
      </c>
      <c r="C90" s="589"/>
      <c r="D90" s="1599"/>
      <c r="E90" s="1599"/>
      <c r="F90" s="1599"/>
      <c r="G90" s="1599"/>
      <c r="H90" s="588"/>
      <c r="I90" s="589"/>
      <c r="J90" s="588"/>
      <c r="K90" s="670"/>
      <c r="L90" s="1384"/>
      <c r="M90" s="1384"/>
      <c r="N90" s="1384"/>
      <c r="O90" s="1384"/>
      <c r="P90" s="1384"/>
      <c r="Q90" s="1384"/>
      <c r="R90" s="1384"/>
      <c r="S90" s="1384"/>
      <c r="T90" s="1384"/>
      <c r="U90" s="1384"/>
      <c r="V90" s="1384"/>
      <c r="W90" s="1384"/>
      <c r="X90" s="1384"/>
    </row>
    <row r="91" spans="2:28">
      <c r="B91" s="768" t="s">
        <v>428</v>
      </c>
      <c r="C91" s="774" t="s">
        <v>429</v>
      </c>
      <c r="D91" s="1600">
        <f>INDEX('Cost Assumptions'!$Q$91:$T$91, MATCH('Cost Assumptions'!D$7, 'Cost Assumptions'!$Q$7:$T$7, 0))</f>
        <v>260918.2765398082</v>
      </c>
      <c r="E91" s="1600">
        <f>INDEX('Cost Assumptions'!$Q$91:$T$91, MATCH('Cost Assumptions'!E$7, 'Cost Assumptions'!$Q$7:$T$7, 0))</f>
        <v>238252.74062111805</v>
      </c>
      <c r="F91" s="1600">
        <f>INDEX('Cost Assumptions'!$Q$91:$T$91, MATCH('Cost Assumptions'!F$7, 'Cost Assumptions'!$Q$7:$T$7, 0))</f>
        <v>225597.57764426878</v>
      </c>
      <c r="G91" s="1901">
        <f>INDEX('Cost Assumptions'!$Q$91:$T$91, MATCH('Cost Assumptions'!G$7, 'Cost Assumptions'!$Q$7:$T$7, 0))</f>
        <v>258762.3736804064</v>
      </c>
      <c r="H91" s="1201">
        <v>1240715.5962690539</v>
      </c>
      <c r="I91" s="1202">
        <v>1148989.6339575187</v>
      </c>
      <c r="J91" s="1201">
        <v>1179562.7767093144</v>
      </c>
      <c r="K91" s="1203">
        <v>1230523.4596757635</v>
      </c>
      <c r="L91" s="1201"/>
      <c r="M91" s="1201">
        <v>260918.2765398082</v>
      </c>
      <c r="N91" s="1202">
        <v>238252.74062111805</v>
      </c>
      <c r="O91" s="1201">
        <v>225597.57764426878</v>
      </c>
      <c r="P91" s="1203">
        <v>258762.3736804064</v>
      </c>
      <c r="Q91" s="1201">
        <v>260918.2765398082</v>
      </c>
      <c r="R91" s="1202">
        <v>238252.74062111805</v>
      </c>
      <c r="S91" s="1201">
        <v>225597.57764426878</v>
      </c>
      <c r="T91" s="1203">
        <v>258762.3736804064</v>
      </c>
      <c r="U91" s="1201"/>
      <c r="V91" s="1201"/>
      <c r="W91" s="1201"/>
      <c r="X91" s="1201"/>
    </row>
  </sheetData>
  <conditionalFormatting sqref="H49:L49 U49:X49">
    <cfRule type="expression" dxfId="109" priority="150" stopIfTrue="1">
      <formula>MOD(#REF!,2)=1</formula>
    </cfRule>
  </conditionalFormatting>
  <conditionalFormatting sqref="H44:L44 U44:X44">
    <cfRule type="expression" dxfId="108" priority="149" stopIfTrue="1">
      <formula>MOD(#REF!,2)=1</formula>
    </cfRule>
  </conditionalFormatting>
  <conditionalFormatting sqref="H48:L48 U48:X48 U46:X46 H46:L46">
    <cfRule type="expression" dxfId="107" priority="148" stopIfTrue="1">
      <formula>MOD(#REF!,2)=1</formula>
    </cfRule>
  </conditionalFormatting>
  <conditionalFormatting sqref="D52 H52:L52 D42:L42 U42:X42 U52:X52">
    <cfRule type="expression" dxfId="106" priority="147" stopIfTrue="1">
      <formula>MOD(#REF!,2)=1</formula>
    </cfRule>
  </conditionalFormatting>
  <conditionalFormatting sqref="D53 D51 H53:L53 U53:X53">
    <cfRule type="expression" dxfId="105" priority="146" stopIfTrue="1">
      <formula>MOD(#REF!,2)=1</formula>
    </cfRule>
  </conditionalFormatting>
  <conditionalFormatting sqref="H31:H32">
    <cfRule type="expression" dxfId="104" priority="145" stopIfTrue="1">
      <formula>MOD(#REF!,2)=1</formula>
    </cfRule>
  </conditionalFormatting>
  <conditionalFormatting sqref="E52 G52">
    <cfRule type="expression" dxfId="103" priority="141" stopIfTrue="1">
      <formula>MOD(#REF!,2)=1</formula>
    </cfRule>
  </conditionalFormatting>
  <conditionalFormatting sqref="E53 E51:G51 G53">
    <cfRule type="expression" dxfId="102" priority="140" stopIfTrue="1">
      <formula>MOD(#REF!,2)=1</formula>
    </cfRule>
  </conditionalFormatting>
  <conditionalFormatting sqref="L19">
    <cfRule type="expression" dxfId="101" priority="134" stopIfTrue="1">
      <formula>MOD(#REF!,2)=1</formula>
    </cfRule>
  </conditionalFormatting>
  <conditionalFormatting sqref="I31:L32 Q31:T32">
    <cfRule type="expression" dxfId="100" priority="136" stopIfTrue="1">
      <formula>MOD(#REF!,2)=1</formula>
    </cfRule>
  </conditionalFormatting>
  <conditionalFormatting sqref="L51">
    <cfRule type="expression" dxfId="99" priority="137" stopIfTrue="1">
      <formula>MOD(#REF!,2)=1</formula>
    </cfRule>
  </conditionalFormatting>
  <conditionalFormatting sqref="L20">
    <cfRule type="expression" dxfId="98" priority="133" stopIfTrue="1">
      <formula>MOD(#REF!,2)=1</formula>
    </cfRule>
  </conditionalFormatting>
  <conditionalFormatting sqref="L16">
    <cfRule type="expression" dxfId="97" priority="132" stopIfTrue="1">
      <formula>MOD(#REF!,2)=1</formula>
    </cfRule>
  </conditionalFormatting>
  <conditionalFormatting sqref="L24">
    <cfRule type="expression" dxfId="96" priority="126" stopIfTrue="1">
      <formula>MOD(#REF!,2)=1</formula>
    </cfRule>
  </conditionalFormatting>
  <conditionalFormatting sqref="H47:L47 U47:X47">
    <cfRule type="expression" dxfId="95" priority="123" stopIfTrue="1">
      <formula>MOD(#REF!,2)=1</formula>
    </cfRule>
  </conditionalFormatting>
  <conditionalFormatting sqref="H50:L50 U50:X50">
    <cfRule type="expression" dxfId="94" priority="122" stopIfTrue="1">
      <formula>MOD(#REF!,2)=1</formula>
    </cfRule>
  </conditionalFormatting>
  <conditionalFormatting sqref="L15">
    <cfRule type="expression" dxfId="93" priority="121" stopIfTrue="1">
      <formula>MOD(#REF!,2)=1</formula>
    </cfRule>
  </conditionalFormatting>
  <conditionalFormatting sqref="F53">
    <cfRule type="expression" dxfId="92" priority="120" stopIfTrue="1">
      <formula>MOD(#REF!,2)=1</formula>
    </cfRule>
  </conditionalFormatting>
  <conditionalFormatting sqref="F52">
    <cfRule type="expression" dxfId="91" priority="119" stopIfTrue="1">
      <formula>MOD(#REF!,2)=1</formula>
    </cfRule>
  </conditionalFormatting>
  <conditionalFormatting sqref="L18">
    <cfRule type="expression" dxfId="90" priority="105" stopIfTrue="1">
      <formula>MOD(#REF!,2)=1</formula>
    </cfRule>
  </conditionalFormatting>
  <conditionalFormatting sqref="L13">
    <cfRule type="expression" dxfId="89" priority="113" stopIfTrue="1">
      <formula>MOD(#REF!,2)=1</formula>
    </cfRule>
  </conditionalFormatting>
  <conditionalFormatting sqref="L14">
    <cfRule type="expression" dxfId="88" priority="111" stopIfTrue="1">
      <formula>MOD(#REF!,2)=1</formula>
    </cfRule>
  </conditionalFormatting>
  <conditionalFormatting sqref="L17">
    <cfRule type="expression" dxfId="87" priority="107" stopIfTrue="1">
      <formula>MOD(#REF!,2)=1</formula>
    </cfRule>
  </conditionalFormatting>
  <conditionalFormatting sqref="L39">
    <cfRule type="expression" dxfId="86" priority="97" stopIfTrue="1">
      <formula>MOD(#REF!,2)=1</formula>
    </cfRule>
  </conditionalFormatting>
  <conditionalFormatting sqref="H85:H86">
    <cfRule type="expression" dxfId="85" priority="92" stopIfTrue="1">
      <formula>MOD(#REF!,2)=1</formula>
    </cfRule>
  </conditionalFormatting>
  <conditionalFormatting sqref="I85:X86">
    <cfRule type="expression" dxfId="84" priority="91" stopIfTrue="1">
      <formula>MOD(#REF!,2)=1</formula>
    </cfRule>
  </conditionalFormatting>
  <conditionalFormatting sqref="I80:X81">
    <cfRule type="expression" dxfId="83" priority="93" stopIfTrue="1">
      <formula>MOD(#REF!,2)=1</formula>
    </cfRule>
  </conditionalFormatting>
  <conditionalFormatting sqref="L26">
    <cfRule type="expression" dxfId="82" priority="101" stopIfTrue="1">
      <formula>MOD(#REF!,2)=1</formula>
    </cfRule>
  </conditionalFormatting>
  <conditionalFormatting sqref="L40:L41">
    <cfRule type="expression" dxfId="81" priority="95" stopIfTrue="1">
      <formula>MOD(#REF!,2)=1</formula>
    </cfRule>
  </conditionalFormatting>
  <conditionalFormatting sqref="H80:H81">
    <cfRule type="expression" dxfId="80" priority="94" stopIfTrue="1">
      <formula>MOD(#REF!,2)=1</formula>
    </cfRule>
  </conditionalFormatting>
  <conditionalFormatting sqref="Z18:AB18">
    <cfRule type="expression" dxfId="79" priority="53" stopIfTrue="1">
      <formula>MOD(#REF!,2)=1</formula>
    </cfRule>
  </conditionalFormatting>
  <conditionalFormatting sqref="U40:U41">
    <cfRule type="expression" dxfId="78" priority="90" stopIfTrue="1">
      <formula>MOD(#REF!,2)=1</formula>
    </cfRule>
  </conditionalFormatting>
  <conditionalFormatting sqref="U30:U32">
    <cfRule type="expression" dxfId="77" priority="89" stopIfTrue="1">
      <formula>MOD(#REF!,2)=1</formula>
    </cfRule>
  </conditionalFormatting>
  <conditionalFormatting sqref="U13">
    <cfRule type="expression" dxfId="76" priority="88" stopIfTrue="1">
      <formula>MOD(#REF!,2)=1</formula>
    </cfRule>
  </conditionalFormatting>
  <conditionalFormatting sqref="U39:X39">
    <cfRule type="expression" dxfId="75" priority="87" stopIfTrue="1">
      <formula>MOD(#REF!,2)=1</formula>
    </cfRule>
  </conditionalFormatting>
  <conditionalFormatting sqref="U19:U20 V19:X19">
    <cfRule type="expression" dxfId="74" priority="83" stopIfTrue="1">
      <formula>MOD(#REF!,2)=1</formula>
    </cfRule>
  </conditionalFormatting>
  <conditionalFormatting sqref="V30:X32">
    <cfRule type="expression" dxfId="73" priority="85" stopIfTrue="1">
      <formula>MOD(#REF!,2)=1</formula>
    </cfRule>
  </conditionalFormatting>
  <conditionalFormatting sqref="V40:X41">
    <cfRule type="expression" dxfId="72" priority="86" stopIfTrue="1">
      <formula>MOD(#REF!,2)=1</formula>
    </cfRule>
  </conditionalFormatting>
  <conditionalFormatting sqref="V13:X13">
    <cfRule type="expression" dxfId="71" priority="84" stopIfTrue="1">
      <formula>MOD(#REF!,2)=1</formula>
    </cfRule>
  </conditionalFormatting>
  <conditionalFormatting sqref="V20:X20">
    <cfRule type="expression" dxfId="70" priority="82" stopIfTrue="1">
      <formula>MOD(#REF!,2)=1</formula>
    </cfRule>
  </conditionalFormatting>
  <conditionalFormatting sqref="U14 U16:X16">
    <cfRule type="expression" dxfId="69" priority="81" stopIfTrue="1">
      <formula>MOD(#REF!,2)=1</formula>
    </cfRule>
  </conditionalFormatting>
  <conditionalFormatting sqref="V14:X14">
    <cfRule type="expression" dxfId="68" priority="80" stopIfTrue="1">
      <formula>MOD(#REF!,2)=1</formula>
    </cfRule>
  </conditionalFormatting>
  <conditionalFormatting sqref="U17:X17">
    <cfRule type="expression" dxfId="67" priority="79" stopIfTrue="1">
      <formula>MOD(#REF!,2)=1</formula>
    </cfRule>
  </conditionalFormatting>
  <conditionalFormatting sqref="U18">
    <cfRule type="expression" dxfId="66" priority="78" stopIfTrue="1">
      <formula>MOD(#REF!,2)=1</formula>
    </cfRule>
  </conditionalFormatting>
  <conditionalFormatting sqref="V18:X18">
    <cfRule type="expression" dxfId="65" priority="77" stopIfTrue="1">
      <formula>MOD(#REF!,2)=1</formula>
    </cfRule>
  </conditionalFormatting>
  <conditionalFormatting sqref="U24">
    <cfRule type="expression" dxfId="64" priority="76" stopIfTrue="1">
      <formula>MOD(#REF!,2)=1</formula>
    </cfRule>
  </conditionalFormatting>
  <conditionalFormatting sqref="V24:X24">
    <cfRule type="expression" dxfId="63" priority="75" stopIfTrue="1">
      <formula>MOD(#REF!,2)=1</formula>
    </cfRule>
  </conditionalFormatting>
  <conditionalFormatting sqref="U15:X15">
    <cfRule type="expression" dxfId="62" priority="74" stopIfTrue="1">
      <formula>MOD(#REF!,2)=1</formula>
    </cfRule>
  </conditionalFormatting>
  <conditionalFormatting sqref="U26">
    <cfRule type="expression" dxfId="61" priority="73" stopIfTrue="1">
      <formula>MOD(#REF!,2)=1</formula>
    </cfRule>
  </conditionalFormatting>
  <conditionalFormatting sqref="V26:X26">
    <cfRule type="expression" dxfId="60" priority="72" stopIfTrue="1">
      <formula>MOD(#REF!,2)=1</formula>
    </cfRule>
  </conditionalFormatting>
  <conditionalFormatting sqref="Y40:Y41">
    <cfRule type="expression" dxfId="59" priority="71" stopIfTrue="1">
      <formula>MOD(#REF!,2)=1</formula>
    </cfRule>
  </conditionalFormatting>
  <conditionalFormatting sqref="Y30:Y32">
    <cfRule type="expression" dxfId="58" priority="70" stopIfTrue="1">
      <formula>MOD(#REF!,2)=1</formula>
    </cfRule>
  </conditionalFormatting>
  <conditionalFormatting sqref="Y13">
    <cfRule type="expression" dxfId="57" priority="69" stopIfTrue="1">
      <formula>MOD(#REF!,2)=1</formula>
    </cfRule>
  </conditionalFormatting>
  <conditionalFormatting sqref="Y39:AB39">
    <cfRule type="expression" dxfId="56" priority="68" stopIfTrue="1">
      <formula>MOD(#REF!,2)=1</formula>
    </cfRule>
  </conditionalFormatting>
  <conditionalFormatting sqref="Y19:Y20 Z19:AB19">
    <cfRule type="expression" dxfId="55" priority="64" stopIfTrue="1">
      <formula>MOD(#REF!,2)=1</formula>
    </cfRule>
  </conditionalFormatting>
  <conditionalFormatting sqref="Z30:AB32">
    <cfRule type="expression" dxfId="54" priority="66" stopIfTrue="1">
      <formula>MOD(#REF!,2)=1</formula>
    </cfRule>
  </conditionalFormatting>
  <conditionalFormatting sqref="Z40:AB41">
    <cfRule type="expression" dxfId="53" priority="67" stopIfTrue="1">
      <formula>MOD(#REF!,2)=1</formula>
    </cfRule>
  </conditionalFormatting>
  <conditionalFormatting sqref="Z13:AB14">
    <cfRule type="expression" dxfId="52" priority="65" stopIfTrue="1">
      <formula>MOD(#REF!,2)=1</formula>
    </cfRule>
  </conditionalFormatting>
  <conditionalFormatting sqref="Z20:AB20">
    <cfRule type="expression" dxfId="51" priority="63" stopIfTrue="1">
      <formula>MOD(#REF!,2)=1</formula>
    </cfRule>
  </conditionalFormatting>
  <conditionalFormatting sqref="Y14 Y16:AB16">
    <cfRule type="expression" dxfId="50" priority="62" stopIfTrue="1">
      <formula>MOD(#REF!,2)=1</formula>
    </cfRule>
  </conditionalFormatting>
  <conditionalFormatting sqref="Y18">
    <cfRule type="expression" dxfId="49" priority="60" stopIfTrue="1">
      <formula>MOD(#REF!,2)=1</formula>
    </cfRule>
  </conditionalFormatting>
  <conditionalFormatting sqref="Y17">
    <cfRule type="expression" dxfId="48" priority="61" stopIfTrue="1">
      <formula>MOD(#REF!,2)=1</formula>
    </cfRule>
  </conditionalFormatting>
  <conditionalFormatting sqref="Y24">
    <cfRule type="expression" dxfId="47" priority="59" stopIfTrue="1">
      <formula>MOD(#REF!,2)=1</formula>
    </cfRule>
  </conditionalFormatting>
  <conditionalFormatting sqref="Z24:AB24">
    <cfRule type="expression" dxfId="46" priority="58" stopIfTrue="1">
      <formula>MOD(#REF!,2)=1</formula>
    </cfRule>
  </conditionalFormatting>
  <conditionalFormatting sqref="Y15:AB15">
    <cfRule type="expression" dxfId="45" priority="57" stopIfTrue="1">
      <formula>MOD(#REF!,2)=1</formula>
    </cfRule>
  </conditionalFormatting>
  <conditionalFormatting sqref="Y26">
    <cfRule type="expression" dxfId="44" priority="56" stopIfTrue="1">
      <formula>MOD(#REF!,2)=1</formula>
    </cfRule>
  </conditionalFormatting>
  <conditionalFormatting sqref="Z26:AB26">
    <cfRule type="expression" dxfId="43" priority="55" stopIfTrue="1">
      <formula>MOD(#REF!,2)=1</formula>
    </cfRule>
  </conditionalFormatting>
  <conditionalFormatting sqref="Z17:AB17">
    <cfRule type="expression" dxfId="42" priority="54" stopIfTrue="1">
      <formula>MOD(#REF!,2)=1</formula>
    </cfRule>
  </conditionalFormatting>
  <conditionalFormatting sqref="U51">
    <cfRule type="expression" dxfId="41" priority="49" stopIfTrue="1">
      <formula>MOD(#REF!,2)=1</formula>
    </cfRule>
  </conditionalFormatting>
  <conditionalFormatting sqref="V51:X51">
    <cfRule type="expression" dxfId="40" priority="48" stopIfTrue="1">
      <formula>MOD(#REF!,2)=1</formula>
    </cfRule>
  </conditionalFormatting>
  <conditionalFormatting sqref="Y51">
    <cfRule type="expression" dxfId="39" priority="47" stopIfTrue="1">
      <formula>MOD(#REF!,2)=1</formula>
    </cfRule>
  </conditionalFormatting>
  <conditionalFormatting sqref="Z51:AB51">
    <cfRule type="expression" dxfId="38" priority="46" stopIfTrue="1">
      <formula>MOD(#REF!,2)=1</formula>
    </cfRule>
  </conditionalFormatting>
  <conditionalFormatting sqref="M42:P42">
    <cfRule type="expression" dxfId="37" priority="43" stopIfTrue="1">
      <formula>MOD(#REF!,2)=1</formula>
    </cfRule>
  </conditionalFormatting>
  <conditionalFormatting sqref="M40:M41">
    <cfRule type="expression" dxfId="36" priority="42" stopIfTrue="1">
      <formula>MOD(#REF!,2)=1</formula>
    </cfRule>
  </conditionalFormatting>
  <conditionalFormatting sqref="M39:P39">
    <cfRule type="expression" dxfId="35" priority="41" stopIfTrue="1">
      <formula>MOD(#REF!,2)=1</formula>
    </cfRule>
  </conditionalFormatting>
  <conditionalFormatting sqref="N40:P41">
    <cfRule type="expression" dxfId="34" priority="40" stopIfTrue="1">
      <formula>MOD(#REF!,2)=1</formula>
    </cfRule>
  </conditionalFormatting>
  <conditionalFormatting sqref="S53">
    <cfRule type="expression" dxfId="33" priority="10" stopIfTrue="1">
      <formula>MOD(#REF!,2)=1</formula>
    </cfRule>
  </conditionalFormatting>
  <conditionalFormatting sqref="M49:P49">
    <cfRule type="expression" dxfId="32" priority="37" stopIfTrue="1">
      <formula>MOD(#REF!,2)=1</formula>
    </cfRule>
  </conditionalFormatting>
  <conditionalFormatting sqref="M44:P44">
    <cfRule type="expression" dxfId="31" priority="36" stopIfTrue="1">
      <formula>MOD(#REF!,2)=1</formula>
    </cfRule>
  </conditionalFormatting>
  <conditionalFormatting sqref="M46:P48">
    <cfRule type="expression" dxfId="30" priority="35" stopIfTrue="1">
      <formula>MOD(#REF!,2)=1</formula>
    </cfRule>
  </conditionalFormatting>
  <conditionalFormatting sqref="M52">
    <cfRule type="expression" dxfId="29" priority="34" stopIfTrue="1">
      <formula>MOD(#REF!,2)=1</formula>
    </cfRule>
  </conditionalFormatting>
  <conditionalFormatting sqref="M50:M51 N50:P50">
    <cfRule type="expression" dxfId="28" priority="33" stopIfTrue="1">
      <formula>MOD(#REF!,2)=1</formula>
    </cfRule>
  </conditionalFormatting>
  <conditionalFormatting sqref="N52 P52">
    <cfRule type="expression" dxfId="27" priority="32" stopIfTrue="1">
      <formula>MOD(#REF!,2)=1</formula>
    </cfRule>
  </conditionalFormatting>
  <conditionalFormatting sqref="N51:P51">
    <cfRule type="expression" dxfId="26" priority="31" stopIfTrue="1">
      <formula>MOD(#REF!,2)=1</formula>
    </cfRule>
  </conditionalFormatting>
  <conditionalFormatting sqref="R53 T53">
    <cfRule type="expression" dxfId="25" priority="11" stopIfTrue="1">
      <formula>MOD(#REF!,2)=1</formula>
    </cfRule>
  </conditionalFormatting>
  <conditionalFormatting sqref="O52">
    <cfRule type="expression" dxfId="24" priority="29" stopIfTrue="1">
      <formula>MOD(#REF!,2)=1</formula>
    </cfRule>
  </conditionalFormatting>
  <conditionalFormatting sqref="M53">
    <cfRule type="expression" dxfId="23" priority="28" stopIfTrue="1">
      <formula>MOD(#REF!,2)=1</formula>
    </cfRule>
  </conditionalFormatting>
  <conditionalFormatting sqref="N53 P53">
    <cfRule type="expression" dxfId="22" priority="27" stopIfTrue="1">
      <formula>MOD(#REF!,2)=1</formula>
    </cfRule>
  </conditionalFormatting>
  <conditionalFormatting sqref="O53">
    <cfRule type="expression" dxfId="21" priority="26" stopIfTrue="1">
      <formula>MOD(#REF!,2)=1</formula>
    </cfRule>
  </conditionalFormatting>
  <conditionalFormatting sqref="Q39:T39">
    <cfRule type="expression" dxfId="20" priority="24" stopIfTrue="1">
      <formula>MOD(#REF!,2)=1</formula>
    </cfRule>
  </conditionalFormatting>
  <conditionalFormatting sqref="Q40:Q41">
    <cfRule type="expression" dxfId="19" priority="25" stopIfTrue="1">
      <formula>MOD(#REF!,2)=1</formula>
    </cfRule>
  </conditionalFormatting>
  <conditionalFormatting sqref="R40:T41">
    <cfRule type="expression" dxfId="18" priority="23" stopIfTrue="1">
      <formula>MOD(#REF!,2)=1</formula>
    </cfRule>
  </conditionalFormatting>
  <conditionalFormatting sqref="Q49:T49">
    <cfRule type="expression" dxfId="17" priority="22" stopIfTrue="1">
      <formula>MOD(#REF!,2)=1</formula>
    </cfRule>
  </conditionalFormatting>
  <conditionalFormatting sqref="Q44:T44">
    <cfRule type="expression" dxfId="16" priority="21" stopIfTrue="1">
      <formula>MOD(#REF!,2)=1</formula>
    </cfRule>
  </conditionalFormatting>
  <conditionalFormatting sqref="Q46:T48">
    <cfRule type="expression" dxfId="15" priority="20" stopIfTrue="1">
      <formula>MOD(#REF!,2)=1</formula>
    </cfRule>
  </conditionalFormatting>
  <conditionalFormatting sqref="Q42:T42">
    <cfRule type="expression" dxfId="14" priority="19" stopIfTrue="1">
      <formula>MOD(#REF!,2)=1</formula>
    </cfRule>
  </conditionalFormatting>
  <conditionalFormatting sqref="Q51">
    <cfRule type="expression" dxfId="13" priority="18" stopIfTrue="1">
      <formula>MOD(#REF!,2)=1</formula>
    </cfRule>
  </conditionalFormatting>
  <conditionalFormatting sqref="R51:T51">
    <cfRule type="expression" dxfId="12" priority="17" stopIfTrue="1">
      <formula>MOD(#REF!,2)=1</formula>
    </cfRule>
  </conditionalFormatting>
  <conditionalFormatting sqref="Q50:T50">
    <cfRule type="expression" dxfId="11" priority="16" stopIfTrue="1">
      <formula>MOD(#REF!,2)=1</formula>
    </cfRule>
  </conditionalFormatting>
  <conditionalFormatting sqref="Q52">
    <cfRule type="expression" dxfId="10" priority="15" stopIfTrue="1">
      <formula>MOD(#REF!,2)=1</formula>
    </cfRule>
  </conditionalFormatting>
  <conditionalFormatting sqref="R52 T52">
    <cfRule type="expression" dxfId="9" priority="14" stopIfTrue="1">
      <formula>MOD(#REF!,2)=1</formula>
    </cfRule>
  </conditionalFormatting>
  <conditionalFormatting sqref="S52">
    <cfRule type="expression" dxfId="8" priority="13" stopIfTrue="1">
      <formula>MOD(#REF!,2)=1</formula>
    </cfRule>
  </conditionalFormatting>
  <conditionalFormatting sqref="Q53">
    <cfRule type="expression" dxfId="7" priority="12" stopIfTrue="1">
      <formula>MOD(#REF!,2)=1</formula>
    </cfRule>
  </conditionalFormatting>
  <conditionalFormatting sqref="D85:G86">
    <cfRule type="expression" dxfId="6" priority="7" stopIfTrue="1">
      <formula>MOD(#REF!,2)=1</formula>
    </cfRule>
  </conditionalFormatting>
  <conditionalFormatting sqref="D80:G81">
    <cfRule type="expression" dxfId="5" priority="8" stopIfTrue="1">
      <formula>MOD(#REF!,2)=1</formula>
    </cfRule>
  </conditionalFormatting>
  <conditionalFormatting sqref="D43:G46">
    <cfRule type="expression" dxfId="4" priority="6" stopIfTrue="1">
      <formula>MOD(#REF!,2)=1</formula>
    </cfRule>
  </conditionalFormatting>
  <conditionalFormatting sqref="D47:G47">
    <cfRule type="expression" dxfId="3" priority="5" stopIfTrue="1">
      <formula>MOD(#REF!,2)=1</formula>
    </cfRule>
  </conditionalFormatting>
  <conditionalFormatting sqref="D48:G49">
    <cfRule type="expression" dxfId="2" priority="4" stopIfTrue="1">
      <formula>MOD(#REF!,2)=1</formula>
    </cfRule>
  </conditionalFormatting>
  <conditionalFormatting sqref="D50:G50">
    <cfRule type="expression" dxfId="1" priority="3" stopIfTrue="1">
      <formula>MOD(#REF!,2)=1</formula>
    </cfRule>
  </conditionalFormatting>
  <conditionalFormatting sqref="D54:G60">
    <cfRule type="expression" dxfId="0" priority="2" stopIfTrue="1">
      <formula>MOD(#REF!,2)=1</formula>
    </cfRule>
  </conditionalFormatting>
  <pageMargins left="0.7" right="0.7" top="0.75" bottom="0.75" header="0.3" footer="0.3"/>
  <pageSetup orientation="portrait" horizontalDpi="1200" verticalDpi="1200" r:id="rId1"/>
  <ignoredErrors>
    <ignoredError sqref="D42:G42 Q45:Q48" formula="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CM98"/>
  <sheetViews>
    <sheetView topLeftCell="E1" zoomScale="85" zoomScaleNormal="85" workbookViewId="0">
      <selection activeCell="J25" sqref="J25"/>
    </sheetView>
  </sheetViews>
  <sheetFormatPr defaultRowHeight="15" outlineLevelRow="1" outlineLevelCol="1"/>
  <cols>
    <col min="1" max="1" width="9.85546875" style="494" bestFit="1" customWidth="1"/>
    <col min="2" max="2" width="53.28515625" style="494" customWidth="1"/>
    <col min="3" max="3" width="1.7109375" style="494" customWidth="1"/>
    <col min="4" max="11" width="18.7109375" style="493" customWidth="1"/>
    <col min="12" max="12" width="1.7109375" style="493" customWidth="1"/>
    <col min="13" max="13" width="20.28515625" style="494" customWidth="1" outlineLevel="1"/>
    <col min="14" max="14" width="17.28515625" style="494" customWidth="1" outlineLevel="1"/>
    <col min="15" max="15" width="19" style="494" customWidth="1" outlineLevel="1"/>
    <col min="16" max="16" width="19.42578125" style="494" customWidth="1" outlineLevel="1"/>
    <col min="17" max="17" width="16.7109375" style="494" customWidth="1" outlineLevel="1"/>
    <col min="18" max="18" width="14.85546875" style="494" customWidth="1" outlineLevel="1"/>
    <col min="19" max="19" width="15.5703125" style="494" customWidth="1" outlineLevel="1"/>
    <col min="20" max="20" width="14.85546875" style="494" customWidth="1" outlineLevel="1"/>
    <col min="21" max="21" width="101.7109375" style="494" customWidth="1"/>
    <col min="22" max="22" width="9.140625" style="494" customWidth="1"/>
    <col min="23" max="253" width="9.140625" style="494"/>
    <col min="254" max="254" width="35" style="494" customWidth="1"/>
    <col min="255" max="258" width="14.42578125" style="494" customWidth="1"/>
    <col min="259" max="259" width="2.42578125" style="494" customWidth="1"/>
    <col min="260" max="263" width="14.42578125" style="494" customWidth="1"/>
    <col min="264" max="264" width="2.42578125" style="494" customWidth="1"/>
    <col min="265" max="265" width="52.140625" style="494" customWidth="1"/>
    <col min="266" max="509" width="9.140625" style="494"/>
    <col min="510" max="510" width="35" style="494" customWidth="1"/>
    <col min="511" max="514" width="14.42578125" style="494" customWidth="1"/>
    <col min="515" max="515" width="2.42578125" style="494" customWidth="1"/>
    <col min="516" max="519" width="14.42578125" style="494" customWidth="1"/>
    <col min="520" max="520" width="2.42578125" style="494" customWidth="1"/>
    <col min="521" max="521" width="52.140625" style="494" customWidth="1"/>
    <col min="522" max="765" width="9.140625" style="494"/>
    <col min="766" max="766" width="35" style="494" customWidth="1"/>
    <col min="767" max="770" width="14.42578125" style="494" customWidth="1"/>
    <col min="771" max="771" width="2.42578125" style="494" customWidth="1"/>
    <col min="772" max="775" width="14.42578125" style="494" customWidth="1"/>
    <col min="776" max="776" width="2.42578125" style="494" customWidth="1"/>
    <col min="777" max="777" width="52.140625" style="494" customWidth="1"/>
    <col min="778" max="1021" width="9.140625" style="494"/>
    <col min="1022" max="1022" width="35" style="494" customWidth="1"/>
    <col min="1023" max="1026" width="14.42578125" style="494" customWidth="1"/>
    <col min="1027" max="1027" width="2.42578125" style="494" customWidth="1"/>
    <col min="1028" max="1031" width="14.42578125" style="494" customWidth="1"/>
    <col min="1032" max="1032" width="2.42578125" style="494" customWidth="1"/>
    <col min="1033" max="1033" width="52.140625" style="494" customWidth="1"/>
    <col min="1034" max="1277" width="9.140625" style="494"/>
    <col min="1278" max="1278" width="35" style="494" customWidth="1"/>
    <col min="1279" max="1282" width="14.42578125" style="494" customWidth="1"/>
    <col min="1283" max="1283" width="2.42578125" style="494" customWidth="1"/>
    <col min="1284" max="1287" width="14.42578125" style="494" customWidth="1"/>
    <col min="1288" max="1288" width="2.42578125" style="494" customWidth="1"/>
    <col min="1289" max="1289" width="52.140625" style="494" customWidth="1"/>
    <col min="1290" max="1533" width="9.140625" style="494"/>
    <col min="1534" max="1534" width="35" style="494" customWidth="1"/>
    <col min="1535" max="1538" width="14.42578125" style="494" customWidth="1"/>
    <col min="1539" max="1539" width="2.42578125" style="494" customWidth="1"/>
    <col min="1540" max="1543" width="14.42578125" style="494" customWidth="1"/>
    <col min="1544" max="1544" width="2.42578125" style="494" customWidth="1"/>
    <col min="1545" max="1545" width="52.140625" style="494" customWidth="1"/>
    <col min="1546" max="1789" width="9.140625" style="494"/>
    <col min="1790" max="1790" width="35" style="494" customWidth="1"/>
    <col min="1791" max="1794" width="14.42578125" style="494" customWidth="1"/>
    <col min="1795" max="1795" width="2.42578125" style="494" customWidth="1"/>
    <col min="1796" max="1799" width="14.42578125" style="494" customWidth="1"/>
    <col min="1800" max="1800" width="2.42578125" style="494" customWidth="1"/>
    <col min="1801" max="1801" width="52.140625" style="494" customWidth="1"/>
    <col min="1802" max="2045" width="9.140625" style="494"/>
    <col min="2046" max="2046" width="35" style="494" customWidth="1"/>
    <col min="2047" max="2050" width="14.42578125" style="494" customWidth="1"/>
    <col min="2051" max="2051" width="2.42578125" style="494" customWidth="1"/>
    <col min="2052" max="2055" width="14.42578125" style="494" customWidth="1"/>
    <col min="2056" max="2056" width="2.42578125" style="494" customWidth="1"/>
    <col min="2057" max="2057" width="52.140625" style="494" customWidth="1"/>
    <col min="2058" max="2301" width="9.140625" style="494"/>
    <col min="2302" max="2302" width="35" style="494" customWidth="1"/>
    <col min="2303" max="2306" width="14.42578125" style="494" customWidth="1"/>
    <col min="2307" max="2307" width="2.42578125" style="494" customWidth="1"/>
    <col min="2308" max="2311" width="14.42578125" style="494" customWidth="1"/>
    <col min="2312" max="2312" width="2.42578125" style="494" customWidth="1"/>
    <col min="2313" max="2313" width="52.140625" style="494" customWidth="1"/>
    <col min="2314" max="2557" width="9.140625" style="494"/>
    <col min="2558" max="2558" width="35" style="494" customWidth="1"/>
    <col min="2559" max="2562" width="14.42578125" style="494" customWidth="1"/>
    <col min="2563" max="2563" width="2.42578125" style="494" customWidth="1"/>
    <col min="2564" max="2567" width="14.42578125" style="494" customWidth="1"/>
    <col min="2568" max="2568" width="2.42578125" style="494" customWidth="1"/>
    <col min="2569" max="2569" width="52.140625" style="494" customWidth="1"/>
    <col min="2570" max="2813" width="9.140625" style="494"/>
    <col min="2814" max="2814" width="35" style="494" customWidth="1"/>
    <col min="2815" max="2818" width="14.42578125" style="494" customWidth="1"/>
    <col min="2819" max="2819" width="2.42578125" style="494" customWidth="1"/>
    <col min="2820" max="2823" width="14.42578125" style="494" customWidth="1"/>
    <col min="2824" max="2824" width="2.42578125" style="494" customWidth="1"/>
    <col min="2825" max="2825" width="52.140625" style="494" customWidth="1"/>
    <col min="2826" max="3069" width="9.140625" style="494"/>
    <col min="3070" max="3070" width="35" style="494" customWidth="1"/>
    <col min="3071" max="3074" width="14.42578125" style="494" customWidth="1"/>
    <col min="3075" max="3075" width="2.42578125" style="494" customWidth="1"/>
    <col min="3076" max="3079" width="14.42578125" style="494" customWidth="1"/>
    <col min="3080" max="3080" width="2.42578125" style="494" customWidth="1"/>
    <col min="3081" max="3081" width="52.140625" style="494" customWidth="1"/>
    <col min="3082" max="3325" width="9.140625" style="494"/>
    <col min="3326" max="3326" width="35" style="494" customWidth="1"/>
    <col min="3327" max="3330" width="14.42578125" style="494" customWidth="1"/>
    <col min="3331" max="3331" width="2.42578125" style="494" customWidth="1"/>
    <col min="3332" max="3335" width="14.42578125" style="494" customWidth="1"/>
    <col min="3336" max="3336" width="2.42578125" style="494" customWidth="1"/>
    <col min="3337" max="3337" width="52.140625" style="494" customWidth="1"/>
    <col min="3338" max="3581" width="9.140625" style="494"/>
    <col min="3582" max="3582" width="35" style="494" customWidth="1"/>
    <col min="3583" max="3586" width="14.42578125" style="494" customWidth="1"/>
    <col min="3587" max="3587" width="2.42578125" style="494" customWidth="1"/>
    <col min="3588" max="3591" width="14.42578125" style="494" customWidth="1"/>
    <col min="3592" max="3592" width="2.42578125" style="494" customWidth="1"/>
    <col min="3593" max="3593" width="52.140625" style="494" customWidth="1"/>
    <col min="3594" max="3837" width="9.140625" style="494"/>
    <col min="3838" max="3838" width="35" style="494" customWidth="1"/>
    <col min="3839" max="3842" width="14.42578125" style="494" customWidth="1"/>
    <col min="3843" max="3843" width="2.42578125" style="494" customWidth="1"/>
    <col min="3844" max="3847" width="14.42578125" style="494" customWidth="1"/>
    <col min="3848" max="3848" width="2.42578125" style="494" customWidth="1"/>
    <col min="3849" max="3849" width="52.140625" style="494" customWidth="1"/>
    <col min="3850" max="4093" width="9.140625" style="494"/>
    <col min="4094" max="4094" width="35" style="494" customWidth="1"/>
    <col min="4095" max="4098" width="14.42578125" style="494" customWidth="1"/>
    <col min="4099" max="4099" width="2.42578125" style="494" customWidth="1"/>
    <col min="4100" max="4103" width="14.42578125" style="494" customWidth="1"/>
    <col min="4104" max="4104" width="2.42578125" style="494" customWidth="1"/>
    <col min="4105" max="4105" width="52.140625" style="494" customWidth="1"/>
    <col min="4106" max="4349" width="9.140625" style="494"/>
    <col min="4350" max="4350" width="35" style="494" customWidth="1"/>
    <col min="4351" max="4354" width="14.42578125" style="494" customWidth="1"/>
    <col min="4355" max="4355" width="2.42578125" style="494" customWidth="1"/>
    <col min="4356" max="4359" width="14.42578125" style="494" customWidth="1"/>
    <col min="4360" max="4360" width="2.42578125" style="494" customWidth="1"/>
    <col min="4361" max="4361" width="52.140625" style="494" customWidth="1"/>
    <col min="4362" max="4605" width="9.140625" style="494"/>
    <col min="4606" max="4606" width="35" style="494" customWidth="1"/>
    <col min="4607" max="4610" width="14.42578125" style="494" customWidth="1"/>
    <col min="4611" max="4611" width="2.42578125" style="494" customWidth="1"/>
    <col min="4612" max="4615" width="14.42578125" style="494" customWidth="1"/>
    <col min="4616" max="4616" width="2.42578125" style="494" customWidth="1"/>
    <col min="4617" max="4617" width="52.140625" style="494" customWidth="1"/>
    <col min="4618" max="4861" width="9.140625" style="494"/>
    <col min="4862" max="4862" width="35" style="494" customWidth="1"/>
    <col min="4863" max="4866" width="14.42578125" style="494" customWidth="1"/>
    <col min="4867" max="4867" width="2.42578125" style="494" customWidth="1"/>
    <col min="4868" max="4871" width="14.42578125" style="494" customWidth="1"/>
    <col min="4872" max="4872" width="2.42578125" style="494" customWidth="1"/>
    <col min="4873" max="4873" width="52.140625" style="494" customWidth="1"/>
    <col min="4874" max="5117" width="9.140625" style="494"/>
    <col min="5118" max="5118" width="35" style="494" customWidth="1"/>
    <col min="5119" max="5122" width="14.42578125" style="494" customWidth="1"/>
    <col min="5123" max="5123" width="2.42578125" style="494" customWidth="1"/>
    <col min="5124" max="5127" width="14.42578125" style="494" customWidth="1"/>
    <col min="5128" max="5128" width="2.42578125" style="494" customWidth="1"/>
    <col min="5129" max="5129" width="52.140625" style="494" customWidth="1"/>
    <col min="5130" max="5373" width="9.140625" style="494"/>
    <col min="5374" max="5374" width="35" style="494" customWidth="1"/>
    <col min="5375" max="5378" width="14.42578125" style="494" customWidth="1"/>
    <col min="5379" max="5379" width="2.42578125" style="494" customWidth="1"/>
    <col min="5380" max="5383" width="14.42578125" style="494" customWidth="1"/>
    <col min="5384" max="5384" width="2.42578125" style="494" customWidth="1"/>
    <col min="5385" max="5385" width="52.140625" style="494" customWidth="1"/>
    <col min="5386" max="5629" width="9.140625" style="494"/>
    <col min="5630" max="5630" width="35" style="494" customWidth="1"/>
    <col min="5631" max="5634" width="14.42578125" style="494" customWidth="1"/>
    <col min="5635" max="5635" width="2.42578125" style="494" customWidth="1"/>
    <col min="5636" max="5639" width="14.42578125" style="494" customWidth="1"/>
    <col min="5640" max="5640" width="2.42578125" style="494" customWidth="1"/>
    <col min="5641" max="5641" width="52.140625" style="494" customWidth="1"/>
    <col min="5642" max="5885" width="9.140625" style="494"/>
    <col min="5886" max="5886" width="35" style="494" customWidth="1"/>
    <col min="5887" max="5890" width="14.42578125" style="494" customWidth="1"/>
    <col min="5891" max="5891" width="2.42578125" style="494" customWidth="1"/>
    <col min="5892" max="5895" width="14.42578125" style="494" customWidth="1"/>
    <col min="5896" max="5896" width="2.42578125" style="494" customWidth="1"/>
    <col min="5897" max="5897" width="52.140625" style="494" customWidth="1"/>
    <col min="5898" max="6141" width="9.140625" style="494"/>
    <col min="6142" max="6142" width="35" style="494" customWidth="1"/>
    <col min="6143" max="6146" width="14.42578125" style="494" customWidth="1"/>
    <col min="6147" max="6147" width="2.42578125" style="494" customWidth="1"/>
    <col min="6148" max="6151" width="14.42578125" style="494" customWidth="1"/>
    <col min="6152" max="6152" width="2.42578125" style="494" customWidth="1"/>
    <col min="6153" max="6153" width="52.140625" style="494" customWidth="1"/>
    <col min="6154" max="6397" width="9.140625" style="494"/>
    <col min="6398" max="6398" width="35" style="494" customWidth="1"/>
    <col min="6399" max="6402" width="14.42578125" style="494" customWidth="1"/>
    <col min="6403" max="6403" width="2.42578125" style="494" customWidth="1"/>
    <col min="6404" max="6407" width="14.42578125" style="494" customWidth="1"/>
    <col min="6408" max="6408" width="2.42578125" style="494" customWidth="1"/>
    <col min="6409" max="6409" width="52.140625" style="494" customWidth="1"/>
    <col min="6410" max="6653" width="9.140625" style="494"/>
    <col min="6654" max="6654" width="35" style="494" customWidth="1"/>
    <col min="6655" max="6658" width="14.42578125" style="494" customWidth="1"/>
    <col min="6659" max="6659" width="2.42578125" style="494" customWidth="1"/>
    <col min="6660" max="6663" width="14.42578125" style="494" customWidth="1"/>
    <col min="6664" max="6664" width="2.42578125" style="494" customWidth="1"/>
    <col min="6665" max="6665" width="52.140625" style="494" customWidth="1"/>
    <col min="6666" max="6909" width="9.140625" style="494"/>
    <col min="6910" max="6910" width="35" style="494" customWidth="1"/>
    <col min="6911" max="6914" width="14.42578125" style="494" customWidth="1"/>
    <col min="6915" max="6915" width="2.42578125" style="494" customWidth="1"/>
    <col min="6916" max="6919" width="14.42578125" style="494" customWidth="1"/>
    <col min="6920" max="6920" width="2.42578125" style="494" customWidth="1"/>
    <col min="6921" max="6921" width="52.140625" style="494" customWidth="1"/>
    <col min="6922" max="7165" width="9.140625" style="494"/>
    <col min="7166" max="7166" width="35" style="494" customWidth="1"/>
    <col min="7167" max="7170" width="14.42578125" style="494" customWidth="1"/>
    <col min="7171" max="7171" width="2.42578125" style="494" customWidth="1"/>
    <col min="7172" max="7175" width="14.42578125" style="494" customWidth="1"/>
    <col min="7176" max="7176" width="2.42578125" style="494" customWidth="1"/>
    <col min="7177" max="7177" width="52.140625" style="494" customWidth="1"/>
    <col min="7178" max="7421" width="9.140625" style="494"/>
    <col min="7422" max="7422" width="35" style="494" customWidth="1"/>
    <col min="7423" max="7426" width="14.42578125" style="494" customWidth="1"/>
    <col min="7427" max="7427" width="2.42578125" style="494" customWidth="1"/>
    <col min="7428" max="7431" width="14.42578125" style="494" customWidth="1"/>
    <col min="7432" max="7432" width="2.42578125" style="494" customWidth="1"/>
    <col min="7433" max="7433" width="52.140625" style="494" customWidth="1"/>
    <col min="7434" max="7677" width="9.140625" style="494"/>
    <col min="7678" max="7678" width="35" style="494" customWidth="1"/>
    <col min="7679" max="7682" width="14.42578125" style="494" customWidth="1"/>
    <col min="7683" max="7683" width="2.42578125" style="494" customWidth="1"/>
    <col min="7684" max="7687" width="14.42578125" style="494" customWidth="1"/>
    <col min="7688" max="7688" width="2.42578125" style="494" customWidth="1"/>
    <col min="7689" max="7689" width="52.140625" style="494" customWidth="1"/>
    <col min="7690" max="7933" width="9.140625" style="494"/>
    <col min="7934" max="7934" width="35" style="494" customWidth="1"/>
    <col min="7935" max="7938" width="14.42578125" style="494" customWidth="1"/>
    <col min="7939" max="7939" width="2.42578125" style="494" customWidth="1"/>
    <col min="7940" max="7943" width="14.42578125" style="494" customWidth="1"/>
    <col min="7944" max="7944" width="2.42578125" style="494" customWidth="1"/>
    <col min="7945" max="7945" width="52.140625" style="494" customWidth="1"/>
    <col min="7946" max="8189" width="9.140625" style="494"/>
    <col min="8190" max="8190" width="35" style="494" customWidth="1"/>
    <col min="8191" max="8194" width="14.42578125" style="494" customWidth="1"/>
    <col min="8195" max="8195" width="2.42578125" style="494" customWidth="1"/>
    <col min="8196" max="8199" width="14.42578125" style="494" customWidth="1"/>
    <col min="8200" max="8200" width="2.42578125" style="494" customWidth="1"/>
    <col min="8201" max="8201" width="52.140625" style="494" customWidth="1"/>
    <col min="8202" max="8445" width="9.140625" style="494"/>
    <col min="8446" max="8446" width="35" style="494" customWidth="1"/>
    <col min="8447" max="8450" width="14.42578125" style="494" customWidth="1"/>
    <col min="8451" max="8451" width="2.42578125" style="494" customWidth="1"/>
    <col min="8452" max="8455" width="14.42578125" style="494" customWidth="1"/>
    <col min="8456" max="8456" width="2.42578125" style="494" customWidth="1"/>
    <col min="8457" max="8457" width="52.140625" style="494" customWidth="1"/>
    <col min="8458" max="8701" width="9.140625" style="494"/>
    <col min="8702" max="8702" width="35" style="494" customWidth="1"/>
    <col min="8703" max="8706" width="14.42578125" style="494" customWidth="1"/>
    <col min="8707" max="8707" width="2.42578125" style="494" customWidth="1"/>
    <col min="8708" max="8711" width="14.42578125" style="494" customWidth="1"/>
    <col min="8712" max="8712" width="2.42578125" style="494" customWidth="1"/>
    <col min="8713" max="8713" width="52.140625" style="494" customWidth="1"/>
    <col min="8714" max="8957" width="9.140625" style="494"/>
    <col min="8958" max="8958" width="35" style="494" customWidth="1"/>
    <col min="8959" max="8962" width="14.42578125" style="494" customWidth="1"/>
    <col min="8963" max="8963" width="2.42578125" style="494" customWidth="1"/>
    <col min="8964" max="8967" width="14.42578125" style="494" customWidth="1"/>
    <col min="8968" max="8968" width="2.42578125" style="494" customWidth="1"/>
    <col min="8969" max="8969" width="52.140625" style="494" customWidth="1"/>
    <col min="8970" max="9213" width="9.140625" style="494"/>
    <col min="9214" max="9214" width="35" style="494" customWidth="1"/>
    <col min="9215" max="9218" width="14.42578125" style="494" customWidth="1"/>
    <col min="9219" max="9219" width="2.42578125" style="494" customWidth="1"/>
    <col min="9220" max="9223" width="14.42578125" style="494" customWidth="1"/>
    <col min="9224" max="9224" width="2.42578125" style="494" customWidth="1"/>
    <col min="9225" max="9225" width="52.140625" style="494" customWidth="1"/>
    <col min="9226" max="9469" width="9.140625" style="494"/>
    <col min="9470" max="9470" width="35" style="494" customWidth="1"/>
    <col min="9471" max="9474" width="14.42578125" style="494" customWidth="1"/>
    <col min="9475" max="9475" width="2.42578125" style="494" customWidth="1"/>
    <col min="9476" max="9479" width="14.42578125" style="494" customWidth="1"/>
    <col min="9480" max="9480" width="2.42578125" style="494" customWidth="1"/>
    <col min="9481" max="9481" width="52.140625" style="494" customWidth="1"/>
    <col min="9482" max="9725" width="9.140625" style="494"/>
    <col min="9726" max="9726" width="35" style="494" customWidth="1"/>
    <col min="9727" max="9730" width="14.42578125" style="494" customWidth="1"/>
    <col min="9731" max="9731" width="2.42578125" style="494" customWidth="1"/>
    <col min="9732" max="9735" width="14.42578125" style="494" customWidth="1"/>
    <col min="9736" max="9736" width="2.42578125" style="494" customWidth="1"/>
    <col min="9737" max="9737" width="52.140625" style="494" customWidth="1"/>
    <col min="9738" max="9981" width="9.140625" style="494"/>
    <col min="9982" max="9982" width="35" style="494" customWidth="1"/>
    <col min="9983" max="9986" width="14.42578125" style="494" customWidth="1"/>
    <col min="9987" max="9987" width="2.42578125" style="494" customWidth="1"/>
    <col min="9988" max="9991" width="14.42578125" style="494" customWidth="1"/>
    <col min="9992" max="9992" width="2.42578125" style="494" customWidth="1"/>
    <col min="9993" max="9993" width="52.140625" style="494" customWidth="1"/>
    <col min="9994" max="10237" width="9.140625" style="494"/>
    <col min="10238" max="10238" width="35" style="494" customWidth="1"/>
    <col min="10239" max="10242" width="14.42578125" style="494" customWidth="1"/>
    <col min="10243" max="10243" width="2.42578125" style="494" customWidth="1"/>
    <col min="10244" max="10247" width="14.42578125" style="494" customWidth="1"/>
    <col min="10248" max="10248" width="2.42578125" style="494" customWidth="1"/>
    <col min="10249" max="10249" width="52.140625" style="494" customWidth="1"/>
    <col min="10250" max="10493" width="9.140625" style="494"/>
    <col min="10494" max="10494" width="35" style="494" customWidth="1"/>
    <col min="10495" max="10498" width="14.42578125" style="494" customWidth="1"/>
    <col min="10499" max="10499" width="2.42578125" style="494" customWidth="1"/>
    <col min="10500" max="10503" width="14.42578125" style="494" customWidth="1"/>
    <col min="10504" max="10504" width="2.42578125" style="494" customWidth="1"/>
    <col min="10505" max="10505" width="52.140625" style="494" customWidth="1"/>
    <col min="10506" max="10749" width="9.140625" style="494"/>
    <col min="10750" max="10750" width="35" style="494" customWidth="1"/>
    <col min="10751" max="10754" width="14.42578125" style="494" customWidth="1"/>
    <col min="10755" max="10755" width="2.42578125" style="494" customWidth="1"/>
    <col min="10756" max="10759" width="14.42578125" style="494" customWidth="1"/>
    <col min="10760" max="10760" width="2.42578125" style="494" customWidth="1"/>
    <col min="10761" max="10761" width="52.140625" style="494" customWidth="1"/>
    <col min="10762" max="11005" width="9.140625" style="494"/>
    <col min="11006" max="11006" width="35" style="494" customWidth="1"/>
    <col min="11007" max="11010" width="14.42578125" style="494" customWidth="1"/>
    <col min="11011" max="11011" width="2.42578125" style="494" customWidth="1"/>
    <col min="11012" max="11015" width="14.42578125" style="494" customWidth="1"/>
    <col min="11016" max="11016" width="2.42578125" style="494" customWidth="1"/>
    <col min="11017" max="11017" width="52.140625" style="494" customWidth="1"/>
    <col min="11018" max="11261" width="9.140625" style="494"/>
    <col min="11262" max="11262" width="35" style="494" customWidth="1"/>
    <col min="11263" max="11266" width="14.42578125" style="494" customWidth="1"/>
    <col min="11267" max="11267" width="2.42578125" style="494" customWidth="1"/>
    <col min="11268" max="11271" width="14.42578125" style="494" customWidth="1"/>
    <col min="11272" max="11272" width="2.42578125" style="494" customWidth="1"/>
    <col min="11273" max="11273" width="52.140625" style="494" customWidth="1"/>
    <col min="11274" max="11517" width="9.140625" style="494"/>
    <col min="11518" max="11518" width="35" style="494" customWidth="1"/>
    <col min="11519" max="11522" width="14.42578125" style="494" customWidth="1"/>
    <col min="11523" max="11523" width="2.42578125" style="494" customWidth="1"/>
    <col min="11524" max="11527" width="14.42578125" style="494" customWidth="1"/>
    <col min="11528" max="11528" width="2.42578125" style="494" customWidth="1"/>
    <col min="11529" max="11529" width="52.140625" style="494" customWidth="1"/>
    <col min="11530" max="11773" width="9.140625" style="494"/>
    <col min="11774" max="11774" width="35" style="494" customWidth="1"/>
    <col min="11775" max="11778" width="14.42578125" style="494" customWidth="1"/>
    <col min="11779" max="11779" width="2.42578125" style="494" customWidth="1"/>
    <col min="11780" max="11783" width="14.42578125" style="494" customWidth="1"/>
    <col min="11784" max="11784" width="2.42578125" style="494" customWidth="1"/>
    <col min="11785" max="11785" width="52.140625" style="494" customWidth="1"/>
    <col min="11786" max="12029" width="9.140625" style="494"/>
    <col min="12030" max="12030" width="35" style="494" customWidth="1"/>
    <col min="12031" max="12034" width="14.42578125" style="494" customWidth="1"/>
    <col min="12035" max="12035" width="2.42578125" style="494" customWidth="1"/>
    <col min="12036" max="12039" width="14.42578125" style="494" customWidth="1"/>
    <col min="12040" max="12040" width="2.42578125" style="494" customWidth="1"/>
    <col min="12041" max="12041" width="52.140625" style="494" customWidth="1"/>
    <col min="12042" max="12285" width="9.140625" style="494"/>
    <col min="12286" max="12286" width="35" style="494" customWidth="1"/>
    <col min="12287" max="12290" width="14.42578125" style="494" customWidth="1"/>
    <col min="12291" max="12291" width="2.42578125" style="494" customWidth="1"/>
    <col min="12292" max="12295" width="14.42578125" style="494" customWidth="1"/>
    <col min="12296" max="12296" width="2.42578125" style="494" customWidth="1"/>
    <col min="12297" max="12297" width="52.140625" style="494" customWidth="1"/>
    <col min="12298" max="12541" width="9.140625" style="494"/>
    <col min="12542" max="12542" width="35" style="494" customWidth="1"/>
    <col min="12543" max="12546" width="14.42578125" style="494" customWidth="1"/>
    <col min="12547" max="12547" width="2.42578125" style="494" customWidth="1"/>
    <col min="12548" max="12551" width="14.42578125" style="494" customWidth="1"/>
    <col min="12552" max="12552" width="2.42578125" style="494" customWidth="1"/>
    <col min="12553" max="12553" width="52.140625" style="494" customWidth="1"/>
    <col min="12554" max="12797" width="9.140625" style="494"/>
    <col min="12798" max="12798" width="35" style="494" customWidth="1"/>
    <col min="12799" max="12802" width="14.42578125" style="494" customWidth="1"/>
    <col min="12803" max="12803" width="2.42578125" style="494" customWidth="1"/>
    <col min="12804" max="12807" width="14.42578125" style="494" customWidth="1"/>
    <col min="12808" max="12808" width="2.42578125" style="494" customWidth="1"/>
    <col min="12809" max="12809" width="52.140625" style="494" customWidth="1"/>
    <col min="12810" max="13053" width="9.140625" style="494"/>
    <col min="13054" max="13054" width="35" style="494" customWidth="1"/>
    <col min="13055" max="13058" width="14.42578125" style="494" customWidth="1"/>
    <col min="13059" max="13059" width="2.42578125" style="494" customWidth="1"/>
    <col min="13060" max="13063" width="14.42578125" style="494" customWidth="1"/>
    <col min="13064" max="13064" width="2.42578125" style="494" customWidth="1"/>
    <col min="13065" max="13065" width="52.140625" style="494" customWidth="1"/>
    <col min="13066" max="13309" width="9.140625" style="494"/>
    <col min="13310" max="13310" width="35" style="494" customWidth="1"/>
    <col min="13311" max="13314" width="14.42578125" style="494" customWidth="1"/>
    <col min="13315" max="13315" width="2.42578125" style="494" customWidth="1"/>
    <col min="13316" max="13319" width="14.42578125" style="494" customWidth="1"/>
    <col min="13320" max="13320" width="2.42578125" style="494" customWidth="1"/>
    <col min="13321" max="13321" width="52.140625" style="494" customWidth="1"/>
    <col min="13322" max="13565" width="9.140625" style="494"/>
    <col min="13566" max="13566" width="35" style="494" customWidth="1"/>
    <col min="13567" max="13570" width="14.42578125" style="494" customWidth="1"/>
    <col min="13571" max="13571" width="2.42578125" style="494" customWidth="1"/>
    <col min="13572" max="13575" width="14.42578125" style="494" customWidth="1"/>
    <col min="13576" max="13576" width="2.42578125" style="494" customWidth="1"/>
    <col min="13577" max="13577" width="52.140625" style="494" customWidth="1"/>
    <col min="13578" max="13821" width="9.140625" style="494"/>
    <col min="13822" max="13822" width="35" style="494" customWidth="1"/>
    <col min="13823" max="13826" width="14.42578125" style="494" customWidth="1"/>
    <col min="13827" max="13827" width="2.42578125" style="494" customWidth="1"/>
    <col min="13828" max="13831" width="14.42578125" style="494" customWidth="1"/>
    <col min="13832" max="13832" width="2.42578125" style="494" customWidth="1"/>
    <col min="13833" max="13833" width="52.140625" style="494" customWidth="1"/>
    <col min="13834" max="14077" width="9.140625" style="494"/>
    <col min="14078" max="14078" width="35" style="494" customWidth="1"/>
    <col min="14079" max="14082" width="14.42578125" style="494" customWidth="1"/>
    <col min="14083" max="14083" width="2.42578125" style="494" customWidth="1"/>
    <col min="14084" max="14087" width="14.42578125" style="494" customWidth="1"/>
    <col min="14088" max="14088" width="2.42578125" style="494" customWidth="1"/>
    <col min="14089" max="14089" width="52.140625" style="494" customWidth="1"/>
    <col min="14090" max="14333" width="9.140625" style="494"/>
    <col min="14334" max="14334" width="35" style="494" customWidth="1"/>
    <col min="14335" max="14338" width="14.42578125" style="494" customWidth="1"/>
    <col min="14339" max="14339" width="2.42578125" style="494" customWidth="1"/>
    <col min="14340" max="14343" width="14.42578125" style="494" customWidth="1"/>
    <col min="14344" max="14344" width="2.42578125" style="494" customWidth="1"/>
    <col min="14345" max="14345" width="52.140625" style="494" customWidth="1"/>
    <col min="14346" max="14589" width="9.140625" style="494"/>
    <col min="14590" max="14590" width="35" style="494" customWidth="1"/>
    <col min="14591" max="14594" width="14.42578125" style="494" customWidth="1"/>
    <col min="14595" max="14595" width="2.42578125" style="494" customWidth="1"/>
    <col min="14596" max="14599" width="14.42578125" style="494" customWidth="1"/>
    <col min="14600" max="14600" width="2.42578125" style="494" customWidth="1"/>
    <col min="14601" max="14601" width="52.140625" style="494" customWidth="1"/>
    <col min="14602" max="14845" width="9.140625" style="494"/>
    <col min="14846" max="14846" width="35" style="494" customWidth="1"/>
    <col min="14847" max="14850" width="14.42578125" style="494" customWidth="1"/>
    <col min="14851" max="14851" width="2.42578125" style="494" customWidth="1"/>
    <col min="14852" max="14855" width="14.42578125" style="494" customWidth="1"/>
    <col min="14856" max="14856" width="2.42578125" style="494" customWidth="1"/>
    <col min="14857" max="14857" width="52.140625" style="494" customWidth="1"/>
    <col min="14858" max="15101" width="9.140625" style="494"/>
    <col min="15102" max="15102" width="35" style="494" customWidth="1"/>
    <col min="15103" max="15106" width="14.42578125" style="494" customWidth="1"/>
    <col min="15107" max="15107" width="2.42578125" style="494" customWidth="1"/>
    <col min="15108" max="15111" width="14.42578125" style="494" customWidth="1"/>
    <col min="15112" max="15112" width="2.42578125" style="494" customWidth="1"/>
    <col min="15113" max="15113" width="52.140625" style="494" customWidth="1"/>
    <col min="15114" max="15357" width="9.140625" style="494"/>
    <col min="15358" max="15358" width="35" style="494" customWidth="1"/>
    <col min="15359" max="15362" width="14.42578125" style="494" customWidth="1"/>
    <col min="15363" max="15363" width="2.42578125" style="494" customWidth="1"/>
    <col min="15364" max="15367" width="14.42578125" style="494" customWidth="1"/>
    <col min="15368" max="15368" width="2.42578125" style="494" customWidth="1"/>
    <col min="15369" max="15369" width="52.140625" style="494" customWidth="1"/>
    <col min="15370" max="15613" width="9.140625" style="494"/>
    <col min="15614" max="15614" width="35" style="494" customWidth="1"/>
    <col min="15615" max="15618" width="14.42578125" style="494" customWidth="1"/>
    <col min="15619" max="15619" width="2.42578125" style="494" customWidth="1"/>
    <col min="15620" max="15623" width="14.42578125" style="494" customWidth="1"/>
    <col min="15624" max="15624" width="2.42578125" style="494" customWidth="1"/>
    <col min="15625" max="15625" width="52.140625" style="494" customWidth="1"/>
    <col min="15626" max="15869" width="9.140625" style="494"/>
    <col min="15870" max="15870" width="35" style="494" customWidth="1"/>
    <col min="15871" max="15874" width="14.42578125" style="494" customWidth="1"/>
    <col min="15875" max="15875" width="2.42578125" style="494" customWidth="1"/>
    <col min="15876" max="15879" width="14.42578125" style="494" customWidth="1"/>
    <col min="15880" max="15880" width="2.42578125" style="494" customWidth="1"/>
    <col min="15881" max="15881" width="52.140625" style="494" customWidth="1"/>
    <col min="15882" max="16125" width="9.140625" style="494"/>
    <col min="16126" max="16126" width="35" style="494" customWidth="1"/>
    <col min="16127" max="16130" width="14.42578125" style="494" customWidth="1"/>
    <col min="16131" max="16131" width="2.42578125" style="494" customWidth="1"/>
    <col min="16132" max="16135" width="14.42578125" style="494" customWidth="1"/>
    <col min="16136" max="16136" width="2.42578125" style="494" customWidth="1"/>
    <col min="16137" max="16137" width="52.140625" style="494" customWidth="1"/>
    <col min="16138" max="16380" width="9.140625" style="494"/>
    <col min="16381" max="16384" width="9.140625" style="494" customWidth="1"/>
  </cols>
  <sheetData>
    <row r="1" spans="2:91" s="935" customFormat="1" outlineLevel="1">
      <c r="D1" s="966"/>
      <c r="E1" s="967"/>
      <c r="F1" s="967"/>
      <c r="G1" s="967"/>
      <c r="H1" s="968" t="s">
        <v>543</v>
      </c>
      <c r="I1" s="967">
        <v>2021</v>
      </c>
      <c r="J1" s="967"/>
      <c r="K1" s="967"/>
      <c r="L1" s="967"/>
    </row>
    <row r="2" spans="2:91">
      <c r="D2" s="641"/>
      <c r="H2" s="1492" t="s">
        <v>739</v>
      </c>
      <c r="I2" s="1493"/>
      <c r="J2" s="1493"/>
      <c r="K2" s="1493"/>
      <c r="M2" s="1589" t="s">
        <v>748</v>
      </c>
      <c r="N2" s="1589"/>
      <c r="O2" s="1589"/>
      <c r="P2" s="1589"/>
      <c r="Q2" s="1589" t="s">
        <v>749</v>
      </c>
      <c r="R2" s="1589"/>
      <c r="S2" s="1589"/>
      <c r="T2" s="1589"/>
    </row>
    <row r="3" spans="2:91" ht="6" customHeight="1" thickBot="1">
      <c r="B3" s="497"/>
      <c r="C3" s="497"/>
      <c r="D3" s="498"/>
      <c r="E3" s="498"/>
      <c r="F3" s="498"/>
      <c r="G3" s="498"/>
      <c r="H3" s="498"/>
      <c r="I3" s="498"/>
      <c r="J3" s="498"/>
      <c r="K3" s="498"/>
      <c r="L3" s="498"/>
      <c r="M3" s="498"/>
      <c r="N3" s="498"/>
      <c r="O3" s="498"/>
      <c r="P3" s="498"/>
      <c r="Q3" s="498"/>
      <c r="R3" s="498"/>
      <c r="S3" s="498"/>
      <c r="T3" s="498"/>
      <c r="U3" s="497"/>
    </row>
    <row r="4" spans="2:91" ht="6" customHeight="1" thickTop="1">
      <c r="D4" s="642"/>
      <c r="E4" s="499"/>
      <c r="F4" s="499"/>
      <c r="G4" s="643"/>
      <c r="H4" s="642"/>
      <c r="I4" s="499"/>
      <c r="J4" s="499"/>
      <c r="K4" s="643"/>
      <c r="M4" s="642"/>
      <c r="N4" s="499"/>
      <c r="O4" s="499"/>
      <c r="P4" s="643"/>
      <c r="Q4" s="642"/>
      <c r="R4" s="499"/>
      <c r="S4" s="499"/>
      <c r="T4" s="643"/>
      <c r="U4" s="644"/>
    </row>
    <row r="5" spans="2:91" ht="12.75" customHeight="1">
      <c r="B5" s="645"/>
      <c r="C5" s="645"/>
      <c r="D5" s="1931" t="s">
        <v>622</v>
      </c>
      <c r="E5" s="1932"/>
      <c r="F5" s="1932"/>
      <c r="G5" s="1933"/>
      <c r="H5" s="1931" t="s">
        <v>622</v>
      </c>
      <c r="I5" s="1932"/>
      <c r="J5" s="1932"/>
      <c r="K5" s="1933"/>
      <c r="L5" s="272"/>
      <c r="M5" s="1931" t="s">
        <v>622</v>
      </c>
      <c r="N5" s="1932"/>
      <c r="O5" s="1932"/>
      <c r="P5" s="1933"/>
      <c r="Q5" s="1931" t="s">
        <v>622</v>
      </c>
      <c r="R5" s="1932"/>
      <c r="S5" s="1932"/>
      <c r="T5" s="1933"/>
      <c r="U5" s="288"/>
    </row>
    <row r="6" spans="2:91" ht="12.75" customHeight="1">
      <c r="B6" s="645"/>
      <c r="C6" s="645"/>
      <c r="D6" s="579" t="s">
        <v>120</v>
      </c>
      <c r="E6" s="580" t="s">
        <v>121</v>
      </c>
      <c r="F6" s="580" t="s">
        <v>111</v>
      </c>
      <c r="G6" s="581" t="s">
        <v>122</v>
      </c>
      <c r="H6" s="579" t="s">
        <v>120</v>
      </c>
      <c r="I6" s="580" t="s">
        <v>121</v>
      </c>
      <c r="J6" s="580" t="s">
        <v>111</v>
      </c>
      <c r="K6" s="581" t="s">
        <v>122</v>
      </c>
      <c r="L6" s="272"/>
      <c r="M6" s="579" t="s">
        <v>120</v>
      </c>
      <c r="N6" s="580" t="s">
        <v>121</v>
      </c>
      <c r="O6" s="580" t="s">
        <v>111</v>
      </c>
      <c r="P6" s="581" t="s">
        <v>122</v>
      </c>
      <c r="Q6" s="579" t="s">
        <v>120</v>
      </c>
      <c r="R6" s="580" t="s">
        <v>121</v>
      </c>
      <c r="S6" s="580" t="s">
        <v>111</v>
      </c>
      <c r="T6" s="581" t="s">
        <v>122</v>
      </c>
      <c r="U6" s="288"/>
    </row>
    <row r="7" spans="2:91" ht="25.5" customHeight="1">
      <c r="B7" s="503" t="s">
        <v>158</v>
      </c>
      <c r="C7" s="646"/>
      <c r="D7" s="647" t="s">
        <v>117</v>
      </c>
      <c r="E7" s="505" t="s">
        <v>117</v>
      </c>
      <c r="F7" s="505" t="s">
        <v>117</v>
      </c>
      <c r="G7" s="648" t="s">
        <v>117</v>
      </c>
      <c r="H7" s="647" t="s">
        <v>118</v>
      </c>
      <c r="I7" s="505" t="s">
        <v>118</v>
      </c>
      <c r="J7" s="505" t="s">
        <v>118</v>
      </c>
      <c r="K7" s="648" t="s">
        <v>118</v>
      </c>
      <c r="L7" s="513"/>
      <c r="M7" s="697" t="s">
        <v>737</v>
      </c>
      <c r="N7" s="698" t="s">
        <v>737</v>
      </c>
      <c r="O7" s="698" t="s">
        <v>737</v>
      </c>
      <c r="P7" s="699" t="s">
        <v>737</v>
      </c>
      <c r="Q7" s="697" t="s">
        <v>738</v>
      </c>
      <c r="R7" s="698" t="s">
        <v>738</v>
      </c>
      <c r="S7" s="698" t="s">
        <v>738</v>
      </c>
      <c r="T7" s="699" t="s">
        <v>738</v>
      </c>
      <c r="U7" s="584" t="s">
        <v>316</v>
      </c>
    </row>
    <row r="8" spans="2:91" ht="6" customHeight="1">
      <c r="B8" s="506"/>
      <c r="C8" s="506"/>
      <c r="D8" s="649"/>
      <c r="E8" s="507"/>
      <c r="F8" s="507"/>
      <c r="G8" s="650"/>
      <c r="H8" s="649"/>
      <c r="I8" s="507"/>
      <c r="J8" s="507"/>
      <c r="K8" s="650"/>
      <c r="L8" s="507"/>
      <c r="M8" s="649"/>
      <c r="N8" s="507"/>
      <c r="O8" s="507"/>
      <c r="P8" s="650"/>
      <c r="Q8" s="649"/>
      <c r="R8" s="507"/>
      <c r="S8" s="507"/>
      <c r="T8" s="650"/>
      <c r="U8" s="651"/>
    </row>
    <row r="9" spans="2:91" ht="6" customHeight="1">
      <c r="B9" s="508"/>
      <c r="C9" s="508"/>
      <c r="D9" s="652"/>
      <c r="E9" s="509"/>
      <c r="F9" s="509"/>
      <c r="G9" s="653"/>
      <c r="H9" s="654"/>
      <c r="I9" s="510"/>
      <c r="J9" s="510"/>
      <c r="K9" s="655"/>
      <c r="L9" s="509"/>
      <c r="M9" s="654"/>
      <c r="N9" s="510"/>
      <c r="O9" s="510"/>
      <c r="P9" s="655"/>
      <c r="Q9" s="654"/>
      <c r="R9" s="510"/>
      <c r="S9" s="510"/>
      <c r="T9" s="655"/>
      <c r="U9" s="656"/>
      <c r="V9" s="508"/>
      <c r="W9" s="508"/>
      <c r="X9" s="508"/>
      <c r="Y9" s="508"/>
      <c r="Z9" s="508"/>
      <c r="AA9" s="508"/>
      <c r="AB9" s="508"/>
      <c r="AC9" s="508"/>
      <c r="AD9" s="508"/>
      <c r="AE9" s="508"/>
      <c r="AF9" s="508"/>
      <c r="AG9" s="508"/>
      <c r="AH9" s="508"/>
      <c r="AI9" s="508"/>
      <c r="AJ9" s="508"/>
      <c r="AK9" s="508"/>
      <c r="AL9" s="508"/>
      <c r="AM9" s="508"/>
      <c r="AN9" s="508"/>
      <c r="AO9" s="508"/>
      <c r="AP9" s="508"/>
      <c r="AQ9" s="508"/>
      <c r="AR9" s="508"/>
      <c r="AS9" s="508"/>
      <c r="AT9" s="508"/>
      <c r="AU9" s="508"/>
      <c r="AV9" s="508"/>
      <c r="AW9" s="508"/>
      <c r="AX9" s="508"/>
      <c r="AY9" s="508"/>
      <c r="AZ9" s="508"/>
      <c r="BA9" s="508"/>
      <c r="BB9" s="508"/>
      <c r="BC9" s="508"/>
      <c r="BD9" s="508"/>
      <c r="BE9" s="508"/>
      <c r="BF9" s="508"/>
      <c r="BG9" s="508"/>
      <c r="BH9" s="508"/>
      <c r="BI9" s="508"/>
      <c r="BJ9" s="508"/>
      <c r="BK9" s="508"/>
      <c r="BL9" s="508"/>
      <c r="BM9" s="508"/>
      <c r="BN9" s="508"/>
      <c r="BO9" s="508"/>
      <c r="BP9" s="508"/>
      <c r="BQ9" s="508"/>
      <c r="BR9" s="508"/>
      <c r="BS9" s="508"/>
      <c r="BT9" s="508"/>
      <c r="BU9" s="508"/>
      <c r="BV9" s="508"/>
      <c r="BW9" s="508"/>
      <c r="BX9" s="508"/>
      <c r="BY9" s="508"/>
      <c r="BZ9" s="508"/>
      <c r="CA9" s="508"/>
      <c r="CB9" s="508"/>
      <c r="CC9" s="508"/>
      <c r="CD9" s="508"/>
      <c r="CE9" s="508"/>
      <c r="CF9" s="508"/>
      <c r="CG9" s="508"/>
      <c r="CH9" s="508"/>
      <c r="CI9" s="508"/>
      <c r="CJ9" s="508"/>
      <c r="CK9" s="508"/>
      <c r="CL9" s="508"/>
      <c r="CM9" s="508"/>
    </row>
    <row r="10" spans="2:91">
      <c r="B10" s="588" t="s">
        <v>339</v>
      </c>
      <c r="C10" s="589"/>
      <c r="D10" s="588"/>
      <c r="E10" s="1384"/>
      <c r="F10" s="588"/>
      <c r="G10" s="670"/>
      <c r="H10" s="1828"/>
      <c r="I10" s="1384"/>
      <c r="J10" s="588"/>
      <c r="K10" s="670"/>
      <c r="L10" s="512"/>
      <c r="M10" s="588"/>
      <c r="N10" s="589"/>
      <c r="O10" s="588"/>
      <c r="P10" s="589"/>
      <c r="Q10" s="588"/>
      <c r="R10" s="589"/>
      <c r="S10" s="588"/>
      <c r="T10" s="589"/>
      <c r="U10" s="657"/>
    </row>
    <row r="11" spans="2:91">
      <c r="B11" s="658" t="s">
        <v>340</v>
      </c>
      <c r="C11" s="659"/>
      <c r="D11" s="715">
        <v>300000</v>
      </c>
      <c r="E11" s="715">
        <v>300000</v>
      </c>
      <c r="F11" s="715">
        <v>300000</v>
      </c>
      <c r="G11" s="716">
        <v>300000</v>
      </c>
      <c r="H11" s="1875">
        <f>INDEX('O&amp;M Costs'!$Q$11:$T$11, MATCH('O&amp;M Costs'!H$6,'O&amp;M Costs'!$Q$6:$T$6, 0))</f>
        <v>714000</v>
      </c>
      <c r="I11" s="1560">
        <f>INDEX('O&amp;M Costs'!$Q$11:$T$11, MATCH('O&amp;M Costs'!I$6,'O&amp;M Costs'!$Q$6:$T$6, 0))</f>
        <v>714000</v>
      </c>
      <c r="J11" s="1560">
        <f>INDEX('O&amp;M Costs'!$Q$11:$T$11, MATCH('O&amp;M Costs'!J$6,'O&amp;M Costs'!$Q$6:$T$6, 0))</f>
        <v>714000</v>
      </c>
      <c r="K11" s="1802">
        <f>INDEX('O&amp;M Costs'!$Q$11:$T$11, MATCH('O&amp;M Costs'!K$6,'O&amp;M Costs'!$Q$6:$T$6, 0))</f>
        <v>714000</v>
      </c>
      <c r="L11" s="512"/>
      <c r="M11" s="1562">
        <v>714000</v>
      </c>
      <c r="N11" s="1448">
        <v>714000</v>
      </c>
      <c r="O11" s="1448">
        <v>714000</v>
      </c>
      <c r="P11" s="1447">
        <v>714000</v>
      </c>
      <c r="Q11" s="1562">
        <v>714000</v>
      </c>
      <c r="R11" s="1448">
        <v>714000</v>
      </c>
      <c r="S11" s="1448">
        <v>714000</v>
      </c>
      <c r="T11" s="1447">
        <v>714000</v>
      </c>
      <c r="U11" s="1307" t="s">
        <v>341</v>
      </c>
    </row>
    <row r="12" spans="2:91" ht="30">
      <c r="B12" s="658" t="s">
        <v>342</v>
      </c>
      <c r="C12" s="660"/>
      <c r="D12" s="715">
        <v>927000</v>
      </c>
      <c r="E12" s="715">
        <v>995000</v>
      </c>
      <c r="F12" s="715">
        <v>708000</v>
      </c>
      <c r="G12" s="716">
        <v>730000</v>
      </c>
      <c r="H12" s="1875">
        <f>INDEX('O&amp;M Costs'!$Q$12:$T$12, MATCH('O&amp;M Costs'!H$6,'O&amp;M Costs'!$Q$6:$T$6, 0))</f>
        <v>4172000</v>
      </c>
      <c r="I12" s="1560">
        <f>INDEX('O&amp;M Costs'!$Q$12:$T$12, MATCH('O&amp;M Costs'!I$6,'O&amp;M Costs'!$Q$6:$T$6, 0))</f>
        <v>4476000</v>
      </c>
      <c r="J12" s="1560">
        <f>INDEX('O&amp;M Costs'!$Q$12:$T$12, MATCH('O&amp;M Costs'!J$6,'O&amp;M Costs'!$Q$6:$T$6, 0))</f>
        <v>3187000</v>
      </c>
      <c r="K12" s="1802">
        <f>INDEX('O&amp;M Costs'!$Q$12:$T$12, MATCH('O&amp;M Costs'!K$6,'O&amp;M Costs'!$Q$6:$T$6, 0))</f>
        <v>3284000</v>
      </c>
      <c r="L12" s="661"/>
      <c r="M12" s="1562">
        <v>4172000</v>
      </c>
      <c r="N12" s="1448">
        <v>4476000</v>
      </c>
      <c r="O12" s="1448">
        <v>3187000</v>
      </c>
      <c r="P12" s="1447">
        <v>3284000</v>
      </c>
      <c r="Q12" s="1562">
        <v>4172000</v>
      </c>
      <c r="R12" s="1448">
        <v>4476000</v>
      </c>
      <c r="S12" s="1448">
        <v>3187000</v>
      </c>
      <c r="T12" s="1447">
        <v>3284000</v>
      </c>
      <c r="U12" s="1307" t="s">
        <v>343</v>
      </c>
    </row>
    <row r="13" spans="2:91">
      <c r="B13" s="662" t="s">
        <v>344</v>
      </c>
      <c r="C13" s="660"/>
      <c r="D13" s="715"/>
      <c r="E13" s="715"/>
      <c r="F13" s="715"/>
      <c r="G13" s="716"/>
      <c r="H13" s="1302"/>
      <c r="I13" s="715"/>
      <c r="J13" s="715"/>
      <c r="K13" s="716"/>
      <c r="L13" s="661"/>
      <c r="M13" s="1562"/>
      <c r="N13" s="1448"/>
      <c r="O13" s="1448"/>
      <c r="P13" s="1447"/>
      <c r="Q13" s="1562"/>
      <c r="R13" s="1448"/>
      <c r="S13" s="1448"/>
      <c r="T13" s="1447"/>
      <c r="U13" s="1307" t="s">
        <v>345</v>
      </c>
    </row>
    <row r="14" spans="2:91" ht="30">
      <c r="B14" s="658" t="s">
        <v>346</v>
      </c>
      <c r="C14" s="660"/>
      <c r="D14" s="715">
        <v>459000</v>
      </c>
      <c r="E14" s="715">
        <v>470000</v>
      </c>
      <c r="F14" s="715">
        <v>420000</v>
      </c>
      <c r="G14" s="716">
        <v>424000</v>
      </c>
      <c r="H14" s="1875">
        <f>INDEX('O&amp;M Costs'!$Q$14:$T$14, MATCH('O&amp;M Costs'!H$6,'O&amp;M Costs'!$Q$6:$T$6, 0))</f>
        <v>5684000</v>
      </c>
      <c r="I14" s="1560">
        <f>INDEX('O&amp;M Costs'!$Q$14:$T$14, MATCH('O&amp;M Costs'!I$6,'O&amp;M Costs'!$Q$6:$T$6, 0))</f>
        <v>5819000</v>
      </c>
      <c r="J14" s="1560">
        <f>INDEX('O&amp;M Costs'!$Q$14:$T$14, MATCH('O&amp;M Costs'!J$6,'O&amp;M Costs'!$Q$6:$T$6, 0))</f>
        <v>5196000</v>
      </c>
      <c r="K14" s="1802">
        <f>INDEX('O&amp;M Costs'!$Q$14:$T$14, MATCH('O&amp;M Costs'!K$6,'O&amp;M Costs'!$Q$6:$T$6, 0))</f>
        <v>5248000</v>
      </c>
      <c r="L14" s="663"/>
      <c r="M14" s="1562">
        <v>5684000</v>
      </c>
      <c r="N14" s="1448">
        <v>5819000</v>
      </c>
      <c r="O14" s="1448">
        <v>5196000</v>
      </c>
      <c r="P14" s="1447">
        <v>5248000</v>
      </c>
      <c r="Q14" s="1562">
        <v>5684000</v>
      </c>
      <c r="R14" s="1448">
        <v>5819000</v>
      </c>
      <c r="S14" s="1448">
        <v>5196000</v>
      </c>
      <c r="T14" s="1447">
        <v>5248000</v>
      </c>
      <c r="U14" s="1307" t="s">
        <v>347</v>
      </c>
    </row>
    <row r="15" spans="2:91" s="508" customFormat="1">
      <c r="B15" s="658" t="s">
        <v>348</v>
      </c>
      <c r="C15" s="660"/>
      <c r="D15" s="715">
        <v>216000</v>
      </c>
      <c r="E15" s="715">
        <v>228000</v>
      </c>
      <c r="F15" s="715">
        <v>178000</v>
      </c>
      <c r="G15" s="716">
        <v>182000</v>
      </c>
      <c r="H15" s="1875">
        <f>INDEX('O&amp;M Costs'!$Q$15:$T$15, MATCH('O&amp;M Costs'!H$6,'O&amp;M Costs'!$Q$6:$T$6, 0))</f>
        <v>1194000</v>
      </c>
      <c r="I15" s="1560">
        <f>INDEX('O&amp;M Costs'!$Q$15:$T$15, MATCH('O&amp;M Costs'!I$6,'O&amp;M Costs'!$Q$6:$T$6, 0))</f>
        <v>1248000</v>
      </c>
      <c r="J15" s="1560">
        <f>INDEX('O&amp;M Costs'!$Q$15:$T$15, MATCH('O&amp;M Costs'!J$6,'O&amp;M Costs'!$Q$6:$T$6, 0))</f>
        <v>1012000</v>
      </c>
      <c r="K15" s="1802">
        <f>INDEX('O&amp;M Costs'!$Q$15:$T$15, MATCH('O&amp;M Costs'!K$6,'O&amp;M Costs'!$Q$6:$T$6, 0))</f>
        <v>1029000</v>
      </c>
      <c r="L15" s="663"/>
      <c r="M15" s="1562">
        <v>1195000</v>
      </c>
      <c r="N15" s="1448">
        <v>1250000</v>
      </c>
      <c r="O15" s="1448">
        <v>1013000</v>
      </c>
      <c r="P15" s="1447">
        <v>1030000</v>
      </c>
      <c r="Q15" s="1562">
        <v>1194000</v>
      </c>
      <c r="R15" s="1448">
        <v>1248000</v>
      </c>
      <c r="S15" s="1448">
        <v>1012000</v>
      </c>
      <c r="T15" s="1447">
        <v>1029000</v>
      </c>
      <c r="U15" s="1307" t="s">
        <v>349</v>
      </c>
    </row>
    <row r="16" spans="2:91" s="508" customFormat="1">
      <c r="B16" s="664" t="s">
        <v>350</v>
      </c>
      <c r="C16" s="660"/>
      <c r="D16" s="715">
        <v>472000</v>
      </c>
      <c r="E16" s="715">
        <v>510000</v>
      </c>
      <c r="F16" s="715">
        <v>353000</v>
      </c>
      <c r="G16" s="716">
        <v>361000</v>
      </c>
      <c r="H16" s="1875">
        <f>INDEX('O&amp;M Costs'!$Q$16:$T$16, MATCH('O&amp;M Costs'!H$6,'O&amp;M Costs'!$Q$6:$T$6, 0))</f>
        <v>1366000</v>
      </c>
      <c r="I16" s="1560">
        <f>INDEX('O&amp;M Costs'!$Q$16:$T$16, MATCH('O&amp;M Costs'!I$6,'O&amp;M Costs'!$Q$6:$T$6, 0))</f>
        <v>1470000</v>
      </c>
      <c r="J16" s="1560">
        <f>INDEX('O&amp;M Costs'!$Q$16:$T$16, MATCH('O&amp;M Costs'!J$6,'O&amp;M Costs'!$Q$6:$T$6, 0))</f>
        <v>1020000</v>
      </c>
      <c r="K16" s="1802">
        <f>INDEX('O&amp;M Costs'!$Q$16:$T$16, MATCH('O&amp;M Costs'!K$6,'O&amp;M Costs'!$Q$6:$T$6, 0))</f>
        <v>1042000</v>
      </c>
      <c r="L16" s="663"/>
      <c r="M16" s="1562">
        <v>1382000</v>
      </c>
      <c r="N16" s="1448">
        <v>1493000</v>
      </c>
      <c r="O16" s="1448">
        <v>1034000</v>
      </c>
      <c r="P16" s="1447">
        <v>1056000</v>
      </c>
      <c r="Q16" s="1562">
        <v>1366000</v>
      </c>
      <c r="R16" s="1448">
        <v>1470000</v>
      </c>
      <c r="S16" s="1448">
        <v>1020000</v>
      </c>
      <c r="T16" s="1447">
        <v>1042000</v>
      </c>
      <c r="U16" s="1308" t="s">
        <v>351</v>
      </c>
    </row>
    <row r="17" spans="1:21">
      <c r="B17" s="665" t="s">
        <v>352</v>
      </c>
      <c r="C17" s="665"/>
      <c r="D17" s="1238"/>
      <c r="E17" s="1239"/>
      <c r="F17" s="1239"/>
      <c r="G17" s="1872"/>
      <c r="H17" s="1238"/>
      <c r="I17" s="1239"/>
      <c r="J17" s="1239"/>
      <c r="K17" s="1872"/>
      <c r="L17" s="666"/>
      <c r="M17" s="1563"/>
      <c r="N17" s="1564"/>
      <c r="O17" s="1564"/>
      <c r="P17" s="1565"/>
      <c r="Q17" s="1563"/>
      <c r="R17" s="1564"/>
      <c r="S17" s="1564"/>
      <c r="T17" s="1565"/>
      <c r="U17" s="1307"/>
    </row>
    <row r="18" spans="1:21" ht="12" customHeight="1">
      <c r="B18" s="667" t="s">
        <v>353</v>
      </c>
      <c r="C18" s="667"/>
      <c r="D18" s="1240"/>
      <c r="E18" s="1241"/>
      <c r="F18" s="1241"/>
      <c r="G18" s="1242"/>
      <c r="H18" s="1240"/>
      <c r="I18" s="1241"/>
      <c r="J18" s="1241"/>
      <c r="K18" s="1242"/>
      <c r="L18" s="666"/>
      <c r="M18" s="1566"/>
      <c r="N18" s="1567"/>
      <c r="O18" s="1567"/>
      <c r="P18" s="1568"/>
      <c r="Q18" s="1566"/>
      <c r="R18" s="1567"/>
      <c r="S18" s="1567"/>
      <c r="T18" s="1568"/>
      <c r="U18" s="1307"/>
    </row>
    <row r="19" spans="1:21">
      <c r="A19" s="256"/>
      <c r="B19" s="621" t="s">
        <v>354</v>
      </c>
      <c r="C19" s="667"/>
      <c r="D19" s="1240"/>
      <c r="E19" s="1241"/>
      <c r="F19" s="1241"/>
      <c r="G19" s="1242"/>
      <c r="H19" s="1240"/>
      <c r="I19" s="1241"/>
      <c r="J19" s="1241"/>
      <c r="K19" s="1242"/>
      <c r="L19" s="666"/>
      <c r="M19" s="1566"/>
      <c r="N19" s="1567"/>
      <c r="O19" s="1567"/>
      <c r="P19" s="1568"/>
      <c r="Q19" s="1566"/>
      <c r="R19" s="1567"/>
      <c r="S19" s="1567"/>
      <c r="T19" s="1568"/>
      <c r="U19" s="1307"/>
    </row>
    <row r="20" spans="1:21" ht="6" customHeight="1">
      <c r="B20" s="522"/>
      <c r="C20" s="522"/>
      <c r="D20" s="1243"/>
      <c r="E20" s="1244"/>
      <c r="F20" s="1244"/>
      <c r="G20" s="1245"/>
      <c r="H20" s="1246"/>
      <c r="I20" s="1247"/>
      <c r="J20" s="1247"/>
      <c r="K20" s="1248"/>
      <c r="L20" s="668"/>
      <c r="M20" s="1569"/>
      <c r="N20" s="1570"/>
      <c r="O20" s="1570"/>
      <c r="P20" s="1571"/>
      <c r="Q20" s="1569"/>
      <c r="R20" s="1570"/>
      <c r="S20" s="1570"/>
      <c r="T20" s="1571"/>
      <c r="U20" s="1309"/>
    </row>
    <row r="21" spans="1:21" ht="6" customHeight="1">
      <c r="B21" s="518"/>
      <c r="C21" s="518"/>
      <c r="D21" s="1249"/>
      <c r="E21" s="1250"/>
      <c r="F21" s="1250"/>
      <c r="G21" s="1251"/>
      <c r="H21" s="1252"/>
      <c r="I21" s="1253"/>
      <c r="J21" s="1253"/>
      <c r="K21" s="1254"/>
      <c r="L21" s="663"/>
      <c r="M21" s="1572"/>
      <c r="N21" s="1573"/>
      <c r="O21" s="1573"/>
      <c r="P21" s="1574"/>
      <c r="Q21" s="1572"/>
      <c r="R21" s="1573"/>
      <c r="S21" s="1573"/>
      <c r="T21" s="1574"/>
      <c r="U21" s="1307"/>
    </row>
    <row r="22" spans="1:21">
      <c r="B22" s="588" t="s">
        <v>355</v>
      </c>
      <c r="C22" s="670"/>
      <c r="D22" s="1255"/>
      <c r="E22" s="1873"/>
      <c r="F22" s="1255"/>
      <c r="G22" s="1874"/>
      <c r="H22" s="1876"/>
      <c r="I22" s="1873"/>
      <c r="J22" s="1255"/>
      <c r="K22" s="1874"/>
      <c r="L22" s="663"/>
      <c r="M22" s="1427"/>
      <c r="N22" s="1575"/>
      <c r="O22" s="1425"/>
      <c r="P22" s="1575"/>
      <c r="Q22" s="1427"/>
      <c r="R22" s="1575"/>
      <c r="S22" s="1425"/>
      <c r="T22" s="1575"/>
      <c r="U22" s="1307"/>
    </row>
    <row r="23" spans="1:21" ht="45">
      <c r="B23" s="671" t="s">
        <v>356</v>
      </c>
      <c r="C23" s="660"/>
      <c r="D23" s="1256"/>
      <c r="E23" s="1256"/>
      <c r="F23" s="1256"/>
      <c r="G23" s="1257"/>
      <c r="H23" s="1877">
        <f>INDEX('O&amp;M Costs'!$Q$23:$T$23, MATCH('O&amp;M Costs'!H$6,'O&amp;M Costs'!$Q$6:$T$6, 0))</f>
        <v>1.1462925404815989</v>
      </c>
      <c r="I23" s="1582">
        <f>INDEX('O&amp;M Costs'!$Q$23:$T$23, MATCH('O&amp;M Costs'!I$6,'O&amp;M Costs'!$Q$6:$T$6, 0))</f>
        <v>1.1425626979065817</v>
      </c>
      <c r="J23" s="1582">
        <f>INDEX('O&amp;M Costs'!$Q$23:$T$23, MATCH('O&amp;M Costs'!J$6,'O&amp;M Costs'!$Q$6:$T$6, 0))</f>
        <v>1.1720795027826021</v>
      </c>
      <c r="K23" s="1878">
        <f>INDEX('O&amp;M Costs'!$Q$23:$T$23, MATCH('O&amp;M Costs'!K$6,'O&amp;M Costs'!$Q$6:$T$6, 0))</f>
        <v>1.1828940505331755</v>
      </c>
      <c r="L23" s="672"/>
      <c r="M23" s="1583">
        <v>1.1329603517863207</v>
      </c>
      <c r="N23" s="1584">
        <v>1.1252815796109354</v>
      </c>
      <c r="O23" s="1584">
        <v>1.1564838979032535</v>
      </c>
      <c r="P23" s="1585">
        <v>1.166680849825052</v>
      </c>
      <c r="Q23" s="1583">
        <v>1.1462925404815989</v>
      </c>
      <c r="R23" s="1584">
        <v>1.1425626979065817</v>
      </c>
      <c r="S23" s="1584">
        <v>1.1720795027826021</v>
      </c>
      <c r="T23" s="1585">
        <v>1.1828940505331755</v>
      </c>
      <c r="U23" s="1310" t="s">
        <v>357</v>
      </c>
    </row>
    <row r="24" spans="1:21" ht="30">
      <c r="B24" s="671" t="s">
        <v>358</v>
      </c>
      <c r="C24" s="660"/>
      <c r="D24" s="1256"/>
      <c r="E24" s="1256"/>
      <c r="F24" s="1256"/>
      <c r="G24" s="1257"/>
      <c r="H24" s="1879"/>
      <c r="I24" s="1256"/>
      <c r="J24" s="1256"/>
      <c r="K24" s="1257"/>
      <c r="L24" s="672"/>
      <c r="M24" s="1576"/>
      <c r="N24" s="1577"/>
      <c r="O24" s="1577"/>
      <c r="P24" s="1578"/>
      <c r="Q24" s="1576"/>
      <c r="R24" s="1577"/>
      <c r="S24" s="1577"/>
      <c r="T24" s="1578"/>
      <c r="U24" s="1307" t="s">
        <v>359</v>
      </c>
    </row>
    <row r="25" spans="1:21" ht="30">
      <c r="B25" s="671" t="s">
        <v>360</v>
      </c>
      <c r="C25" s="660"/>
      <c r="D25" s="1303">
        <v>1.030434957457826</v>
      </c>
      <c r="E25" s="1303">
        <v>1.0257252778284522</v>
      </c>
      <c r="F25" s="1303">
        <v>0.99280909458801392</v>
      </c>
      <c r="G25" s="1304">
        <v>1.0535571979676517</v>
      </c>
      <c r="H25" s="1877">
        <f>INDEX('O&amp;M Costs'!$Q$25:$T$25, MATCH('O&amp;M Costs'!H$6,'O&amp;M Costs'!$Q$6:$T$6, 0))</f>
        <v>0.65562588927465115</v>
      </c>
      <c r="I25" s="1582">
        <f>INDEX('O&amp;M Costs'!$Q$25:$T$25, MATCH('O&amp;M Costs'!I$6,'O&amp;M Costs'!$Q$6:$T$6, 0))</f>
        <v>0.65437310613627098</v>
      </c>
      <c r="J25" s="1582">
        <f>INDEX('O&amp;M Costs'!$Q$25:$T$25, MATCH('O&amp;M Costs'!J$6,'O&amp;M Costs'!$Q$6:$T$6, 0))</f>
        <v>0.66428723916033339</v>
      </c>
      <c r="K25" s="1878">
        <f>INDEX('O&amp;M Costs'!$Q$25:$T$25, MATCH('O&amp;M Costs'!K$6,'O&amp;M Costs'!$Q$6:$T$6, 0))</f>
        <v>0.66791963993828363</v>
      </c>
      <c r="L25" s="673"/>
      <c r="M25" s="1576">
        <v>0.65114786081655507</v>
      </c>
      <c r="N25" s="1577">
        <v>0.64856870737742089</v>
      </c>
      <c r="O25" s="1577">
        <v>0.65904897228104153</v>
      </c>
      <c r="P25" s="1578">
        <v>0.66247393437356172</v>
      </c>
      <c r="Q25" s="1576">
        <v>0.65562588927465115</v>
      </c>
      <c r="R25" s="1577">
        <v>0.65437310613627098</v>
      </c>
      <c r="S25" s="1577">
        <v>0.66428723916033339</v>
      </c>
      <c r="T25" s="1578">
        <v>0.66791963993828363</v>
      </c>
      <c r="U25" s="1307" t="s">
        <v>361</v>
      </c>
    </row>
    <row r="26" spans="1:21">
      <c r="B26" s="674" t="s">
        <v>362</v>
      </c>
      <c r="C26" s="675"/>
      <c r="D26" s="1256"/>
      <c r="E26" s="1256"/>
      <c r="F26" s="1256"/>
      <c r="G26" s="1257"/>
      <c r="H26" s="1877">
        <f>INDEX('O&amp;M Costs'!$Q$26:$T$26, MATCH('O&amp;M Costs'!H$6,'O&amp;M Costs'!$Q$6:$T$6, 0))</f>
        <v>1.8019184297562501</v>
      </c>
      <c r="I26" s="1582">
        <f>INDEX('O&amp;M Costs'!$Q$26:$T$26, MATCH('O&amp;M Costs'!I$6,'O&amp;M Costs'!$Q$6:$T$6, 0))</f>
        <v>1.7969358040428527</v>
      </c>
      <c r="J26" s="1582">
        <f>INDEX('O&amp;M Costs'!$Q$26:$T$26, MATCH('O&amp;M Costs'!J$6,'O&amp;M Costs'!$Q$6:$T$6, 0))</f>
        <v>1.8363667419429355</v>
      </c>
      <c r="K26" s="1878">
        <f>INDEX('O&amp;M Costs'!$Q$26:$T$26, MATCH('O&amp;M Costs'!K$6,'O&amp;M Costs'!$Q$6:$T$6, 0))</f>
        <v>1.8508136904714592</v>
      </c>
      <c r="L26" s="676"/>
      <c r="M26" s="1576">
        <v>1.7841082126028758</v>
      </c>
      <c r="N26" s="1577">
        <v>1.7738502869883563</v>
      </c>
      <c r="O26" s="1577">
        <v>1.815532870184295</v>
      </c>
      <c r="P26" s="1578">
        <v>1.8291547841986138</v>
      </c>
      <c r="Q26" s="1576">
        <v>1.8019184297562501</v>
      </c>
      <c r="R26" s="1577">
        <v>1.7969358040428527</v>
      </c>
      <c r="S26" s="1577">
        <v>1.8363667419429355</v>
      </c>
      <c r="T26" s="1578">
        <v>1.8508136904714592</v>
      </c>
      <c r="U26" s="1307"/>
    </row>
    <row r="27" spans="1:21" ht="43.9" customHeight="1">
      <c r="B27" s="677" t="s">
        <v>363</v>
      </c>
      <c r="C27" s="678"/>
      <c r="D27" s="1305">
        <v>18340</v>
      </c>
      <c r="E27" s="1305">
        <v>18340</v>
      </c>
      <c r="F27" s="1305">
        <v>18340</v>
      </c>
      <c r="G27" s="1306">
        <v>18340</v>
      </c>
      <c r="H27" s="1879"/>
      <c r="I27" s="1256"/>
      <c r="J27" s="1256"/>
      <c r="K27" s="1257"/>
      <c r="L27" s="663"/>
      <c r="M27" s="1579"/>
      <c r="N27" s="1580"/>
      <c r="O27" s="1580"/>
      <c r="P27" s="1581"/>
      <c r="Q27" s="1579"/>
      <c r="R27" s="1580"/>
      <c r="S27" s="1580"/>
      <c r="T27" s="1581"/>
      <c r="U27" s="1310" t="s">
        <v>364</v>
      </c>
    </row>
    <row r="28" spans="1:21" ht="6" customHeight="1" thickBot="1">
      <c r="B28" s="527"/>
      <c r="C28" s="527"/>
      <c r="D28" s="679"/>
      <c r="E28" s="528"/>
      <c r="F28" s="528"/>
      <c r="G28" s="680"/>
      <c r="H28" s="681"/>
      <c r="I28" s="529"/>
      <c r="J28" s="529"/>
      <c r="K28" s="682"/>
      <c r="L28" s="528"/>
      <c r="M28" s="681"/>
      <c r="N28" s="529"/>
      <c r="O28" s="529"/>
      <c r="P28" s="682"/>
      <c r="Q28" s="681"/>
      <c r="R28" s="529"/>
      <c r="S28" s="529"/>
      <c r="T28" s="682"/>
      <c r="U28" s="683"/>
    </row>
    <row r="29" spans="1:21" ht="6" customHeight="1" thickTop="1">
      <c r="B29" s="508"/>
      <c r="C29" s="508"/>
      <c r="D29" s="510"/>
      <c r="E29" s="510"/>
      <c r="F29" s="510"/>
      <c r="G29" s="510"/>
      <c r="H29" s="530"/>
      <c r="I29" s="530"/>
      <c r="J29" s="530"/>
      <c r="K29" s="530"/>
      <c r="L29" s="510"/>
      <c r="M29" s="530"/>
      <c r="N29" s="530"/>
      <c r="O29" s="530"/>
      <c r="P29" s="530"/>
      <c r="Q29" s="530"/>
      <c r="R29" s="530"/>
      <c r="S29" s="530"/>
      <c r="T29" s="530"/>
      <c r="U29" s="684"/>
    </row>
    <row r="30" spans="1:21">
      <c r="B30" s="627" t="s">
        <v>317</v>
      </c>
      <c r="C30" s="531"/>
      <c r="D30" s="510"/>
      <c r="E30" s="510"/>
      <c r="F30" s="510"/>
      <c r="G30" s="510"/>
      <c r="H30" s="530"/>
      <c r="I30" s="530"/>
      <c r="J30" s="530"/>
      <c r="K30" s="530"/>
      <c r="L30" s="510"/>
      <c r="M30" s="684"/>
    </row>
    <row r="31" spans="1:21" ht="30">
      <c r="B31" s="629" t="s">
        <v>318</v>
      </c>
      <c r="C31" s="518"/>
      <c r="D31" s="505"/>
      <c r="E31" s="505"/>
      <c r="F31" s="505"/>
      <c r="G31" s="505"/>
      <c r="H31" s="505"/>
      <c r="I31" s="505"/>
      <c r="J31" s="505"/>
      <c r="K31" s="505"/>
      <c r="M31" s="685"/>
    </row>
    <row r="32" spans="1:21">
      <c r="B32" s="630" t="s">
        <v>319</v>
      </c>
      <c r="C32" s="518"/>
      <c r="D32" s="686"/>
      <c r="E32" s="686"/>
      <c r="F32" s="686"/>
      <c r="G32" s="686"/>
      <c r="H32" s="686"/>
      <c r="I32" s="686"/>
      <c r="J32" s="686"/>
      <c r="K32" s="686"/>
      <c r="M32" s="685"/>
    </row>
    <row r="33" spans="2:91">
      <c r="B33" s="687"/>
      <c r="C33" s="518"/>
      <c r="D33" s="686"/>
      <c r="E33" s="686"/>
      <c r="F33" s="686"/>
      <c r="G33" s="686"/>
      <c r="H33" s="686"/>
      <c r="I33" s="686"/>
      <c r="J33" s="686"/>
      <c r="K33" s="686"/>
      <c r="M33" s="685"/>
    </row>
    <row r="34" spans="2:91">
      <c r="B34" s="687" t="s">
        <v>538</v>
      </c>
      <c r="C34" s="518"/>
      <c r="D34" s="686"/>
      <c r="E34" s="686"/>
      <c r="F34" s="686"/>
      <c r="G34" s="686"/>
      <c r="H34" s="686"/>
      <c r="I34" s="686"/>
      <c r="J34" s="686"/>
      <c r="K34" s="686"/>
      <c r="M34" s="685"/>
    </row>
    <row r="35" spans="2:91">
      <c r="B35" s="688" t="s">
        <v>539</v>
      </c>
      <c r="C35" s="532"/>
      <c r="H35" s="495"/>
      <c r="I35" s="495"/>
      <c r="J35" s="495"/>
      <c r="K35" s="495"/>
      <c r="M35" s="685"/>
    </row>
    <row r="36" spans="2:91">
      <c r="B36" s="532"/>
      <c r="C36" s="532"/>
      <c r="H36" s="495"/>
      <c r="I36" s="495"/>
      <c r="J36" s="495"/>
      <c r="K36" s="495"/>
      <c r="M36" s="685"/>
    </row>
    <row r="37" spans="2:91">
      <c r="H37" s="495"/>
      <c r="I37" s="495"/>
      <c r="J37" s="495"/>
      <c r="K37" s="495"/>
      <c r="M37" s="685"/>
    </row>
    <row r="38" spans="2:91">
      <c r="B38" s="514"/>
      <c r="D38" s="1416"/>
      <c r="E38" s="1416"/>
      <c r="F38" s="1416"/>
      <c r="G38" s="1416"/>
      <c r="H38" s="495"/>
      <c r="I38" s="495"/>
      <c r="J38" s="495"/>
      <c r="K38" s="495"/>
    </row>
    <row r="39" spans="2:91">
      <c r="B39" s="514"/>
      <c r="D39" s="1416"/>
      <c r="E39" s="1416"/>
      <c r="F39" s="1416"/>
      <c r="G39" s="1416"/>
      <c r="H39" s="495"/>
      <c r="I39" s="495"/>
      <c r="J39" s="495"/>
      <c r="K39" s="495"/>
    </row>
    <row r="40" spans="2:91">
      <c r="B40" s="514"/>
      <c r="D40" s="1416"/>
      <c r="E40" s="1416"/>
      <c r="F40" s="1416"/>
      <c r="G40" s="1416"/>
      <c r="H40" s="495"/>
      <c r="I40" s="495"/>
      <c r="J40" s="495"/>
      <c r="K40" s="495"/>
    </row>
    <row r="41" spans="2:91">
      <c r="B41" s="514"/>
      <c r="D41" s="1416"/>
      <c r="E41" s="1416"/>
      <c r="F41" s="1416"/>
      <c r="G41" s="1416"/>
      <c r="H41" s="495"/>
      <c r="I41" s="495"/>
      <c r="J41" s="495"/>
      <c r="K41" s="495"/>
    </row>
    <row r="42" spans="2:91">
      <c r="B42" s="514"/>
      <c r="D42" s="1416"/>
      <c r="E42" s="1416"/>
      <c r="F42" s="1416"/>
      <c r="G42" s="1416"/>
      <c r="H42" s="495"/>
      <c r="I42" s="495"/>
      <c r="J42" s="495"/>
      <c r="K42" s="495"/>
    </row>
    <row r="43" spans="2:91">
      <c r="B43" s="689"/>
      <c r="H43" s="495"/>
      <c r="I43" s="495"/>
      <c r="J43" s="495"/>
      <c r="K43" s="495"/>
    </row>
    <row r="44" spans="2:91">
      <c r="H44" s="495"/>
      <c r="I44" s="495"/>
      <c r="J44" s="495"/>
      <c r="K44" s="495"/>
    </row>
    <row r="45" spans="2:91">
      <c r="H45" s="495"/>
      <c r="I45" s="495"/>
      <c r="J45" s="495"/>
      <c r="K45" s="495"/>
    </row>
    <row r="46" spans="2:91">
      <c r="H46" s="495"/>
      <c r="I46" s="495"/>
      <c r="J46" s="495"/>
      <c r="K46" s="495"/>
    </row>
    <row r="47" spans="2:91">
      <c r="H47" s="495"/>
      <c r="I47" s="495"/>
      <c r="J47" s="495"/>
      <c r="K47" s="495"/>
    </row>
    <row r="48" spans="2:91" s="493" customFormat="1">
      <c r="B48" s="494"/>
      <c r="C48" s="494"/>
      <c r="H48" s="495"/>
      <c r="I48" s="495"/>
      <c r="J48" s="495"/>
      <c r="K48" s="495"/>
      <c r="M48" s="494"/>
      <c r="N48" s="494"/>
      <c r="O48" s="494"/>
      <c r="P48" s="494"/>
      <c r="Q48" s="494"/>
      <c r="R48" s="494"/>
      <c r="S48" s="494"/>
      <c r="T48" s="494"/>
      <c r="U48" s="494"/>
      <c r="V48" s="494"/>
      <c r="W48" s="494"/>
      <c r="X48" s="494"/>
      <c r="Y48" s="494"/>
      <c r="Z48" s="494"/>
      <c r="AA48" s="494"/>
      <c r="AB48" s="494"/>
      <c r="AC48" s="494"/>
      <c r="AD48" s="494"/>
      <c r="AE48" s="494"/>
      <c r="AF48" s="494"/>
      <c r="AG48" s="494"/>
      <c r="AH48" s="494"/>
      <c r="AI48" s="494"/>
      <c r="AJ48" s="494"/>
      <c r="AK48" s="494"/>
      <c r="AL48" s="494"/>
      <c r="AM48" s="494"/>
      <c r="AN48" s="494"/>
      <c r="AO48" s="494"/>
      <c r="AP48" s="494"/>
      <c r="AQ48" s="494"/>
      <c r="AR48" s="494"/>
      <c r="AS48" s="494"/>
      <c r="AT48" s="494"/>
      <c r="AU48" s="494"/>
      <c r="AV48" s="494"/>
      <c r="AW48" s="494"/>
      <c r="AX48" s="494"/>
      <c r="AY48" s="494"/>
      <c r="AZ48" s="494"/>
      <c r="BA48" s="494"/>
      <c r="BB48" s="494"/>
      <c r="BC48" s="494"/>
      <c r="BD48" s="494"/>
      <c r="BE48" s="494"/>
      <c r="BF48" s="494"/>
      <c r="BG48" s="494"/>
      <c r="BH48" s="494"/>
      <c r="BI48" s="494"/>
      <c r="BJ48" s="494"/>
      <c r="BK48" s="494"/>
      <c r="BL48" s="494"/>
      <c r="BM48" s="494"/>
      <c r="BN48" s="494"/>
      <c r="BO48" s="494"/>
      <c r="BP48" s="494"/>
      <c r="BQ48" s="494"/>
      <c r="BR48" s="494"/>
      <c r="BS48" s="494"/>
      <c r="BT48" s="494"/>
      <c r="BU48" s="494"/>
      <c r="BV48" s="494"/>
      <c r="BW48" s="494"/>
      <c r="BX48" s="494"/>
      <c r="BY48" s="494"/>
      <c r="BZ48" s="494"/>
      <c r="CA48" s="494"/>
      <c r="CB48" s="494"/>
      <c r="CC48" s="494"/>
      <c r="CD48" s="494"/>
      <c r="CE48" s="494"/>
      <c r="CF48" s="494"/>
      <c r="CG48" s="494"/>
      <c r="CH48" s="494"/>
      <c r="CI48" s="494"/>
      <c r="CJ48" s="494"/>
      <c r="CK48" s="494"/>
      <c r="CL48" s="494"/>
      <c r="CM48" s="494"/>
    </row>
    <row r="49" spans="2:91" s="493" customFormat="1">
      <c r="B49" s="494"/>
      <c r="C49" s="494"/>
      <c r="H49" s="495"/>
      <c r="I49" s="495"/>
      <c r="J49" s="495"/>
      <c r="K49" s="495"/>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c r="AK49" s="494"/>
      <c r="AL49" s="494"/>
      <c r="AM49" s="494"/>
      <c r="AN49" s="494"/>
      <c r="AO49" s="494"/>
      <c r="AP49" s="494"/>
      <c r="AQ49" s="494"/>
      <c r="AR49" s="494"/>
      <c r="AS49" s="494"/>
      <c r="AT49" s="494"/>
      <c r="AU49" s="494"/>
      <c r="AV49" s="494"/>
      <c r="AW49" s="494"/>
      <c r="AX49" s="494"/>
      <c r="AY49" s="494"/>
      <c r="AZ49" s="494"/>
      <c r="BA49" s="494"/>
      <c r="BB49" s="494"/>
      <c r="BC49" s="494"/>
      <c r="BD49" s="494"/>
      <c r="BE49" s="494"/>
      <c r="BF49" s="494"/>
      <c r="BG49" s="494"/>
      <c r="BH49" s="494"/>
      <c r="BI49" s="494"/>
      <c r="BJ49" s="494"/>
      <c r="BK49" s="494"/>
      <c r="BL49" s="494"/>
      <c r="BM49" s="494"/>
      <c r="BN49" s="494"/>
      <c r="BO49" s="494"/>
      <c r="BP49" s="494"/>
      <c r="BQ49" s="494"/>
      <c r="BR49" s="494"/>
      <c r="BS49" s="494"/>
      <c r="BT49" s="494"/>
      <c r="BU49" s="494"/>
      <c r="BV49" s="494"/>
      <c r="BW49" s="494"/>
      <c r="BX49" s="494"/>
      <c r="BY49" s="494"/>
      <c r="BZ49" s="494"/>
      <c r="CA49" s="494"/>
      <c r="CB49" s="494"/>
      <c r="CC49" s="494"/>
      <c r="CD49" s="494"/>
      <c r="CE49" s="494"/>
      <c r="CF49" s="494"/>
      <c r="CG49" s="494"/>
      <c r="CH49" s="494"/>
      <c r="CI49" s="494"/>
      <c r="CJ49" s="494"/>
      <c r="CK49" s="494"/>
      <c r="CL49" s="494"/>
      <c r="CM49" s="494"/>
    </row>
    <row r="50" spans="2:91" s="493" customFormat="1">
      <c r="B50" s="494"/>
      <c r="C50" s="494"/>
      <c r="H50" s="495"/>
      <c r="I50" s="495"/>
      <c r="J50" s="495"/>
      <c r="K50" s="495"/>
      <c r="M50" s="494"/>
      <c r="N50" s="494"/>
      <c r="O50" s="494"/>
      <c r="P50" s="494"/>
      <c r="Q50" s="494"/>
      <c r="R50" s="494"/>
      <c r="S50" s="494"/>
      <c r="T50" s="494"/>
      <c r="U50" s="494"/>
      <c r="V50" s="494"/>
      <c r="W50" s="494"/>
      <c r="X50" s="494"/>
      <c r="Y50" s="494"/>
      <c r="Z50" s="494"/>
      <c r="AA50" s="494"/>
      <c r="AB50" s="494"/>
      <c r="AC50" s="494"/>
      <c r="AD50" s="494"/>
      <c r="AE50" s="494"/>
      <c r="AF50" s="494"/>
      <c r="AG50" s="494"/>
      <c r="AH50" s="494"/>
      <c r="AI50" s="494"/>
      <c r="AJ50" s="494"/>
      <c r="AK50" s="494"/>
      <c r="AL50" s="494"/>
      <c r="AM50" s="494"/>
      <c r="AN50" s="494"/>
      <c r="AO50" s="494"/>
      <c r="AP50" s="494"/>
      <c r="AQ50" s="494"/>
      <c r="AR50" s="494"/>
      <c r="AS50" s="494"/>
      <c r="AT50" s="494"/>
      <c r="AU50" s="494"/>
      <c r="AV50" s="494"/>
      <c r="AW50" s="494"/>
      <c r="AX50" s="494"/>
      <c r="AY50" s="494"/>
      <c r="AZ50" s="494"/>
      <c r="BA50" s="494"/>
      <c r="BB50" s="494"/>
      <c r="BC50" s="494"/>
      <c r="BD50" s="494"/>
      <c r="BE50" s="494"/>
      <c r="BF50" s="494"/>
      <c r="BG50" s="494"/>
      <c r="BH50" s="494"/>
      <c r="BI50" s="494"/>
      <c r="BJ50" s="494"/>
      <c r="BK50" s="494"/>
      <c r="BL50" s="494"/>
      <c r="BM50" s="494"/>
      <c r="BN50" s="494"/>
      <c r="BO50" s="494"/>
      <c r="BP50" s="494"/>
      <c r="BQ50" s="494"/>
      <c r="BR50" s="494"/>
      <c r="BS50" s="494"/>
      <c r="BT50" s="494"/>
      <c r="BU50" s="494"/>
      <c r="BV50" s="494"/>
      <c r="BW50" s="494"/>
      <c r="BX50" s="494"/>
      <c r="BY50" s="494"/>
      <c r="BZ50" s="494"/>
      <c r="CA50" s="494"/>
      <c r="CB50" s="494"/>
      <c r="CC50" s="494"/>
      <c r="CD50" s="494"/>
      <c r="CE50" s="494"/>
      <c r="CF50" s="494"/>
      <c r="CG50" s="494"/>
      <c r="CH50" s="494"/>
      <c r="CI50" s="494"/>
      <c r="CJ50" s="494"/>
      <c r="CK50" s="494"/>
      <c r="CL50" s="494"/>
      <c r="CM50" s="494"/>
    </row>
    <row r="51" spans="2:91" s="493" customFormat="1">
      <c r="B51" s="494"/>
      <c r="C51" s="494"/>
      <c r="H51" s="495"/>
      <c r="I51" s="495"/>
      <c r="J51" s="495"/>
      <c r="K51" s="495"/>
      <c r="M51" s="494"/>
      <c r="N51" s="494"/>
      <c r="O51" s="494"/>
      <c r="P51" s="494"/>
      <c r="Q51" s="494"/>
      <c r="R51" s="494"/>
      <c r="S51" s="494"/>
      <c r="T51" s="494"/>
      <c r="U51" s="494"/>
      <c r="V51" s="494"/>
      <c r="W51" s="494"/>
      <c r="X51" s="494"/>
      <c r="Y51" s="494"/>
      <c r="Z51" s="494"/>
      <c r="AA51" s="494"/>
      <c r="AB51" s="494"/>
      <c r="AC51" s="494"/>
      <c r="AD51" s="494"/>
      <c r="AE51" s="494"/>
      <c r="AF51" s="494"/>
      <c r="AG51" s="494"/>
      <c r="AH51" s="494"/>
      <c r="AI51" s="494"/>
      <c r="AJ51" s="494"/>
      <c r="AK51" s="494"/>
      <c r="AL51" s="494"/>
      <c r="AM51" s="494"/>
      <c r="AN51" s="494"/>
      <c r="AO51" s="494"/>
      <c r="AP51" s="494"/>
      <c r="AQ51" s="494"/>
      <c r="AR51" s="494"/>
      <c r="AS51" s="494"/>
      <c r="AT51" s="494"/>
      <c r="AU51" s="494"/>
      <c r="AV51" s="494"/>
      <c r="AW51" s="494"/>
      <c r="AX51" s="494"/>
      <c r="AY51" s="494"/>
      <c r="AZ51" s="494"/>
      <c r="BA51" s="494"/>
      <c r="BB51" s="494"/>
      <c r="BC51" s="494"/>
      <c r="BD51" s="494"/>
      <c r="BE51" s="494"/>
      <c r="BF51" s="494"/>
      <c r="BG51" s="494"/>
      <c r="BH51" s="494"/>
      <c r="BI51" s="494"/>
      <c r="BJ51" s="494"/>
      <c r="BK51" s="494"/>
      <c r="BL51" s="494"/>
      <c r="BM51" s="494"/>
      <c r="BN51" s="494"/>
      <c r="BO51" s="494"/>
      <c r="BP51" s="494"/>
      <c r="BQ51" s="494"/>
      <c r="BR51" s="494"/>
      <c r="BS51" s="494"/>
      <c r="BT51" s="494"/>
      <c r="BU51" s="494"/>
      <c r="BV51" s="494"/>
      <c r="BW51" s="494"/>
      <c r="BX51" s="494"/>
      <c r="BY51" s="494"/>
      <c r="BZ51" s="494"/>
      <c r="CA51" s="494"/>
      <c r="CB51" s="494"/>
      <c r="CC51" s="494"/>
      <c r="CD51" s="494"/>
      <c r="CE51" s="494"/>
      <c r="CF51" s="494"/>
      <c r="CG51" s="494"/>
      <c r="CH51" s="494"/>
      <c r="CI51" s="494"/>
      <c r="CJ51" s="494"/>
      <c r="CK51" s="494"/>
      <c r="CL51" s="494"/>
      <c r="CM51" s="494"/>
    </row>
    <row r="52" spans="2:91" s="493" customFormat="1">
      <c r="B52" s="494"/>
      <c r="C52" s="494"/>
      <c r="H52" s="495"/>
      <c r="I52" s="495"/>
      <c r="J52" s="495"/>
      <c r="K52" s="495"/>
      <c r="M52" s="494"/>
      <c r="N52" s="494"/>
      <c r="O52" s="494"/>
      <c r="P52" s="494"/>
      <c r="Q52" s="494"/>
      <c r="R52" s="494"/>
      <c r="S52" s="494"/>
      <c r="T52" s="494"/>
      <c r="U52" s="494"/>
      <c r="V52" s="494"/>
      <c r="W52" s="494"/>
      <c r="X52" s="494"/>
      <c r="Y52" s="494"/>
      <c r="Z52" s="494"/>
      <c r="AA52" s="494"/>
      <c r="AB52" s="494"/>
      <c r="AC52" s="494"/>
      <c r="AD52" s="494"/>
      <c r="AE52" s="494"/>
      <c r="AF52" s="494"/>
      <c r="AG52" s="494"/>
      <c r="AH52" s="494"/>
      <c r="AI52" s="494"/>
      <c r="AJ52" s="494"/>
      <c r="AK52" s="494"/>
      <c r="AL52" s="494"/>
      <c r="AM52" s="494"/>
      <c r="AN52" s="494"/>
      <c r="AO52" s="494"/>
      <c r="AP52" s="494"/>
      <c r="AQ52" s="494"/>
      <c r="AR52" s="494"/>
      <c r="AS52" s="494"/>
      <c r="AT52" s="494"/>
      <c r="AU52" s="494"/>
      <c r="AV52" s="494"/>
      <c r="AW52" s="494"/>
      <c r="AX52" s="494"/>
      <c r="AY52" s="494"/>
      <c r="AZ52" s="494"/>
      <c r="BA52" s="494"/>
      <c r="BB52" s="494"/>
      <c r="BC52" s="494"/>
      <c r="BD52" s="494"/>
      <c r="BE52" s="494"/>
      <c r="BF52" s="494"/>
      <c r="BG52" s="494"/>
      <c r="BH52" s="494"/>
      <c r="BI52" s="494"/>
      <c r="BJ52" s="494"/>
      <c r="BK52" s="494"/>
      <c r="BL52" s="494"/>
      <c r="BM52" s="494"/>
      <c r="BN52" s="494"/>
      <c r="BO52" s="494"/>
      <c r="BP52" s="494"/>
      <c r="BQ52" s="494"/>
      <c r="BR52" s="494"/>
      <c r="BS52" s="494"/>
      <c r="BT52" s="494"/>
      <c r="BU52" s="494"/>
      <c r="BV52" s="494"/>
      <c r="BW52" s="494"/>
      <c r="BX52" s="494"/>
      <c r="BY52" s="494"/>
      <c r="BZ52" s="494"/>
      <c r="CA52" s="494"/>
      <c r="CB52" s="494"/>
      <c r="CC52" s="494"/>
      <c r="CD52" s="494"/>
      <c r="CE52" s="494"/>
      <c r="CF52" s="494"/>
      <c r="CG52" s="494"/>
      <c r="CH52" s="494"/>
      <c r="CI52" s="494"/>
      <c r="CJ52" s="494"/>
      <c r="CK52" s="494"/>
      <c r="CL52" s="494"/>
      <c r="CM52" s="494"/>
    </row>
    <row r="53" spans="2:91" s="493" customFormat="1">
      <c r="B53" s="494"/>
      <c r="C53" s="494"/>
      <c r="H53" s="495"/>
      <c r="I53" s="495"/>
      <c r="J53" s="495"/>
      <c r="K53" s="495"/>
      <c r="M53" s="494"/>
      <c r="N53" s="494"/>
      <c r="O53" s="494"/>
      <c r="P53" s="494"/>
      <c r="Q53" s="494"/>
      <c r="R53" s="494"/>
      <c r="S53" s="494"/>
      <c r="T53" s="494"/>
      <c r="U53" s="494"/>
      <c r="V53" s="494"/>
      <c r="W53" s="494"/>
      <c r="X53" s="494"/>
      <c r="Y53" s="494"/>
      <c r="Z53" s="494"/>
      <c r="AA53" s="494"/>
      <c r="AB53" s="494"/>
      <c r="AC53" s="494"/>
      <c r="AD53" s="494"/>
      <c r="AE53" s="494"/>
      <c r="AF53" s="494"/>
      <c r="AG53" s="494"/>
      <c r="AH53" s="494"/>
      <c r="AI53" s="494"/>
      <c r="AJ53" s="494"/>
      <c r="AK53" s="494"/>
      <c r="AL53" s="494"/>
      <c r="AM53" s="494"/>
      <c r="AN53" s="494"/>
      <c r="AO53" s="494"/>
      <c r="AP53" s="494"/>
      <c r="AQ53" s="494"/>
      <c r="AR53" s="494"/>
      <c r="AS53" s="494"/>
      <c r="AT53" s="494"/>
      <c r="AU53" s="494"/>
      <c r="AV53" s="494"/>
      <c r="AW53" s="494"/>
      <c r="AX53" s="494"/>
      <c r="AY53" s="494"/>
      <c r="AZ53" s="494"/>
      <c r="BA53" s="494"/>
      <c r="BB53" s="494"/>
      <c r="BC53" s="494"/>
      <c r="BD53" s="494"/>
      <c r="BE53" s="494"/>
      <c r="BF53" s="494"/>
      <c r="BG53" s="494"/>
      <c r="BH53" s="494"/>
      <c r="BI53" s="494"/>
      <c r="BJ53" s="494"/>
      <c r="BK53" s="494"/>
      <c r="BL53" s="494"/>
      <c r="BM53" s="494"/>
      <c r="BN53" s="494"/>
      <c r="BO53" s="494"/>
      <c r="BP53" s="494"/>
      <c r="BQ53" s="494"/>
      <c r="BR53" s="494"/>
      <c r="BS53" s="494"/>
      <c r="BT53" s="494"/>
      <c r="BU53" s="494"/>
      <c r="BV53" s="494"/>
      <c r="BW53" s="494"/>
      <c r="BX53" s="494"/>
      <c r="BY53" s="494"/>
      <c r="BZ53" s="494"/>
      <c r="CA53" s="494"/>
      <c r="CB53" s="494"/>
      <c r="CC53" s="494"/>
      <c r="CD53" s="494"/>
      <c r="CE53" s="494"/>
      <c r="CF53" s="494"/>
      <c r="CG53" s="494"/>
      <c r="CH53" s="494"/>
      <c r="CI53" s="494"/>
      <c r="CJ53" s="494"/>
      <c r="CK53" s="494"/>
      <c r="CL53" s="494"/>
      <c r="CM53" s="494"/>
    </row>
    <row r="54" spans="2:91" s="493" customFormat="1">
      <c r="B54" s="494"/>
      <c r="C54" s="494"/>
      <c r="H54" s="495"/>
      <c r="I54" s="495"/>
      <c r="J54" s="495"/>
      <c r="K54" s="495"/>
      <c r="M54" s="494"/>
      <c r="N54" s="494"/>
      <c r="O54" s="494"/>
      <c r="P54" s="494"/>
      <c r="Q54" s="494"/>
      <c r="R54" s="494"/>
      <c r="S54" s="494"/>
      <c r="T54" s="494"/>
      <c r="U54" s="494"/>
      <c r="V54" s="494"/>
      <c r="W54" s="494"/>
      <c r="X54" s="494"/>
      <c r="Y54" s="494"/>
      <c r="Z54" s="494"/>
      <c r="AA54" s="494"/>
      <c r="AB54" s="494"/>
      <c r="AC54" s="494"/>
      <c r="AD54" s="494"/>
      <c r="AE54" s="494"/>
      <c r="AF54" s="494"/>
      <c r="AG54" s="494"/>
      <c r="AH54" s="494"/>
      <c r="AI54" s="494"/>
      <c r="AJ54" s="494"/>
      <c r="AK54" s="494"/>
      <c r="AL54" s="494"/>
      <c r="AM54" s="494"/>
      <c r="AN54" s="494"/>
      <c r="AO54" s="494"/>
      <c r="AP54" s="494"/>
      <c r="AQ54" s="494"/>
      <c r="AR54" s="494"/>
      <c r="AS54" s="494"/>
      <c r="AT54" s="494"/>
      <c r="AU54" s="494"/>
      <c r="AV54" s="494"/>
      <c r="AW54" s="494"/>
      <c r="AX54" s="494"/>
      <c r="AY54" s="494"/>
      <c r="AZ54" s="494"/>
      <c r="BA54" s="494"/>
      <c r="BB54" s="494"/>
      <c r="BC54" s="494"/>
      <c r="BD54" s="494"/>
      <c r="BE54" s="494"/>
      <c r="BF54" s="494"/>
      <c r="BG54" s="494"/>
      <c r="BH54" s="494"/>
      <c r="BI54" s="494"/>
      <c r="BJ54" s="494"/>
      <c r="BK54" s="494"/>
      <c r="BL54" s="494"/>
      <c r="BM54" s="494"/>
      <c r="BN54" s="494"/>
      <c r="BO54" s="494"/>
      <c r="BP54" s="494"/>
      <c r="BQ54" s="494"/>
      <c r="BR54" s="494"/>
      <c r="BS54" s="494"/>
      <c r="BT54" s="494"/>
      <c r="BU54" s="494"/>
      <c r="BV54" s="494"/>
      <c r="BW54" s="494"/>
      <c r="BX54" s="494"/>
      <c r="BY54" s="494"/>
      <c r="BZ54" s="494"/>
      <c r="CA54" s="494"/>
      <c r="CB54" s="494"/>
      <c r="CC54" s="494"/>
      <c r="CD54" s="494"/>
      <c r="CE54" s="494"/>
      <c r="CF54" s="494"/>
      <c r="CG54" s="494"/>
      <c r="CH54" s="494"/>
      <c r="CI54" s="494"/>
      <c r="CJ54" s="494"/>
      <c r="CK54" s="494"/>
      <c r="CL54" s="494"/>
      <c r="CM54" s="494"/>
    </row>
    <row r="55" spans="2:91" s="493" customFormat="1">
      <c r="B55" s="494"/>
      <c r="C55" s="494"/>
      <c r="H55" s="495"/>
      <c r="I55" s="495"/>
      <c r="J55" s="495"/>
      <c r="K55" s="495"/>
      <c r="M55" s="494"/>
      <c r="N55" s="494"/>
      <c r="O55" s="494"/>
      <c r="P55" s="494"/>
      <c r="Q55" s="494"/>
      <c r="R55" s="494"/>
      <c r="S55" s="494"/>
      <c r="T55" s="494"/>
      <c r="U55" s="494"/>
      <c r="V55" s="494"/>
      <c r="W55" s="494"/>
      <c r="X55" s="494"/>
      <c r="Y55" s="494"/>
      <c r="Z55" s="494"/>
      <c r="AA55" s="494"/>
      <c r="AB55" s="494"/>
      <c r="AC55" s="494"/>
      <c r="AD55" s="494"/>
      <c r="AE55" s="494"/>
      <c r="AF55" s="494"/>
      <c r="AG55" s="494"/>
      <c r="AH55" s="494"/>
      <c r="AI55" s="494"/>
      <c r="AJ55" s="494"/>
      <c r="AK55" s="494"/>
      <c r="AL55" s="494"/>
      <c r="AM55" s="494"/>
      <c r="AN55" s="494"/>
      <c r="AO55" s="494"/>
      <c r="AP55" s="494"/>
      <c r="AQ55" s="494"/>
      <c r="AR55" s="494"/>
      <c r="AS55" s="494"/>
      <c r="AT55" s="494"/>
      <c r="AU55" s="494"/>
      <c r="AV55" s="494"/>
      <c r="AW55" s="494"/>
      <c r="AX55" s="494"/>
      <c r="AY55" s="494"/>
      <c r="AZ55" s="494"/>
      <c r="BA55" s="494"/>
      <c r="BB55" s="494"/>
      <c r="BC55" s="494"/>
      <c r="BD55" s="494"/>
      <c r="BE55" s="494"/>
      <c r="BF55" s="494"/>
      <c r="BG55" s="494"/>
      <c r="BH55" s="494"/>
      <c r="BI55" s="494"/>
      <c r="BJ55" s="494"/>
      <c r="BK55" s="494"/>
      <c r="BL55" s="494"/>
      <c r="BM55" s="494"/>
      <c r="BN55" s="494"/>
      <c r="BO55" s="494"/>
      <c r="BP55" s="494"/>
      <c r="BQ55" s="494"/>
      <c r="BR55" s="494"/>
      <c r="BS55" s="494"/>
      <c r="BT55" s="494"/>
      <c r="BU55" s="494"/>
      <c r="BV55" s="494"/>
      <c r="BW55" s="494"/>
      <c r="BX55" s="494"/>
      <c r="BY55" s="494"/>
      <c r="BZ55" s="494"/>
      <c r="CA55" s="494"/>
      <c r="CB55" s="494"/>
      <c r="CC55" s="494"/>
      <c r="CD55" s="494"/>
      <c r="CE55" s="494"/>
      <c r="CF55" s="494"/>
      <c r="CG55" s="494"/>
      <c r="CH55" s="494"/>
      <c r="CI55" s="494"/>
      <c r="CJ55" s="494"/>
      <c r="CK55" s="494"/>
      <c r="CL55" s="494"/>
      <c r="CM55" s="494"/>
    </row>
    <row r="56" spans="2:91" s="493" customFormat="1">
      <c r="B56" s="494"/>
      <c r="C56" s="494"/>
      <c r="H56" s="495"/>
      <c r="I56" s="495"/>
      <c r="J56" s="495"/>
      <c r="K56" s="495"/>
      <c r="M56" s="494"/>
      <c r="N56" s="494"/>
      <c r="O56" s="494"/>
      <c r="P56" s="494"/>
      <c r="Q56" s="494"/>
      <c r="R56" s="494"/>
      <c r="S56" s="494"/>
      <c r="T56" s="494"/>
      <c r="U56" s="494"/>
      <c r="V56" s="494"/>
      <c r="W56" s="494"/>
      <c r="X56" s="494"/>
      <c r="Y56" s="494"/>
      <c r="Z56" s="494"/>
      <c r="AA56" s="494"/>
      <c r="AB56" s="494"/>
      <c r="AC56" s="494"/>
      <c r="AD56" s="494"/>
      <c r="AE56" s="494"/>
      <c r="AF56" s="494"/>
      <c r="AG56" s="494"/>
      <c r="AH56" s="494"/>
      <c r="AI56" s="494"/>
      <c r="AJ56" s="494"/>
      <c r="AK56" s="494"/>
      <c r="AL56" s="494"/>
      <c r="AM56" s="494"/>
      <c r="AN56" s="494"/>
      <c r="AO56" s="494"/>
      <c r="AP56" s="494"/>
      <c r="AQ56" s="494"/>
      <c r="AR56" s="494"/>
      <c r="AS56" s="494"/>
      <c r="AT56" s="494"/>
      <c r="AU56" s="494"/>
      <c r="AV56" s="494"/>
      <c r="AW56" s="494"/>
      <c r="AX56" s="494"/>
      <c r="AY56" s="494"/>
      <c r="AZ56" s="494"/>
      <c r="BA56" s="494"/>
      <c r="BB56" s="494"/>
      <c r="BC56" s="494"/>
      <c r="BD56" s="494"/>
      <c r="BE56" s="494"/>
      <c r="BF56" s="494"/>
      <c r="BG56" s="494"/>
      <c r="BH56" s="494"/>
      <c r="BI56" s="494"/>
      <c r="BJ56" s="494"/>
      <c r="BK56" s="494"/>
      <c r="BL56" s="494"/>
      <c r="BM56" s="494"/>
      <c r="BN56" s="494"/>
      <c r="BO56" s="494"/>
      <c r="BP56" s="494"/>
      <c r="BQ56" s="494"/>
      <c r="BR56" s="494"/>
      <c r="BS56" s="494"/>
      <c r="BT56" s="494"/>
      <c r="BU56" s="494"/>
      <c r="BV56" s="494"/>
      <c r="BW56" s="494"/>
      <c r="BX56" s="494"/>
      <c r="BY56" s="494"/>
      <c r="BZ56" s="494"/>
      <c r="CA56" s="494"/>
      <c r="CB56" s="494"/>
      <c r="CC56" s="494"/>
      <c r="CD56" s="494"/>
      <c r="CE56" s="494"/>
      <c r="CF56" s="494"/>
      <c r="CG56" s="494"/>
      <c r="CH56" s="494"/>
      <c r="CI56" s="494"/>
      <c r="CJ56" s="494"/>
      <c r="CK56" s="494"/>
      <c r="CL56" s="494"/>
      <c r="CM56" s="494"/>
    </row>
    <row r="57" spans="2:91" s="493" customFormat="1">
      <c r="B57" s="494"/>
      <c r="C57" s="494"/>
      <c r="H57" s="495"/>
      <c r="I57" s="495"/>
      <c r="J57" s="495"/>
      <c r="K57" s="495"/>
      <c r="M57" s="494"/>
      <c r="N57" s="494"/>
      <c r="O57" s="494"/>
      <c r="P57" s="494"/>
      <c r="Q57" s="494"/>
      <c r="R57" s="494"/>
      <c r="S57" s="494"/>
      <c r="T57" s="494"/>
      <c r="U57" s="494"/>
      <c r="V57" s="494"/>
      <c r="W57" s="494"/>
      <c r="X57" s="494"/>
      <c r="Y57" s="494"/>
      <c r="Z57" s="494"/>
      <c r="AA57" s="494"/>
      <c r="AB57" s="494"/>
      <c r="AC57" s="494"/>
      <c r="AD57" s="494"/>
      <c r="AE57" s="494"/>
      <c r="AF57" s="494"/>
      <c r="AG57" s="494"/>
      <c r="AH57" s="494"/>
      <c r="AI57" s="494"/>
      <c r="AJ57" s="494"/>
      <c r="AK57" s="494"/>
      <c r="AL57" s="494"/>
      <c r="AM57" s="494"/>
      <c r="AN57" s="494"/>
      <c r="AO57" s="494"/>
      <c r="AP57" s="494"/>
      <c r="AQ57" s="494"/>
      <c r="AR57" s="494"/>
      <c r="AS57" s="494"/>
      <c r="AT57" s="494"/>
      <c r="AU57" s="494"/>
      <c r="AV57" s="494"/>
      <c r="AW57" s="494"/>
      <c r="AX57" s="494"/>
      <c r="AY57" s="494"/>
      <c r="AZ57" s="494"/>
      <c r="BA57" s="494"/>
      <c r="BB57" s="494"/>
      <c r="BC57" s="494"/>
      <c r="BD57" s="494"/>
      <c r="BE57" s="494"/>
      <c r="BF57" s="494"/>
      <c r="BG57" s="494"/>
      <c r="BH57" s="494"/>
      <c r="BI57" s="494"/>
      <c r="BJ57" s="494"/>
      <c r="BK57" s="494"/>
      <c r="BL57" s="494"/>
      <c r="BM57" s="494"/>
      <c r="BN57" s="494"/>
      <c r="BO57" s="494"/>
      <c r="BP57" s="494"/>
      <c r="BQ57" s="494"/>
      <c r="BR57" s="494"/>
      <c r="BS57" s="494"/>
      <c r="BT57" s="494"/>
      <c r="BU57" s="494"/>
      <c r="BV57" s="494"/>
      <c r="BW57" s="494"/>
      <c r="BX57" s="494"/>
      <c r="BY57" s="494"/>
      <c r="BZ57" s="494"/>
      <c r="CA57" s="494"/>
      <c r="CB57" s="494"/>
      <c r="CC57" s="494"/>
      <c r="CD57" s="494"/>
      <c r="CE57" s="494"/>
      <c r="CF57" s="494"/>
      <c r="CG57" s="494"/>
      <c r="CH57" s="494"/>
      <c r="CI57" s="494"/>
      <c r="CJ57" s="494"/>
      <c r="CK57" s="494"/>
      <c r="CL57" s="494"/>
      <c r="CM57" s="494"/>
    </row>
    <row r="58" spans="2:91" s="493" customFormat="1">
      <c r="B58" s="494"/>
      <c r="C58" s="494"/>
      <c r="H58" s="495"/>
      <c r="I58" s="495"/>
      <c r="J58" s="495"/>
      <c r="K58" s="495"/>
      <c r="M58" s="494"/>
      <c r="N58" s="494"/>
      <c r="O58" s="494"/>
      <c r="P58" s="494"/>
      <c r="Q58" s="494"/>
      <c r="R58" s="494"/>
      <c r="S58" s="494"/>
      <c r="T58" s="494"/>
      <c r="U58" s="494"/>
      <c r="V58" s="494"/>
      <c r="W58" s="494"/>
      <c r="X58" s="494"/>
      <c r="Y58" s="494"/>
      <c r="Z58" s="494"/>
      <c r="AA58" s="494"/>
      <c r="AB58" s="494"/>
      <c r="AC58" s="494"/>
      <c r="AD58" s="494"/>
      <c r="AE58" s="494"/>
      <c r="AF58" s="494"/>
      <c r="AG58" s="494"/>
      <c r="AH58" s="494"/>
      <c r="AI58" s="494"/>
      <c r="AJ58" s="494"/>
      <c r="AK58" s="494"/>
      <c r="AL58" s="494"/>
      <c r="AM58" s="494"/>
      <c r="AN58" s="494"/>
      <c r="AO58" s="494"/>
      <c r="AP58" s="494"/>
      <c r="AQ58" s="494"/>
      <c r="AR58" s="494"/>
      <c r="AS58" s="494"/>
      <c r="AT58" s="494"/>
      <c r="AU58" s="494"/>
      <c r="AV58" s="494"/>
      <c r="AW58" s="494"/>
      <c r="AX58" s="494"/>
      <c r="AY58" s="494"/>
      <c r="AZ58" s="494"/>
      <c r="BA58" s="494"/>
      <c r="BB58" s="494"/>
      <c r="BC58" s="494"/>
      <c r="BD58" s="494"/>
      <c r="BE58" s="494"/>
      <c r="BF58" s="494"/>
      <c r="BG58" s="494"/>
      <c r="BH58" s="494"/>
      <c r="BI58" s="494"/>
      <c r="BJ58" s="494"/>
      <c r="BK58" s="494"/>
      <c r="BL58" s="494"/>
      <c r="BM58" s="494"/>
      <c r="BN58" s="494"/>
      <c r="BO58" s="494"/>
      <c r="BP58" s="494"/>
      <c r="BQ58" s="494"/>
      <c r="BR58" s="494"/>
      <c r="BS58" s="494"/>
      <c r="BT58" s="494"/>
      <c r="BU58" s="494"/>
      <c r="BV58" s="494"/>
      <c r="BW58" s="494"/>
      <c r="BX58" s="494"/>
      <c r="BY58" s="494"/>
      <c r="BZ58" s="494"/>
      <c r="CA58" s="494"/>
      <c r="CB58" s="494"/>
      <c r="CC58" s="494"/>
      <c r="CD58" s="494"/>
      <c r="CE58" s="494"/>
      <c r="CF58" s="494"/>
      <c r="CG58" s="494"/>
      <c r="CH58" s="494"/>
      <c r="CI58" s="494"/>
      <c r="CJ58" s="494"/>
      <c r="CK58" s="494"/>
      <c r="CL58" s="494"/>
      <c r="CM58" s="494"/>
    </row>
    <row r="59" spans="2:91" s="493" customFormat="1">
      <c r="B59" s="494"/>
      <c r="C59" s="494"/>
      <c r="H59" s="495"/>
      <c r="I59" s="495"/>
      <c r="J59" s="495"/>
      <c r="K59" s="495"/>
      <c r="M59" s="494"/>
      <c r="N59" s="494"/>
      <c r="O59" s="494"/>
      <c r="P59" s="494"/>
      <c r="Q59" s="494"/>
      <c r="R59" s="494"/>
      <c r="S59" s="494"/>
      <c r="T59" s="494"/>
      <c r="U59" s="494"/>
      <c r="V59" s="494"/>
      <c r="W59" s="494"/>
      <c r="X59" s="494"/>
      <c r="Y59" s="494"/>
      <c r="Z59" s="494"/>
      <c r="AA59" s="494"/>
      <c r="AB59" s="494"/>
      <c r="AC59" s="494"/>
      <c r="AD59" s="494"/>
      <c r="AE59" s="494"/>
      <c r="AF59" s="494"/>
      <c r="AG59" s="494"/>
      <c r="AH59" s="494"/>
      <c r="AI59" s="494"/>
      <c r="AJ59" s="494"/>
      <c r="AK59" s="494"/>
      <c r="AL59" s="494"/>
      <c r="AM59" s="494"/>
      <c r="AN59" s="494"/>
      <c r="AO59" s="494"/>
      <c r="AP59" s="494"/>
      <c r="AQ59" s="494"/>
      <c r="AR59" s="494"/>
      <c r="AS59" s="494"/>
      <c r="AT59" s="494"/>
      <c r="AU59" s="494"/>
      <c r="AV59" s="494"/>
      <c r="AW59" s="494"/>
      <c r="AX59" s="494"/>
      <c r="AY59" s="494"/>
      <c r="AZ59" s="494"/>
      <c r="BA59" s="494"/>
      <c r="BB59" s="494"/>
      <c r="BC59" s="494"/>
      <c r="BD59" s="494"/>
      <c r="BE59" s="494"/>
      <c r="BF59" s="494"/>
      <c r="BG59" s="494"/>
      <c r="BH59" s="494"/>
      <c r="BI59" s="494"/>
      <c r="BJ59" s="494"/>
      <c r="BK59" s="494"/>
      <c r="BL59" s="494"/>
      <c r="BM59" s="494"/>
      <c r="BN59" s="494"/>
      <c r="BO59" s="494"/>
      <c r="BP59" s="494"/>
      <c r="BQ59" s="494"/>
      <c r="BR59" s="494"/>
      <c r="BS59" s="494"/>
      <c r="BT59" s="494"/>
      <c r="BU59" s="494"/>
      <c r="BV59" s="494"/>
      <c r="BW59" s="494"/>
      <c r="BX59" s="494"/>
      <c r="BY59" s="494"/>
      <c r="BZ59" s="494"/>
      <c r="CA59" s="494"/>
      <c r="CB59" s="494"/>
      <c r="CC59" s="494"/>
      <c r="CD59" s="494"/>
      <c r="CE59" s="494"/>
      <c r="CF59" s="494"/>
      <c r="CG59" s="494"/>
      <c r="CH59" s="494"/>
      <c r="CI59" s="494"/>
      <c r="CJ59" s="494"/>
      <c r="CK59" s="494"/>
      <c r="CL59" s="494"/>
      <c r="CM59" s="494"/>
    </row>
    <row r="60" spans="2:91" s="493" customFormat="1">
      <c r="B60" s="494"/>
      <c r="C60" s="494"/>
      <c r="H60" s="495"/>
      <c r="I60" s="495"/>
      <c r="J60" s="495"/>
      <c r="K60" s="495"/>
      <c r="M60" s="494"/>
      <c r="N60" s="494"/>
      <c r="O60" s="494"/>
      <c r="P60" s="494"/>
      <c r="Q60" s="494"/>
      <c r="R60" s="494"/>
      <c r="S60" s="494"/>
      <c r="T60" s="494"/>
      <c r="U60" s="494"/>
      <c r="V60" s="494"/>
      <c r="W60" s="494"/>
      <c r="X60" s="494"/>
      <c r="Y60" s="494"/>
      <c r="Z60" s="494"/>
      <c r="AA60" s="494"/>
      <c r="AB60" s="494"/>
      <c r="AC60" s="494"/>
      <c r="AD60" s="494"/>
      <c r="AE60" s="494"/>
      <c r="AF60" s="494"/>
      <c r="AG60" s="494"/>
      <c r="AH60" s="494"/>
      <c r="AI60" s="494"/>
      <c r="AJ60" s="494"/>
      <c r="AK60" s="494"/>
      <c r="AL60" s="494"/>
      <c r="AM60" s="494"/>
      <c r="AN60" s="494"/>
      <c r="AO60" s="494"/>
      <c r="AP60" s="494"/>
      <c r="AQ60" s="494"/>
      <c r="AR60" s="494"/>
      <c r="AS60" s="494"/>
      <c r="AT60" s="494"/>
      <c r="AU60" s="494"/>
      <c r="AV60" s="494"/>
      <c r="AW60" s="494"/>
      <c r="AX60" s="494"/>
      <c r="AY60" s="494"/>
      <c r="AZ60" s="494"/>
      <c r="BA60" s="494"/>
      <c r="BB60" s="494"/>
      <c r="BC60" s="494"/>
      <c r="BD60" s="494"/>
      <c r="BE60" s="494"/>
      <c r="BF60" s="494"/>
      <c r="BG60" s="494"/>
      <c r="BH60" s="494"/>
      <c r="BI60" s="494"/>
      <c r="BJ60" s="494"/>
      <c r="BK60" s="494"/>
      <c r="BL60" s="494"/>
      <c r="BM60" s="494"/>
      <c r="BN60" s="494"/>
      <c r="BO60" s="494"/>
      <c r="BP60" s="494"/>
      <c r="BQ60" s="494"/>
      <c r="BR60" s="494"/>
      <c r="BS60" s="494"/>
      <c r="BT60" s="494"/>
      <c r="BU60" s="494"/>
      <c r="BV60" s="494"/>
      <c r="BW60" s="494"/>
      <c r="BX60" s="494"/>
      <c r="BY60" s="494"/>
      <c r="BZ60" s="494"/>
      <c r="CA60" s="494"/>
      <c r="CB60" s="494"/>
      <c r="CC60" s="494"/>
      <c r="CD60" s="494"/>
      <c r="CE60" s="494"/>
      <c r="CF60" s="494"/>
      <c r="CG60" s="494"/>
      <c r="CH60" s="494"/>
      <c r="CI60" s="494"/>
      <c r="CJ60" s="494"/>
      <c r="CK60" s="494"/>
      <c r="CL60" s="494"/>
      <c r="CM60" s="494"/>
    </row>
    <row r="61" spans="2:91" s="493" customFormat="1">
      <c r="B61" s="494"/>
      <c r="C61" s="494"/>
      <c r="H61" s="495"/>
      <c r="I61" s="495"/>
      <c r="J61" s="495"/>
      <c r="K61" s="495"/>
      <c r="M61" s="494"/>
      <c r="N61" s="494"/>
      <c r="O61" s="494"/>
      <c r="P61" s="494"/>
      <c r="Q61" s="494"/>
      <c r="R61" s="494"/>
      <c r="S61" s="494"/>
      <c r="T61" s="494"/>
      <c r="U61" s="494"/>
      <c r="V61" s="494"/>
      <c r="W61" s="494"/>
      <c r="X61" s="494"/>
      <c r="Y61" s="494"/>
      <c r="Z61" s="494"/>
      <c r="AA61" s="494"/>
      <c r="AB61" s="494"/>
      <c r="AC61" s="494"/>
      <c r="AD61" s="494"/>
      <c r="AE61" s="494"/>
      <c r="AF61" s="494"/>
      <c r="AG61" s="494"/>
      <c r="AH61" s="494"/>
      <c r="AI61" s="494"/>
      <c r="AJ61" s="494"/>
      <c r="AK61" s="494"/>
      <c r="AL61" s="494"/>
      <c r="AM61" s="494"/>
      <c r="AN61" s="494"/>
      <c r="AO61" s="494"/>
      <c r="AP61" s="494"/>
      <c r="AQ61" s="494"/>
      <c r="AR61" s="494"/>
      <c r="AS61" s="494"/>
      <c r="AT61" s="494"/>
      <c r="AU61" s="494"/>
      <c r="AV61" s="494"/>
      <c r="AW61" s="494"/>
      <c r="AX61" s="494"/>
      <c r="AY61" s="494"/>
      <c r="AZ61" s="494"/>
      <c r="BA61" s="494"/>
      <c r="BB61" s="494"/>
      <c r="BC61" s="494"/>
      <c r="BD61" s="494"/>
      <c r="BE61" s="494"/>
      <c r="BF61" s="494"/>
      <c r="BG61" s="494"/>
      <c r="BH61" s="494"/>
      <c r="BI61" s="494"/>
      <c r="BJ61" s="494"/>
      <c r="BK61" s="494"/>
      <c r="BL61" s="494"/>
      <c r="BM61" s="494"/>
      <c r="BN61" s="494"/>
      <c r="BO61" s="494"/>
      <c r="BP61" s="494"/>
      <c r="BQ61" s="494"/>
      <c r="BR61" s="494"/>
      <c r="BS61" s="494"/>
      <c r="BT61" s="494"/>
      <c r="BU61" s="494"/>
      <c r="BV61" s="494"/>
      <c r="BW61" s="494"/>
      <c r="BX61" s="494"/>
      <c r="BY61" s="494"/>
      <c r="BZ61" s="494"/>
      <c r="CA61" s="494"/>
      <c r="CB61" s="494"/>
      <c r="CC61" s="494"/>
      <c r="CD61" s="494"/>
      <c r="CE61" s="494"/>
      <c r="CF61" s="494"/>
      <c r="CG61" s="494"/>
      <c r="CH61" s="494"/>
      <c r="CI61" s="494"/>
      <c r="CJ61" s="494"/>
      <c r="CK61" s="494"/>
      <c r="CL61" s="494"/>
      <c r="CM61" s="494"/>
    </row>
    <row r="62" spans="2:91" s="493" customFormat="1">
      <c r="B62" s="494"/>
      <c r="C62" s="494"/>
      <c r="H62" s="495"/>
      <c r="I62" s="495"/>
      <c r="J62" s="495"/>
      <c r="K62" s="495"/>
      <c r="M62" s="494"/>
      <c r="N62" s="494"/>
      <c r="O62" s="494"/>
      <c r="P62" s="494"/>
      <c r="Q62" s="494"/>
      <c r="R62" s="494"/>
      <c r="S62" s="494"/>
      <c r="T62" s="494"/>
      <c r="U62" s="494"/>
      <c r="V62" s="494"/>
      <c r="W62" s="494"/>
      <c r="X62" s="494"/>
      <c r="Y62" s="494"/>
      <c r="Z62" s="494"/>
      <c r="AA62" s="494"/>
      <c r="AB62" s="494"/>
      <c r="AC62" s="494"/>
      <c r="AD62" s="494"/>
      <c r="AE62" s="494"/>
      <c r="AF62" s="494"/>
      <c r="AG62" s="494"/>
      <c r="AH62" s="494"/>
      <c r="AI62" s="494"/>
      <c r="AJ62" s="494"/>
      <c r="AK62" s="494"/>
      <c r="AL62" s="494"/>
      <c r="AM62" s="494"/>
      <c r="AN62" s="494"/>
      <c r="AO62" s="494"/>
      <c r="AP62" s="494"/>
      <c r="AQ62" s="494"/>
      <c r="AR62" s="494"/>
      <c r="AS62" s="494"/>
      <c r="AT62" s="494"/>
      <c r="AU62" s="494"/>
      <c r="AV62" s="494"/>
      <c r="AW62" s="494"/>
      <c r="AX62" s="494"/>
      <c r="AY62" s="494"/>
      <c r="AZ62" s="494"/>
      <c r="BA62" s="494"/>
      <c r="BB62" s="494"/>
      <c r="BC62" s="494"/>
      <c r="BD62" s="494"/>
      <c r="BE62" s="494"/>
      <c r="BF62" s="494"/>
      <c r="BG62" s="494"/>
      <c r="BH62" s="494"/>
      <c r="BI62" s="494"/>
      <c r="BJ62" s="494"/>
      <c r="BK62" s="494"/>
      <c r="BL62" s="494"/>
      <c r="BM62" s="494"/>
      <c r="BN62" s="494"/>
      <c r="BO62" s="494"/>
      <c r="BP62" s="494"/>
      <c r="BQ62" s="494"/>
      <c r="BR62" s="494"/>
      <c r="BS62" s="494"/>
      <c r="BT62" s="494"/>
      <c r="BU62" s="494"/>
      <c r="BV62" s="494"/>
      <c r="BW62" s="494"/>
      <c r="BX62" s="494"/>
      <c r="BY62" s="494"/>
      <c r="BZ62" s="494"/>
      <c r="CA62" s="494"/>
      <c r="CB62" s="494"/>
      <c r="CC62" s="494"/>
      <c r="CD62" s="494"/>
      <c r="CE62" s="494"/>
      <c r="CF62" s="494"/>
      <c r="CG62" s="494"/>
      <c r="CH62" s="494"/>
      <c r="CI62" s="494"/>
      <c r="CJ62" s="494"/>
      <c r="CK62" s="494"/>
      <c r="CL62" s="494"/>
      <c r="CM62" s="494"/>
    </row>
    <row r="63" spans="2:91" s="493" customFormat="1">
      <c r="B63" s="494"/>
      <c r="C63" s="494"/>
      <c r="H63" s="495"/>
      <c r="I63" s="495"/>
      <c r="J63" s="495"/>
      <c r="K63" s="495"/>
      <c r="M63" s="494"/>
      <c r="N63" s="494"/>
      <c r="O63" s="494"/>
      <c r="P63" s="494"/>
      <c r="Q63" s="494"/>
      <c r="R63" s="494"/>
      <c r="S63" s="494"/>
      <c r="T63" s="494"/>
      <c r="U63" s="494"/>
      <c r="V63" s="494"/>
      <c r="W63" s="494"/>
      <c r="X63" s="494"/>
      <c r="Y63" s="494"/>
      <c r="Z63" s="494"/>
      <c r="AA63" s="494"/>
      <c r="AB63" s="494"/>
      <c r="AC63" s="494"/>
      <c r="AD63" s="494"/>
      <c r="AE63" s="494"/>
      <c r="AF63" s="494"/>
      <c r="AG63" s="494"/>
      <c r="AH63" s="494"/>
      <c r="AI63" s="494"/>
      <c r="AJ63" s="494"/>
      <c r="AK63" s="494"/>
      <c r="AL63" s="494"/>
      <c r="AM63" s="494"/>
      <c r="AN63" s="494"/>
      <c r="AO63" s="494"/>
      <c r="AP63" s="494"/>
      <c r="AQ63" s="494"/>
      <c r="AR63" s="494"/>
      <c r="AS63" s="494"/>
      <c r="AT63" s="494"/>
      <c r="AU63" s="494"/>
      <c r="AV63" s="494"/>
      <c r="AW63" s="494"/>
      <c r="AX63" s="494"/>
      <c r="AY63" s="494"/>
      <c r="AZ63" s="494"/>
      <c r="BA63" s="494"/>
      <c r="BB63" s="494"/>
      <c r="BC63" s="494"/>
      <c r="BD63" s="494"/>
      <c r="BE63" s="494"/>
      <c r="BF63" s="494"/>
      <c r="BG63" s="494"/>
      <c r="BH63" s="494"/>
      <c r="BI63" s="494"/>
      <c r="BJ63" s="494"/>
      <c r="BK63" s="494"/>
      <c r="BL63" s="494"/>
      <c r="BM63" s="494"/>
      <c r="BN63" s="494"/>
      <c r="BO63" s="494"/>
      <c r="BP63" s="494"/>
      <c r="BQ63" s="494"/>
      <c r="BR63" s="494"/>
      <c r="BS63" s="494"/>
      <c r="BT63" s="494"/>
      <c r="BU63" s="494"/>
      <c r="BV63" s="494"/>
      <c r="BW63" s="494"/>
      <c r="BX63" s="494"/>
      <c r="BY63" s="494"/>
      <c r="BZ63" s="494"/>
      <c r="CA63" s="494"/>
      <c r="CB63" s="494"/>
      <c r="CC63" s="494"/>
      <c r="CD63" s="494"/>
      <c r="CE63" s="494"/>
      <c r="CF63" s="494"/>
      <c r="CG63" s="494"/>
      <c r="CH63" s="494"/>
      <c r="CI63" s="494"/>
      <c r="CJ63" s="494"/>
      <c r="CK63" s="494"/>
      <c r="CL63" s="494"/>
      <c r="CM63" s="494"/>
    </row>
    <row r="64" spans="2:91" s="493" customFormat="1">
      <c r="B64" s="494"/>
      <c r="C64" s="494"/>
      <c r="H64" s="495"/>
      <c r="I64" s="495"/>
      <c r="J64" s="495"/>
      <c r="K64" s="495"/>
      <c r="M64" s="494"/>
      <c r="N64" s="494"/>
      <c r="O64" s="494"/>
      <c r="P64" s="494"/>
      <c r="Q64" s="494"/>
      <c r="R64" s="494"/>
      <c r="S64" s="494"/>
      <c r="T64" s="494"/>
      <c r="U64" s="494"/>
      <c r="V64" s="494"/>
      <c r="W64" s="494"/>
      <c r="X64" s="494"/>
      <c r="Y64" s="494"/>
      <c r="Z64" s="494"/>
      <c r="AA64" s="494"/>
      <c r="AB64" s="494"/>
      <c r="AC64" s="494"/>
      <c r="AD64" s="494"/>
      <c r="AE64" s="494"/>
      <c r="AF64" s="494"/>
      <c r="AG64" s="494"/>
      <c r="AH64" s="494"/>
      <c r="AI64" s="494"/>
      <c r="AJ64" s="494"/>
      <c r="AK64" s="494"/>
      <c r="AL64" s="494"/>
      <c r="AM64" s="494"/>
      <c r="AN64" s="494"/>
      <c r="AO64" s="494"/>
      <c r="AP64" s="494"/>
      <c r="AQ64" s="494"/>
      <c r="AR64" s="494"/>
      <c r="AS64" s="494"/>
      <c r="AT64" s="494"/>
      <c r="AU64" s="494"/>
      <c r="AV64" s="494"/>
      <c r="AW64" s="494"/>
      <c r="AX64" s="494"/>
      <c r="AY64" s="494"/>
      <c r="AZ64" s="494"/>
      <c r="BA64" s="494"/>
      <c r="BB64" s="494"/>
      <c r="BC64" s="494"/>
      <c r="BD64" s="494"/>
      <c r="BE64" s="494"/>
      <c r="BF64" s="494"/>
      <c r="BG64" s="494"/>
      <c r="BH64" s="494"/>
      <c r="BI64" s="494"/>
      <c r="BJ64" s="494"/>
      <c r="BK64" s="494"/>
      <c r="BL64" s="494"/>
      <c r="BM64" s="494"/>
      <c r="BN64" s="494"/>
      <c r="BO64" s="494"/>
      <c r="BP64" s="494"/>
      <c r="BQ64" s="494"/>
      <c r="BR64" s="494"/>
      <c r="BS64" s="494"/>
      <c r="BT64" s="494"/>
      <c r="BU64" s="494"/>
      <c r="BV64" s="494"/>
      <c r="BW64" s="494"/>
      <c r="BX64" s="494"/>
      <c r="BY64" s="494"/>
      <c r="BZ64" s="494"/>
      <c r="CA64" s="494"/>
      <c r="CB64" s="494"/>
      <c r="CC64" s="494"/>
      <c r="CD64" s="494"/>
      <c r="CE64" s="494"/>
      <c r="CF64" s="494"/>
      <c r="CG64" s="494"/>
      <c r="CH64" s="494"/>
      <c r="CI64" s="494"/>
      <c r="CJ64" s="494"/>
      <c r="CK64" s="494"/>
      <c r="CL64" s="494"/>
      <c r="CM64" s="494"/>
    </row>
    <row r="65" spans="2:91" s="493" customFormat="1">
      <c r="B65" s="494"/>
      <c r="C65" s="494"/>
      <c r="H65" s="495"/>
      <c r="I65" s="495"/>
      <c r="J65" s="495"/>
      <c r="K65" s="495"/>
      <c r="M65" s="494"/>
      <c r="N65" s="494"/>
      <c r="O65" s="494"/>
      <c r="P65" s="494"/>
      <c r="Q65" s="494"/>
      <c r="R65" s="494"/>
      <c r="S65" s="49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494"/>
      <c r="AY65" s="494"/>
      <c r="AZ65" s="494"/>
      <c r="BA65" s="494"/>
      <c r="BB65" s="494"/>
      <c r="BC65" s="494"/>
      <c r="BD65" s="494"/>
      <c r="BE65" s="494"/>
      <c r="BF65" s="494"/>
      <c r="BG65" s="494"/>
      <c r="BH65" s="494"/>
      <c r="BI65" s="494"/>
      <c r="BJ65" s="494"/>
      <c r="BK65" s="494"/>
      <c r="BL65" s="494"/>
      <c r="BM65" s="494"/>
      <c r="BN65" s="494"/>
      <c r="BO65" s="494"/>
      <c r="BP65" s="494"/>
      <c r="BQ65" s="494"/>
      <c r="BR65" s="494"/>
      <c r="BS65" s="494"/>
      <c r="BT65" s="494"/>
      <c r="BU65" s="494"/>
      <c r="BV65" s="494"/>
      <c r="BW65" s="494"/>
      <c r="BX65" s="494"/>
      <c r="BY65" s="494"/>
      <c r="BZ65" s="494"/>
      <c r="CA65" s="494"/>
      <c r="CB65" s="494"/>
      <c r="CC65" s="494"/>
      <c r="CD65" s="494"/>
      <c r="CE65" s="494"/>
      <c r="CF65" s="494"/>
      <c r="CG65" s="494"/>
      <c r="CH65" s="494"/>
      <c r="CI65" s="494"/>
      <c r="CJ65" s="494"/>
      <c r="CK65" s="494"/>
      <c r="CL65" s="494"/>
      <c r="CM65" s="494"/>
    </row>
    <row r="66" spans="2:91" s="493" customFormat="1">
      <c r="B66" s="494"/>
      <c r="C66" s="494"/>
      <c r="H66" s="495"/>
      <c r="I66" s="495"/>
      <c r="J66" s="495"/>
      <c r="K66" s="495"/>
      <c r="M66" s="494"/>
      <c r="N66" s="494"/>
      <c r="O66" s="494"/>
      <c r="P66" s="494"/>
      <c r="Q66" s="494"/>
      <c r="R66" s="494"/>
      <c r="S66" s="494"/>
      <c r="T66" s="494"/>
      <c r="U66" s="494"/>
      <c r="V66" s="494"/>
      <c r="W66" s="494"/>
      <c r="X66" s="494"/>
      <c r="Y66" s="494"/>
      <c r="Z66" s="494"/>
      <c r="AA66" s="494"/>
      <c r="AB66" s="494"/>
      <c r="AC66" s="494"/>
      <c r="AD66" s="494"/>
      <c r="AE66" s="494"/>
      <c r="AF66" s="494"/>
      <c r="AG66" s="494"/>
      <c r="AH66" s="494"/>
      <c r="AI66" s="494"/>
      <c r="AJ66" s="494"/>
      <c r="AK66" s="494"/>
      <c r="AL66" s="494"/>
      <c r="AM66" s="494"/>
      <c r="AN66" s="494"/>
      <c r="AO66" s="494"/>
      <c r="AP66" s="494"/>
      <c r="AQ66" s="494"/>
      <c r="AR66" s="494"/>
      <c r="AS66" s="494"/>
      <c r="AT66" s="494"/>
      <c r="AU66" s="494"/>
      <c r="AV66" s="494"/>
      <c r="AW66" s="494"/>
      <c r="AX66" s="494"/>
      <c r="AY66" s="494"/>
      <c r="AZ66" s="494"/>
      <c r="BA66" s="494"/>
      <c r="BB66" s="494"/>
      <c r="BC66" s="494"/>
      <c r="BD66" s="494"/>
      <c r="BE66" s="494"/>
      <c r="BF66" s="494"/>
      <c r="BG66" s="494"/>
      <c r="BH66" s="494"/>
      <c r="BI66" s="494"/>
      <c r="BJ66" s="494"/>
      <c r="BK66" s="494"/>
      <c r="BL66" s="494"/>
      <c r="BM66" s="494"/>
      <c r="BN66" s="494"/>
      <c r="BO66" s="494"/>
      <c r="BP66" s="494"/>
      <c r="BQ66" s="494"/>
      <c r="BR66" s="494"/>
      <c r="BS66" s="494"/>
      <c r="BT66" s="494"/>
      <c r="BU66" s="494"/>
      <c r="BV66" s="494"/>
      <c r="BW66" s="494"/>
      <c r="BX66" s="494"/>
      <c r="BY66" s="494"/>
      <c r="BZ66" s="494"/>
      <c r="CA66" s="494"/>
      <c r="CB66" s="494"/>
      <c r="CC66" s="494"/>
      <c r="CD66" s="494"/>
      <c r="CE66" s="494"/>
      <c r="CF66" s="494"/>
      <c r="CG66" s="494"/>
      <c r="CH66" s="494"/>
      <c r="CI66" s="494"/>
      <c r="CJ66" s="494"/>
      <c r="CK66" s="494"/>
      <c r="CL66" s="494"/>
      <c r="CM66" s="494"/>
    </row>
    <row r="67" spans="2:91" s="493" customFormat="1">
      <c r="B67" s="494"/>
      <c r="C67" s="494"/>
      <c r="H67" s="495"/>
      <c r="I67" s="495"/>
      <c r="J67" s="495"/>
      <c r="K67" s="495"/>
      <c r="M67" s="494"/>
      <c r="N67" s="494"/>
      <c r="O67" s="494"/>
      <c r="P67" s="494"/>
      <c r="Q67" s="494"/>
      <c r="R67" s="494"/>
      <c r="S67" s="494"/>
      <c r="T67" s="494"/>
      <c r="U67" s="494"/>
      <c r="V67" s="494"/>
      <c r="W67" s="494"/>
      <c r="X67" s="494"/>
      <c r="Y67" s="494"/>
      <c r="Z67" s="494"/>
      <c r="AA67" s="494"/>
      <c r="AB67" s="494"/>
      <c r="AC67" s="494"/>
      <c r="AD67" s="494"/>
      <c r="AE67" s="494"/>
      <c r="AF67" s="494"/>
      <c r="AG67" s="494"/>
      <c r="AH67" s="494"/>
      <c r="AI67" s="494"/>
      <c r="AJ67" s="494"/>
      <c r="AK67" s="494"/>
      <c r="AL67" s="494"/>
      <c r="AM67" s="494"/>
      <c r="AN67" s="494"/>
      <c r="AO67" s="494"/>
      <c r="AP67" s="494"/>
      <c r="AQ67" s="494"/>
      <c r="AR67" s="494"/>
      <c r="AS67" s="494"/>
      <c r="AT67" s="494"/>
      <c r="AU67" s="494"/>
      <c r="AV67" s="494"/>
      <c r="AW67" s="494"/>
      <c r="AX67" s="494"/>
      <c r="AY67" s="494"/>
      <c r="AZ67" s="494"/>
      <c r="BA67" s="494"/>
      <c r="BB67" s="494"/>
      <c r="BC67" s="494"/>
      <c r="BD67" s="494"/>
      <c r="BE67" s="494"/>
      <c r="BF67" s="494"/>
      <c r="BG67" s="494"/>
      <c r="BH67" s="494"/>
      <c r="BI67" s="494"/>
      <c r="BJ67" s="494"/>
      <c r="BK67" s="494"/>
      <c r="BL67" s="494"/>
      <c r="BM67" s="494"/>
      <c r="BN67" s="494"/>
      <c r="BO67" s="494"/>
      <c r="BP67" s="494"/>
      <c r="BQ67" s="494"/>
      <c r="BR67" s="494"/>
      <c r="BS67" s="494"/>
      <c r="BT67" s="494"/>
      <c r="BU67" s="494"/>
      <c r="BV67" s="494"/>
      <c r="BW67" s="494"/>
      <c r="BX67" s="494"/>
      <c r="BY67" s="494"/>
      <c r="BZ67" s="494"/>
      <c r="CA67" s="494"/>
      <c r="CB67" s="494"/>
      <c r="CC67" s="494"/>
      <c r="CD67" s="494"/>
      <c r="CE67" s="494"/>
      <c r="CF67" s="494"/>
      <c r="CG67" s="494"/>
      <c r="CH67" s="494"/>
      <c r="CI67" s="494"/>
      <c r="CJ67" s="494"/>
      <c r="CK67" s="494"/>
      <c r="CL67" s="494"/>
      <c r="CM67" s="494"/>
    </row>
    <row r="68" spans="2:91" s="493" customFormat="1">
      <c r="B68" s="494"/>
      <c r="C68" s="494"/>
      <c r="H68" s="495"/>
      <c r="I68" s="495"/>
      <c r="J68" s="495"/>
      <c r="K68" s="495"/>
      <c r="M68" s="494"/>
      <c r="N68" s="494"/>
      <c r="O68" s="494"/>
      <c r="P68" s="494"/>
      <c r="Q68" s="494"/>
      <c r="R68" s="494"/>
      <c r="S68" s="494"/>
      <c r="T68" s="494"/>
      <c r="U68" s="494"/>
      <c r="V68" s="494"/>
      <c r="W68" s="494"/>
      <c r="X68" s="494"/>
      <c r="Y68" s="494"/>
      <c r="Z68" s="494"/>
      <c r="AA68" s="494"/>
      <c r="AB68" s="494"/>
      <c r="AC68" s="494"/>
      <c r="AD68" s="494"/>
      <c r="AE68" s="494"/>
      <c r="AF68" s="494"/>
      <c r="AG68" s="494"/>
      <c r="AH68" s="494"/>
      <c r="AI68" s="494"/>
      <c r="AJ68" s="494"/>
      <c r="AK68" s="494"/>
      <c r="AL68" s="494"/>
      <c r="AM68" s="494"/>
      <c r="AN68" s="494"/>
      <c r="AO68" s="494"/>
      <c r="AP68" s="494"/>
      <c r="AQ68" s="494"/>
      <c r="AR68" s="494"/>
      <c r="AS68" s="494"/>
      <c r="AT68" s="494"/>
      <c r="AU68" s="494"/>
      <c r="AV68" s="494"/>
      <c r="AW68" s="494"/>
      <c r="AX68" s="494"/>
      <c r="AY68" s="494"/>
      <c r="AZ68" s="494"/>
      <c r="BA68" s="494"/>
      <c r="BB68" s="494"/>
      <c r="BC68" s="494"/>
      <c r="BD68" s="494"/>
      <c r="BE68" s="494"/>
      <c r="BF68" s="494"/>
      <c r="BG68" s="494"/>
      <c r="BH68" s="494"/>
      <c r="BI68" s="494"/>
      <c r="BJ68" s="494"/>
      <c r="BK68" s="494"/>
      <c r="BL68" s="494"/>
      <c r="BM68" s="494"/>
      <c r="BN68" s="494"/>
      <c r="BO68" s="494"/>
      <c r="BP68" s="494"/>
      <c r="BQ68" s="494"/>
      <c r="BR68" s="494"/>
      <c r="BS68" s="494"/>
      <c r="BT68" s="494"/>
      <c r="BU68" s="494"/>
      <c r="BV68" s="494"/>
      <c r="BW68" s="494"/>
      <c r="BX68" s="494"/>
      <c r="BY68" s="494"/>
      <c r="BZ68" s="494"/>
      <c r="CA68" s="494"/>
      <c r="CB68" s="494"/>
      <c r="CC68" s="494"/>
      <c r="CD68" s="494"/>
      <c r="CE68" s="494"/>
      <c r="CF68" s="494"/>
      <c r="CG68" s="494"/>
      <c r="CH68" s="494"/>
      <c r="CI68" s="494"/>
      <c r="CJ68" s="494"/>
      <c r="CK68" s="494"/>
      <c r="CL68" s="494"/>
      <c r="CM68" s="494"/>
    </row>
    <row r="69" spans="2:91" s="493" customFormat="1">
      <c r="B69" s="494"/>
      <c r="C69" s="494"/>
      <c r="H69" s="495"/>
      <c r="I69" s="495"/>
      <c r="J69" s="495"/>
      <c r="K69" s="495"/>
      <c r="M69" s="494"/>
      <c r="N69" s="494"/>
      <c r="O69" s="494"/>
      <c r="P69" s="494"/>
      <c r="Q69" s="494"/>
      <c r="R69" s="494"/>
      <c r="S69" s="494"/>
      <c r="T69" s="494"/>
      <c r="U69" s="494"/>
      <c r="V69" s="494"/>
      <c r="W69" s="494"/>
      <c r="X69" s="494"/>
      <c r="Y69" s="494"/>
      <c r="Z69" s="494"/>
      <c r="AA69" s="494"/>
      <c r="AB69" s="494"/>
      <c r="AC69" s="494"/>
      <c r="AD69" s="494"/>
      <c r="AE69" s="494"/>
      <c r="AF69" s="494"/>
      <c r="AG69" s="494"/>
      <c r="AH69" s="494"/>
      <c r="AI69" s="494"/>
      <c r="AJ69" s="494"/>
      <c r="AK69" s="494"/>
      <c r="AL69" s="494"/>
      <c r="AM69" s="494"/>
      <c r="AN69" s="494"/>
      <c r="AO69" s="494"/>
      <c r="AP69" s="494"/>
      <c r="AQ69" s="494"/>
      <c r="AR69" s="494"/>
      <c r="AS69" s="494"/>
      <c r="AT69" s="494"/>
      <c r="AU69" s="494"/>
      <c r="AV69" s="494"/>
      <c r="AW69" s="494"/>
      <c r="AX69" s="494"/>
      <c r="AY69" s="494"/>
      <c r="AZ69" s="494"/>
      <c r="BA69" s="494"/>
      <c r="BB69" s="494"/>
      <c r="BC69" s="494"/>
      <c r="BD69" s="494"/>
      <c r="BE69" s="494"/>
      <c r="BF69" s="494"/>
      <c r="BG69" s="494"/>
      <c r="BH69" s="494"/>
      <c r="BI69" s="494"/>
      <c r="BJ69" s="494"/>
      <c r="BK69" s="494"/>
      <c r="BL69" s="494"/>
      <c r="BM69" s="494"/>
      <c r="BN69" s="494"/>
      <c r="BO69" s="494"/>
      <c r="BP69" s="494"/>
      <c r="BQ69" s="494"/>
      <c r="BR69" s="494"/>
      <c r="BS69" s="494"/>
      <c r="BT69" s="494"/>
      <c r="BU69" s="494"/>
      <c r="BV69" s="494"/>
      <c r="BW69" s="494"/>
      <c r="BX69" s="494"/>
      <c r="BY69" s="494"/>
      <c r="BZ69" s="494"/>
      <c r="CA69" s="494"/>
      <c r="CB69" s="494"/>
      <c r="CC69" s="494"/>
      <c r="CD69" s="494"/>
      <c r="CE69" s="494"/>
      <c r="CF69" s="494"/>
      <c r="CG69" s="494"/>
      <c r="CH69" s="494"/>
      <c r="CI69" s="494"/>
      <c r="CJ69" s="494"/>
      <c r="CK69" s="494"/>
      <c r="CL69" s="494"/>
      <c r="CM69" s="494"/>
    </row>
    <row r="70" spans="2:91" s="493" customFormat="1">
      <c r="B70" s="494"/>
      <c r="C70" s="494"/>
      <c r="H70" s="495"/>
      <c r="I70" s="495"/>
      <c r="J70" s="495"/>
      <c r="K70" s="495"/>
      <c r="M70" s="494"/>
      <c r="N70" s="494"/>
      <c r="O70" s="494"/>
      <c r="P70" s="494"/>
      <c r="Q70" s="494"/>
      <c r="R70" s="494"/>
      <c r="S70" s="494"/>
      <c r="T70" s="494"/>
      <c r="U70" s="494"/>
      <c r="V70" s="494"/>
      <c r="W70" s="494"/>
      <c r="X70" s="494"/>
      <c r="Y70" s="494"/>
      <c r="Z70" s="494"/>
      <c r="AA70" s="494"/>
      <c r="AB70" s="494"/>
      <c r="AC70" s="494"/>
      <c r="AD70" s="494"/>
      <c r="AE70" s="494"/>
      <c r="AF70" s="494"/>
      <c r="AG70" s="494"/>
      <c r="AH70" s="494"/>
      <c r="AI70" s="494"/>
      <c r="AJ70" s="494"/>
      <c r="AK70" s="494"/>
      <c r="AL70" s="494"/>
      <c r="AM70" s="494"/>
      <c r="AN70" s="494"/>
      <c r="AO70" s="494"/>
      <c r="AP70" s="494"/>
      <c r="AQ70" s="494"/>
      <c r="AR70" s="494"/>
      <c r="AS70" s="494"/>
      <c r="AT70" s="494"/>
      <c r="AU70" s="494"/>
      <c r="AV70" s="494"/>
      <c r="AW70" s="494"/>
      <c r="AX70" s="494"/>
      <c r="AY70" s="494"/>
      <c r="AZ70" s="494"/>
      <c r="BA70" s="494"/>
      <c r="BB70" s="494"/>
      <c r="BC70" s="494"/>
      <c r="BD70" s="494"/>
      <c r="BE70" s="494"/>
      <c r="BF70" s="494"/>
      <c r="BG70" s="494"/>
      <c r="BH70" s="494"/>
      <c r="BI70" s="494"/>
      <c r="BJ70" s="494"/>
      <c r="BK70" s="494"/>
      <c r="BL70" s="494"/>
      <c r="BM70" s="494"/>
      <c r="BN70" s="494"/>
      <c r="BO70" s="494"/>
      <c r="BP70" s="494"/>
      <c r="BQ70" s="494"/>
      <c r="BR70" s="494"/>
      <c r="BS70" s="494"/>
      <c r="BT70" s="494"/>
      <c r="BU70" s="494"/>
      <c r="BV70" s="494"/>
      <c r="BW70" s="494"/>
      <c r="BX70" s="494"/>
      <c r="BY70" s="494"/>
      <c r="BZ70" s="494"/>
      <c r="CA70" s="494"/>
      <c r="CB70" s="494"/>
      <c r="CC70" s="494"/>
      <c r="CD70" s="494"/>
      <c r="CE70" s="494"/>
      <c r="CF70" s="494"/>
      <c r="CG70" s="494"/>
      <c r="CH70" s="494"/>
      <c r="CI70" s="494"/>
      <c r="CJ70" s="494"/>
      <c r="CK70" s="494"/>
      <c r="CL70" s="494"/>
      <c r="CM70" s="494"/>
    </row>
    <row r="71" spans="2:91" s="493" customFormat="1">
      <c r="B71" s="494"/>
      <c r="C71" s="494"/>
      <c r="H71" s="495"/>
      <c r="I71" s="495"/>
      <c r="J71" s="495"/>
      <c r="K71" s="495"/>
      <c r="M71" s="494"/>
      <c r="N71" s="494"/>
      <c r="O71" s="494"/>
      <c r="P71" s="494"/>
      <c r="Q71" s="494"/>
      <c r="R71" s="494"/>
      <c r="S71" s="494"/>
      <c r="T71" s="494"/>
      <c r="U71" s="494"/>
      <c r="V71" s="494"/>
      <c r="W71" s="494"/>
      <c r="X71" s="494"/>
      <c r="Y71" s="494"/>
      <c r="Z71" s="494"/>
      <c r="AA71" s="494"/>
      <c r="AB71" s="494"/>
      <c r="AC71" s="494"/>
      <c r="AD71" s="494"/>
      <c r="AE71" s="494"/>
      <c r="AF71" s="494"/>
      <c r="AG71" s="494"/>
      <c r="AH71" s="494"/>
      <c r="AI71" s="494"/>
      <c r="AJ71" s="494"/>
      <c r="AK71" s="494"/>
      <c r="AL71" s="494"/>
      <c r="AM71" s="494"/>
      <c r="AN71" s="494"/>
      <c r="AO71" s="494"/>
      <c r="AP71" s="494"/>
      <c r="AQ71" s="494"/>
      <c r="AR71" s="494"/>
      <c r="AS71" s="494"/>
      <c r="AT71" s="494"/>
      <c r="AU71" s="494"/>
      <c r="AV71" s="494"/>
      <c r="AW71" s="494"/>
      <c r="AX71" s="494"/>
      <c r="AY71" s="494"/>
      <c r="AZ71" s="494"/>
      <c r="BA71" s="494"/>
      <c r="BB71" s="494"/>
      <c r="BC71" s="494"/>
      <c r="BD71" s="494"/>
      <c r="BE71" s="494"/>
      <c r="BF71" s="494"/>
      <c r="BG71" s="494"/>
      <c r="BH71" s="494"/>
      <c r="BI71" s="494"/>
      <c r="BJ71" s="494"/>
      <c r="BK71" s="494"/>
      <c r="BL71" s="494"/>
      <c r="BM71" s="494"/>
      <c r="BN71" s="494"/>
      <c r="BO71" s="494"/>
      <c r="BP71" s="494"/>
      <c r="BQ71" s="494"/>
      <c r="BR71" s="494"/>
      <c r="BS71" s="494"/>
      <c r="BT71" s="494"/>
      <c r="BU71" s="494"/>
      <c r="BV71" s="494"/>
      <c r="BW71" s="494"/>
      <c r="BX71" s="494"/>
      <c r="BY71" s="494"/>
      <c r="BZ71" s="494"/>
      <c r="CA71" s="494"/>
      <c r="CB71" s="494"/>
      <c r="CC71" s="494"/>
      <c r="CD71" s="494"/>
      <c r="CE71" s="494"/>
      <c r="CF71" s="494"/>
      <c r="CG71" s="494"/>
      <c r="CH71" s="494"/>
      <c r="CI71" s="494"/>
      <c r="CJ71" s="494"/>
      <c r="CK71" s="494"/>
      <c r="CL71" s="494"/>
      <c r="CM71" s="494"/>
    </row>
    <row r="72" spans="2:91" s="493" customFormat="1">
      <c r="B72" s="494"/>
      <c r="C72" s="494"/>
      <c r="H72" s="495"/>
      <c r="I72" s="495"/>
      <c r="J72" s="495"/>
      <c r="K72" s="495"/>
      <c r="M72" s="494"/>
      <c r="N72" s="494"/>
      <c r="O72" s="494"/>
      <c r="P72" s="494"/>
      <c r="Q72" s="494"/>
      <c r="R72" s="494"/>
      <c r="S72" s="494"/>
      <c r="T72" s="494"/>
      <c r="U72" s="494"/>
      <c r="V72" s="494"/>
      <c r="W72" s="494"/>
      <c r="X72" s="494"/>
      <c r="Y72" s="494"/>
      <c r="Z72" s="494"/>
      <c r="AA72" s="494"/>
      <c r="AB72" s="494"/>
      <c r="AC72" s="494"/>
      <c r="AD72" s="494"/>
      <c r="AE72" s="494"/>
      <c r="AF72" s="494"/>
      <c r="AG72" s="494"/>
      <c r="AH72" s="494"/>
      <c r="AI72" s="494"/>
      <c r="AJ72" s="494"/>
      <c r="AK72" s="494"/>
      <c r="AL72" s="494"/>
      <c r="AM72" s="494"/>
      <c r="AN72" s="494"/>
      <c r="AO72" s="494"/>
      <c r="AP72" s="494"/>
      <c r="AQ72" s="494"/>
      <c r="AR72" s="494"/>
      <c r="AS72" s="494"/>
      <c r="AT72" s="494"/>
      <c r="AU72" s="494"/>
      <c r="AV72" s="494"/>
      <c r="AW72" s="494"/>
      <c r="AX72" s="494"/>
      <c r="AY72" s="494"/>
      <c r="AZ72" s="494"/>
      <c r="BA72" s="494"/>
      <c r="BB72" s="494"/>
      <c r="BC72" s="494"/>
      <c r="BD72" s="494"/>
      <c r="BE72" s="494"/>
      <c r="BF72" s="494"/>
      <c r="BG72" s="494"/>
      <c r="BH72" s="494"/>
      <c r="BI72" s="494"/>
      <c r="BJ72" s="494"/>
      <c r="BK72" s="494"/>
      <c r="BL72" s="494"/>
      <c r="BM72" s="494"/>
      <c r="BN72" s="494"/>
      <c r="BO72" s="494"/>
      <c r="BP72" s="494"/>
      <c r="BQ72" s="494"/>
      <c r="BR72" s="494"/>
      <c r="BS72" s="494"/>
      <c r="BT72" s="494"/>
      <c r="BU72" s="494"/>
      <c r="BV72" s="494"/>
      <c r="BW72" s="494"/>
      <c r="BX72" s="494"/>
      <c r="BY72" s="494"/>
      <c r="BZ72" s="494"/>
      <c r="CA72" s="494"/>
      <c r="CB72" s="494"/>
      <c r="CC72" s="494"/>
      <c r="CD72" s="494"/>
      <c r="CE72" s="494"/>
      <c r="CF72" s="494"/>
      <c r="CG72" s="494"/>
      <c r="CH72" s="494"/>
      <c r="CI72" s="494"/>
      <c r="CJ72" s="494"/>
      <c r="CK72" s="494"/>
      <c r="CL72" s="494"/>
      <c r="CM72" s="494"/>
    </row>
    <row r="73" spans="2:91" s="493" customFormat="1">
      <c r="B73" s="494"/>
      <c r="C73" s="494"/>
      <c r="H73" s="495"/>
      <c r="I73" s="495"/>
      <c r="J73" s="495"/>
      <c r="K73" s="495"/>
      <c r="M73" s="494"/>
      <c r="N73" s="494"/>
      <c r="O73" s="494"/>
      <c r="P73" s="494"/>
      <c r="Q73" s="494"/>
      <c r="R73" s="494"/>
      <c r="S73" s="494"/>
      <c r="T73" s="494"/>
      <c r="U73" s="494"/>
      <c r="V73" s="494"/>
      <c r="W73" s="494"/>
      <c r="X73" s="494"/>
      <c r="Y73" s="494"/>
      <c r="Z73" s="494"/>
      <c r="AA73" s="494"/>
      <c r="AB73" s="494"/>
      <c r="AC73" s="494"/>
      <c r="AD73" s="494"/>
      <c r="AE73" s="494"/>
      <c r="AF73" s="494"/>
      <c r="AG73" s="494"/>
      <c r="AH73" s="494"/>
      <c r="AI73" s="494"/>
      <c r="AJ73" s="494"/>
      <c r="AK73" s="494"/>
      <c r="AL73" s="494"/>
      <c r="AM73" s="494"/>
      <c r="AN73" s="494"/>
      <c r="AO73" s="494"/>
      <c r="AP73" s="494"/>
      <c r="AQ73" s="494"/>
      <c r="AR73" s="494"/>
      <c r="AS73" s="494"/>
      <c r="AT73" s="494"/>
      <c r="AU73" s="494"/>
      <c r="AV73" s="494"/>
      <c r="AW73" s="494"/>
      <c r="AX73" s="494"/>
      <c r="AY73" s="494"/>
      <c r="AZ73" s="494"/>
      <c r="BA73" s="494"/>
      <c r="BB73" s="494"/>
      <c r="BC73" s="494"/>
      <c r="BD73" s="494"/>
      <c r="BE73" s="494"/>
      <c r="BF73" s="494"/>
      <c r="BG73" s="494"/>
      <c r="BH73" s="494"/>
      <c r="BI73" s="494"/>
      <c r="BJ73" s="494"/>
      <c r="BK73" s="494"/>
      <c r="BL73" s="494"/>
      <c r="BM73" s="494"/>
      <c r="BN73" s="494"/>
      <c r="BO73" s="494"/>
      <c r="BP73" s="494"/>
      <c r="BQ73" s="494"/>
      <c r="BR73" s="494"/>
      <c r="BS73" s="494"/>
      <c r="BT73" s="494"/>
      <c r="BU73" s="494"/>
      <c r="BV73" s="494"/>
      <c r="BW73" s="494"/>
      <c r="BX73" s="494"/>
      <c r="BY73" s="494"/>
      <c r="BZ73" s="494"/>
      <c r="CA73" s="494"/>
      <c r="CB73" s="494"/>
      <c r="CC73" s="494"/>
      <c r="CD73" s="494"/>
      <c r="CE73" s="494"/>
      <c r="CF73" s="494"/>
      <c r="CG73" s="494"/>
      <c r="CH73" s="494"/>
      <c r="CI73" s="494"/>
      <c r="CJ73" s="494"/>
      <c r="CK73" s="494"/>
      <c r="CL73" s="494"/>
      <c r="CM73" s="494"/>
    </row>
    <row r="74" spans="2:91" s="493" customFormat="1">
      <c r="B74" s="494"/>
      <c r="C74" s="494"/>
      <c r="H74" s="495"/>
      <c r="I74" s="495"/>
      <c r="J74" s="495"/>
      <c r="K74" s="495"/>
      <c r="M74" s="494"/>
      <c r="N74" s="494"/>
      <c r="O74" s="494"/>
      <c r="P74" s="494"/>
      <c r="Q74" s="494"/>
      <c r="R74" s="494"/>
      <c r="S74" s="494"/>
      <c r="T74" s="494"/>
      <c r="U74" s="494"/>
      <c r="V74" s="494"/>
      <c r="W74" s="494"/>
      <c r="X74" s="494"/>
      <c r="Y74" s="494"/>
      <c r="Z74" s="494"/>
      <c r="AA74" s="494"/>
      <c r="AB74" s="494"/>
      <c r="AC74" s="494"/>
      <c r="AD74" s="494"/>
      <c r="AE74" s="494"/>
      <c r="AF74" s="494"/>
      <c r="AG74" s="494"/>
      <c r="AH74" s="494"/>
      <c r="AI74" s="494"/>
      <c r="AJ74" s="494"/>
      <c r="AK74" s="494"/>
      <c r="AL74" s="494"/>
      <c r="AM74" s="494"/>
      <c r="AN74" s="494"/>
      <c r="AO74" s="494"/>
      <c r="AP74" s="494"/>
      <c r="AQ74" s="494"/>
      <c r="AR74" s="494"/>
      <c r="AS74" s="494"/>
      <c r="AT74" s="494"/>
      <c r="AU74" s="494"/>
      <c r="AV74" s="494"/>
      <c r="AW74" s="494"/>
      <c r="AX74" s="494"/>
      <c r="AY74" s="494"/>
      <c r="AZ74" s="494"/>
      <c r="BA74" s="494"/>
      <c r="BB74" s="494"/>
      <c r="BC74" s="494"/>
      <c r="BD74" s="494"/>
      <c r="BE74" s="494"/>
      <c r="BF74" s="494"/>
      <c r="BG74" s="494"/>
      <c r="BH74" s="494"/>
      <c r="BI74" s="494"/>
      <c r="BJ74" s="494"/>
      <c r="BK74" s="494"/>
      <c r="BL74" s="494"/>
      <c r="BM74" s="494"/>
      <c r="BN74" s="494"/>
      <c r="BO74" s="494"/>
      <c r="BP74" s="494"/>
      <c r="BQ74" s="494"/>
      <c r="BR74" s="494"/>
      <c r="BS74" s="494"/>
      <c r="BT74" s="494"/>
      <c r="BU74" s="494"/>
      <c r="BV74" s="494"/>
      <c r="BW74" s="494"/>
      <c r="BX74" s="494"/>
      <c r="BY74" s="494"/>
      <c r="BZ74" s="494"/>
      <c r="CA74" s="494"/>
      <c r="CB74" s="494"/>
      <c r="CC74" s="494"/>
      <c r="CD74" s="494"/>
      <c r="CE74" s="494"/>
      <c r="CF74" s="494"/>
      <c r="CG74" s="494"/>
      <c r="CH74" s="494"/>
      <c r="CI74" s="494"/>
      <c r="CJ74" s="494"/>
      <c r="CK74" s="494"/>
      <c r="CL74" s="494"/>
      <c r="CM74" s="494"/>
    </row>
    <row r="75" spans="2:91" s="493" customFormat="1">
      <c r="B75" s="494"/>
      <c r="C75" s="494"/>
      <c r="H75" s="495"/>
      <c r="I75" s="495"/>
      <c r="J75" s="495"/>
      <c r="K75" s="495"/>
      <c r="M75" s="494"/>
      <c r="N75" s="494"/>
      <c r="O75" s="494"/>
      <c r="P75" s="494"/>
      <c r="Q75" s="494"/>
      <c r="R75" s="494"/>
      <c r="S75" s="494"/>
      <c r="T75" s="494"/>
      <c r="U75" s="494"/>
      <c r="V75" s="494"/>
      <c r="W75" s="494"/>
      <c r="X75" s="494"/>
      <c r="Y75" s="494"/>
      <c r="Z75" s="494"/>
      <c r="AA75" s="494"/>
      <c r="AB75" s="494"/>
      <c r="AC75" s="494"/>
      <c r="AD75" s="494"/>
      <c r="AE75" s="494"/>
      <c r="AF75" s="494"/>
      <c r="AG75" s="494"/>
      <c r="AH75" s="494"/>
      <c r="AI75" s="494"/>
      <c r="AJ75" s="494"/>
      <c r="AK75" s="494"/>
      <c r="AL75" s="494"/>
      <c r="AM75" s="494"/>
      <c r="AN75" s="494"/>
      <c r="AO75" s="494"/>
      <c r="AP75" s="494"/>
      <c r="AQ75" s="494"/>
      <c r="AR75" s="494"/>
      <c r="AS75" s="494"/>
      <c r="AT75" s="494"/>
      <c r="AU75" s="494"/>
      <c r="AV75" s="494"/>
      <c r="AW75" s="494"/>
      <c r="AX75" s="494"/>
      <c r="AY75" s="494"/>
      <c r="AZ75" s="494"/>
      <c r="BA75" s="494"/>
      <c r="BB75" s="494"/>
      <c r="BC75" s="494"/>
      <c r="BD75" s="494"/>
      <c r="BE75" s="494"/>
      <c r="BF75" s="494"/>
      <c r="BG75" s="494"/>
      <c r="BH75" s="494"/>
      <c r="BI75" s="494"/>
      <c r="BJ75" s="494"/>
      <c r="BK75" s="494"/>
      <c r="BL75" s="494"/>
      <c r="BM75" s="494"/>
      <c r="BN75" s="494"/>
      <c r="BO75" s="494"/>
      <c r="BP75" s="494"/>
      <c r="BQ75" s="494"/>
      <c r="BR75" s="494"/>
      <c r="BS75" s="494"/>
      <c r="BT75" s="494"/>
      <c r="BU75" s="494"/>
      <c r="BV75" s="494"/>
      <c r="BW75" s="494"/>
      <c r="BX75" s="494"/>
      <c r="BY75" s="494"/>
      <c r="BZ75" s="494"/>
      <c r="CA75" s="494"/>
      <c r="CB75" s="494"/>
      <c r="CC75" s="494"/>
      <c r="CD75" s="494"/>
      <c r="CE75" s="494"/>
      <c r="CF75" s="494"/>
      <c r="CG75" s="494"/>
      <c r="CH75" s="494"/>
      <c r="CI75" s="494"/>
      <c r="CJ75" s="494"/>
      <c r="CK75" s="494"/>
      <c r="CL75" s="494"/>
      <c r="CM75" s="494"/>
    </row>
    <row r="76" spans="2:91" s="493" customFormat="1">
      <c r="B76" s="494"/>
      <c r="C76" s="494"/>
      <c r="H76" s="495"/>
      <c r="I76" s="495"/>
      <c r="J76" s="495"/>
      <c r="K76" s="495"/>
      <c r="M76" s="494"/>
      <c r="N76" s="494"/>
      <c r="O76" s="494"/>
      <c r="P76" s="494"/>
      <c r="Q76" s="494"/>
      <c r="R76" s="494"/>
      <c r="S76" s="494"/>
      <c r="T76" s="494"/>
      <c r="U76" s="494"/>
      <c r="V76" s="494"/>
      <c r="W76" s="494"/>
      <c r="X76" s="494"/>
      <c r="Y76" s="494"/>
      <c r="Z76" s="494"/>
      <c r="AA76" s="494"/>
      <c r="AB76" s="494"/>
      <c r="AC76" s="494"/>
      <c r="AD76" s="494"/>
      <c r="AE76" s="494"/>
      <c r="AF76" s="494"/>
      <c r="AG76" s="494"/>
      <c r="AH76" s="494"/>
      <c r="AI76" s="494"/>
      <c r="AJ76" s="494"/>
      <c r="AK76" s="494"/>
      <c r="AL76" s="494"/>
      <c r="AM76" s="494"/>
      <c r="AN76" s="494"/>
      <c r="AO76" s="494"/>
      <c r="AP76" s="494"/>
      <c r="AQ76" s="494"/>
      <c r="AR76" s="494"/>
      <c r="AS76" s="494"/>
      <c r="AT76" s="494"/>
      <c r="AU76" s="494"/>
      <c r="AV76" s="494"/>
      <c r="AW76" s="494"/>
      <c r="AX76" s="494"/>
      <c r="AY76" s="494"/>
      <c r="AZ76" s="494"/>
      <c r="BA76" s="494"/>
      <c r="BB76" s="494"/>
      <c r="BC76" s="494"/>
      <c r="BD76" s="494"/>
      <c r="BE76" s="494"/>
      <c r="BF76" s="494"/>
      <c r="BG76" s="494"/>
      <c r="BH76" s="494"/>
      <c r="BI76" s="494"/>
      <c r="BJ76" s="494"/>
      <c r="BK76" s="494"/>
      <c r="BL76" s="494"/>
      <c r="BM76" s="494"/>
      <c r="BN76" s="494"/>
      <c r="BO76" s="494"/>
      <c r="BP76" s="494"/>
      <c r="BQ76" s="494"/>
      <c r="BR76" s="494"/>
      <c r="BS76" s="494"/>
      <c r="BT76" s="494"/>
      <c r="BU76" s="494"/>
      <c r="BV76" s="494"/>
      <c r="BW76" s="494"/>
      <c r="BX76" s="494"/>
      <c r="BY76" s="494"/>
      <c r="BZ76" s="494"/>
      <c r="CA76" s="494"/>
      <c r="CB76" s="494"/>
      <c r="CC76" s="494"/>
      <c r="CD76" s="494"/>
      <c r="CE76" s="494"/>
      <c r="CF76" s="494"/>
      <c r="CG76" s="494"/>
      <c r="CH76" s="494"/>
      <c r="CI76" s="494"/>
      <c r="CJ76" s="494"/>
      <c r="CK76" s="494"/>
      <c r="CL76" s="494"/>
      <c r="CM76" s="494"/>
    </row>
    <row r="77" spans="2:91" s="493" customFormat="1">
      <c r="B77" s="494"/>
      <c r="C77" s="494"/>
      <c r="H77" s="495"/>
      <c r="I77" s="495"/>
      <c r="J77" s="495"/>
      <c r="K77" s="495"/>
      <c r="M77" s="494"/>
      <c r="N77" s="494"/>
      <c r="O77" s="494"/>
      <c r="P77" s="494"/>
      <c r="Q77" s="494"/>
      <c r="R77" s="494"/>
      <c r="S77" s="494"/>
      <c r="T77" s="494"/>
      <c r="U77" s="494"/>
      <c r="V77" s="494"/>
      <c r="W77" s="494"/>
      <c r="X77" s="494"/>
      <c r="Y77" s="494"/>
      <c r="Z77" s="494"/>
      <c r="AA77" s="494"/>
      <c r="AB77" s="494"/>
      <c r="AC77" s="494"/>
      <c r="AD77" s="494"/>
      <c r="AE77" s="494"/>
      <c r="AF77" s="494"/>
      <c r="AG77" s="494"/>
      <c r="AH77" s="494"/>
      <c r="AI77" s="494"/>
      <c r="AJ77" s="494"/>
      <c r="AK77" s="494"/>
      <c r="AL77" s="494"/>
      <c r="AM77" s="494"/>
      <c r="AN77" s="494"/>
      <c r="AO77" s="494"/>
      <c r="AP77" s="494"/>
      <c r="AQ77" s="494"/>
      <c r="AR77" s="494"/>
      <c r="AS77" s="494"/>
      <c r="AT77" s="494"/>
      <c r="AU77" s="494"/>
      <c r="AV77" s="494"/>
      <c r="AW77" s="494"/>
      <c r="AX77" s="494"/>
      <c r="AY77" s="494"/>
      <c r="AZ77" s="494"/>
      <c r="BA77" s="494"/>
      <c r="BB77" s="494"/>
      <c r="BC77" s="494"/>
      <c r="BD77" s="494"/>
      <c r="BE77" s="494"/>
      <c r="BF77" s="494"/>
      <c r="BG77" s="494"/>
      <c r="BH77" s="494"/>
      <c r="BI77" s="494"/>
      <c r="BJ77" s="494"/>
      <c r="BK77" s="494"/>
      <c r="BL77" s="494"/>
      <c r="BM77" s="494"/>
      <c r="BN77" s="494"/>
      <c r="BO77" s="494"/>
      <c r="BP77" s="494"/>
      <c r="BQ77" s="494"/>
      <c r="BR77" s="494"/>
      <c r="BS77" s="494"/>
      <c r="BT77" s="494"/>
      <c r="BU77" s="494"/>
      <c r="BV77" s="494"/>
      <c r="BW77" s="494"/>
      <c r="BX77" s="494"/>
      <c r="BY77" s="494"/>
      <c r="BZ77" s="494"/>
      <c r="CA77" s="494"/>
      <c r="CB77" s="494"/>
      <c r="CC77" s="494"/>
      <c r="CD77" s="494"/>
      <c r="CE77" s="494"/>
      <c r="CF77" s="494"/>
      <c r="CG77" s="494"/>
      <c r="CH77" s="494"/>
      <c r="CI77" s="494"/>
      <c r="CJ77" s="494"/>
      <c r="CK77" s="494"/>
      <c r="CL77" s="494"/>
      <c r="CM77" s="494"/>
    </row>
    <row r="78" spans="2:91" s="493" customFormat="1">
      <c r="B78" s="494"/>
      <c r="C78" s="494"/>
      <c r="H78" s="495"/>
      <c r="I78" s="495"/>
      <c r="J78" s="495"/>
      <c r="K78" s="495"/>
      <c r="M78" s="494"/>
      <c r="N78" s="494"/>
      <c r="O78" s="494"/>
      <c r="P78" s="494"/>
      <c r="Q78" s="494"/>
      <c r="R78" s="494"/>
      <c r="S78" s="494"/>
      <c r="T78" s="494"/>
      <c r="U78" s="494"/>
      <c r="V78" s="494"/>
      <c r="W78" s="494"/>
      <c r="X78" s="494"/>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4"/>
      <c r="AY78" s="494"/>
      <c r="AZ78" s="494"/>
      <c r="BA78" s="494"/>
      <c r="BB78" s="494"/>
      <c r="BC78" s="494"/>
      <c r="BD78" s="494"/>
      <c r="BE78" s="494"/>
      <c r="BF78" s="494"/>
      <c r="BG78" s="494"/>
      <c r="BH78" s="494"/>
      <c r="BI78" s="494"/>
      <c r="BJ78" s="494"/>
      <c r="BK78" s="494"/>
      <c r="BL78" s="494"/>
      <c r="BM78" s="494"/>
      <c r="BN78" s="494"/>
      <c r="BO78" s="494"/>
      <c r="BP78" s="494"/>
      <c r="BQ78" s="494"/>
      <c r="BR78" s="494"/>
      <c r="BS78" s="494"/>
      <c r="BT78" s="494"/>
      <c r="BU78" s="494"/>
      <c r="BV78" s="494"/>
      <c r="BW78" s="494"/>
      <c r="BX78" s="494"/>
      <c r="BY78" s="494"/>
      <c r="BZ78" s="494"/>
      <c r="CA78" s="494"/>
      <c r="CB78" s="494"/>
      <c r="CC78" s="494"/>
      <c r="CD78" s="494"/>
      <c r="CE78" s="494"/>
      <c r="CF78" s="494"/>
      <c r="CG78" s="494"/>
      <c r="CH78" s="494"/>
      <c r="CI78" s="494"/>
      <c r="CJ78" s="494"/>
      <c r="CK78" s="494"/>
      <c r="CL78" s="494"/>
      <c r="CM78" s="494"/>
    </row>
    <row r="79" spans="2:91" s="493" customFormat="1">
      <c r="B79" s="494"/>
      <c r="C79" s="494"/>
      <c r="H79" s="495"/>
      <c r="I79" s="495"/>
      <c r="J79" s="495"/>
      <c r="K79" s="495"/>
      <c r="M79" s="494"/>
      <c r="N79" s="494"/>
      <c r="O79" s="494"/>
      <c r="P79" s="494"/>
      <c r="Q79" s="494"/>
      <c r="R79" s="494"/>
      <c r="S79" s="494"/>
      <c r="T79" s="494"/>
      <c r="U79" s="494"/>
      <c r="V79" s="494"/>
      <c r="W79" s="494"/>
      <c r="X79" s="494"/>
      <c r="Y79" s="494"/>
      <c r="Z79" s="494"/>
      <c r="AA79" s="494"/>
      <c r="AB79" s="494"/>
      <c r="AC79" s="494"/>
      <c r="AD79" s="494"/>
      <c r="AE79" s="494"/>
      <c r="AF79" s="494"/>
      <c r="AG79" s="494"/>
      <c r="AH79" s="494"/>
      <c r="AI79" s="494"/>
      <c r="AJ79" s="494"/>
      <c r="AK79" s="494"/>
      <c r="AL79" s="494"/>
      <c r="AM79" s="494"/>
      <c r="AN79" s="494"/>
      <c r="AO79" s="494"/>
      <c r="AP79" s="494"/>
      <c r="AQ79" s="494"/>
      <c r="AR79" s="494"/>
      <c r="AS79" s="494"/>
      <c r="AT79" s="494"/>
      <c r="AU79" s="494"/>
      <c r="AV79" s="494"/>
      <c r="AW79" s="494"/>
      <c r="AX79" s="494"/>
      <c r="AY79" s="494"/>
      <c r="AZ79" s="494"/>
      <c r="BA79" s="494"/>
      <c r="BB79" s="494"/>
      <c r="BC79" s="494"/>
      <c r="BD79" s="494"/>
      <c r="BE79" s="494"/>
      <c r="BF79" s="494"/>
      <c r="BG79" s="494"/>
      <c r="BH79" s="494"/>
      <c r="BI79" s="494"/>
      <c r="BJ79" s="494"/>
      <c r="BK79" s="494"/>
      <c r="BL79" s="494"/>
      <c r="BM79" s="494"/>
      <c r="BN79" s="494"/>
      <c r="BO79" s="494"/>
      <c r="BP79" s="494"/>
      <c r="BQ79" s="494"/>
      <c r="BR79" s="494"/>
      <c r="BS79" s="494"/>
      <c r="BT79" s="494"/>
      <c r="BU79" s="494"/>
      <c r="BV79" s="494"/>
      <c r="BW79" s="494"/>
      <c r="BX79" s="494"/>
      <c r="BY79" s="494"/>
      <c r="BZ79" s="494"/>
      <c r="CA79" s="494"/>
      <c r="CB79" s="494"/>
      <c r="CC79" s="494"/>
      <c r="CD79" s="494"/>
      <c r="CE79" s="494"/>
      <c r="CF79" s="494"/>
      <c r="CG79" s="494"/>
      <c r="CH79" s="494"/>
      <c r="CI79" s="494"/>
      <c r="CJ79" s="494"/>
      <c r="CK79" s="494"/>
      <c r="CL79" s="494"/>
      <c r="CM79" s="494"/>
    </row>
    <row r="80" spans="2:91" s="493" customFormat="1">
      <c r="B80" s="494"/>
      <c r="C80" s="494"/>
      <c r="H80" s="495"/>
      <c r="I80" s="495"/>
      <c r="J80" s="495"/>
      <c r="K80" s="495"/>
      <c r="M80" s="494"/>
      <c r="N80" s="494"/>
      <c r="O80" s="494"/>
      <c r="P80" s="494"/>
      <c r="Q80" s="494"/>
      <c r="R80" s="494"/>
      <c r="S80" s="494"/>
      <c r="T80" s="494"/>
      <c r="U80" s="494"/>
      <c r="V80" s="494"/>
      <c r="W80" s="494"/>
      <c r="X80" s="494"/>
      <c r="Y80" s="494"/>
      <c r="Z80" s="494"/>
      <c r="AA80" s="494"/>
      <c r="AB80" s="494"/>
      <c r="AC80" s="494"/>
      <c r="AD80" s="494"/>
      <c r="AE80" s="494"/>
      <c r="AF80" s="494"/>
      <c r="AG80" s="494"/>
      <c r="AH80" s="494"/>
      <c r="AI80" s="494"/>
      <c r="AJ80" s="494"/>
      <c r="AK80" s="494"/>
      <c r="AL80" s="494"/>
      <c r="AM80" s="494"/>
      <c r="AN80" s="494"/>
      <c r="AO80" s="494"/>
      <c r="AP80" s="494"/>
      <c r="AQ80" s="494"/>
      <c r="AR80" s="494"/>
      <c r="AS80" s="494"/>
      <c r="AT80" s="494"/>
      <c r="AU80" s="494"/>
      <c r="AV80" s="494"/>
      <c r="AW80" s="494"/>
      <c r="AX80" s="494"/>
      <c r="AY80" s="494"/>
      <c r="AZ80" s="494"/>
      <c r="BA80" s="494"/>
      <c r="BB80" s="494"/>
      <c r="BC80" s="494"/>
      <c r="BD80" s="494"/>
      <c r="BE80" s="494"/>
      <c r="BF80" s="494"/>
      <c r="BG80" s="494"/>
      <c r="BH80" s="494"/>
      <c r="BI80" s="494"/>
      <c r="BJ80" s="494"/>
      <c r="BK80" s="494"/>
      <c r="BL80" s="494"/>
      <c r="BM80" s="494"/>
      <c r="BN80" s="494"/>
      <c r="BO80" s="494"/>
      <c r="BP80" s="494"/>
      <c r="BQ80" s="494"/>
      <c r="BR80" s="494"/>
      <c r="BS80" s="494"/>
      <c r="BT80" s="494"/>
      <c r="BU80" s="494"/>
      <c r="BV80" s="494"/>
      <c r="BW80" s="494"/>
      <c r="BX80" s="494"/>
      <c r="BY80" s="494"/>
      <c r="BZ80" s="494"/>
      <c r="CA80" s="494"/>
      <c r="CB80" s="494"/>
      <c r="CC80" s="494"/>
      <c r="CD80" s="494"/>
      <c r="CE80" s="494"/>
      <c r="CF80" s="494"/>
      <c r="CG80" s="494"/>
      <c r="CH80" s="494"/>
      <c r="CI80" s="494"/>
      <c r="CJ80" s="494"/>
      <c r="CK80" s="494"/>
      <c r="CL80" s="494"/>
      <c r="CM80" s="494"/>
    </row>
    <row r="81" spans="2:91" s="493" customFormat="1">
      <c r="B81" s="494"/>
      <c r="C81" s="494"/>
      <c r="H81" s="495"/>
      <c r="I81" s="495"/>
      <c r="J81" s="495"/>
      <c r="K81" s="495"/>
      <c r="M81" s="494"/>
      <c r="N81" s="494"/>
      <c r="O81" s="494"/>
      <c r="P81" s="494"/>
      <c r="Q81" s="494"/>
      <c r="R81" s="494"/>
      <c r="S81" s="494"/>
      <c r="T81" s="494"/>
      <c r="U81" s="494"/>
      <c r="V81" s="494"/>
      <c r="W81" s="494"/>
      <c r="X81" s="494"/>
      <c r="Y81" s="494"/>
      <c r="Z81" s="494"/>
      <c r="AA81" s="494"/>
      <c r="AB81" s="494"/>
      <c r="AC81" s="494"/>
      <c r="AD81" s="494"/>
      <c r="AE81" s="494"/>
      <c r="AF81" s="494"/>
      <c r="AG81" s="494"/>
      <c r="AH81" s="494"/>
      <c r="AI81" s="494"/>
      <c r="AJ81" s="494"/>
      <c r="AK81" s="494"/>
      <c r="AL81" s="494"/>
      <c r="AM81" s="494"/>
      <c r="AN81" s="494"/>
      <c r="AO81" s="494"/>
      <c r="AP81" s="494"/>
      <c r="AQ81" s="494"/>
      <c r="AR81" s="494"/>
      <c r="AS81" s="494"/>
      <c r="AT81" s="494"/>
      <c r="AU81" s="494"/>
      <c r="AV81" s="494"/>
      <c r="AW81" s="494"/>
      <c r="AX81" s="494"/>
      <c r="AY81" s="494"/>
      <c r="AZ81" s="494"/>
      <c r="BA81" s="494"/>
      <c r="BB81" s="494"/>
      <c r="BC81" s="494"/>
      <c r="BD81" s="494"/>
      <c r="BE81" s="494"/>
      <c r="BF81" s="494"/>
      <c r="BG81" s="494"/>
      <c r="BH81" s="494"/>
      <c r="BI81" s="494"/>
      <c r="BJ81" s="494"/>
      <c r="BK81" s="494"/>
      <c r="BL81" s="494"/>
      <c r="BM81" s="494"/>
      <c r="BN81" s="494"/>
      <c r="BO81" s="494"/>
      <c r="BP81" s="494"/>
      <c r="BQ81" s="494"/>
      <c r="BR81" s="494"/>
      <c r="BS81" s="494"/>
      <c r="BT81" s="494"/>
      <c r="BU81" s="494"/>
      <c r="BV81" s="494"/>
      <c r="BW81" s="494"/>
      <c r="BX81" s="494"/>
      <c r="BY81" s="494"/>
      <c r="BZ81" s="494"/>
      <c r="CA81" s="494"/>
      <c r="CB81" s="494"/>
      <c r="CC81" s="494"/>
      <c r="CD81" s="494"/>
      <c r="CE81" s="494"/>
      <c r="CF81" s="494"/>
      <c r="CG81" s="494"/>
      <c r="CH81" s="494"/>
      <c r="CI81" s="494"/>
      <c r="CJ81" s="494"/>
      <c r="CK81" s="494"/>
      <c r="CL81" s="494"/>
      <c r="CM81" s="494"/>
    </row>
    <row r="82" spans="2:91" s="493" customFormat="1">
      <c r="B82" s="494"/>
      <c r="C82" s="494"/>
      <c r="H82" s="495"/>
      <c r="I82" s="495"/>
      <c r="J82" s="495"/>
      <c r="K82" s="495"/>
      <c r="M82" s="494"/>
      <c r="N82" s="494"/>
      <c r="O82" s="494"/>
      <c r="P82" s="494"/>
      <c r="Q82" s="494"/>
      <c r="R82" s="494"/>
      <c r="S82" s="494"/>
      <c r="T82" s="494"/>
      <c r="U82" s="494"/>
      <c r="V82" s="494"/>
      <c r="W82" s="494"/>
      <c r="X82" s="494"/>
      <c r="Y82" s="494"/>
      <c r="Z82" s="494"/>
      <c r="AA82" s="494"/>
      <c r="AB82" s="494"/>
      <c r="AC82" s="494"/>
      <c r="AD82" s="494"/>
      <c r="AE82" s="494"/>
      <c r="AF82" s="494"/>
      <c r="AG82" s="494"/>
      <c r="AH82" s="494"/>
      <c r="AI82" s="494"/>
      <c r="AJ82" s="494"/>
      <c r="AK82" s="494"/>
      <c r="AL82" s="494"/>
      <c r="AM82" s="494"/>
      <c r="AN82" s="494"/>
      <c r="AO82" s="494"/>
      <c r="AP82" s="494"/>
      <c r="AQ82" s="494"/>
      <c r="AR82" s="494"/>
      <c r="AS82" s="494"/>
      <c r="AT82" s="494"/>
      <c r="AU82" s="494"/>
      <c r="AV82" s="494"/>
      <c r="AW82" s="494"/>
      <c r="AX82" s="494"/>
      <c r="AY82" s="494"/>
      <c r="AZ82" s="494"/>
      <c r="BA82" s="494"/>
      <c r="BB82" s="494"/>
      <c r="BC82" s="494"/>
      <c r="BD82" s="494"/>
      <c r="BE82" s="494"/>
      <c r="BF82" s="494"/>
      <c r="BG82" s="494"/>
      <c r="BH82" s="494"/>
      <c r="BI82" s="494"/>
      <c r="BJ82" s="494"/>
      <c r="BK82" s="494"/>
      <c r="BL82" s="494"/>
      <c r="BM82" s="494"/>
      <c r="BN82" s="494"/>
      <c r="BO82" s="494"/>
      <c r="BP82" s="494"/>
      <c r="BQ82" s="494"/>
      <c r="BR82" s="494"/>
      <c r="BS82" s="494"/>
      <c r="BT82" s="494"/>
      <c r="BU82" s="494"/>
      <c r="BV82" s="494"/>
      <c r="BW82" s="494"/>
      <c r="BX82" s="494"/>
      <c r="BY82" s="494"/>
      <c r="BZ82" s="494"/>
      <c r="CA82" s="494"/>
      <c r="CB82" s="494"/>
      <c r="CC82" s="494"/>
      <c r="CD82" s="494"/>
      <c r="CE82" s="494"/>
      <c r="CF82" s="494"/>
      <c r="CG82" s="494"/>
      <c r="CH82" s="494"/>
      <c r="CI82" s="494"/>
      <c r="CJ82" s="494"/>
      <c r="CK82" s="494"/>
      <c r="CL82" s="494"/>
      <c r="CM82" s="494"/>
    </row>
    <row r="83" spans="2:91" s="493" customFormat="1">
      <c r="B83" s="494"/>
      <c r="C83" s="494"/>
      <c r="H83" s="495"/>
      <c r="I83" s="495"/>
      <c r="J83" s="495"/>
      <c r="K83" s="495"/>
      <c r="M83" s="494"/>
      <c r="N83" s="494"/>
      <c r="O83" s="494"/>
      <c r="P83" s="494"/>
      <c r="Q83" s="494"/>
      <c r="R83" s="494"/>
      <c r="S83" s="494"/>
      <c r="T83" s="494"/>
      <c r="U83" s="494"/>
      <c r="V83" s="494"/>
      <c r="W83" s="494"/>
      <c r="X83" s="494"/>
      <c r="Y83" s="494"/>
      <c r="Z83" s="494"/>
      <c r="AA83" s="494"/>
      <c r="AB83" s="494"/>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4"/>
      <c r="AY83" s="494"/>
      <c r="AZ83" s="494"/>
      <c r="BA83" s="494"/>
      <c r="BB83" s="494"/>
      <c r="BC83" s="494"/>
      <c r="BD83" s="494"/>
      <c r="BE83" s="494"/>
      <c r="BF83" s="494"/>
      <c r="BG83" s="494"/>
      <c r="BH83" s="494"/>
      <c r="BI83" s="494"/>
      <c r="BJ83" s="494"/>
      <c r="BK83" s="494"/>
      <c r="BL83" s="494"/>
      <c r="BM83" s="494"/>
      <c r="BN83" s="494"/>
      <c r="BO83" s="494"/>
      <c r="BP83" s="494"/>
      <c r="BQ83" s="494"/>
      <c r="BR83" s="494"/>
      <c r="BS83" s="494"/>
      <c r="BT83" s="494"/>
      <c r="BU83" s="494"/>
      <c r="BV83" s="494"/>
      <c r="BW83" s="494"/>
      <c r="BX83" s="494"/>
      <c r="BY83" s="494"/>
      <c r="BZ83" s="494"/>
      <c r="CA83" s="494"/>
      <c r="CB83" s="494"/>
      <c r="CC83" s="494"/>
      <c r="CD83" s="494"/>
      <c r="CE83" s="494"/>
      <c r="CF83" s="494"/>
      <c r="CG83" s="494"/>
      <c r="CH83" s="494"/>
      <c r="CI83" s="494"/>
      <c r="CJ83" s="494"/>
      <c r="CK83" s="494"/>
      <c r="CL83" s="494"/>
      <c r="CM83" s="494"/>
    </row>
    <row r="84" spans="2:91" s="493" customFormat="1">
      <c r="B84" s="494"/>
      <c r="C84" s="494"/>
      <c r="H84" s="495"/>
      <c r="I84" s="495"/>
      <c r="J84" s="495"/>
      <c r="K84" s="495"/>
      <c r="M84" s="494"/>
      <c r="N84" s="494"/>
      <c r="O84" s="494"/>
      <c r="P84" s="494"/>
      <c r="Q84" s="494"/>
      <c r="R84" s="494"/>
      <c r="S84" s="494"/>
      <c r="T84" s="494"/>
      <c r="U84" s="494"/>
      <c r="V84" s="494"/>
      <c r="W84" s="494"/>
      <c r="X84" s="494"/>
      <c r="Y84" s="494"/>
      <c r="Z84" s="494"/>
      <c r="AA84" s="494"/>
      <c r="AB84" s="494"/>
      <c r="AC84" s="494"/>
      <c r="AD84" s="494"/>
      <c r="AE84" s="494"/>
      <c r="AF84" s="494"/>
      <c r="AG84" s="494"/>
      <c r="AH84" s="494"/>
      <c r="AI84" s="494"/>
      <c r="AJ84" s="494"/>
      <c r="AK84" s="494"/>
      <c r="AL84" s="494"/>
      <c r="AM84" s="494"/>
      <c r="AN84" s="494"/>
      <c r="AO84" s="494"/>
      <c r="AP84" s="494"/>
      <c r="AQ84" s="494"/>
      <c r="AR84" s="494"/>
      <c r="AS84" s="494"/>
      <c r="AT84" s="494"/>
      <c r="AU84" s="494"/>
      <c r="AV84" s="494"/>
      <c r="AW84" s="494"/>
      <c r="AX84" s="494"/>
      <c r="AY84" s="494"/>
      <c r="AZ84" s="494"/>
      <c r="BA84" s="494"/>
      <c r="BB84" s="494"/>
      <c r="BC84" s="494"/>
      <c r="BD84" s="494"/>
      <c r="BE84" s="494"/>
      <c r="BF84" s="494"/>
      <c r="BG84" s="494"/>
      <c r="BH84" s="494"/>
      <c r="BI84" s="494"/>
      <c r="BJ84" s="494"/>
      <c r="BK84" s="494"/>
      <c r="BL84" s="494"/>
      <c r="BM84" s="494"/>
      <c r="BN84" s="494"/>
      <c r="BO84" s="494"/>
      <c r="BP84" s="494"/>
      <c r="BQ84" s="494"/>
      <c r="BR84" s="494"/>
      <c r="BS84" s="494"/>
      <c r="BT84" s="494"/>
      <c r="BU84" s="494"/>
      <c r="BV84" s="494"/>
      <c r="BW84" s="494"/>
      <c r="BX84" s="494"/>
      <c r="BY84" s="494"/>
      <c r="BZ84" s="494"/>
      <c r="CA84" s="494"/>
      <c r="CB84" s="494"/>
      <c r="CC84" s="494"/>
      <c r="CD84" s="494"/>
      <c r="CE84" s="494"/>
      <c r="CF84" s="494"/>
      <c r="CG84" s="494"/>
      <c r="CH84" s="494"/>
      <c r="CI84" s="494"/>
      <c r="CJ84" s="494"/>
      <c r="CK84" s="494"/>
      <c r="CL84" s="494"/>
      <c r="CM84" s="494"/>
    </row>
    <row r="85" spans="2:91" s="493" customFormat="1">
      <c r="B85" s="494"/>
      <c r="C85" s="494"/>
      <c r="H85" s="495"/>
      <c r="I85" s="495"/>
      <c r="J85" s="495"/>
      <c r="K85" s="495"/>
      <c r="M85" s="494"/>
      <c r="N85" s="494"/>
      <c r="O85" s="494"/>
      <c r="P85" s="494"/>
      <c r="Q85" s="494"/>
      <c r="R85" s="494"/>
      <c r="S85" s="494"/>
      <c r="T85" s="494"/>
      <c r="U85" s="494"/>
      <c r="V85" s="494"/>
      <c r="W85" s="494"/>
      <c r="X85" s="494"/>
      <c r="Y85" s="494"/>
      <c r="Z85" s="494"/>
      <c r="AA85" s="494"/>
      <c r="AB85" s="494"/>
      <c r="AC85" s="494"/>
      <c r="AD85" s="494"/>
      <c r="AE85" s="494"/>
      <c r="AF85" s="494"/>
      <c r="AG85" s="494"/>
      <c r="AH85" s="494"/>
      <c r="AI85" s="494"/>
      <c r="AJ85" s="494"/>
      <c r="AK85" s="494"/>
      <c r="AL85" s="494"/>
      <c r="AM85" s="494"/>
      <c r="AN85" s="494"/>
      <c r="AO85" s="494"/>
      <c r="AP85" s="494"/>
      <c r="AQ85" s="494"/>
      <c r="AR85" s="494"/>
      <c r="AS85" s="494"/>
      <c r="AT85" s="494"/>
      <c r="AU85" s="494"/>
      <c r="AV85" s="494"/>
      <c r="AW85" s="494"/>
      <c r="AX85" s="494"/>
      <c r="AY85" s="494"/>
      <c r="AZ85" s="494"/>
      <c r="BA85" s="494"/>
      <c r="BB85" s="494"/>
      <c r="BC85" s="494"/>
      <c r="BD85" s="494"/>
      <c r="BE85" s="494"/>
      <c r="BF85" s="494"/>
      <c r="BG85" s="494"/>
      <c r="BH85" s="494"/>
      <c r="BI85" s="494"/>
      <c r="BJ85" s="494"/>
      <c r="BK85" s="494"/>
      <c r="BL85" s="494"/>
      <c r="BM85" s="494"/>
      <c r="BN85" s="494"/>
      <c r="BO85" s="494"/>
      <c r="BP85" s="494"/>
      <c r="BQ85" s="494"/>
      <c r="BR85" s="494"/>
      <c r="BS85" s="494"/>
      <c r="BT85" s="494"/>
      <c r="BU85" s="494"/>
      <c r="BV85" s="494"/>
      <c r="BW85" s="494"/>
      <c r="BX85" s="494"/>
      <c r="BY85" s="494"/>
      <c r="BZ85" s="494"/>
      <c r="CA85" s="494"/>
      <c r="CB85" s="494"/>
      <c r="CC85" s="494"/>
      <c r="CD85" s="494"/>
      <c r="CE85" s="494"/>
      <c r="CF85" s="494"/>
      <c r="CG85" s="494"/>
      <c r="CH85" s="494"/>
      <c r="CI85" s="494"/>
      <c r="CJ85" s="494"/>
      <c r="CK85" s="494"/>
      <c r="CL85" s="494"/>
      <c r="CM85" s="494"/>
    </row>
    <row r="86" spans="2:91" s="493" customFormat="1">
      <c r="B86" s="494"/>
      <c r="C86" s="494"/>
      <c r="H86" s="495"/>
      <c r="I86" s="495"/>
      <c r="J86" s="495"/>
      <c r="K86" s="495"/>
      <c r="M86" s="494"/>
      <c r="N86" s="494"/>
      <c r="O86" s="494"/>
      <c r="P86" s="494"/>
      <c r="Q86" s="494"/>
      <c r="R86" s="494"/>
      <c r="S86" s="494"/>
      <c r="T86" s="494"/>
      <c r="U86" s="494"/>
      <c r="V86" s="494"/>
      <c r="W86" s="494"/>
      <c r="X86" s="494"/>
      <c r="Y86" s="494"/>
      <c r="Z86" s="494"/>
      <c r="AA86" s="494"/>
      <c r="AB86" s="494"/>
      <c r="AC86" s="494"/>
      <c r="AD86" s="494"/>
      <c r="AE86" s="494"/>
      <c r="AF86" s="494"/>
      <c r="AG86" s="494"/>
      <c r="AH86" s="494"/>
      <c r="AI86" s="494"/>
      <c r="AJ86" s="494"/>
      <c r="AK86" s="494"/>
      <c r="AL86" s="494"/>
      <c r="AM86" s="494"/>
      <c r="AN86" s="494"/>
      <c r="AO86" s="494"/>
      <c r="AP86" s="494"/>
      <c r="AQ86" s="494"/>
      <c r="AR86" s="494"/>
      <c r="AS86" s="494"/>
      <c r="AT86" s="494"/>
      <c r="AU86" s="494"/>
      <c r="AV86" s="494"/>
      <c r="AW86" s="494"/>
      <c r="AX86" s="494"/>
      <c r="AY86" s="494"/>
      <c r="AZ86" s="494"/>
      <c r="BA86" s="494"/>
      <c r="BB86" s="494"/>
      <c r="BC86" s="494"/>
      <c r="BD86" s="494"/>
      <c r="BE86" s="494"/>
      <c r="BF86" s="494"/>
      <c r="BG86" s="494"/>
      <c r="BH86" s="494"/>
      <c r="BI86" s="494"/>
      <c r="BJ86" s="494"/>
      <c r="BK86" s="494"/>
      <c r="BL86" s="494"/>
      <c r="BM86" s="494"/>
      <c r="BN86" s="494"/>
      <c r="BO86" s="494"/>
      <c r="BP86" s="494"/>
      <c r="BQ86" s="494"/>
      <c r="BR86" s="494"/>
      <c r="BS86" s="494"/>
      <c r="BT86" s="494"/>
      <c r="BU86" s="494"/>
      <c r="BV86" s="494"/>
      <c r="BW86" s="494"/>
      <c r="BX86" s="494"/>
      <c r="BY86" s="494"/>
      <c r="BZ86" s="494"/>
      <c r="CA86" s="494"/>
      <c r="CB86" s="494"/>
      <c r="CC86" s="494"/>
      <c r="CD86" s="494"/>
      <c r="CE86" s="494"/>
      <c r="CF86" s="494"/>
      <c r="CG86" s="494"/>
      <c r="CH86" s="494"/>
      <c r="CI86" s="494"/>
      <c r="CJ86" s="494"/>
      <c r="CK86" s="494"/>
      <c r="CL86" s="494"/>
      <c r="CM86" s="494"/>
    </row>
    <row r="87" spans="2:91" s="493" customFormat="1">
      <c r="B87" s="494"/>
      <c r="C87" s="494"/>
      <c r="H87" s="495"/>
      <c r="I87" s="495"/>
      <c r="J87" s="495"/>
      <c r="K87" s="495"/>
      <c r="M87" s="494"/>
      <c r="N87" s="494"/>
      <c r="O87" s="494"/>
      <c r="P87" s="494"/>
      <c r="Q87" s="494"/>
      <c r="R87" s="494"/>
      <c r="S87" s="494"/>
      <c r="T87" s="494"/>
      <c r="U87" s="494"/>
      <c r="V87" s="494"/>
      <c r="W87" s="494"/>
      <c r="X87" s="494"/>
      <c r="Y87" s="494"/>
      <c r="Z87" s="494"/>
      <c r="AA87" s="494"/>
      <c r="AB87" s="494"/>
      <c r="AC87" s="494"/>
      <c r="AD87" s="494"/>
      <c r="AE87" s="494"/>
      <c r="AF87" s="494"/>
      <c r="AG87" s="494"/>
      <c r="AH87" s="494"/>
      <c r="AI87" s="494"/>
      <c r="AJ87" s="494"/>
      <c r="AK87" s="494"/>
      <c r="AL87" s="494"/>
      <c r="AM87" s="494"/>
      <c r="AN87" s="494"/>
      <c r="AO87" s="494"/>
      <c r="AP87" s="494"/>
      <c r="AQ87" s="494"/>
      <c r="AR87" s="494"/>
      <c r="AS87" s="494"/>
      <c r="AT87" s="494"/>
      <c r="AU87" s="494"/>
      <c r="AV87" s="494"/>
      <c r="AW87" s="494"/>
      <c r="AX87" s="494"/>
      <c r="AY87" s="494"/>
      <c r="AZ87" s="494"/>
      <c r="BA87" s="494"/>
      <c r="BB87" s="494"/>
      <c r="BC87" s="494"/>
      <c r="BD87" s="494"/>
      <c r="BE87" s="494"/>
      <c r="BF87" s="494"/>
      <c r="BG87" s="494"/>
      <c r="BH87" s="494"/>
      <c r="BI87" s="494"/>
      <c r="BJ87" s="494"/>
      <c r="BK87" s="494"/>
      <c r="BL87" s="494"/>
      <c r="BM87" s="494"/>
      <c r="BN87" s="494"/>
      <c r="BO87" s="494"/>
      <c r="BP87" s="494"/>
      <c r="BQ87" s="494"/>
      <c r="BR87" s="494"/>
      <c r="BS87" s="494"/>
      <c r="BT87" s="494"/>
      <c r="BU87" s="494"/>
      <c r="BV87" s="494"/>
      <c r="BW87" s="494"/>
      <c r="BX87" s="494"/>
      <c r="BY87" s="494"/>
      <c r="BZ87" s="494"/>
      <c r="CA87" s="494"/>
      <c r="CB87" s="494"/>
      <c r="CC87" s="494"/>
      <c r="CD87" s="494"/>
      <c r="CE87" s="494"/>
      <c r="CF87" s="494"/>
      <c r="CG87" s="494"/>
      <c r="CH87" s="494"/>
      <c r="CI87" s="494"/>
      <c r="CJ87" s="494"/>
      <c r="CK87" s="494"/>
      <c r="CL87" s="494"/>
      <c r="CM87" s="494"/>
    </row>
    <row r="88" spans="2:91" s="493" customFormat="1">
      <c r="B88" s="494"/>
      <c r="C88" s="494"/>
      <c r="H88" s="495"/>
      <c r="I88" s="495"/>
      <c r="J88" s="495"/>
      <c r="K88" s="495"/>
      <c r="M88" s="494"/>
      <c r="N88" s="494"/>
      <c r="O88" s="494"/>
      <c r="P88" s="494"/>
      <c r="Q88" s="494"/>
      <c r="R88" s="494"/>
      <c r="S88" s="494"/>
      <c r="T88" s="494"/>
      <c r="U88" s="494"/>
      <c r="V88" s="494"/>
      <c r="W88" s="494"/>
      <c r="X88" s="494"/>
      <c r="Y88" s="494"/>
      <c r="Z88" s="494"/>
      <c r="AA88" s="494"/>
      <c r="AB88" s="494"/>
      <c r="AC88" s="494"/>
      <c r="AD88" s="494"/>
      <c r="AE88" s="494"/>
      <c r="AF88" s="494"/>
      <c r="AG88" s="494"/>
      <c r="AH88" s="494"/>
      <c r="AI88" s="494"/>
      <c r="AJ88" s="494"/>
      <c r="AK88" s="494"/>
      <c r="AL88" s="494"/>
      <c r="AM88" s="494"/>
      <c r="AN88" s="494"/>
      <c r="AO88" s="494"/>
      <c r="AP88" s="494"/>
      <c r="AQ88" s="494"/>
      <c r="AR88" s="494"/>
      <c r="AS88" s="494"/>
      <c r="AT88" s="494"/>
      <c r="AU88" s="494"/>
      <c r="AV88" s="494"/>
      <c r="AW88" s="494"/>
      <c r="AX88" s="494"/>
      <c r="AY88" s="494"/>
      <c r="AZ88" s="494"/>
      <c r="BA88" s="494"/>
      <c r="BB88" s="494"/>
      <c r="BC88" s="494"/>
      <c r="BD88" s="494"/>
      <c r="BE88" s="494"/>
      <c r="BF88" s="494"/>
      <c r="BG88" s="494"/>
      <c r="BH88" s="494"/>
      <c r="BI88" s="494"/>
      <c r="BJ88" s="494"/>
      <c r="BK88" s="494"/>
      <c r="BL88" s="494"/>
      <c r="BM88" s="494"/>
      <c r="BN88" s="494"/>
      <c r="BO88" s="494"/>
      <c r="BP88" s="494"/>
      <c r="BQ88" s="494"/>
      <c r="BR88" s="494"/>
      <c r="BS88" s="494"/>
      <c r="BT88" s="494"/>
      <c r="BU88" s="494"/>
      <c r="BV88" s="494"/>
      <c r="BW88" s="494"/>
      <c r="BX88" s="494"/>
      <c r="BY88" s="494"/>
      <c r="BZ88" s="494"/>
      <c r="CA88" s="494"/>
      <c r="CB88" s="494"/>
      <c r="CC88" s="494"/>
      <c r="CD88" s="494"/>
      <c r="CE88" s="494"/>
      <c r="CF88" s="494"/>
      <c r="CG88" s="494"/>
      <c r="CH88" s="494"/>
      <c r="CI88" s="494"/>
      <c r="CJ88" s="494"/>
      <c r="CK88" s="494"/>
      <c r="CL88" s="494"/>
      <c r="CM88" s="494"/>
    </row>
    <row r="89" spans="2:91" s="493" customFormat="1">
      <c r="B89" s="494"/>
      <c r="C89" s="494"/>
      <c r="H89" s="495"/>
      <c r="I89" s="495"/>
      <c r="J89" s="495"/>
      <c r="K89" s="495"/>
      <c r="M89" s="494"/>
      <c r="N89" s="494"/>
      <c r="O89" s="494"/>
      <c r="P89" s="494"/>
      <c r="Q89" s="494"/>
      <c r="R89" s="494"/>
      <c r="S89" s="494"/>
      <c r="T89" s="494"/>
      <c r="U89" s="494"/>
      <c r="V89" s="494"/>
      <c r="W89" s="494"/>
      <c r="X89" s="494"/>
      <c r="Y89" s="494"/>
      <c r="Z89" s="494"/>
      <c r="AA89" s="494"/>
      <c r="AB89" s="494"/>
      <c r="AC89" s="494"/>
      <c r="AD89" s="494"/>
      <c r="AE89" s="494"/>
      <c r="AF89" s="494"/>
      <c r="AG89" s="494"/>
      <c r="AH89" s="494"/>
      <c r="AI89" s="494"/>
      <c r="AJ89" s="494"/>
      <c r="AK89" s="494"/>
      <c r="AL89" s="494"/>
      <c r="AM89" s="494"/>
      <c r="AN89" s="494"/>
      <c r="AO89" s="494"/>
      <c r="AP89" s="494"/>
      <c r="AQ89" s="494"/>
      <c r="AR89" s="494"/>
      <c r="AS89" s="494"/>
      <c r="AT89" s="494"/>
      <c r="AU89" s="494"/>
      <c r="AV89" s="494"/>
      <c r="AW89" s="494"/>
      <c r="AX89" s="494"/>
      <c r="AY89" s="494"/>
      <c r="AZ89" s="494"/>
      <c r="BA89" s="494"/>
      <c r="BB89" s="494"/>
      <c r="BC89" s="494"/>
      <c r="BD89" s="494"/>
      <c r="BE89" s="494"/>
      <c r="BF89" s="494"/>
      <c r="BG89" s="494"/>
      <c r="BH89" s="494"/>
      <c r="BI89" s="494"/>
      <c r="BJ89" s="494"/>
      <c r="BK89" s="494"/>
      <c r="BL89" s="494"/>
      <c r="BM89" s="494"/>
      <c r="BN89" s="494"/>
      <c r="BO89" s="494"/>
      <c r="BP89" s="494"/>
      <c r="BQ89" s="494"/>
      <c r="BR89" s="494"/>
      <c r="BS89" s="494"/>
      <c r="BT89" s="494"/>
      <c r="BU89" s="494"/>
      <c r="BV89" s="494"/>
      <c r="BW89" s="494"/>
      <c r="BX89" s="494"/>
      <c r="BY89" s="494"/>
      <c r="BZ89" s="494"/>
      <c r="CA89" s="494"/>
      <c r="CB89" s="494"/>
      <c r="CC89" s="494"/>
      <c r="CD89" s="494"/>
      <c r="CE89" s="494"/>
      <c r="CF89" s="494"/>
      <c r="CG89" s="494"/>
      <c r="CH89" s="494"/>
      <c r="CI89" s="494"/>
      <c r="CJ89" s="494"/>
      <c r="CK89" s="494"/>
      <c r="CL89" s="494"/>
      <c r="CM89" s="494"/>
    </row>
    <row r="90" spans="2:91" s="493" customFormat="1">
      <c r="B90" s="494"/>
      <c r="C90" s="494"/>
      <c r="H90" s="495"/>
      <c r="I90" s="495"/>
      <c r="J90" s="495"/>
      <c r="K90" s="495"/>
      <c r="M90" s="494"/>
      <c r="N90" s="494"/>
      <c r="O90" s="494"/>
      <c r="P90" s="494"/>
      <c r="Q90" s="494"/>
      <c r="R90" s="494"/>
      <c r="S90" s="494"/>
      <c r="T90" s="494"/>
      <c r="U90" s="494"/>
      <c r="V90" s="494"/>
      <c r="W90" s="494"/>
      <c r="X90" s="494"/>
      <c r="Y90" s="494"/>
      <c r="Z90" s="494"/>
      <c r="AA90" s="494"/>
      <c r="AB90" s="494"/>
      <c r="AC90" s="494"/>
      <c r="AD90" s="494"/>
      <c r="AE90" s="494"/>
      <c r="AF90" s="494"/>
      <c r="AG90" s="494"/>
      <c r="AH90" s="494"/>
      <c r="AI90" s="494"/>
      <c r="AJ90" s="494"/>
      <c r="AK90" s="494"/>
      <c r="AL90" s="494"/>
      <c r="AM90" s="494"/>
      <c r="AN90" s="494"/>
      <c r="AO90" s="494"/>
      <c r="AP90" s="494"/>
      <c r="AQ90" s="494"/>
      <c r="AR90" s="494"/>
      <c r="AS90" s="494"/>
      <c r="AT90" s="494"/>
      <c r="AU90" s="494"/>
      <c r="AV90" s="494"/>
      <c r="AW90" s="494"/>
      <c r="AX90" s="494"/>
      <c r="AY90" s="494"/>
      <c r="AZ90" s="494"/>
      <c r="BA90" s="494"/>
      <c r="BB90" s="494"/>
      <c r="BC90" s="494"/>
      <c r="BD90" s="494"/>
      <c r="BE90" s="494"/>
      <c r="BF90" s="494"/>
      <c r="BG90" s="494"/>
      <c r="BH90" s="494"/>
      <c r="BI90" s="494"/>
      <c r="BJ90" s="494"/>
      <c r="BK90" s="494"/>
      <c r="BL90" s="494"/>
      <c r="BM90" s="494"/>
      <c r="BN90" s="494"/>
      <c r="BO90" s="494"/>
      <c r="BP90" s="494"/>
      <c r="BQ90" s="494"/>
      <c r="BR90" s="494"/>
      <c r="BS90" s="494"/>
      <c r="BT90" s="494"/>
      <c r="BU90" s="494"/>
      <c r="BV90" s="494"/>
      <c r="BW90" s="494"/>
      <c r="BX90" s="494"/>
      <c r="BY90" s="494"/>
      <c r="BZ90" s="494"/>
      <c r="CA90" s="494"/>
      <c r="CB90" s="494"/>
      <c r="CC90" s="494"/>
      <c r="CD90" s="494"/>
      <c r="CE90" s="494"/>
      <c r="CF90" s="494"/>
      <c r="CG90" s="494"/>
      <c r="CH90" s="494"/>
      <c r="CI90" s="494"/>
      <c r="CJ90" s="494"/>
      <c r="CK90" s="494"/>
      <c r="CL90" s="494"/>
      <c r="CM90" s="494"/>
    </row>
    <row r="91" spans="2:91" s="493" customFormat="1">
      <c r="B91" s="494"/>
      <c r="C91" s="494"/>
      <c r="H91" s="495"/>
      <c r="I91" s="495"/>
      <c r="J91" s="495"/>
      <c r="K91" s="495"/>
      <c r="M91" s="494"/>
      <c r="N91" s="494"/>
      <c r="O91" s="494"/>
      <c r="P91" s="494"/>
      <c r="Q91" s="494"/>
      <c r="R91" s="494"/>
      <c r="S91" s="494"/>
      <c r="T91" s="494"/>
      <c r="U91" s="494"/>
      <c r="V91" s="494"/>
      <c r="W91" s="494"/>
      <c r="X91" s="494"/>
      <c r="Y91" s="494"/>
      <c r="Z91" s="494"/>
      <c r="AA91" s="494"/>
      <c r="AB91" s="494"/>
      <c r="AC91" s="494"/>
      <c r="AD91" s="494"/>
      <c r="AE91" s="494"/>
      <c r="AF91" s="494"/>
      <c r="AG91" s="494"/>
      <c r="AH91" s="494"/>
      <c r="AI91" s="494"/>
      <c r="AJ91" s="494"/>
      <c r="AK91" s="494"/>
      <c r="AL91" s="494"/>
      <c r="AM91" s="494"/>
      <c r="AN91" s="494"/>
      <c r="AO91" s="494"/>
      <c r="AP91" s="494"/>
      <c r="AQ91" s="494"/>
      <c r="AR91" s="494"/>
      <c r="AS91" s="494"/>
      <c r="AT91" s="494"/>
      <c r="AU91" s="494"/>
      <c r="AV91" s="494"/>
      <c r="AW91" s="494"/>
      <c r="AX91" s="494"/>
      <c r="AY91" s="494"/>
      <c r="AZ91" s="494"/>
      <c r="BA91" s="494"/>
      <c r="BB91" s="494"/>
      <c r="BC91" s="494"/>
      <c r="BD91" s="494"/>
      <c r="BE91" s="494"/>
      <c r="BF91" s="494"/>
      <c r="BG91" s="494"/>
      <c r="BH91" s="494"/>
      <c r="BI91" s="494"/>
      <c r="BJ91" s="494"/>
      <c r="BK91" s="494"/>
      <c r="BL91" s="494"/>
      <c r="BM91" s="494"/>
      <c r="BN91" s="494"/>
      <c r="BO91" s="494"/>
      <c r="BP91" s="494"/>
      <c r="BQ91" s="494"/>
      <c r="BR91" s="494"/>
      <c r="BS91" s="494"/>
      <c r="BT91" s="494"/>
      <c r="BU91" s="494"/>
      <c r="BV91" s="494"/>
      <c r="BW91" s="494"/>
      <c r="BX91" s="494"/>
      <c r="BY91" s="494"/>
      <c r="BZ91" s="494"/>
      <c r="CA91" s="494"/>
      <c r="CB91" s="494"/>
      <c r="CC91" s="494"/>
      <c r="CD91" s="494"/>
      <c r="CE91" s="494"/>
      <c r="CF91" s="494"/>
      <c r="CG91" s="494"/>
      <c r="CH91" s="494"/>
      <c r="CI91" s="494"/>
      <c r="CJ91" s="494"/>
      <c r="CK91" s="494"/>
      <c r="CL91" s="494"/>
      <c r="CM91" s="494"/>
    </row>
    <row r="92" spans="2:91" s="493" customFormat="1">
      <c r="B92" s="494"/>
      <c r="C92" s="494"/>
      <c r="H92" s="495"/>
      <c r="I92" s="495"/>
      <c r="J92" s="495"/>
      <c r="K92" s="495"/>
      <c r="M92" s="494"/>
      <c r="N92" s="494"/>
      <c r="O92" s="494"/>
      <c r="P92" s="494"/>
      <c r="Q92" s="494"/>
      <c r="R92" s="494"/>
      <c r="S92" s="494"/>
      <c r="T92" s="494"/>
      <c r="U92" s="494"/>
      <c r="V92" s="494"/>
      <c r="W92" s="494"/>
      <c r="X92" s="494"/>
      <c r="Y92" s="494"/>
      <c r="Z92" s="494"/>
      <c r="AA92" s="494"/>
      <c r="AB92" s="494"/>
      <c r="AC92" s="494"/>
      <c r="AD92" s="494"/>
      <c r="AE92" s="494"/>
      <c r="AF92" s="494"/>
      <c r="AG92" s="494"/>
      <c r="AH92" s="494"/>
      <c r="AI92" s="494"/>
      <c r="AJ92" s="494"/>
      <c r="AK92" s="494"/>
      <c r="AL92" s="494"/>
      <c r="AM92" s="494"/>
      <c r="AN92" s="494"/>
      <c r="AO92" s="494"/>
      <c r="AP92" s="494"/>
      <c r="AQ92" s="494"/>
      <c r="AR92" s="494"/>
      <c r="AS92" s="494"/>
      <c r="AT92" s="494"/>
      <c r="AU92" s="494"/>
      <c r="AV92" s="494"/>
      <c r="AW92" s="494"/>
      <c r="AX92" s="494"/>
      <c r="AY92" s="494"/>
      <c r="AZ92" s="494"/>
      <c r="BA92" s="494"/>
      <c r="BB92" s="494"/>
      <c r="BC92" s="494"/>
      <c r="BD92" s="494"/>
      <c r="BE92" s="494"/>
      <c r="BF92" s="494"/>
      <c r="BG92" s="494"/>
      <c r="BH92" s="494"/>
      <c r="BI92" s="494"/>
      <c r="BJ92" s="494"/>
      <c r="BK92" s="494"/>
      <c r="BL92" s="494"/>
      <c r="BM92" s="494"/>
      <c r="BN92" s="494"/>
      <c r="BO92" s="494"/>
      <c r="BP92" s="494"/>
      <c r="BQ92" s="494"/>
      <c r="BR92" s="494"/>
      <c r="BS92" s="494"/>
      <c r="BT92" s="494"/>
      <c r="BU92" s="494"/>
      <c r="BV92" s="494"/>
      <c r="BW92" s="494"/>
      <c r="BX92" s="494"/>
      <c r="BY92" s="494"/>
      <c r="BZ92" s="494"/>
      <c r="CA92" s="494"/>
      <c r="CB92" s="494"/>
      <c r="CC92" s="494"/>
      <c r="CD92" s="494"/>
      <c r="CE92" s="494"/>
      <c r="CF92" s="494"/>
      <c r="CG92" s="494"/>
      <c r="CH92" s="494"/>
      <c r="CI92" s="494"/>
      <c r="CJ92" s="494"/>
      <c r="CK92" s="494"/>
      <c r="CL92" s="494"/>
      <c r="CM92" s="494"/>
    </row>
    <row r="93" spans="2:91" s="493" customFormat="1">
      <c r="B93" s="494"/>
      <c r="C93" s="494"/>
      <c r="H93" s="495"/>
      <c r="I93" s="495"/>
      <c r="J93" s="495"/>
      <c r="K93" s="495"/>
      <c r="M93" s="494"/>
      <c r="N93" s="494"/>
      <c r="O93" s="494"/>
      <c r="P93" s="494"/>
      <c r="Q93" s="494"/>
      <c r="R93" s="494"/>
      <c r="S93" s="494"/>
      <c r="T93" s="494"/>
      <c r="U93" s="494"/>
      <c r="V93" s="494"/>
      <c r="W93" s="494"/>
      <c r="X93" s="494"/>
      <c r="Y93" s="494"/>
      <c r="Z93" s="494"/>
      <c r="AA93" s="494"/>
      <c r="AB93" s="494"/>
      <c r="AC93" s="494"/>
      <c r="AD93" s="494"/>
      <c r="AE93" s="494"/>
      <c r="AF93" s="494"/>
      <c r="AG93" s="494"/>
      <c r="AH93" s="494"/>
      <c r="AI93" s="494"/>
      <c r="AJ93" s="494"/>
      <c r="AK93" s="494"/>
      <c r="AL93" s="494"/>
      <c r="AM93" s="494"/>
      <c r="AN93" s="494"/>
      <c r="AO93" s="494"/>
      <c r="AP93" s="494"/>
      <c r="AQ93" s="494"/>
      <c r="AR93" s="494"/>
      <c r="AS93" s="494"/>
      <c r="AT93" s="494"/>
      <c r="AU93" s="494"/>
      <c r="AV93" s="494"/>
      <c r="AW93" s="494"/>
      <c r="AX93" s="494"/>
      <c r="AY93" s="494"/>
      <c r="AZ93" s="494"/>
      <c r="BA93" s="494"/>
      <c r="BB93" s="494"/>
      <c r="BC93" s="494"/>
      <c r="BD93" s="494"/>
      <c r="BE93" s="494"/>
      <c r="BF93" s="494"/>
      <c r="BG93" s="494"/>
      <c r="BH93" s="494"/>
      <c r="BI93" s="494"/>
      <c r="BJ93" s="494"/>
      <c r="BK93" s="494"/>
      <c r="BL93" s="494"/>
      <c r="BM93" s="494"/>
      <c r="BN93" s="494"/>
      <c r="BO93" s="494"/>
      <c r="BP93" s="494"/>
      <c r="BQ93" s="494"/>
      <c r="BR93" s="494"/>
      <c r="BS93" s="494"/>
      <c r="BT93" s="494"/>
      <c r="BU93" s="494"/>
      <c r="BV93" s="494"/>
      <c r="BW93" s="494"/>
      <c r="BX93" s="494"/>
      <c r="BY93" s="494"/>
      <c r="BZ93" s="494"/>
      <c r="CA93" s="494"/>
      <c r="CB93" s="494"/>
      <c r="CC93" s="494"/>
      <c r="CD93" s="494"/>
      <c r="CE93" s="494"/>
      <c r="CF93" s="494"/>
      <c r="CG93" s="494"/>
      <c r="CH93" s="494"/>
      <c r="CI93" s="494"/>
      <c r="CJ93" s="494"/>
      <c r="CK93" s="494"/>
      <c r="CL93" s="494"/>
      <c r="CM93" s="494"/>
    </row>
    <row r="94" spans="2:91" s="493" customFormat="1">
      <c r="B94" s="494"/>
      <c r="C94" s="494"/>
      <c r="H94" s="495"/>
      <c r="I94" s="495"/>
      <c r="J94" s="495"/>
      <c r="K94" s="495"/>
      <c r="M94" s="494"/>
      <c r="N94" s="494"/>
      <c r="O94" s="494"/>
      <c r="P94" s="494"/>
      <c r="Q94" s="494"/>
      <c r="R94" s="494"/>
      <c r="S94" s="494"/>
      <c r="T94" s="494"/>
      <c r="U94" s="494"/>
      <c r="V94" s="494"/>
      <c r="W94" s="494"/>
      <c r="X94" s="494"/>
      <c r="Y94" s="494"/>
      <c r="Z94" s="494"/>
      <c r="AA94" s="494"/>
      <c r="AB94" s="494"/>
      <c r="AC94" s="494"/>
      <c r="AD94" s="494"/>
      <c r="AE94" s="494"/>
      <c r="AF94" s="494"/>
      <c r="AG94" s="494"/>
      <c r="AH94" s="494"/>
      <c r="AI94" s="494"/>
      <c r="AJ94" s="494"/>
      <c r="AK94" s="494"/>
      <c r="AL94" s="494"/>
      <c r="AM94" s="494"/>
      <c r="AN94" s="494"/>
      <c r="AO94" s="494"/>
      <c r="AP94" s="494"/>
      <c r="AQ94" s="494"/>
      <c r="AR94" s="494"/>
      <c r="AS94" s="494"/>
      <c r="AT94" s="494"/>
      <c r="AU94" s="494"/>
      <c r="AV94" s="494"/>
      <c r="AW94" s="494"/>
      <c r="AX94" s="494"/>
      <c r="AY94" s="494"/>
      <c r="AZ94" s="494"/>
      <c r="BA94" s="494"/>
      <c r="BB94" s="494"/>
      <c r="BC94" s="494"/>
      <c r="BD94" s="494"/>
      <c r="BE94" s="494"/>
      <c r="BF94" s="494"/>
      <c r="BG94" s="494"/>
      <c r="BH94" s="494"/>
      <c r="BI94" s="494"/>
      <c r="BJ94" s="494"/>
      <c r="BK94" s="494"/>
      <c r="BL94" s="494"/>
      <c r="BM94" s="494"/>
      <c r="BN94" s="494"/>
      <c r="BO94" s="494"/>
      <c r="BP94" s="494"/>
      <c r="BQ94" s="494"/>
      <c r="BR94" s="494"/>
      <c r="BS94" s="494"/>
      <c r="BT94" s="494"/>
      <c r="BU94" s="494"/>
      <c r="BV94" s="494"/>
      <c r="BW94" s="494"/>
      <c r="BX94" s="494"/>
      <c r="BY94" s="494"/>
      <c r="BZ94" s="494"/>
      <c r="CA94" s="494"/>
      <c r="CB94" s="494"/>
      <c r="CC94" s="494"/>
      <c r="CD94" s="494"/>
      <c r="CE94" s="494"/>
      <c r="CF94" s="494"/>
      <c r="CG94" s="494"/>
      <c r="CH94" s="494"/>
      <c r="CI94" s="494"/>
      <c r="CJ94" s="494"/>
      <c r="CK94" s="494"/>
      <c r="CL94" s="494"/>
      <c r="CM94" s="494"/>
    </row>
    <row r="95" spans="2:91" s="493" customFormat="1">
      <c r="B95" s="494"/>
      <c r="C95" s="494"/>
      <c r="H95" s="495"/>
      <c r="I95" s="495"/>
      <c r="J95" s="495"/>
      <c r="K95" s="495"/>
      <c r="M95" s="494"/>
      <c r="N95" s="494"/>
      <c r="O95" s="494"/>
      <c r="P95" s="494"/>
      <c r="Q95" s="494"/>
      <c r="R95" s="494"/>
      <c r="S95" s="494"/>
      <c r="T95" s="494"/>
      <c r="U95" s="494"/>
      <c r="V95" s="494"/>
      <c r="W95" s="494"/>
      <c r="X95" s="494"/>
      <c r="Y95" s="494"/>
      <c r="Z95" s="494"/>
      <c r="AA95" s="494"/>
      <c r="AB95" s="494"/>
      <c r="AC95" s="494"/>
      <c r="AD95" s="494"/>
      <c r="AE95" s="494"/>
      <c r="AF95" s="494"/>
      <c r="AG95" s="494"/>
      <c r="AH95" s="494"/>
      <c r="AI95" s="494"/>
      <c r="AJ95" s="494"/>
      <c r="AK95" s="494"/>
      <c r="AL95" s="494"/>
      <c r="AM95" s="494"/>
      <c r="AN95" s="494"/>
      <c r="AO95" s="494"/>
      <c r="AP95" s="494"/>
      <c r="AQ95" s="494"/>
      <c r="AR95" s="494"/>
      <c r="AS95" s="494"/>
      <c r="AT95" s="494"/>
      <c r="AU95" s="494"/>
      <c r="AV95" s="494"/>
      <c r="AW95" s="494"/>
      <c r="AX95" s="494"/>
      <c r="AY95" s="494"/>
      <c r="AZ95" s="494"/>
      <c r="BA95" s="494"/>
      <c r="BB95" s="494"/>
      <c r="BC95" s="494"/>
      <c r="BD95" s="494"/>
      <c r="BE95" s="494"/>
      <c r="BF95" s="494"/>
      <c r="BG95" s="494"/>
      <c r="BH95" s="494"/>
      <c r="BI95" s="494"/>
      <c r="BJ95" s="494"/>
      <c r="BK95" s="494"/>
      <c r="BL95" s="494"/>
      <c r="BM95" s="494"/>
      <c r="BN95" s="494"/>
      <c r="BO95" s="494"/>
      <c r="BP95" s="494"/>
      <c r="BQ95" s="494"/>
      <c r="BR95" s="494"/>
      <c r="BS95" s="494"/>
      <c r="BT95" s="494"/>
      <c r="BU95" s="494"/>
      <c r="BV95" s="494"/>
      <c r="BW95" s="494"/>
      <c r="BX95" s="494"/>
      <c r="BY95" s="494"/>
      <c r="BZ95" s="494"/>
      <c r="CA95" s="494"/>
      <c r="CB95" s="494"/>
      <c r="CC95" s="494"/>
      <c r="CD95" s="494"/>
      <c r="CE95" s="494"/>
      <c r="CF95" s="494"/>
      <c r="CG95" s="494"/>
      <c r="CH95" s="494"/>
      <c r="CI95" s="494"/>
      <c r="CJ95" s="494"/>
      <c r="CK95" s="494"/>
      <c r="CL95" s="494"/>
      <c r="CM95" s="494"/>
    </row>
    <row r="96" spans="2:91" s="493" customFormat="1">
      <c r="B96" s="494"/>
      <c r="C96" s="494"/>
      <c r="H96" s="495"/>
      <c r="I96" s="495"/>
      <c r="J96" s="495"/>
      <c r="K96" s="495"/>
      <c r="M96" s="494"/>
      <c r="N96" s="494"/>
      <c r="O96" s="494"/>
      <c r="P96" s="494"/>
      <c r="Q96" s="494"/>
      <c r="R96" s="494"/>
      <c r="S96" s="494"/>
      <c r="T96" s="494"/>
      <c r="U96" s="494"/>
      <c r="V96" s="494"/>
      <c r="W96" s="494"/>
      <c r="X96" s="494"/>
      <c r="Y96" s="494"/>
      <c r="Z96" s="494"/>
      <c r="AA96" s="494"/>
      <c r="AB96" s="494"/>
      <c r="AC96" s="494"/>
      <c r="AD96" s="494"/>
      <c r="AE96" s="494"/>
      <c r="AF96" s="494"/>
      <c r="AG96" s="494"/>
      <c r="AH96" s="494"/>
      <c r="AI96" s="494"/>
      <c r="AJ96" s="494"/>
      <c r="AK96" s="494"/>
      <c r="AL96" s="494"/>
      <c r="AM96" s="494"/>
      <c r="AN96" s="494"/>
      <c r="AO96" s="494"/>
      <c r="AP96" s="494"/>
      <c r="AQ96" s="494"/>
      <c r="AR96" s="494"/>
      <c r="AS96" s="494"/>
      <c r="AT96" s="494"/>
      <c r="AU96" s="494"/>
      <c r="AV96" s="494"/>
      <c r="AW96" s="494"/>
      <c r="AX96" s="494"/>
      <c r="AY96" s="494"/>
      <c r="AZ96" s="494"/>
      <c r="BA96" s="494"/>
      <c r="BB96" s="494"/>
      <c r="BC96" s="494"/>
      <c r="BD96" s="494"/>
      <c r="BE96" s="494"/>
      <c r="BF96" s="494"/>
      <c r="BG96" s="494"/>
      <c r="BH96" s="494"/>
      <c r="BI96" s="494"/>
      <c r="BJ96" s="494"/>
      <c r="BK96" s="494"/>
      <c r="BL96" s="494"/>
      <c r="BM96" s="494"/>
      <c r="BN96" s="494"/>
      <c r="BO96" s="494"/>
      <c r="BP96" s="494"/>
      <c r="BQ96" s="494"/>
      <c r="BR96" s="494"/>
      <c r="BS96" s="494"/>
      <c r="BT96" s="494"/>
      <c r="BU96" s="494"/>
      <c r="BV96" s="494"/>
      <c r="BW96" s="494"/>
      <c r="BX96" s="494"/>
      <c r="BY96" s="494"/>
      <c r="BZ96" s="494"/>
      <c r="CA96" s="494"/>
      <c r="CB96" s="494"/>
      <c r="CC96" s="494"/>
      <c r="CD96" s="494"/>
      <c r="CE96" s="494"/>
      <c r="CF96" s="494"/>
      <c r="CG96" s="494"/>
      <c r="CH96" s="494"/>
      <c r="CI96" s="494"/>
      <c r="CJ96" s="494"/>
      <c r="CK96" s="494"/>
      <c r="CL96" s="494"/>
      <c r="CM96" s="494"/>
    </row>
    <row r="97" spans="2:91" s="493" customFormat="1">
      <c r="B97" s="494"/>
      <c r="C97" s="494"/>
      <c r="H97" s="495"/>
      <c r="I97" s="495"/>
      <c r="J97" s="495"/>
      <c r="K97" s="495"/>
      <c r="M97" s="494"/>
      <c r="N97" s="494"/>
      <c r="O97" s="494"/>
      <c r="P97" s="494"/>
      <c r="Q97" s="494"/>
      <c r="R97" s="494"/>
      <c r="S97" s="494"/>
      <c r="T97" s="494"/>
      <c r="U97" s="494"/>
      <c r="V97" s="494"/>
      <c r="W97" s="494"/>
      <c r="X97" s="494"/>
      <c r="Y97" s="494"/>
      <c r="Z97" s="494"/>
      <c r="AA97" s="494"/>
      <c r="AB97" s="494"/>
      <c r="AC97" s="494"/>
      <c r="AD97" s="494"/>
      <c r="AE97" s="494"/>
      <c r="AF97" s="494"/>
      <c r="AG97" s="494"/>
      <c r="AH97" s="494"/>
      <c r="AI97" s="494"/>
      <c r="AJ97" s="494"/>
      <c r="AK97" s="494"/>
      <c r="AL97" s="494"/>
      <c r="AM97" s="494"/>
      <c r="AN97" s="494"/>
      <c r="AO97" s="494"/>
      <c r="AP97" s="494"/>
      <c r="AQ97" s="494"/>
      <c r="AR97" s="494"/>
      <c r="AS97" s="494"/>
      <c r="AT97" s="494"/>
      <c r="AU97" s="494"/>
      <c r="AV97" s="494"/>
      <c r="AW97" s="494"/>
      <c r="AX97" s="494"/>
      <c r="AY97" s="494"/>
      <c r="AZ97" s="494"/>
      <c r="BA97" s="494"/>
      <c r="BB97" s="494"/>
      <c r="BC97" s="494"/>
      <c r="BD97" s="494"/>
      <c r="BE97" s="494"/>
      <c r="BF97" s="494"/>
      <c r="BG97" s="494"/>
      <c r="BH97" s="494"/>
      <c r="BI97" s="494"/>
      <c r="BJ97" s="494"/>
      <c r="BK97" s="494"/>
      <c r="BL97" s="494"/>
      <c r="BM97" s="494"/>
      <c r="BN97" s="494"/>
      <c r="BO97" s="494"/>
      <c r="BP97" s="494"/>
      <c r="BQ97" s="494"/>
      <c r="BR97" s="494"/>
      <c r="BS97" s="494"/>
      <c r="BT97" s="494"/>
      <c r="BU97" s="494"/>
      <c r="BV97" s="494"/>
      <c r="BW97" s="494"/>
      <c r="BX97" s="494"/>
      <c r="BY97" s="494"/>
      <c r="BZ97" s="494"/>
      <c r="CA97" s="494"/>
      <c r="CB97" s="494"/>
      <c r="CC97" s="494"/>
      <c r="CD97" s="494"/>
      <c r="CE97" s="494"/>
      <c r="CF97" s="494"/>
      <c r="CG97" s="494"/>
      <c r="CH97" s="494"/>
      <c r="CI97" s="494"/>
      <c r="CJ97" s="494"/>
      <c r="CK97" s="494"/>
      <c r="CL97" s="494"/>
      <c r="CM97" s="494"/>
    </row>
    <row r="98" spans="2:91" s="493" customFormat="1">
      <c r="B98" s="494"/>
      <c r="C98" s="494"/>
      <c r="H98" s="495"/>
      <c r="I98" s="495"/>
      <c r="J98" s="495"/>
      <c r="K98" s="495"/>
      <c r="M98" s="494"/>
      <c r="N98" s="494"/>
      <c r="O98" s="494"/>
      <c r="P98" s="494"/>
      <c r="Q98" s="494"/>
      <c r="R98" s="494"/>
      <c r="S98" s="494"/>
      <c r="T98" s="494"/>
      <c r="U98" s="494"/>
      <c r="V98" s="494"/>
      <c r="W98" s="494"/>
      <c r="X98" s="494"/>
      <c r="Y98" s="494"/>
      <c r="Z98" s="494"/>
      <c r="AA98" s="494"/>
      <c r="AB98" s="494"/>
      <c r="AC98" s="494"/>
      <c r="AD98" s="494"/>
      <c r="AE98" s="494"/>
      <c r="AF98" s="494"/>
      <c r="AG98" s="494"/>
      <c r="AH98" s="494"/>
      <c r="AI98" s="494"/>
      <c r="AJ98" s="494"/>
      <c r="AK98" s="494"/>
      <c r="AL98" s="494"/>
      <c r="AM98" s="494"/>
      <c r="AN98" s="494"/>
      <c r="AO98" s="494"/>
      <c r="AP98" s="494"/>
      <c r="AQ98" s="494"/>
      <c r="AR98" s="494"/>
      <c r="AS98" s="494"/>
      <c r="AT98" s="494"/>
      <c r="AU98" s="494"/>
      <c r="AV98" s="494"/>
      <c r="AW98" s="494"/>
      <c r="AX98" s="494"/>
      <c r="AY98" s="494"/>
      <c r="AZ98" s="494"/>
      <c r="BA98" s="494"/>
      <c r="BB98" s="494"/>
      <c r="BC98" s="494"/>
      <c r="BD98" s="494"/>
      <c r="BE98" s="494"/>
      <c r="BF98" s="494"/>
      <c r="BG98" s="494"/>
      <c r="BH98" s="494"/>
      <c r="BI98" s="494"/>
      <c r="BJ98" s="494"/>
      <c r="BK98" s="494"/>
      <c r="BL98" s="494"/>
      <c r="BM98" s="494"/>
      <c r="BN98" s="494"/>
      <c r="BO98" s="494"/>
      <c r="BP98" s="494"/>
      <c r="BQ98" s="494"/>
      <c r="BR98" s="494"/>
      <c r="BS98" s="494"/>
      <c r="BT98" s="494"/>
      <c r="BU98" s="494"/>
      <c r="BV98" s="494"/>
      <c r="BW98" s="494"/>
      <c r="BX98" s="494"/>
      <c r="BY98" s="494"/>
      <c r="BZ98" s="494"/>
      <c r="CA98" s="494"/>
      <c r="CB98" s="494"/>
      <c r="CC98" s="494"/>
      <c r="CD98" s="494"/>
      <c r="CE98" s="494"/>
      <c r="CF98" s="494"/>
      <c r="CG98" s="494"/>
      <c r="CH98" s="494"/>
      <c r="CI98" s="494"/>
      <c r="CJ98" s="494"/>
      <c r="CK98" s="494"/>
      <c r="CL98" s="494"/>
      <c r="CM98" s="494"/>
    </row>
  </sheetData>
  <mergeCells count="4">
    <mergeCell ref="D5:G5"/>
    <mergeCell ref="H5:K5"/>
    <mergeCell ref="M5:P5"/>
    <mergeCell ref="Q5:T5"/>
  </mergeCells>
  <pageMargins left="0.7" right="0.7" top="0.75" bottom="0.75" header="0.3" footer="0.3"/>
  <pageSetup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AV17"/>
  <sheetViews>
    <sheetView zoomScale="108" zoomScaleNormal="80" workbookViewId="0">
      <selection activeCell="L30" sqref="L30"/>
    </sheetView>
  </sheetViews>
  <sheetFormatPr defaultColWidth="9.140625" defaultRowHeight="15"/>
  <cols>
    <col min="1" max="1" width="11" style="416" bestFit="1" customWidth="1"/>
    <col min="2" max="2" width="18.140625" style="416" bestFit="1" customWidth="1"/>
    <col min="3" max="3" width="13.5703125" style="416" customWidth="1"/>
    <col min="4" max="4" width="13.7109375" style="416" customWidth="1"/>
    <col min="5" max="5" width="1" style="416" customWidth="1"/>
    <col min="6" max="6" width="7.140625" style="416" customWidth="1"/>
    <col min="7" max="9" width="8.7109375" style="416" customWidth="1"/>
    <col min="10" max="11" width="8.85546875" style="416" customWidth="1"/>
    <col min="12" max="12" width="9.140625" style="416"/>
    <col min="13" max="13" width="9.85546875" style="416" customWidth="1"/>
    <col min="14" max="16" width="9.140625" style="416" customWidth="1"/>
    <col min="17" max="16384" width="9.140625" style="416"/>
  </cols>
  <sheetData>
    <row r="1" spans="1:48">
      <c r="B1" s="564"/>
    </row>
    <row r="2" spans="1:48" ht="6" customHeight="1" thickBot="1">
      <c r="B2" s="552"/>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553"/>
      <c r="AL2" s="553"/>
      <c r="AM2" s="553"/>
      <c r="AN2" s="553"/>
      <c r="AO2" s="553"/>
      <c r="AP2" s="553"/>
      <c r="AQ2" s="553"/>
      <c r="AR2" s="553"/>
      <c r="AS2" s="553"/>
      <c r="AT2" s="553"/>
    </row>
    <row r="3" spans="1:48" ht="6" customHeight="1" thickTop="1">
      <c r="B3" s="418"/>
    </row>
    <row r="4" spans="1:48">
      <c r="B4" s="554" t="s">
        <v>99</v>
      </c>
      <c r="C4" s="554" t="s">
        <v>101</v>
      </c>
      <c r="D4" s="554" t="s">
        <v>170</v>
      </c>
      <c r="E4" s="551"/>
      <c r="F4" s="555" t="s">
        <v>165</v>
      </c>
      <c r="G4" s="551"/>
      <c r="H4" s="551"/>
      <c r="I4" s="551"/>
      <c r="J4" s="551"/>
      <c r="K4" s="551"/>
      <c r="L4" s="429"/>
      <c r="M4" s="429"/>
      <c r="N4" s="429"/>
      <c r="O4" s="429"/>
      <c r="P4" s="429"/>
      <c r="Q4" s="429"/>
      <c r="R4" s="429"/>
      <c r="S4" s="429"/>
      <c r="T4" s="429"/>
      <c r="U4" s="429"/>
      <c r="V4" s="429"/>
      <c r="W4" s="429"/>
      <c r="X4" s="429"/>
      <c r="Y4" s="429"/>
      <c r="Z4" s="429"/>
      <c r="AA4" s="429"/>
      <c r="AB4" s="429"/>
      <c r="AC4" s="429"/>
      <c r="AD4" s="429"/>
      <c r="AE4" s="429"/>
      <c r="AF4" s="429"/>
      <c r="AG4" s="429"/>
      <c r="AH4" s="429"/>
      <c r="AI4" s="429"/>
      <c r="AJ4" s="429"/>
      <c r="AK4" s="429"/>
      <c r="AL4" s="429"/>
      <c r="AM4" s="429"/>
      <c r="AN4" s="429"/>
      <c r="AO4" s="429"/>
      <c r="AP4" s="429"/>
      <c r="AQ4" s="429"/>
      <c r="AR4" s="429"/>
      <c r="AS4" s="429"/>
      <c r="AT4" s="429"/>
      <c r="AU4" s="429"/>
      <c r="AV4" s="429"/>
    </row>
    <row r="5" spans="1:48">
      <c r="B5" s="265"/>
      <c r="C5" s="556" t="s">
        <v>102</v>
      </c>
      <c r="D5" s="556" t="s">
        <v>171</v>
      </c>
      <c r="E5" s="557"/>
      <c r="F5" s="462">
        <v>1</v>
      </c>
      <c r="G5" s="462">
        <v>2</v>
      </c>
      <c r="H5" s="462">
        <v>3</v>
      </c>
      <c r="I5" s="462">
        <v>4</v>
      </c>
      <c r="J5" s="462">
        <v>5</v>
      </c>
      <c r="K5" s="462">
        <v>6</v>
      </c>
      <c r="L5" s="462">
        <v>7</v>
      </c>
      <c r="M5" s="462">
        <v>8</v>
      </c>
      <c r="N5" s="462">
        <v>9</v>
      </c>
      <c r="O5" s="462">
        <v>10</v>
      </c>
      <c r="P5" s="462">
        <v>11</v>
      </c>
      <c r="Q5" s="462">
        <v>12</v>
      </c>
      <c r="R5" s="462">
        <v>13</v>
      </c>
      <c r="S5" s="462">
        <v>14</v>
      </c>
      <c r="T5" s="462">
        <v>15</v>
      </c>
      <c r="U5" s="462">
        <v>16</v>
      </c>
      <c r="V5" s="462">
        <v>17</v>
      </c>
      <c r="W5" s="462">
        <v>18</v>
      </c>
      <c r="X5" s="462">
        <v>19</v>
      </c>
      <c r="Y5" s="462">
        <v>20</v>
      </c>
      <c r="Z5" s="462">
        <v>21</v>
      </c>
      <c r="AA5" s="462">
        <v>22</v>
      </c>
      <c r="AB5" s="462">
        <v>23</v>
      </c>
      <c r="AC5" s="462">
        <v>24</v>
      </c>
      <c r="AD5" s="462">
        <v>25</v>
      </c>
      <c r="AE5" s="462">
        <v>26</v>
      </c>
      <c r="AF5" s="462">
        <v>27</v>
      </c>
      <c r="AG5" s="462">
        <v>28</v>
      </c>
      <c r="AH5" s="462">
        <v>29</v>
      </c>
      <c r="AI5" s="462">
        <v>30</v>
      </c>
      <c r="AJ5" s="462">
        <v>31</v>
      </c>
      <c r="AK5" s="462">
        <v>32</v>
      </c>
      <c r="AL5" s="462">
        <v>33</v>
      </c>
      <c r="AM5" s="462">
        <v>34</v>
      </c>
      <c r="AN5" s="462">
        <v>35</v>
      </c>
      <c r="AO5" s="462">
        <v>36</v>
      </c>
      <c r="AP5" s="462">
        <v>37</v>
      </c>
      <c r="AQ5" s="462">
        <v>38</v>
      </c>
      <c r="AR5" s="462">
        <v>39</v>
      </c>
      <c r="AS5" s="462">
        <v>40</v>
      </c>
      <c r="AT5" s="462" t="s">
        <v>58</v>
      </c>
      <c r="AU5" s="429"/>
      <c r="AV5" s="429"/>
    </row>
    <row r="6" spans="1:48" ht="6" customHeight="1">
      <c r="B6" s="558"/>
      <c r="C6" s="286"/>
      <c r="D6" s="286"/>
      <c r="E6" s="559"/>
      <c r="F6" s="464"/>
      <c r="G6" s="464"/>
      <c r="H6" s="464"/>
      <c r="I6" s="464"/>
      <c r="J6" s="464"/>
      <c r="K6" s="464"/>
      <c r="L6" s="464"/>
      <c r="M6" s="464"/>
      <c r="N6" s="464"/>
      <c r="O6" s="464"/>
      <c r="P6" s="464"/>
      <c r="Q6" s="464"/>
      <c r="R6" s="464"/>
      <c r="S6" s="464"/>
      <c r="T6" s="464"/>
      <c r="U6" s="464"/>
      <c r="V6" s="464"/>
      <c r="W6" s="464"/>
      <c r="X6" s="464"/>
      <c r="Y6" s="464"/>
      <c r="Z6" s="464"/>
      <c r="AA6" s="464"/>
      <c r="AB6" s="464"/>
      <c r="AC6" s="464"/>
      <c r="AD6" s="464"/>
      <c r="AE6" s="464"/>
      <c r="AF6" s="464"/>
      <c r="AG6" s="464"/>
      <c r="AH6" s="464"/>
      <c r="AI6" s="464"/>
      <c r="AJ6" s="464"/>
      <c r="AK6" s="464"/>
      <c r="AL6" s="464"/>
      <c r="AM6" s="464"/>
      <c r="AN6" s="464"/>
      <c r="AO6" s="464"/>
      <c r="AP6" s="464"/>
      <c r="AQ6" s="464"/>
      <c r="AR6" s="464"/>
      <c r="AS6" s="464"/>
      <c r="AT6" s="464"/>
      <c r="AU6" s="429"/>
      <c r="AV6" s="429"/>
    </row>
    <row r="7" spans="1:48" ht="6" customHeight="1">
      <c r="B7" s="265"/>
      <c r="C7" s="281"/>
      <c r="D7" s="281"/>
      <c r="E7" s="557"/>
      <c r="F7" s="462"/>
      <c r="G7" s="462"/>
      <c r="H7" s="462"/>
      <c r="I7" s="462"/>
      <c r="J7" s="462"/>
      <c r="K7" s="462"/>
      <c r="L7" s="462"/>
      <c r="M7" s="462"/>
      <c r="N7" s="462"/>
      <c r="O7" s="462"/>
      <c r="P7" s="462"/>
      <c r="Q7" s="462"/>
      <c r="R7" s="462"/>
      <c r="S7" s="462"/>
      <c r="T7" s="462"/>
      <c r="U7" s="462"/>
      <c r="V7" s="462"/>
      <c r="W7" s="462"/>
      <c r="X7" s="462"/>
      <c r="Y7" s="462"/>
      <c r="Z7" s="462"/>
      <c r="AA7" s="462"/>
      <c r="AB7" s="462"/>
      <c r="AC7" s="462"/>
      <c r="AD7" s="462"/>
      <c r="AE7" s="462"/>
      <c r="AF7" s="462"/>
      <c r="AG7" s="462"/>
      <c r="AH7" s="462"/>
      <c r="AI7" s="462"/>
      <c r="AJ7" s="462"/>
      <c r="AK7" s="462"/>
      <c r="AL7" s="462"/>
      <c r="AM7" s="462"/>
      <c r="AN7" s="462"/>
      <c r="AO7" s="462"/>
      <c r="AP7" s="462"/>
      <c r="AQ7" s="462"/>
      <c r="AR7" s="462"/>
      <c r="AS7" s="462"/>
      <c r="AT7" s="462"/>
      <c r="AU7" s="429"/>
      <c r="AV7" s="429"/>
    </row>
    <row r="8" spans="1:48" ht="25.5">
      <c r="A8" s="560" t="s">
        <v>76</v>
      </c>
      <c r="B8" s="565" t="s">
        <v>117</v>
      </c>
      <c r="C8" s="566">
        <v>20</v>
      </c>
      <c r="D8" s="567">
        <v>13</v>
      </c>
      <c r="E8" s="568"/>
      <c r="F8" s="569">
        <v>3.6345750544283903E-3</v>
      </c>
      <c r="G8" s="569">
        <v>4.3246615315099962E-3</v>
      </c>
      <c r="H8" s="569">
        <v>2.6095367371883692E-2</v>
      </c>
      <c r="I8" s="569">
        <v>8.044825405877901E-3</v>
      </c>
      <c r="J8" s="569">
        <v>1.7548060214536962E-2</v>
      </c>
      <c r="K8" s="569">
        <v>1.1106063474476697E-2</v>
      </c>
      <c r="L8" s="569">
        <v>2.1764487145229324E-2</v>
      </c>
      <c r="M8" s="569">
        <v>2.8867507247646924E-2</v>
      </c>
      <c r="N8" s="569">
        <v>4.0290317125445826E-2</v>
      </c>
      <c r="O8" s="569">
        <v>6.6970801907248079E-2</v>
      </c>
      <c r="P8" s="569">
        <v>8.1358588176437194E-2</v>
      </c>
      <c r="Q8" s="569">
        <v>0.10406969603932698</v>
      </c>
      <c r="R8" s="569">
        <v>0.11570064992021414</v>
      </c>
      <c r="S8" s="569">
        <v>0.12273842162974175</v>
      </c>
      <c r="T8" s="569">
        <v>0.11488866239495879</v>
      </c>
      <c r="U8" s="569">
        <v>0.10159528111144354</v>
      </c>
      <c r="V8" s="569">
        <v>7.7087149238058969E-2</v>
      </c>
      <c r="W8" s="569">
        <v>4.2846180143918167E-2</v>
      </c>
      <c r="X8" s="569">
        <v>9.0524323481927273E-3</v>
      </c>
      <c r="Y8" s="569">
        <v>2.0162725194239704E-3</v>
      </c>
      <c r="Z8" s="569">
        <v>0</v>
      </c>
      <c r="AA8" s="569">
        <v>0</v>
      </c>
      <c r="AB8" s="569">
        <v>0</v>
      </c>
      <c r="AC8" s="569">
        <v>0</v>
      </c>
      <c r="AD8" s="569">
        <v>0</v>
      </c>
      <c r="AE8" s="569">
        <v>0</v>
      </c>
      <c r="AF8" s="569">
        <v>0</v>
      </c>
      <c r="AG8" s="569">
        <v>0</v>
      </c>
      <c r="AH8" s="569">
        <v>0</v>
      </c>
      <c r="AI8" s="569">
        <v>0</v>
      </c>
      <c r="AJ8" s="569">
        <v>0</v>
      </c>
      <c r="AK8" s="569">
        <v>0</v>
      </c>
      <c r="AL8" s="569">
        <v>0</v>
      </c>
      <c r="AM8" s="569">
        <v>0</v>
      </c>
      <c r="AN8" s="569">
        <v>0</v>
      </c>
      <c r="AO8" s="569">
        <v>0</v>
      </c>
      <c r="AP8" s="569">
        <v>0</v>
      </c>
      <c r="AQ8" s="569">
        <v>0</v>
      </c>
      <c r="AR8" s="569">
        <v>0</v>
      </c>
      <c r="AS8" s="569">
        <v>0</v>
      </c>
      <c r="AT8" s="570">
        <f>SUM($F8:$AS8)</f>
        <v>0.99999999999999989</v>
      </c>
      <c r="AU8" s="429"/>
      <c r="AV8" s="429"/>
    </row>
    <row r="9" spans="1:48" ht="25.5">
      <c r="A9" s="560" t="s">
        <v>77</v>
      </c>
      <c r="B9" s="565" t="s">
        <v>118</v>
      </c>
      <c r="C9" s="566">
        <v>32</v>
      </c>
      <c r="D9" s="567">
        <v>20</v>
      </c>
      <c r="E9" s="568"/>
      <c r="F9" s="569">
        <v>1E-4</v>
      </c>
      <c r="G9" s="569">
        <v>5.0000000000000001E-4</v>
      </c>
      <c r="H9" s="569">
        <v>5.0000000000000001E-4</v>
      </c>
      <c r="I9" s="569">
        <v>1.6899999999999998E-2</v>
      </c>
      <c r="J9" s="569">
        <v>1.6500000000000001E-2</v>
      </c>
      <c r="K9" s="569">
        <v>2.3999999999999998E-3</v>
      </c>
      <c r="L9" s="569">
        <v>3.5999999999999999E-3</v>
      </c>
      <c r="M9" s="569">
        <v>1.4499999999999999E-2</v>
      </c>
      <c r="N9" s="569">
        <v>1.5300000000000001E-2</v>
      </c>
      <c r="O9" s="569">
        <v>1.2800000000000001E-2</v>
      </c>
      <c r="P9" s="569">
        <v>1.3600000000000001E-2</v>
      </c>
      <c r="Q9" s="569">
        <v>1.44E-2</v>
      </c>
      <c r="R9" s="569">
        <v>2.75E-2</v>
      </c>
      <c r="S9" s="569">
        <v>3.8900000000000004E-2</v>
      </c>
      <c r="T9" s="569">
        <v>4.24E-2</v>
      </c>
      <c r="U9" s="569">
        <v>4.8399999999999999E-2</v>
      </c>
      <c r="V9" s="569">
        <v>5.33E-2</v>
      </c>
      <c r="W9" s="569">
        <v>6.2400000000000004E-2</v>
      </c>
      <c r="X9" s="569">
        <v>6.3600000000000004E-2</v>
      </c>
      <c r="Y9" s="569">
        <v>6.2199999999999998E-2</v>
      </c>
      <c r="Z9" s="569">
        <v>6.4000000000000001E-2</v>
      </c>
      <c r="AA9" s="569">
        <v>6.0700000000000004E-2</v>
      </c>
      <c r="AB9" s="569">
        <v>6.2199999999999998E-2</v>
      </c>
      <c r="AC9" s="569">
        <v>6.2100000000000002E-2</v>
      </c>
      <c r="AD9" s="569">
        <v>5.8700000000000002E-2</v>
      </c>
      <c r="AE9" s="569">
        <v>5.7800000000000004E-2</v>
      </c>
      <c r="AF9" s="569">
        <v>4.9299999999999997E-2</v>
      </c>
      <c r="AG9" s="569">
        <v>4.1599999999999998E-2</v>
      </c>
      <c r="AH9" s="569">
        <v>2.3799999999999998E-2</v>
      </c>
      <c r="AI9" s="569">
        <v>7.0999999999999995E-3</v>
      </c>
      <c r="AJ9" s="569">
        <v>1.7000000000000001E-3</v>
      </c>
      <c r="AK9" s="569">
        <v>1.1999999999999999E-3</v>
      </c>
      <c r="AL9" s="569">
        <v>0</v>
      </c>
      <c r="AM9" s="569">
        <v>0</v>
      </c>
      <c r="AN9" s="569">
        <v>0</v>
      </c>
      <c r="AO9" s="569">
        <v>0</v>
      </c>
      <c r="AP9" s="569">
        <v>0</v>
      </c>
      <c r="AQ9" s="569">
        <v>0</v>
      </c>
      <c r="AR9" s="569">
        <v>0</v>
      </c>
      <c r="AS9" s="569">
        <v>0</v>
      </c>
      <c r="AT9" s="570">
        <f>SUM($F9:$AS9)</f>
        <v>1.0000000000000002</v>
      </c>
      <c r="AU9" s="429"/>
      <c r="AV9" s="429"/>
    </row>
    <row r="10" spans="1:48" ht="25.5">
      <c r="A10" s="560" t="s">
        <v>700</v>
      </c>
      <c r="B10" s="565" t="s">
        <v>654</v>
      </c>
      <c r="C10" s="566">
        <v>16</v>
      </c>
      <c r="D10" s="567">
        <v>8</v>
      </c>
      <c r="E10" s="568"/>
      <c r="F10" s="569">
        <v>9.5999999999999992E-3</v>
      </c>
      <c r="G10" s="569">
        <v>1.5502999999999999E-2</v>
      </c>
      <c r="H10" s="569">
        <v>0.37262800000000001</v>
      </c>
      <c r="I10" s="569">
        <v>1.7845E-2</v>
      </c>
      <c r="J10" s="569">
        <v>1.8693999999999999E-2</v>
      </c>
      <c r="K10" s="569">
        <v>2.1326000000000001E-2</v>
      </c>
      <c r="L10" s="569">
        <v>2.5287E-2</v>
      </c>
      <c r="M10" s="569">
        <v>2.9177999999999999E-2</v>
      </c>
      <c r="N10" s="569">
        <v>3.1455999999999998E-2</v>
      </c>
      <c r="O10" s="569">
        <v>3.1001000000000001E-2</v>
      </c>
      <c r="P10" s="569">
        <v>2.7458E-2</v>
      </c>
      <c r="Q10" s="569">
        <v>0.30551099999999998</v>
      </c>
      <c r="R10" s="569">
        <v>1.3971000000000001E-2</v>
      </c>
      <c r="S10" s="569">
        <v>7.0559999999999998E-3</v>
      </c>
      <c r="T10" s="569">
        <v>2.2269999999999998E-3</v>
      </c>
      <c r="U10" s="569">
        <v>7.1259000000000003E-2</v>
      </c>
      <c r="V10" s="569">
        <v>0</v>
      </c>
      <c r="W10" s="569">
        <v>0</v>
      </c>
      <c r="X10" s="569">
        <v>0</v>
      </c>
      <c r="Y10" s="569">
        <v>0</v>
      </c>
      <c r="Z10" s="569">
        <v>0</v>
      </c>
      <c r="AA10" s="569">
        <v>0</v>
      </c>
      <c r="AB10" s="569">
        <v>0</v>
      </c>
      <c r="AC10" s="569">
        <v>0</v>
      </c>
      <c r="AD10" s="569">
        <v>0</v>
      </c>
      <c r="AE10" s="569">
        <v>0</v>
      </c>
      <c r="AF10" s="569">
        <v>0</v>
      </c>
      <c r="AG10" s="569">
        <v>0</v>
      </c>
      <c r="AH10" s="569">
        <v>0</v>
      </c>
      <c r="AI10" s="569">
        <v>0</v>
      </c>
      <c r="AJ10" s="569">
        <v>0</v>
      </c>
      <c r="AK10" s="569">
        <v>0</v>
      </c>
      <c r="AL10" s="569">
        <v>0</v>
      </c>
      <c r="AM10" s="569">
        <v>0</v>
      </c>
      <c r="AN10" s="569">
        <v>0</v>
      </c>
      <c r="AO10" s="569">
        <v>0</v>
      </c>
      <c r="AP10" s="569">
        <v>0</v>
      </c>
      <c r="AQ10" s="569">
        <v>0</v>
      </c>
      <c r="AR10" s="569">
        <v>0</v>
      </c>
      <c r="AS10" s="569">
        <v>0</v>
      </c>
      <c r="AT10" s="570">
        <f>SUM($F10:$AS10)</f>
        <v>0.99999999999999989</v>
      </c>
      <c r="AU10" s="429"/>
      <c r="AV10" s="429"/>
    </row>
    <row r="11" spans="1:48" ht="6" customHeight="1" thickBot="1">
      <c r="B11" s="56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71"/>
      <c r="AL11" s="571"/>
      <c r="AM11" s="571"/>
      <c r="AN11" s="571"/>
      <c r="AO11" s="571"/>
      <c r="AP11" s="571"/>
      <c r="AQ11" s="571"/>
      <c r="AR11" s="571"/>
      <c r="AS11" s="571"/>
      <c r="AT11" s="571"/>
      <c r="AU11" s="572"/>
      <c r="AV11" s="572"/>
    </row>
    <row r="12" spans="1:48" ht="6" customHeight="1" thickTop="1"/>
    <row r="13" spans="1:48">
      <c r="B13" s="573"/>
      <c r="C13" s="573"/>
      <c r="D13" s="573"/>
      <c r="F13" s="560"/>
      <c r="G13" s="560"/>
      <c r="H13" s="560"/>
      <c r="I13" s="560"/>
      <c r="J13" s="560"/>
      <c r="K13" s="560"/>
      <c r="L13" s="560"/>
      <c r="M13" s="560"/>
      <c r="N13" s="560"/>
      <c r="O13" s="560"/>
      <c r="P13" s="560"/>
      <c r="Q13" s="560"/>
      <c r="R13" s="560"/>
      <c r="S13" s="560"/>
      <c r="T13" s="560"/>
      <c r="U13" s="560"/>
      <c r="V13" s="560"/>
      <c r="W13" s="560"/>
      <c r="X13" s="560"/>
      <c r="Y13" s="560"/>
      <c r="Z13" s="560"/>
      <c r="AA13" s="560"/>
      <c r="AB13" s="560"/>
      <c r="AC13" s="560"/>
      <c r="AD13" s="560"/>
      <c r="AE13" s="560"/>
      <c r="AF13" s="560"/>
      <c r="AG13" s="560"/>
      <c r="AH13" s="560"/>
      <c r="AI13" s="560"/>
      <c r="AJ13" s="560"/>
      <c r="AK13" s="560"/>
      <c r="AL13" s="560"/>
      <c r="AM13" s="560"/>
      <c r="AN13" s="560"/>
      <c r="AO13" s="560"/>
      <c r="AP13" s="560"/>
      <c r="AQ13" s="560"/>
      <c r="AR13" s="560"/>
      <c r="AS13" s="560"/>
      <c r="AT13" s="560"/>
    </row>
    <row r="14" spans="1:48">
      <c r="B14" s="573"/>
      <c r="C14" s="257"/>
      <c r="D14" s="573"/>
      <c r="F14" s="560"/>
      <c r="G14" s="560"/>
      <c r="H14" s="560"/>
      <c r="I14" s="560"/>
      <c r="J14" s="560"/>
      <c r="K14" s="560"/>
      <c r="L14" s="560"/>
      <c r="M14" s="560"/>
      <c r="N14" s="560"/>
      <c r="O14" s="560"/>
      <c r="P14" s="560"/>
      <c r="Q14" s="560"/>
      <c r="R14" s="560"/>
      <c r="S14" s="560"/>
      <c r="T14" s="560"/>
      <c r="U14" s="560"/>
      <c r="V14" s="560"/>
      <c r="W14" s="560"/>
      <c r="X14" s="560"/>
      <c r="Y14" s="560"/>
      <c r="Z14" s="560"/>
      <c r="AA14" s="560"/>
      <c r="AB14" s="560"/>
      <c r="AC14" s="560"/>
      <c r="AD14" s="560"/>
      <c r="AE14" s="560"/>
      <c r="AF14" s="560"/>
      <c r="AG14" s="560"/>
      <c r="AH14" s="560"/>
      <c r="AI14" s="560"/>
      <c r="AJ14" s="560"/>
      <c r="AK14" s="560"/>
      <c r="AL14" s="560"/>
      <c r="AM14" s="560"/>
      <c r="AN14" s="560"/>
      <c r="AO14" s="560"/>
      <c r="AP14" s="560"/>
      <c r="AQ14" s="560"/>
      <c r="AR14" s="560"/>
      <c r="AS14" s="560"/>
      <c r="AT14" s="560"/>
    </row>
    <row r="15" spans="1:48">
      <c r="B15" s="573"/>
      <c r="C15" s="257"/>
      <c r="D15" s="573"/>
    </row>
    <row r="16" spans="1:48">
      <c r="B16" s="573"/>
      <c r="C16" s="573"/>
      <c r="D16" s="573"/>
    </row>
    <row r="17" spans="2:4">
      <c r="B17" s="573"/>
      <c r="C17" s="573"/>
      <c r="D17" s="57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36</vt:i4>
      </vt:variant>
    </vt:vector>
  </HeadingPairs>
  <TitlesOfParts>
    <vt:vector size="72" baseType="lpstr">
      <vt:lpstr>Report - Tables &amp; Figures &gt;&gt;</vt:lpstr>
      <vt:lpstr>CONE Summary - Gas</vt:lpstr>
      <vt:lpstr>Capital Costs - Gas</vt:lpstr>
      <vt:lpstr>O&amp;M Costs - Gas</vt:lpstr>
      <vt:lpstr>CONE Summary - BESS</vt:lpstr>
      <vt:lpstr>Capital Costs - BESS</vt:lpstr>
      <vt:lpstr>O&amp;M Costs - BESS</vt:lpstr>
      <vt:lpstr>Input - Tables &amp; Figures &gt;&gt;</vt:lpstr>
      <vt:lpstr>Summary Table (kW-yr)</vt:lpstr>
      <vt:lpstr>CT CONE Results</vt:lpstr>
      <vt:lpstr>CC CONE Results</vt:lpstr>
      <vt:lpstr>BESS CONE Results</vt:lpstr>
      <vt:lpstr>CONE_Calculations</vt:lpstr>
      <vt:lpstr>Construction Costs</vt:lpstr>
      <vt:lpstr>Escalation Calculations&gt;&gt;</vt:lpstr>
      <vt:lpstr>Capital Costs_Nominal$</vt:lpstr>
      <vt:lpstr>BESS_Capital Costs_Nominal$</vt:lpstr>
      <vt:lpstr>Capital Cost Escalation</vt:lpstr>
      <vt:lpstr>Capital Costs</vt:lpstr>
      <vt:lpstr>BESS_Capital Costs</vt:lpstr>
      <vt:lpstr>O&amp;M Costs_2026$</vt:lpstr>
      <vt:lpstr>BESS_O&amp;M Costs_2026$</vt:lpstr>
      <vt:lpstr>Annual FOM</vt:lpstr>
      <vt:lpstr>Raw Data&gt;&gt;&gt;</vt:lpstr>
      <vt:lpstr>Property Tax for appendix</vt:lpstr>
      <vt:lpstr>Additional Estimates</vt:lpstr>
      <vt:lpstr>Tax_depreciation</vt:lpstr>
      <vt:lpstr>ATB 2021 Utility-Scale BESS</vt:lpstr>
      <vt:lpstr>From S&amp;L&gt;&gt;</vt:lpstr>
      <vt:lpstr>Capital Costs Data BESS</vt:lpstr>
      <vt:lpstr>O&amp;M Costs BESS</vt:lpstr>
      <vt:lpstr>Cost Assumptions BESS</vt:lpstr>
      <vt:lpstr>Capital Costs Data</vt:lpstr>
      <vt:lpstr>Cost Assumptions</vt:lpstr>
      <vt:lpstr>O&amp;M Costs</vt:lpstr>
      <vt:lpstr>Capital Drawdown Schedule</vt:lpstr>
      <vt:lpstr>areas</vt:lpstr>
      <vt:lpstr>CONE_Calculations!ATWACC</vt:lpstr>
      <vt:lpstr>CONE_Calculations!Debt_Fraction</vt:lpstr>
      <vt:lpstr>CONE_Calculations!Debt_Rate</vt:lpstr>
      <vt:lpstr>Depreciable_Cost</vt:lpstr>
      <vt:lpstr>CONE_Calculations!Economic_Life</vt:lpstr>
      <vt:lpstr>CONE_Calculations!Equity_Rate</vt:lpstr>
      <vt:lpstr>Escalation_Rate</vt:lpstr>
      <vt:lpstr>CONE_Calculations!Inflation</vt:lpstr>
      <vt:lpstr>Installed_Cost</vt:lpstr>
      <vt:lpstr>CONE_Calculations!Interest_During_Construction</vt:lpstr>
      <vt:lpstr>levelization</vt:lpstr>
      <vt:lpstr>levelization_method</vt:lpstr>
      <vt:lpstr>overnight_cost</vt:lpstr>
      <vt:lpstr>CONE_Calculations!Plant_Capacity</vt:lpstr>
      <vt:lpstr>'BESS CONE Results'!Print_Area</vt:lpstr>
      <vt:lpstr>'BESS_Capital Costs'!Print_Area</vt:lpstr>
      <vt:lpstr>'BESS_Capital Costs_Nominal$'!Print_Area</vt:lpstr>
      <vt:lpstr>'BESS_O&amp;M Costs_2026$'!Print_Area</vt:lpstr>
      <vt:lpstr>'Capital Costs'!Print_Area</vt:lpstr>
      <vt:lpstr>'Capital Costs_Nominal$'!Print_Area</vt:lpstr>
      <vt:lpstr>'CC CONE Results'!Print_Area</vt:lpstr>
      <vt:lpstr>CONE_Calculations!Print_Area</vt:lpstr>
      <vt:lpstr>'CT CONE Results'!Print_Area</vt:lpstr>
      <vt:lpstr>'O&amp;M Costs - BESS'!Print_Area</vt:lpstr>
      <vt:lpstr>'O&amp;M Costs - Gas'!Print_Area</vt:lpstr>
      <vt:lpstr>'O&amp;M Costs BESS'!Print_Area</vt:lpstr>
      <vt:lpstr>'O&amp;M Costs_2026$'!Print_Area</vt:lpstr>
      <vt:lpstr>CONE_Calculations!Print_Titles</vt:lpstr>
      <vt:lpstr>Region</vt:lpstr>
      <vt:lpstr>rev_requirements</vt:lpstr>
      <vt:lpstr>rev_requirements_year</vt:lpstr>
      <vt:lpstr>CONE_Calculations!Tax_Depreciation</vt:lpstr>
      <vt:lpstr>CONE_Calculations!Tax_Rate</vt:lpstr>
      <vt:lpstr>Technology</vt:lpstr>
      <vt:lpstr>techs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2018-03-29T02:01:35Z</dcterms:created>
  <dcterms:modified xsi:type="dcterms:W3CDTF">2022-05-17T16:53:44Z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 linkTarget="Prop_Tax">
    <vt:lpwstr>#REF!</vt:lpwstr>
  </property>
  <property fmtid="{D5CDD505-2E9C-101B-9397-08002B2CF9AE}" pid="3" name="Tax_Rate" linkTarget="Prop_Tax_Rate">
    <vt:lpwstr>#REF!</vt:lpwstr>
  </property>
</Properties>
</file>