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760" tabRatio="1000"/>
  </bookViews>
  <sheets>
    <sheet name="ReadMe" sheetId="9" r:id="rId1"/>
    <sheet name="Auction Simulation" sheetId="1" r:id="rId2"/>
    <sheet name="Supporting Tabs &gt;&gt;" sheetId="10" r:id="rId3"/>
    <sheet name="Net CONE" sheetId="4" r:id="rId4"/>
    <sheet name="LOLE" sheetId="8" r:id="rId5"/>
    <sheet name="Demand Curves" sheetId="5" r:id="rId6"/>
    <sheet name="Clearing Details" sheetId="6" r:id="rId7"/>
  </sheets>
  <definedNames>
    <definedName name="bra_cleared_price_2026DollarsPerMWDay">'Auction Simulation'!$D$23</definedName>
    <definedName name="bra_cleared_quantity_MW">'Auction Simulation'!$D$24</definedName>
    <definedName name="cc_gross_cone">'Net CONE'!$E$7</definedName>
    <definedName name="cc_net_cone">'Net CONE'!$E$6</definedName>
    <definedName name="cleared_LOLE_daysperyear">'Auction Simulation'!$D$27</definedName>
    <definedName name="ct_gross_cone">'Net CONE'!$E$10</definedName>
    <definedName name="ct_net_cone">'Net CONE'!$E$9</definedName>
    <definedName name="demand_curve_price_2026dollarspermwday">OFFSET('Clearing Details'!$J$10,0,0,COUNTA('Clearing Details'!$J$10:$J$29),1)</definedName>
    <definedName name="demand_curve_quantity_ucapmw">OFFSET('Clearing Details'!$G$10,0,0,COUNTA('Clearing Details'!$G$10:$G$29),1)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le_table_lole_daysperyear">LOLE!$C$9:$C$24</definedName>
    <definedName name="lole_table_percentofreliabilityrequirement">LOLE!$B$9:$B$24</definedName>
    <definedName name="num_points_in_demand_curve">'Clearing Details'!$B$2</definedName>
    <definedName name="previous_clearing_price_2026dollarsperucapmwday">'Auction Simulation'!$E$23</definedName>
    <definedName name="previous_clearing_quantity_ucapmw">'Auction Simulation'!$E$24</definedName>
    <definedName name="previous_lole_daysperyear">'Auction Simulation'!$E$27</definedName>
    <definedName name="reliability_requirement_UCAPMW">'Auction Simulation'!$D$14</definedName>
    <definedName name="supply_curve_price_2026dollarspermwday">'Clearing Details'!$M$9:$M$58</definedName>
    <definedName name="supply_curve_quantity_ucapmw">'Clearing Details'!$O$9:$O$58</definedName>
    <definedName name="total_supply_offers_mw">'Auction Simulation'!$D$4</definedName>
    <definedName name="zero">'Clearing Details'!$B$3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D26" i="1"/>
  <c r="J10" i="6" l="1"/>
  <c r="P9" i="1" s="1"/>
  <c r="I10" i="6"/>
  <c r="O9" i="1" s="1"/>
  <c r="J49" i="5"/>
  <c r="J15" i="5"/>
  <c r="G15" i="5"/>
  <c r="E25" i="1" l="1"/>
  <c r="D25" i="1"/>
  <c r="T9" i="6" l="1"/>
  <c r="J2" i="1"/>
  <c r="S9" i="6" l="1"/>
  <c r="R9" i="6"/>
  <c r="J9" i="1" l="1"/>
  <c r="D15" i="1"/>
  <c r="D16" i="1"/>
  <c r="D17" i="1"/>
  <c r="W9" i="6" l="1"/>
  <c r="V11" i="6"/>
  <c r="W10" i="6" l="1"/>
  <c r="V12" i="6"/>
  <c r="B1" i="6"/>
  <c r="D3" i="6"/>
  <c r="V13" i="6" l="1"/>
  <c r="V14" i="6" l="1"/>
  <c r="V15" i="6" l="1"/>
  <c r="V16" i="6" l="1"/>
  <c r="V17" i="6" l="1"/>
  <c r="V18" i="6" l="1"/>
  <c r="V19" i="6" l="1"/>
  <c r="V20" i="6" l="1"/>
  <c r="V21" i="6" l="1"/>
  <c r="V22" i="6" l="1"/>
  <c r="V23" i="6" l="1"/>
  <c r="V24" i="6" l="1"/>
  <c r="V25" i="6" l="1"/>
  <c r="V26" i="6" l="1"/>
  <c r="V27" i="6" l="1"/>
  <c r="V28" i="6" l="1"/>
  <c r="V29" i="6" l="1"/>
  <c r="V30" i="6" l="1"/>
  <c r="V31" i="6" l="1"/>
  <c r="V32" i="6" l="1"/>
  <c r="V33" i="6" l="1"/>
  <c r="V34" i="6" l="1"/>
  <c r="V35" i="6" l="1"/>
  <c r="V36" i="6" l="1"/>
  <c r="V37" i="6" l="1"/>
  <c r="V38" i="6" l="1"/>
  <c r="V39" i="6" l="1"/>
  <c r="V40" i="6" l="1"/>
  <c r="V41" i="6" l="1"/>
  <c r="V42" i="6" l="1"/>
  <c r="V43" i="6" l="1"/>
  <c r="V44" i="6" l="1"/>
  <c r="V45" i="6" l="1"/>
  <c r="V46" i="6" l="1"/>
  <c r="V47" i="6" l="1"/>
  <c r="V48" i="6" l="1"/>
  <c r="V49" i="6" l="1"/>
  <c r="V50" i="6" l="1"/>
  <c r="V51" i="6" l="1"/>
  <c r="V52" i="6" l="1"/>
  <c r="V53" i="6" l="1"/>
  <c r="V54" i="6" l="1"/>
  <c r="V55" i="6" l="1"/>
  <c r="V56" i="6" l="1"/>
  <c r="V57" i="6" l="1"/>
  <c r="V58" i="6" l="1"/>
  <c r="V59" i="6" l="1"/>
  <c r="V60" i="6" l="1"/>
  <c r="V61" i="6" l="1"/>
  <c r="V62" i="6" l="1"/>
  <c r="V63" i="6" l="1"/>
  <c r="V64" i="6" l="1"/>
  <c r="V65" i="6" l="1"/>
  <c r="V66" i="6" l="1"/>
  <c r="V67" i="6" l="1"/>
  <c r="V68" i="6" l="1"/>
  <c r="V69" i="6" l="1"/>
  <c r="V70" i="6" l="1"/>
  <c r="V71" i="6" l="1"/>
  <c r="V72" i="6" l="1"/>
  <c r="V73" i="6" l="1"/>
  <c r="V74" i="6" l="1"/>
  <c r="V75" i="6" l="1"/>
  <c r="V76" i="6" l="1"/>
  <c r="V77" i="6" l="1"/>
  <c r="V78" i="6" l="1"/>
  <c r="V79" i="6" l="1"/>
  <c r="V80" i="6" l="1"/>
  <c r="V81" i="6" l="1"/>
  <c r="V82" i="6" l="1"/>
  <c r="V83" i="6" l="1"/>
  <c r="V84" i="6" l="1"/>
  <c r="V85" i="6" l="1"/>
  <c r="V86" i="6" l="1"/>
  <c r="V87" i="6" l="1"/>
  <c r="V88" i="6" l="1"/>
  <c r="V89" i="6" l="1"/>
  <c r="V90" i="6" l="1"/>
  <c r="V91" i="6" l="1"/>
  <c r="V92" i="6" l="1"/>
  <c r="V93" i="6" l="1"/>
  <c r="V94" i="6" l="1"/>
  <c r="V95" i="6" l="1"/>
  <c r="V96" i="6" l="1"/>
  <c r="V97" i="6" l="1"/>
  <c r="V98" i="6" l="1"/>
  <c r="V99" i="6" l="1"/>
  <c r="V100" i="6" l="1"/>
  <c r="V101" i="6" l="1"/>
  <c r="V102" i="6" l="1"/>
  <c r="V103" i="6" l="1"/>
  <c r="V104" i="6" l="1"/>
  <c r="V105" i="6" l="1"/>
  <c r="V106" i="6" l="1"/>
  <c r="V107" i="6" l="1"/>
  <c r="V108" i="6" l="1"/>
  <c r="O10" i="6" l="1"/>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9" i="6"/>
  <c r="L10" i="6"/>
  <c r="X11" i="6" l="1"/>
  <c r="X10" i="6"/>
  <c r="X12" i="6"/>
  <c r="X13" i="6"/>
  <c r="L11" i="6"/>
  <c r="L12" i="6" s="1"/>
  <c r="L13" i="6" s="1"/>
  <c r="L14" i="6" s="1"/>
  <c r="L15" i="6" s="1"/>
  <c r="L16" i="6" s="1"/>
  <c r="L17" i="6" s="1"/>
  <c r="L18" i="6" s="1"/>
  <c r="L19" i="6" s="1"/>
  <c r="L20" i="6" s="1"/>
  <c r="L21" i="6" s="1"/>
  <c r="L22" i="6" s="1"/>
  <c r="L23" i="6" s="1"/>
  <c r="L24" i="6" s="1"/>
  <c r="L25" i="6" s="1"/>
  <c r="L26" i="6" s="1"/>
  <c r="L27" i="6" s="1"/>
  <c r="L28" i="6" s="1"/>
  <c r="L29" i="6" s="1"/>
  <c r="L30" i="6" s="1"/>
  <c r="L31" i="6" s="1"/>
  <c r="L32" i="6" s="1"/>
  <c r="L33" i="6" s="1"/>
  <c r="L34" i="6" s="1"/>
  <c r="L35" i="6" s="1"/>
  <c r="L36" i="6" s="1"/>
  <c r="L37" i="6" s="1"/>
  <c r="L38" i="6" s="1"/>
  <c r="L39" i="6" s="1"/>
  <c r="L40" i="6" s="1"/>
  <c r="L41" i="6" s="1"/>
  <c r="L42" i="6" s="1"/>
  <c r="L43" i="6" s="1"/>
  <c r="L44" i="6" s="1"/>
  <c r="L45" i="6" s="1"/>
  <c r="L46" i="6" s="1"/>
  <c r="L47" i="6" s="1"/>
  <c r="L48" i="6" s="1"/>
  <c r="L49" i="6" s="1"/>
  <c r="L50" i="6" s="1"/>
  <c r="L51" i="6" s="1"/>
  <c r="L52" i="6" s="1"/>
  <c r="L53" i="6" s="1"/>
  <c r="L54" i="6" s="1"/>
  <c r="L55" i="6" s="1"/>
  <c r="L56" i="6" s="1"/>
  <c r="L57" i="6" s="1"/>
  <c r="L58" i="6" s="1"/>
  <c r="W11" i="6"/>
  <c r="W12" i="6"/>
  <c r="W18" i="6"/>
  <c r="W34" i="6"/>
  <c r="W36" i="6"/>
  <c r="W42" i="6"/>
  <c r="W43" i="6"/>
  <c r="W46" i="6"/>
  <c r="W50" i="6"/>
  <c r="W52" i="6"/>
  <c r="W53" i="6"/>
  <c r="W54" i="6"/>
  <c r="W58" i="6"/>
  <c r="W59" i="6"/>
  <c r="W61" i="6"/>
  <c r="W62" i="6"/>
  <c r="W63" i="6"/>
  <c r="W64" i="6"/>
  <c r="W67" i="6"/>
  <c r="W69" i="6"/>
  <c r="W70" i="6"/>
  <c r="W71" i="6"/>
  <c r="W72" i="6"/>
  <c r="W73" i="6"/>
  <c r="W77" i="6"/>
  <c r="W78" i="6"/>
  <c r="W79" i="6"/>
  <c r="W80" i="6"/>
  <c r="W81" i="6"/>
  <c r="W82" i="6"/>
  <c r="W86" i="6"/>
  <c r="W87" i="6"/>
  <c r="W88" i="6"/>
  <c r="W89" i="6"/>
  <c r="W90" i="6"/>
  <c r="W91" i="6"/>
  <c r="B2" i="6"/>
  <c r="D11" i="6" s="1"/>
  <c r="J10" i="1" s="1"/>
  <c r="B123" i="5"/>
  <c r="B124" i="5"/>
  <c r="B99" i="5"/>
  <c r="B100" i="5"/>
  <c r="B101" i="5"/>
  <c r="B102" i="5"/>
  <c r="B103" i="5"/>
  <c r="B104" i="5"/>
  <c r="B105" i="5"/>
  <c r="B106" i="5"/>
  <c r="B107" i="5"/>
  <c r="B82" i="5"/>
  <c r="B83" i="5"/>
  <c r="B67" i="5"/>
  <c r="B50" i="5"/>
  <c r="B51" i="5"/>
  <c r="B33" i="5"/>
  <c r="B34" i="5"/>
  <c r="B122" i="5"/>
  <c r="B98" i="5"/>
  <c r="B81" i="5"/>
  <c r="B66" i="5"/>
  <c r="B49" i="5"/>
  <c r="B32" i="5"/>
  <c r="B16" i="5"/>
  <c r="B17" i="5"/>
  <c r="B15" i="5"/>
  <c r="W38" i="6" l="1"/>
  <c r="W49" i="6"/>
  <c r="W35" i="6"/>
  <c r="W85" i="6"/>
  <c r="W75" i="6"/>
  <c r="W66" i="6"/>
  <c r="W57" i="6"/>
  <c r="W45" i="6"/>
  <c r="W28" i="6"/>
  <c r="W83" i="6"/>
  <c r="W74" i="6"/>
  <c r="W65" i="6"/>
  <c r="W56" i="6"/>
  <c r="W44" i="6"/>
  <c r="W27" i="6"/>
  <c r="W26" i="6"/>
  <c r="W92" i="6"/>
  <c r="W84" i="6"/>
  <c r="W76" i="6"/>
  <c r="W68" i="6"/>
  <c r="W60" i="6"/>
  <c r="W51" i="6"/>
  <c r="W40" i="6"/>
  <c r="W20" i="6"/>
  <c r="W48" i="6"/>
  <c r="W37" i="6"/>
  <c r="W19" i="6"/>
  <c r="W103" i="6"/>
  <c r="W95" i="6"/>
  <c r="W102" i="6"/>
  <c r="W94" i="6"/>
  <c r="W104" i="6"/>
  <c r="W93" i="6"/>
  <c r="W108" i="6"/>
  <c r="W100" i="6"/>
  <c r="W107" i="6"/>
  <c r="W99" i="6"/>
  <c r="W96" i="6"/>
  <c r="W101" i="6"/>
  <c r="W106" i="6"/>
  <c r="W98" i="6"/>
  <c r="W105" i="6"/>
  <c r="W97" i="6"/>
  <c r="X44" i="6"/>
  <c r="X14" i="6"/>
  <c r="X78" i="6"/>
  <c r="X57" i="6"/>
  <c r="X26" i="6"/>
  <c r="X90" i="6"/>
  <c r="X33" i="6"/>
  <c r="W30" i="6"/>
  <c r="W22" i="6"/>
  <c r="W14" i="6"/>
  <c r="X40" i="6"/>
  <c r="X104" i="6"/>
  <c r="X74" i="6"/>
  <c r="X28" i="6"/>
  <c r="X92" i="6"/>
  <c r="X62" i="6"/>
  <c r="X17" i="6"/>
  <c r="X81" i="6"/>
  <c r="X50" i="6"/>
  <c r="X20" i="6"/>
  <c r="X84" i="6"/>
  <c r="X54" i="6"/>
  <c r="W29" i="6"/>
  <c r="W21" i="6"/>
  <c r="W13" i="6"/>
  <c r="X56" i="6"/>
  <c r="X27" i="6"/>
  <c r="X91" i="6"/>
  <c r="X45" i="6"/>
  <c r="X15" i="6"/>
  <c r="X79" i="6"/>
  <c r="X32" i="6"/>
  <c r="X96" i="6"/>
  <c r="X67" i="6"/>
  <c r="X37" i="6"/>
  <c r="X101" i="6"/>
  <c r="X71" i="6"/>
  <c r="X97" i="6"/>
  <c r="X66" i="6"/>
  <c r="X36" i="6"/>
  <c r="X100" i="6"/>
  <c r="X70" i="6"/>
  <c r="X72" i="6"/>
  <c r="X43" i="6"/>
  <c r="X107" i="6"/>
  <c r="X61" i="6"/>
  <c r="X31" i="6"/>
  <c r="X95" i="6"/>
  <c r="X49" i="6"/>
  <c r="X19" i="6"/>
  <c r="X83" i="6"/>
  <c r="X53" i="6"/>
  <c r="X23" i="6"/>
  <c r="X87" i="6"/>
  <c r="X73" i="6"/>
  <c r="X42" i="6"/>
  <c r="X106" i="6"/>
  <c r="X60" i="6"/>
  <c r="X30" i="6"/>
  <c r="X94" i="6"/>
  <c r="X48" i="6"/>
  <c r="X18" i="6"/>
  <c r="X82" i="6"/>
  <c r="X52" i="6"/>
  <c r="X22" i="6"/>
  <c r="X86" i="6"/>
  <c r="W41" i="6"/>
  <c r="W33" i="6"/>
  <c r="W25" i="6"/>
  <c r="W17" i="6"/>
  <c r="X24" i="6"/>
  <c r="X89" i="6"/>
  <c r="X59" i="6"/>
  <c r="X77" i="6"/>
  <c r="X47" i="6"/>
  <c r="X65" i="6"/>
  <c r="X35" i="6"/>
  <c r="X99" i="6"/>
  <c r="X69" i="6"/>
  <c r="X39" i="6"/>
  <c r="X103" i="6"/>
  <c r="W32" i="6"/>
  <c r="W24" i="6"/>
  <c r="W16" i="6"/>
  <c r="X25" i="6"/>
  <c r="X88" i="6"/>
  <c r="X58" i="6"/>
  <c r="X76" i="6"/>
  <c r="X46" i="6"/>
  <c r="X64" i="6"/>
  <c r="X34" i="6"/>
  <c r="X98" i="6"/>
  <c r="X68" i="6"/>
  <c r="X38" i="6"/>
  <c r="X102" i="6"/>
  <c r="W55" i="6"/>
  <c r="W47" i="6"/>
  <c r="W39" i="6"/>
  <c r="W31" i="6"/>
  <c r="W23" i="6"/>
  <c r="W15" i="6"/>
  <c r="X41" i="6"/>
  <c r="X105" i="6"/>
  <c r="X75" i="6"/>
  <c r="X29" i="6"/>
  <c r="X93" i="6"/>
  <c r="X63" i="6"/>
  <c r="X16" i="6"/>
  <c r="X80" i="6"/>
  <c r="X51" i="6"/>
  <c r="X21" i="6"/>
  <c r="X85" i="6"/>
  <c r="X55" i="6"/>
  <c r="X108" i="6"/>
  <c r="D12" i="6"/>
  <c r="J11" i="1" s="1"/>
  <c r="A123" i="5"/>
  <c r="A124" i="5"/>
  <c r="A99" i="5"/>
  <c r="A100" i="5"/>
  <c r="A101" i="5"/>
  <c r="A102" i="5"/>
  <c r="A103" i="5"/>
  <c r="A104" i="5"/>
  <c r="A105" i="5"/>
  <c r="A106" i="5"/>
  <c r="A107" i="5"/>
  <c r="A82" i="5"/>
  <c r="A83" i="5"/>
  <c r="A67" i="5"/>
  <c r="A50" i="5"/>
  <c r="A51" i="5"/>
  <c r="A33" i="5"/>
  <c r="A34" i="5"/>
  <c r="A16" i="5"/>
  <c r="A17" i="5"/>
  <c r="A15" i="5"/>
  <c r="I11" i="6" s="1"/>
  <c r="O10" i="1" s="1"/>
  <c r="A98" i="5"/>
  <c r="A81" i="5"/>
  <c r="A66" i="5"/>
  <c r="A49" i="5"/>
  <c r="A32" i="5"/>
  <c r="A122" i="5"/>
  <c r="J107" i="5"/>
  <c r="J124" i="5"/>
  <c r="J123" i="5"/>
  <c r="J100" i="5"/>
  <c r="J101" i="5"/>
  <c r="J102" i="5"/>
  <c r="J103" i="5"/>
  <c r="J104" i="5"/>
  <c r="J105" i="5"/>
  <c r="J106" i="5"/>
  <c r="J99" i="5"/>
  <c r="J83" i="5"/>
  <c r="J82" i="5"/>
  <c r="J67" i="5"/>
  <c r="J122" i="5"/>
  <c r="J98" i="5"/>
  <c r="J81" i="5"/>
  <c r="J66" i="5"/>
  <c r="J51" i="5"/>
  <c r="J50" i="5"/>
  <c r="J34" i="5"/>
  <c r="J33" i="5"/>
  <c r="J32" i="5"/>
  <c r="J17" i="5"/>
  <c r="J16" i="5"/>
  <c r="F11" i="6" l="1"/>
  <c r="L10" i="1" s="1"/>
  <c r="J11" i="6"/>
  <c r="P10" i="1" s="1"/>
  <c r="F10" i="6"/>
  <c r="L9" i="1" s="1"/>
  <c r="D13" i="6"/>
  <c r="J12" i="6"/>
  <c r="P11" i="1" s="1"/>
  <c r="I12" i="6"/>
  <c r="O11" i="1" s="1"/>
  <c r="F12" i="6"/>
  <c r="L11" i="1" s="1"/>
  <c r="D14" i="1"/>
  <c r="J12" i="1" l="1"/>
  <c r="G101" i="5"/>
  <c r="G123" i="5"/>
  <c r="G50" i="5"/>
  <c r="G32" i="5"/>
  <c r="G102" i="5"/>
  <c r="G122" i="5"/>
  <c r="G51" i="5"/>
  <c r="G107" i="5"/>
  <c r="G103" i="5"/>
  <c r="G98" i="5"/>
  <c r="G49" i="5"/>
  <c r="G16" i="5"/>
  <c r="G67" i="5"/>
  <c r="G33" i="5"/>
  <c r="G100" i="5"/>
  <c r="G12" i="6" s="1"/>
  <c r="M11" i="1" s="1"/>
  <c r="G83" i="5"/>
  <c r="G104" i="5"/>
  <c r="G81" i="5"/>
  <c r="G105" i="5"/>
  <c r="G66" i="5"/>
  <c r="G106" i="5"/>
  <c r="G17" i="5"/>
  <c r="G124" i="5"/>
  <c r="G34" i="5"/>
  <c r="G82" i="5"/>
  <c r="G99" i="5"/>
  <c r="G11" i="6" s="1"/>
  <c r="M10" i="1" s="1"/>
  <c r="D14" i="6"/>
  <c r="J13" i="1" s="1"/>
  <c r="F13" i="6"/>
  <c r="J13" i="6"/>
  <c r="G13" i="6"/>
  <c r="I13" i="6"/>
  <c r="G10" i="6" l="1"/>
  <c r="M9" i="1" s="1"/>
  <c r="O12" i="1"/>
  <c r="M12" i="1"/>
  <c r="P12" i="1"/>
  <c r="L12" i="1"/>
  <c r="D15" i="6"/>
  <c r="J14" i="1" s="1"/>
  <c r="G14" i="6"/>
  <c r="M13" i="1" s="1"/>
  <c r="F14" i="6"/>
  <c r="L13" i="1" s="1"/>
  <c r="J14" i="6"/>
  <c r="P13" i="1" s="1"/>
  <c r="I14" i="6"/>
  <c r="O13" i="1" s="1"/>
  <c r="D16" i="6" l="1"/>
  <c r="J15" i="1" s="1"/>
  <c r="J15" i="6"/>
  <c r="P14" i="1" s="1"/>
  <c r="G15" i="6"/>
  <c r="M14" i="1" s="1"/>
  <c r="F15" i="6"/>
  <c r="L14" i="1" s="1"/>
  <c r="I15" i="6"/>
  <c r="O14" i="1" s="1"/>
  <c r="D17" i="6" l="1"/>
  <c r="J16" i="1" s="1"/>
  <c r="I16" i="6"/>
  <c r="O15" i="1" s="1"/>
  <c r="F16" i="6"/>
  <c r="L15" i="1" s="1"/>
  <c r="J16" i="6"/>
  <c r="P15" i="1" s="1"/>
  <c r="G16" i="6"/>
  <c r="M15" i="1" s="1"/>
  <c r="D18" i="6" l="1"/>
  <c r="J17" i="1" s="1"/>
  <c r="I17" i="6"/>
  <c r="O16" i="1" s="1"/>
  <c r="F17" i="6"/>
  <c r="L16" i="1" s="1"/>
  <c r="J17" i="6"/>
  <c r="P16" i="1" s="1"/>
  <c r="G17" i="6"/>
  <c r="M16" i="1" s="1"/>
  <c r="D19" i="6" l="1"/>
  <c r="J18" i="1" s="1"/>
  <c r="I18" i="6"/>
  <c r="O17" i="1" s="1"/>
  <c r="F18" i="6"/>
  <c r="L17" i="1" s="1"/>
  <c r="G18" i="6"/>
  <c r="M17" i="1" s="1"/>
  <c r="J18" i="6"/>
  <c r="P17" i="1" s="1"/>
  <c r="D20" i="6" l="1"/>
  <c r="I19" i="6"/>
  <c r="O18" i="1" s="1"/>
  <c r="J19" i="6"/>
  <c r="P18" i="1" s="1"/>
  <c r="G19" i="6"/>
  <c r="M18" i="1" s="1"/>
  <c r="F19" i="6"/>
  <c r="L18" i="1" s="1"/>
  <c r="D21" i="6" l="1"/>
  <c r="J20" i="6"/>
  <c r="G20" i="6"/>
  <c r="I20" i="6"/>
  <c r="F20" i="6"/>
  <c r="D22" i="6" l="1"/>
  <c r="F21" i="6"/>
  <c r="J21" i="6"/>
  <c r="G21" i="6"/>
  <c r="I21" i="6"/>
  <c r="D23" i="6" l="1"/>
  <c r="G22" i="6"/>
  <c r="F22" i="6"/>
  <c r="J22" i="6"/>
  <c r="I22" i="6"/>
  <c r="D24" i="6" l="1"/>
  <c r="J23" i="6"/>
  <c r="G23" i="6"/>
  <c r="F23" i="6"/>
  <c r="I23" i="6"/>
  <c r="D25" i="6" l="1"/>
  <c r="I24" i="6"/>
  <c r="F24" i="6"/>
  <c r="J24" i="6"/>
  <c r="G24" i="6"/>
  <c r="D26" i="6" l="1"/>
  <c r="I25" i="6"/>
  <c r="F25" i="6"/>
  <c r="J25" i="6"/>
  <c r="G25" i="6"/>
  <c r="D27" i="6" l="1"/>
  <c r="I26" i="6"/>
  <c r="G26" i="6"/>
  <c r="F26" i="6"/>
  <c r="J26" i="6"/>
  <c r="D28" i="6" l="1"/>
  <c r="I27" i="6"/>
  <c r="J27" i="6"/>
  <c r="G27" i="6"/>
  <c r="F27" i="6"/>
  <c r="D29" i="6" l="1"/>
  <c r="J28" i="6"/>
  <c r="G28" i="6"/>
  <c r="I28" i="6"/>
  <c r="F28" i="6"/>
  <c r="F29" i="6" l="1"/>
  <c r="J29" i="6"/>
  <c r="G29" i="6"/>
  <c r="I29" i="6"/>
</calcChain>
</file>

<file path=xl/sharedStrings.xml><?xml version="1.0" encoding="utf-8"?>
<sst xmlns="http://schemas.openxmlformats.org/spreadsheetml/2006/main" count="145" uniqueCount="72">
  <si>
    <t>Demand Curve Shape</t>
  </si>
  <si>
    <t>Total Supply Offers  (MW)</t>
  </si>
  <si>
    <t>Candidate Curve</t>
  </si>
  <si>
    <t>Current Curve, CC</t>
  </si>
  <si>
    <t>Current Curve, CT</t>
  </si>
  <si>
    <t>Alternative 1</t>
  </si>
  <si>
    <t>Alternative 2</t>
  </si>
  <si>
    <t>Alternative 3</t>
  </si>
  <si>
    <t>Alternative 4</t>
  </si>
  <si>
    <t>CONE Reference Technology</t>
  </si>
  <si>
    <t>CONE Reference Technologies</t>
  </si>
  <si>
    <t>CC</t>
  </si>
  <si>
    <t>CT</t>
  </si>
  <si>
    <t>Reliability Requirement (MW)</t>
  </si>
  <si>
    <t>Reserve Margin (UCAP %)</t>
  </si>
  <si>
    <t>Peak Load (MW)</t>
  </si>
  <si>
    <t xml:space="preserve">Note: System Input Parameters should not be adjusted. </t>
  </si>
  <si>
    <t>Point</t>
  </si>
  <si>
    <t xml:space="preserve">Quantity </t>
  </si>
  <si>
    <t>Price</t>
  </si>
  <si>
    <t>(% of Reliability Requirement)</t>
  </si>
  <si>
    <t>(UCAP MW)</t>
  </si>
  <si>
    <t>(% of Net CONE)</t>
  </si>
  <si>
    <t>CC Reference Technology</t>
  </si>
  <si>
    <t>CT Reference Technology</t>
  </si>
  <si>
    <t>($2026/MW-Day)</t>
  </si>
  <si>
    <t>CC Net CONE</t>
  </si>
  <si>
    <t>CC Gross CONE</t>
  </si>
  <si>
    <t>CT Net CONE</t>
  </si>
  <si>
    <t>CT Gross CONE</t>
  </si>
  <si>
    <t>Demand Curves</t>
  </si>
  <si>
    <t>List of Demand Curves &gt;&gt;</t>
  </si>
  <si>
    <t>Selected Demand Curve</t>
  </si>
  <si>
    <t>Number of points in demand curve</t>
  </si>
  <si>
    <t>Supply Curve</t>
  </si>
  <si>
    <t>Price (2026$/UCAP MW-day)</t>
  </si>
  <si>
    <t>Quantity (% of Total Offers)</t>
  </si>
  <si>
    <t>Quantity (UCAP MW)</t>
  </si>
  <si>
    <t xml:space="preserve">For graphing </t>
  </si>
  <si>
    <t>Output</t>
  </si>
  <si>
    <t>Clearing Quantity (UCAP MW)</t>
  </si>
  <si>
    <t>(2026$/UCAP MW-day)</t>
  </si>
  <si>
    <t>Supply Curve formatted for graphing</t>
  </si>
  <si>
    <t>Point index</t>
  </si>
  <si>
    <t>Net CONE ($/UCAP MW-Day)</t>
  </si>
  <si>
    <t>Gross CONE ($/UCAP MW-Day)</t>
  </si>
  <si>
    <t>Quantity</t>
  </si>
  <si>
    <t>System Input Parameters</t>
  </si>
  <si>
    <t>Outputs</t>
  </si>
  <si>
    <t>Clearing Price (2026$/UCAP MW-Day)</t>
  </si>
  <si>
    <t>LOLE (Days/Year)</t>
  </si>
  <si>
    <t>Current Run</t>
  </si>
  <si>
    <t>Previous Run</t>
  </si>
  <si>
    <t>LOLE</t>
  </si>
  <si>
    <t>LOLE (days/year)</t>
  </si>
  <si>
    <t xml:space="preserve">Percent of Reliability Requirement </t>
  </si>
  <si>
    <t>(%)</t>
  </si>
  <si>
    <t>(Days/Year)</t>
  </si>
  <si>
    <t>Clearing Quantity (% of Reliability Requirement)</t>
  </si>
  <si>
    <t xml:space="preserve">Description: </t>
  </si>
  <si>
    <t>Instructions:</t>
  </si>
  <si>
    <t>4. Press the "Calculate Clearing Price and Quantity" button.</t>
  </si>
  <si>
    <t>Procurement Cost ($ Mln/Year)</t>
  </si>
  <si>
    <r>
      <t>1. Go to the [</t>
    </r>
    <r>
      <rPr>
        <b/>
        <sz val="11"/>
        <color theme="5"/>
        <rFont val="Calibri"/>
        <family val="2"/>
        <scheme val="minor"/>
      </rPr>
      <t>Auction Simulation</t>
    </r>
    <r>
      <rPr>
        <sz val="11"/>
        <color theme="1"/>
        <rFont val="Calibri"/>
        <family val="2"/>
        <scheme val="minor"/>
      </rPr>
      <t>] tab.</t>
    </r>
  </si>
  <si>
    <t>Results</t>
  </si>
  <si>
    <t>Gross and Net CONE</t>
  </si>
  <si>
    <t>2. Adjust the total supply offers in cell D4. Total Supply Offers can be anywhere between 124,500 MW to 220,000 MW.</t>
  </si>
  <si>
    <t>3. Select the desired demand curve from the drop-down list in cell D7. Note: the system input parameters in cells D12-D17 are fixed and should not be adjusted by the user.</t>
  </si>
  <si>
    <t xml:space="preserve">5. Results are viewable in cells D23-D27. Cells E23-E78 display results from the previous run. </t>
  </si>
  <si>
    <t>User Inputs</t>
  </si>
  <si>
    <t>Note: Table shows the Gross and Net CONE numbers used for simulating PJM's Variable Resource Requirement curve and are slightly different from the final Gross and Net CONE estimations.</t>
  </si>
  <si>
    <r>
      <t>This simplified market clearing tool is provided in the context of PJM's Fifth Quadrennial Review, see Spees et.al., "Fifth Review of PJM's Variable Resource Requirement Curve," dated April 19, 2022.
In the [</t>
    </r>
    <r>
      <rPr>
        <b/>
        <sz val="11"/>
        <color theme="5"/>
        <rFont val="Calibri"/>
        <family val="2"/>
      </rPr>
      <t>Auction Simulation</t>
    </r>
    <r>
      <rPr>
        <sz val="11"/>
        <rFont val="Calibri"/>
        <family val="2"/>
      </rPr>
      <t xml:space="preserve">] tab, all cells highlighted in </t>
    </r>
    <r>
      <rPr>
        <b/>
        <sz val="11"/>
        <color theme="6"/>
        <rFont val="Calibri"/>
        <family val="2"/>
      </rPr>
      <t>green</t>
    </r>
    <r>
      <rPr>
        <sz val="11"/>
        <rFont val="Calibri"/>
        <family val="2"/>
      </rPr>
      <t xml:space="preserve"> are user inputs, all cells highlighted in </t>
    </r>
    <r>
      <rPr>
        <b/>
        <sz val="11"/>
        <color theme="4"/>
        <rFont val="Calibri"/>
        <family val="2"/>
      </rPr>
      <t>blue</t>
    </r>
    <r>
      <rPr>
        <sz val="11"/>
        <rFont val="Calibri"/>
        <family val="2"/>
      </rPr>
      <t xml:space="preserve"> are system input parameters that are fixed, and all cells highlighted in </t>
    </r>
    <r>
      <rPr>
        <b/>
        <sz val="11"/>
        <color theme="8"/>
        <rFont val="Calibri"/>
        <family val="2"/>
      </rPr>
      <t>orange</t>
    </r>
    <r>
      <rPr>
        <sz val="11"/>
        <rFont val="Calibri"/>
        <family val="2"/>
      </rPr>
      <t xml:space="preserve"> are outputs. This simplified market clearing model uses a smoothed supply curve based on normalized historical offer data as well as the tested demand curves to show illustrative system-wide results for clearing quantity, clearing price, procurement cost, and LOLE.
Please see the instructions below on how to run the simplified model.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</si>
</sst>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00"/>
    <numFmt numFmtId="165" formatCode="&quot;$&quot;#,##0.00"/>
    <numFmt numFmtId="166" formatCode="&quot;$&quot;#,##0"/>
    <numFmt numFmtId="167" formatCode="0.0%"/>
    <numFmt numFmtId="168" formatCode="#,##0.0"/>
    <numFmt numFmtId="169" formatCode="_(* #,##0_);_(* \(#,##0\);_(* &quot;-&quot;??_);_(@_)"/>
  </numFmts>
  <fonts count="19" x14ac:knownFonts="1">
    <font>
      <sz val="11"/>
      <color theme="1"/>
      <name val="Calibri"/>
      <family val="2"/>
      <scheme val="minor"/>
    </font>
    <font>
      <sz val="11"/>
      <color theme="1"/>
      <name val="Calibri"/>
      <family val="2"/>
      <scheme val="minor"/>
    </font>
    <font>
      <sz val="11"/>
      <name val="Calibri"/>
      <family val="2"/>
      <scheme val="minor"/>
    </font>
    <font>
      <b/>
      <sz val="14"/>
      <color theme="4"/>
      <name val="Calibri"/>
      <family val="2"/>
      <scheme val="minor"/>
    </font>
    <font>
      <b/>
      <sz val="11"/>
      <name val="Calibri"/>
      <family val="2"/>
      <scheme val="minor"/>
    </font>
    <font>
      <sz val="11"/>
      <color rgb="FF0082C8"/>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
      <sz val="11"/>
      <color rgb="FF000000"/>
      <name val="Calibri"/>
      <family val="2"/>
    </font>
    <font>
      <i/>
      <sz val="11"/>
      <name val="Calibri"/>
      <family val="2"/>
      <scheme val="minor"/>
    </font>
    <font>
      <b/>
      <sz val="14"/>
      <color theme="0"/>
      <name val="Calibri"/>
      <family val="2"/>
      <scheme val="minor"/>
    </font>
    <font>
      <b/>
      <sz val="11"/>
      <color theme="1"/>
      <name val="Calibri"/>
      <family val="2"/>
      <scheme val="minor"/>
    </font>
    <font>
      <sz val="11"/>
      <name val="Calibri"/>
      <family val="2"/>
    </font>
    <font>
      <b/>
      <sz val="11"/>
      <color theme="6"/>
      <name val="Calibri"/>
      <family val="2"/>
    </font>
    <font>
      <b/>
      <sz val="11"/>
      <color theme="4"/>
      <name val="Calibri"/>
      <family val="2"/>
    </font>
    <font>
      <b/>
      <sz val="11"/>
      <color theme="8"/>
      <name val="Calibri"/>
      <family val="2"/>
    </font>
    <font>
      <b/>
      <sz val="11"/>
      <color theme="5"/>
      <name val="Calibri"/>
      <family val="2"/>
      <scheme val="minor"/>
    </font>
    <font>
      <b/>
      <sz val="11"/>
      <color theme="5"/>
      <name val="Calibri"/>
      <family val="2"/>
    </font>
  </fonts>
  <fills count="9">
    <fill>
      <patternFill patternType="none"/>
    </fill>
    <fill>
      <patternFill patternType="gray125"/>
    </fill>
    <fill>
      <patternFill patternType="solid">
        <fgColor theme="6"/>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4"/>
        <bgColor indexed="64"/>
      </patternFill>
    </fill>
    <fill>
      <patternFill patternType="solid">
        <fgColor theme="8"/>
        <bgColor indexed="64"/>
      </patternFill>
    </fill>
    <fill>
      <patternFill patternType="solid">
        <fgColor rgb="FFF26A25"/>
        <bgColor indexed="64"/>
      </patternFill>
    </fill>
    <fill>
      <patternFill patternType="solid">
        <fgColor rgb="FFD9DCDF"/>
        <bgColor indexed="64"/>
      </patternFill>
    </fill>
  </fills>
  <borders count="16">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Border="0" applyProtection="0">
      <alignment vertical="center"/>
    </xf>
    <xf numFmtId="43" fontId="1" fillId="0" borderId="0" applyFont="0" applyFill="0" applyBorder="0" applyAlignment="0" applyProtection="0"/>
    <xf numFmtId="0" fontId="1" fillId="0" borderId="0"/>
  </cellStyleXfs>
  <cellXfs count="256">
    <xf numFmtId="0" fontId="0" fillId="0" borderId="0" xfId="0"/>
    <xf numFmtId="0" fontId="2" fillId="0" borderId="0" xfId="0" applyFont="1"/>
    <xf numFmtId="0" fontId="1" fillId="0" borderId="0" xfId="1">
      <alignment vertical="center"/>
    </xf>
    <xf numFmtId="0" fontId="0" fillId="0" borderId="0" xfId="1" applyFont="1">
      <alignment vertical="center"/>
    </xf>
    <xf numFmtId="0" fontId="3" fillId="0" borderId="0" xfId="0" applyFont="1"/>
    <xf numFmtId="0" fontId="1" fillId="4" borderId="0" xfId="1" applyFill="1">
      <alignment vertical="center"/>
    </xf>
    <xf numFmtId="0" fontId="0" fillId="4" borderId="0" xfId="1" applyFont="1" applyFill="1">
      <alignment vertical="center"/>
    </xf>
    <xf numFmtId="0" fontId="0" fillId="0" borderId="0" xfId="0" applyBorder="1"/>
    <xf numFmtId="0" fontId="2" fillId="0" borderId="1" xfId="0" applyFont="1" applyBorder="1" applyAlignment="1">
      <alignment horizontal="center"/>
    </xf>
    <xf numFmtId="0" fontId="2" fillId="0" borderId="0" xfId="0" applyFont="1" applyAlignment="1">
      <alignment horizontal="center"/>
    </xf>
    <xf numFmtId="0" fontId="2" fillId="0" borderId="0" xfId="0" applyFont="1" applyFill="1" applyAlignment="1">
      <alignment horizontal="center"/>
    </xf>
    <xf numFmtId="10" fontId="2" fillId="0" borderId="0" xfId="0" applyNumberFormat="1" applyFont="1" applyAlignment="1">
      <alignment horizontal="center"/>
    </xf>
    <xf numFmtId="4" fontId="5" fillId="0" borderId="0" xfId="0" applyNumberFormat="1" applyFont="1" applyAlignment="1">
      <alignment horizontal="center"/>
    </xf>
    <xf numFmtId="165" fontId="5" fillId="0" borderId="0" xfId="0" applyNumberFormat="1" applyFont="1" applyFill="1" applyAlignment="1">
      <alignment horizontal="center"/>
    </xf>
    <xf numFmtId="165" fontId="5" fillId="0" borderId="0" xfId="0" applyNumberFormat="1" applyFont="1" applyAlignment="1">
      <alignment horizontal="center"/>
    </xf>
    <xf numFmtId="0" fontId="2" fillId="0" borderId="0" xfId="0" applyFont="1" applyBorder="1" applyAlignment="1">
      <alignment horizontal="center"/>
    </xf>
    <xf numFmtId="10" fontId="2" fillId="0" borderId="0" xfId="0" applyNumberFormat="1" applyFont="1" applyFill="1" applyAlignment="1">
      <alignment horizontal="center"/>
    </xf>
    <xf numFmtId="2" fontId="2" fillId="0" borderId="0" xfId="0" applyNumberFormat="1" applyFont="1" applyFill="1" applyAlignment="1">
      <alignment horizontal="center"/>
    </xf>
    <xf numFmtId="10" fontId="2" fillId="0" borderId="1" xfId="0" applyNumberFormat="1" applyFont="1" applyBorder="1" applyAlignment="1">
      <alignment horizontal="center"/>
    </xf>
    <xf numFmtId="4" fontId="5" fillId="0" borderId="1" xfId="0" applyNumberFormat="1" applyFont="1" applyBorder="1" applyAlignment="1">
      <alignment horizontal="center"/>
    </xf>
    <xf numFmtId="165" fontId="5" fillId="0" borderId="1" xfId="0" applyNumberFormat="1" applyFont="1" applyBorder="1" applyAlignment="1">
      <alignment horizontal="center"/>
    </xf>
    <xf numFmtId="0" fontId="3" fillId="0" borderId="0" xfId="1" applyFont="1">
      <alignment vertical="center"/>
    </xf>
    <xf numFmtId="0" fontId="1" fillId="0" borderId="1" xfId="1" applyBorder="1">
      <alignment vertical="center"/>
    </xf>
    <xf numFmtId="0" fontId="1" fillId="0" borderId="2" xfId="1" applyBorder="1">
      <alignment vertical="center"/>
    </xf>
    <xf numFmtId="0" fontId="6" fillId="0" borderId="0" xfId="1" applyFont="1">
      <alignment vertical="center"/>
    </xf>
    <xf numFmtId="0" fontId="0" fillId="3" borderId="0" xfId="1" applyFont="1" applyFill="1">
      <alignment vertical="center"/>
    </xf>
    <xf numFmtId="0" fontId="1" fillId="3" borderId="0" xfId="1" applyFill="1">
      <alignment vertical="center"/>
    </xf>
    <xf numFmtId="0" fontId="0" fillId="0" borderId="0" xfId="1" applyFont="1" applyAlignment="1">
      <alignment horizontal="left" vertical="center" indent="2"/>
    </xf>
    <xf numFmtId="166" fontId="1" fillId="0" borderId="0" xfId="1" applyNumberFormat="1">
      <alignment vertical="center"/>
    </xf>
    <xf numFmtId="0" fontId="2" fillId="0" borderId="1" xfId="0" applyFont="1" applyFill="1" applyBorder="1" applyAlignment="1">
      <alignment horizontal="center"/>
    </xf>
    <xf numFmtId="10" fontId="2" fillId="0" borderId="1" xfId="0" applyNumberFormat="1" applyFont="1" applyFill="1" applyBorder="1" applyAlignment="1">
      <alignment horizontal="center"/>
    </xf>
    <xf numFmtId="165" fontId="5" fillId="0" borderId="1" xfId="0" applyNumberFormat="1" applyFont="1" applyFill="1" applyBorder="1" applyAlignment="1">
      <alignment horizontal="center"/>
    </xf>
    <xf numFmtId="3" fontId="5" fillId="0" borderId="0" xfId="0" applyNumberFormat="1" applyFont="1" applyFill="1" applyAlignment="1">
      <alignment horizontal="center"/>
    </xf>
    <xf numFmtId="166" fontId="5" fillId="0" borderId="0" xfId="0" applyNumberFormat="1" applyFont="1" applyFill="1" applyBorder="1" applyAlignment="1">
      <alignment horizontal="center"/>
    </xf>
    <xf numFmtId="164" fontId="2" fillId="0" borderId="1" xfId="0" applyNumberFormat="1" applyFont="1" applyBorder="1" applyAlignment="1">
      <alignment horizontal="center"/>
    </xf>
    <xf numFmtId="166" fontId="5" fillId="0" borderId="1" xfId="0" applyNumberFormat="1" applyFont="1" applyFill="1" applyBorder="1" applyAlignment="1">
      <alignment horizontal="center"/>
    </xf>
    <xf numFmtId="10" fontId="2" fillId="0" borderId="0" xfId="0" applyNumberFormat="1" applyFont="1" applyFill="1" applyBorder="1" applyAlignment="1">
      <alignment horizontal="center"/>
    </xf>
    <xf numFmtId="4" fontId="5" fillId="0" borderId="0" xfId="0" applyNumberFormat="1" applyFont="1" applyBorder="1" applyAlignment="1">
      <alignment horizontal="center"/>
    </xf>
    <xf numFmtId="164" fontId="2" fillId="0" borderId="0" xfId="0" applyNumberFormat="1" applyFont="1" applyBorder="1" applyAlignment="1">
      <alignment horizontal="center"/>
    </xf>
    <xf numFmtId="0" fontId="3" fillId="0" borderId="1" xfId="0" applyFont="1" applyBorder="1"/>
    <xf numFmtId="3" fontId="5"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0" fillId="0" borderId="0" xfId="1" applyFont="1" applyFill="1">
      <alignment vertical="center"/>
    </xf>
    <xf numFmtId="0" fontId="1" fillId="0" borderId="0" xfId="1" applyFill="1">
      <alignment vertical="center"/>
    </xf>
    <xf numFmtId="0" fontId="7" fillId="0" borderId="1" xfId="1" applyFont="1" applyBorder="1">
      <alignment vertical="center"/>
    </xf>
    <xf numFmtId="0" fontId="0" fillId="4" borderId="0" xfId="0" applyFill="1"/>
    <xf numFmtId="0" fontId="0" fillId="4" borderId="0" xfId="1" applyFont="1" applyFill="1" applyAlignment="1">
      <alignment horizontal="right" vertical="center"/>
    </xf>
    <xf numFmtId="0" fontId="2" fillId="0" borderId="0" xfId="0" applyFont="1" applyFill="1" applyBorder="1" applyAlignment="1">
      <alignment horizontal="center"/>
    </xf>
    <xf numFmtId="10" fontId="1" fillId="0" borderId="0" xfId="1" applyNumberFormat="1" applyFill="1" applyAlignment="1">
      <alignment horizontal="center" vertical="center"/>
    </xf>
    <xf numFmtId="166" fontId="1" fillId="0" borderId="0" xfId="1" applyNumberFormat="1" applyFill="1" applyAlignment="1">
      <alignment horizontal="center" vertical="center"/>
    </xf>
    <xf numFmtId="0" fontId="1" fillId="0" borderId="0" xfId="1" applyAlignment="1">
      <alignment horizontal="center" vertical="center"/>
    </xf>
    <xf numFmtId="3" fontId="1" fillId="0" borderId="0" xfId="1" applyNumberFormat="1" applyFill="1" applyAlignment="1">
      <alignment horizontal="center" vertical="center"/>
    </xf>
    <xf numFmtId="0" fontId="0" fillId="0" borderId="0" xfId="0" applyAlignment="1">
      <alignment horizontal="center"/>
    </xf>
    <xf numFmtId="0" fontId="0" fillId="0" borderId="1" xfId="1" applyFont="1" applyBorder="1">
      <alignment vertical="center"/>
    </xf>
    <xf numFmtId="3" fontId="0" fillId="0" borderId="0" xfId="1" applyNumberFormat="1" applyFont="1" applyFill="1" applyAlignment="1">
      <alignment horizontal="center" vertical="center"/>
    </xf>
    <xf numFmtId="3" fontId="8" fillId="0" borderId="0" xfId="1" applyNumberFormat="1" applyFont="1" applyFill="1" applyAlignment="1">
      <alignment horizontal="center" vertical="center"/>
    </xf>
    <xf numFmtId="0" fontId="2" fillId="0" borderId="0" xfId="1" applyFont="1">
      <alignment vertical="center"/>
    </xf>
    <xf numFmtId="0" fontId="2" fillId="0" borderId="0" xfId="1" applyFont="1" applyFill="1">
      <alignment vertical="center"/>
    </xf>
    <xf numFmtId="168" fontId="1" fillId="0" borderId="0" xfId="1" applyNumberFormat="1" applyFill="1" applyAlignment="1">
      <alignment horizontal="center" vertical="center"/>
    </xf>
    <xf numFmtId="0" fontId="1" fillId="0" borderId="0" xfId="1" applyBorder="1">
      <alignment vertical="center"/>
    </xf>
    <xf numFmtId="3" fontId="1" fillId="0" borderId="0" xfId="1" applyNumberFormat="1">
      <alignment vertical="center"/>
    </xf>
    <xf numFmtId="165" fontId="2" fillId="0" borderId="0" xfId="3" applyNumberFormat="1" applyFont="1" applyFill="1" applyAlignment="1">
      <alignment horizontal="center"/>
    </xf>
    <xf numFmtId="10" fontId="2" fillId="0" borderId="0" xfId="3" applyNumberFormat="1" applyFont="1" applyFill="1" applyAlignment="1">
      <alignment horizontal="center"/>
    </xf>
    <xf numFmtId="0" fontId="1" fillId="4" borderId="1" xfId="1" applyFill="1" applyBorder="1">
      <alignment vertical="center"/>
    </xf>
    <xf numFmtId="165" fontId="1" fillId="4" borderId="0" xfId="1" applyNumberFormat="1" applyFill="1">
      <alignment vertical="center"/>
    </xf>
    <xf numFmtId="169" fontId="1" fillId="4" borderId="0" xfId="2" applyNumberFormat="1" applyFill="1" applyAlignment="1">
      <alignment vertical="center"/>
    </xf>
    <xf numFmtId="166" fontId="0" fillId="0" borderId="0" xfId="0" applyNumberFormat="1" applyAlignment="1">
      <alignment horizontal="center"/>
    </xf>
    <xf numFmtId="0" fontId="0" fillId="0" borderId="0" xfId="0" applyFill="1"/>
    <xf numFmtId="0" fontId="0" fillId="0" borderId="1" xfId="0" applyBorder="1"/>
    <xf numFmtId="9" fontId="0" fillId="0" borderId="0" xfId="0" applyNumberFormat="1" applyAlignment="1">
      <alignment horizontal="center"/>
    </xf>
    <xf numFmtId="0" fontId="0" fillId="0" borderId="5" xfId="0" applyBorder="1"/>
    <xf numFmtId="0" fontId="0" fillId="0" borderId="6" xfId="0" applyBorder="1"/>
    <xf numFmtId="3" fontId="0" fillId="2" borderId="8" xfId="0" applyNumberFormat="1" applyFill="1" applyBorder="1" applyAlignment="1">
      <alignment horizontal="center"/>
    </xf>
    <xf numFmtId="0" fontId="0" fillId="2" borderId="8" xfId="0" applyFill="1" applyBorder="1" applyAlignment="1">
      <alignment horizontal="center"/>
    </xf>
    <xf numFmtId="3" fontId="0" fillId="0" borderId="8" xfId="0" applyNumberFormat="1" applyFill="1" applyBorder="1" applyAlignment="1">
      <alignment horizontal="center"/>
    </xf>
    <xf numFmtId="10" fontId="0" fillId="0" borderId="8" xfId="0" applyNumberFormat="1" applyFill="1" applyBorder="1" applyAlignment="1">
      <alignment horizontal="center"/>
    </xf>
    <xf numFmtId="166" fontId="0" fillId="0" borderId="8" xfId="0" applyNumberFormat="1" applyBorder="1" applyAlignment="1">
      <alignment horizontal="center"/>
    </xf>
    <xf numFmtId="0" fontId="6" fillId="0" borderId="0" xfId="0" applyFont="1" applyBorder="1" applyAlignment="1">
      <alignment horizontal="center" wrapText="1"/>
    </xf>
    <xf numFmtId="9" fontId="0" fillId="0" borderId="0" xfId="0" applyNumberFormat="1" applyBorder="1" applyAlignment="1">
      <alignment horizontal="center"/>
    </xf>
    <xf numFmtId="3" fontId="0" fillId="0" borderId="0" xfId="0" applyNumberFormat="1" applyBorder="1" applyAlignment="1">
      <alignment horizontal="center"/>
    </xf>
    <xf numFmtId="9" fontId="0" fillId="0" borderId="1" xfId="0" applyNumberFormat="1" applyBorder="1" applyAlignment="1">
      <alignment horizontal="center"/>
    </xf>
    <xf numFmtId="3" fontId="0" fillId="0" borderId="1"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6" fontId="0" fillId="0" borderId="9" xfId="0" applyNumberFormat="1" applyBorder="1" applyAlignment="1">
      <alignment horizontal="center"/>
    </xf>
    <xf numFmtId="0" fontId="6" fillId="0" borderId="0" xfId="0" applyFont="1" applyBorder="1" applyAlignment="1">
      <alignment horizontal="center" vertical="top" wrapText="1"/>
    </xf>
    <xf numFmtId="0" fontId="0" fillId="0" borderId="0" xfId="0" applyBorder="1" applyAlignment="1">
      <alignment vertical="top"/>
    </xf>
    <xf numFmtId="0" fontId="10" fillId="0" borderId="8"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10" fillId="0" borderId="0" xfId="0" applyFont="1" applyFill="1" applyBorder="1" applyAlignment="1">
      <alignment horizontal="center" wrapText="1"/>
    </xf>
    <xf numFmtId="0" fontId="11" fillId="0" borderId="0" xfId="0" applyFont="1" applyFill="1" applyBorder="1" applyAlignment="1">
      <alignment horizontal="center"/>
    </xf>
    <xf numFmtId="166" fontId="0" fillId="0" borderId="0" xfId="0" applyNumberFormat="1" applyFill="1" applyBorder="1" applyAlignment="1">
      <alignment horizontal="center"/>
    </xf>
    <xf numFmtId="166" fontId="0" fillId="0" borderId="0" xfId="0" applyNumberFormat="1" applyFill="1" applyAlignment="1">
      <alignment horizontal="center"/>
    </xf>
    <xf numFmtId="0" fontId="0" fillId="0" borderId="0" xfId="0" applyFill="1" applyAlignment="1">
      <alignment horizontal="center"/>
    </xf>
    <xf numFmtId="0" fontId="0" fillId="0" borderId="5" xfId="0" applyFill="1" applyBorder="1"/>
    <xf numFmtId="166" fontId="1" fillId="0" borderId="8" xfId="1" applyNumberFormat="1" applyFill="1" applyBorder="1" applyAlignment="1">
      <alignment horizontal="center" vertical="center"/>
    </xf>
    <xf numFmtId="0" fontId="3" fillId="0" borderId="2" xfId="1" applyFont="1" applyBorder="1">
      <alignment vertical="center"/>
    </xf>
    <xf numFmtId="0" fontId="0" fillId="0" borderId="0" xfId="1" applyFont="1" applyAlignment="1">
      <alignment horizontal="center" vertical="center"/>
    </xf>
    <xf numFmtId="0" fontId="6" fillId="0" borderId="0" xfId="1" applyFont="1" applyAlignment="1">
      <alignment horizontal="center" vertical="center"/>
    </xf>
    <xf numFmtId="0" fontId="6" fillId="0" borderId="1" xfId="1" applyFont="1" applyBorder="1" applyAlignment="1">
      <alignment horizontal="center" vertical="center"/>
    </xf>
    <xf numFmtId="10" fontId="1" fillId="0" borderId="0" xfId="1" applyNumberFormat="1" applyAlignment="1">
      <alignment horizontal="center" vertical="center"/>
    </xf>
    <xf numFmtId="4" fontId="5" fillId="0" borderId="1" xfId="0" applyNumberFormat="1" applyFont="1" applyFill="1" applyBorder="1" applyAlignment="1">
      <alignment horizontal="center"/>
    </xf>
    <xf numFmtId="0" fontId="1" fillId="0" borderId="4" xfId="1" applyFill="1" applyBorder="1">
      <alignment vertical="center"/>
    </xf>
    <xf numFmtId="0" fontId="1" fillId="0" borderId="3" xfId="1" applyFill="1" applyBorder="1">
      <alignment vertical="center"/>
    </xf>
    <xf numFmtId="0" fontId="2" fillId="0" borderId="6" xfId="0" applyFont="1" applyFill="1" applyBorder="1" applyAlignment="1">
      <alignment horizontal="center"/>
    </xf>
    <xf numFmtId="0" fontId="2" fillId="0" borderId="5" xfId="0" applyFont="1" applyFill="1" applyBorder="1" applyAlignment="1">
      <alignment horizontal="center"/>
    </xf>
    <xf numFmtId="167" fontId="2"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0" fontId="1" fillId="0" borderId="7" xfId="1" applyFill="1" applyBorder="1">
      <alignment vertical="center"/>
    </xf>
    <xf numFmtId="0" fontId="2" fillId="0" borderId="9" xfId="0" applyFont="1" applyFill="1" applyBorder="1" applyAlignment="1">
      <alignment horizontal="center"/>
    </xf>
    <xf numFmtId="0" fontId="2" fillId="0" borderId="8" xfId="0" applyFont="1" applyFill="1" applyBorder="1" applyAlignment="1">
      <alignment horizontal="center"/>
    </xf>
    <xf numFmtId="166" fontId="5" fillId="0" borderId="8" xfId="0" applyNumberFormat="1" applyFont="1" applyFill="1" applyBorder="1" applyAlignment="1">
      <alignment horizontal="center"/>
    </xf>
    <xf numFmtId="165" fontId="5" fillId="0" borderId="9" xfId="0" applyNumberFormat="1" applyFont="1" applyFill="1" applyBorder="1" applyAlignment="1">
      <alignment horizontal="center"/>
    </xf>
    <xf numFmtId="0" fontId="0" fillId="0" borderId="0" xfId="0" applyFill="1" applyBorder="1" applyAlignment="1">
      <alignment horizontal="center"/>
    </xf>
    <xf numFmtId="0" fontId="11" fillId="5" borderId="5" xfId="0" applyFont="1" applyFill="1" applyBorder="1" applyAlignment="1">
      <alignment horizontal="center"/>
    </xf>
    <xf numFmtId="0" fontId="11" fillId="5" borderId="0" xfId="0" applyFont="1" applyFill="1" applyBorder="1" applyAlignment="1">
      <alignment horizontal="center"/>
    </xf>
    <xf numFmtId="0" fontId="11" fillId="5" borderId="8" xfId="0" applyFont="1" applyFill="1"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xf>
    <xf numFmtId="0" fontId="6" fillId="0" borderId="0" xfId="0" applyFont="1" applyFill="1" applyBorder="1" applyAlignment="1">
      <alignment horizontal="center" vertical="top" wrapText="1"/>
    </xf>
    <xf numFmtId="0" fontId="0" fillId="0" borderId="0" xfId="0" applyFill="1" applyBorder="1" applyAlignment="1">
      <alignment vertical="top"/>
    </xf>
    <xf numFmtId="0" fontId="0" fillId="0" borderId="11" xfId="0" applyBorder="1"/>
    <xf numFmtId="0" fontId="0" fillId="0" borderId="12" xfId="0" applyBorder="1"/>
    <xf numFmtId="0" fontId="0" fillId="0" borderId="13" xfId="0" applyBorder="1"/>
    <xf numFmtId="0" fontId="6" fillId="0" borderId="1" xfId="0" applyFont="1" applyBorder="1" applyAlignment="1">
      <alignment horizontal="center" vertical="top" wrapText="1"/>
    </xf>
    <xf numFmtId="0" fontId="0" fillId="0" borderId="1" xfId="0" applyBorder="1" applyAlignment="1">
      <alignment vertical="top"/>
    </xf>
    <xf numFmtId="0" fontId="10" fillId="0" borderId="9" xfId="0" applyFont="1" applyFill="1" applyBorder="1" applyAlignment="1">
      <alignment horizontal="center" wrapText="1"/>
    </xf>
    <xf numFmtId="0" fontId="0" fillId="0" borderId="0" xfId="1" applyFont="1" applyBorder="1">
      <alignment vertical="center"/>
    </xf>
    <xf numFmtId="0" fontId="1" fillId="0" borderId="9" xfId="1" applyBorder="1">
      <alignment vertical="center"/>
    </xf>
    <xf numFmtId="0" fontId="1" fillId="0" borderId="8" xfId="1" applyBorder="1">
      <alignment vertical="center"/>
    </xf>
    <xf numFmtId="0" fontId="1" fillId="0" borderId="6" xfId="1" applyBorder="1">
      <alignment vertical="center"/>
    </xf>
    <xf numFmtId="0" fontId="1" fillId="0" borderId="5" xfId="1" applyBorder="1">
      <alignment vertical="center"/>
    </xf>
    <xf numFmtId="0" fontId="0" fillId="0" borderId="5" xfId="1" applyFont="1" applyBorder="1">
      <alignment vertical="center"/>
    </xf>
    <xf numFmtId="0" fontId="1" fillId="0" borderId="3" xfId="1" applyBorder="1">
      <alignment vertical="center"/>
    </xf>
    <xf numFmtId="0" fontId="1" fillId="0" borderId="4" xfId="1" applyBorder="1">
      <alignment vertical="center"/>
    </xf>
    <xf numFmtId="0" fontId="1" fillId="0" borderId="7" xfId="1" applyBorder="1">
      <alignment vertical="center"/>
    </xf>
    <xf numFmtId="0" fontId="0" fillId="0" borderId="6" xfId="1" applyFont="1" applyBorder="1">
      <alignment vertical="center"/>
    </xf>
    <xf numFmtId="0" fontId="0" fillId="0" borderId="9" xfId="1" applyFont="1" applyBorder="1">
      <alignment vertical="center"/>
    </xf>
    <xf numFmtId="0" fontId="0" fillId="0" borderId="8" xfId="1" applyFont="1" applyBorder="1">
      <alignment vertical="center"/>
    </xf>
    <xf numFmtId="0" fontId="7" fillId="0" borderId="0" xfId="1" applyFont="1" applyBorder="1">
      <alignment vertical="center"/>
    </xf>
    <xf numFmtId="0" fontId="1" fillId="0" borderId="0" xfId="1" applyFill="1" applyBorder="1" applyAlignment="1">
      <alignment horizontal="center" vertical="center"/>
    </xf>
    <xf numFmtId="0" fontId="1" fillId="0" borderId="0" xfId="1" applyFill="1" applyBorder="1">
      <alignment vertical="center"/>
    </xf>
    <xf numFmtId="10" fontId="1" fillId="0" borderId="0" xfId="1" applyNumberFormat="1" applyFill="1" applyBorder="1" applyAlignment="1">
      <alignment horizontal="center" vertical="center"/>
    </xf>
    <xf numFmtId="0" fontId="1" fillId="0" borderId="0" xfId="1" applyBorder="1" applyAlignment="1">
      <alignment horizontal="center" vertical="center"/>
    </xf>
    <xf numFmtId="0" fontId="2" fillId="0" borderId="0" xfId="1" applyFont="1" applyBorder="1">
      <alignment vertical="center"/>
    </xf>
    <xf numFmtId="0" fontId="2" fillId="0" borderId="0" xfId="1" applyFont="1" applyBorder="1" applyAlignment="1">
      <alignment horizontal="center" vertical="center"/>
    </xf>
    <xf numFmtId="0" fontId="7" fillId="0" borderId="6" xfId="1" applyFont="1" applyBorder="1">
      <alignment vertical="center"/>
    </xf>
    <xf numFmtId="0" fontId="7" fillId="0" borderId="5" xfId="1" applyFont="1" applyBorder="1">
      <alignment vertical="center"/>
    </xf>
    <xf numFmtId="0" fontId="4" fillId="0" borderId="5" xfId="0" applyFont="1" applyFill="1" applyBorder="1" applyAlignment="1">
      <alignment horizontal="center"/>
    </xf>
    <xf numFmtId="0" fontId="1" fillId="0" borderId="5" xfId="1" applyFill="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2" fillId="0" borderId="1" xfId="1" applyFont="1" applyBorder="1">
      <alignment vertical="center"/>
    </xf>
    <xf numFmtId="10" fontId="1" fillId="0" borderId="1" xfId="1" applyNumberFormat="1" applyFill="1" applyBorder="1" applyAlignment="1">
      <alignment horizontal="center" vertical="center"/>
    </xf>
    <xf numFmtId="0" fontId="2" fillId="0" borderId="1" xfId="1" applyFont="1" applyBorder="1" applyAlignment="1">
      <alignment horizontal="center" vertical="center"/>
    </xf>
    <xf numFmtId="166" fontId="1" fillId="0" borderId="9" xfId="1" applyNumberFormat="1" applyFill="1" applyBorder="1" applyAlignment="1">
      <alignment horizontal="center" vertical="center"/>
    </xf>
    <xf numFmtId="0" fontId="1" fillId="4" borderId="0" xfId="1" applyFill="1" applyBorder="1">
      <alignment vertical="center"/>
    </xf>
    <xf numFmtId="0" fontId="1" fillId="4" borderId="8" xfId="1" applyFill="1" applyBorder="1">
      <alignment vertical="center"/>
    </xf>
    <xf numFmtId="0" fontId="1" fillId="4" borderId="9" xfId="1" applyFill="1" applyBorder="1">
      <alignment vertical="center"/>
    </xf>
    <xf numFmtId="169" fontId="1" fillId="4" borderId="8" xfId="2" applyNumberFormat="1" applyFill="1" applyBorder="1" applyAlignment="1">
      <alignment vertical="center"/>
    </xf>
    <xf numFmtId="169" fontId="1" fillId="4" borderId="9" xfId="2" applyNumberFormat="1" applyFill="1" applyBorder="1" applyAlignment="1">
      <alignment vertical="center"/>
    </xf>
    <xf numFmtId="0" fontId="1" fillId="4" borderId="5" xfId="1" applyFill="1" applyBorder="1">
      <alignment vertical="center"/>
    </xf>
    <xf numFmtId="0" fontId="3" fillId="4" borderId="5" xfId="1" applyFont="1" applyFill="1" applyBorder="1">
      <alignment vertical="center"/>
    </xf>
    <xf numFmtId="0" fontId="1" fillId="4" borderId="6" xfId="1" applyFill="1" applyBorder="1">
      <alignment vertical="center"/>
    </xf>
    <xf numFmtId="0" fontId="1" fillId="4" borderId="4" xfId="1" applyFill="1" applyBorder="1">
      <alignment vertical="center"/>
    </xf>
    <xf numFmtId="0" fontId="1" fillId="4" borderId="3" xfId="1" applyFill="1" applyBorder="1">
      <alignment vertical="center"/>
    </xf>
    <xf numFmtId="0" fontId="1" fillId="4" borderId="7" xfId="1" applyFill="1" applyBorder="1">
      <alignment vertical="center"/>
    </xf>
    <xf numFmtId="0" fontId="0" fillId="4" borderId="5" xfId="1" applyFont="1" applyFill="1" applyBorder="1" applyAlignment="1">
      <alignment horizontal="right" vertical="center"/>
    </xf>
    <xf numFmtId="0" fontId="1" fillId="4" borderId="0" xfId="3" applyFill="1" applyBorder="1" applyAlignment="1">
      <alignment horizontal="right"/>
    </xf>
    <xf numFmtId="0" fontId="0" fillId="4" borderId="8" xfId="3" applyFont="1" applyFill="1" applyBorder="1" applyAlignment="1">
      <alignment horizontal="right"/>
    </xf>
    <xf numFmtId="165" fontId="0" fillId="0" borderId="0" xfId="0" applyNumberFormat="1" applyAlignment="1">
      <alignment horizontal="center"/>
    </xf>
    <xf numFmtId="10" fontId="0" fillId="0" borderId="0" xfId="0" applyNumberFormat="1" applyAlignment="1">
      <alignment horizontal="center"/>
    </xf>
    <xf numFmtId="0" fontId="1" fillId="4" borderId="15" xfId="1" applyFill="1" applyBorder="1">
      <alignment vertical="center"/>
    </xf>
    <xf numFmtId="0" fontId="12" fillId="4" borderId="14" xfId="1" applyFont="1" applyFill="1" applyBorder="1">
      <alignment vertical="center"/>
    </xf>
    <xf numFmtId="0" fontId="13" fillId="4" borderId="14" xfId="0" applyFont="1" applyFill="1" applyBorder="1" applyAlignment="1">
      <alignment horizontal="left" vertical="top" wrapText="1" indent="3"/>
    </xf>
    <xf numFmtId="0" fontId="0" fillId="4" borderId="14" xfId="1" applyFont="1" applyFill="1" applyBorder="1" applyAlignment="1">
      <alignment horizontal="left" vertical="center" indent="3"/>
    </xf>
    <xf numFmtId="0" fontId="1" fillId="4" borderId="10" xfId="1" applyFill="1" applyBorder="1">
      <alignment vertical="center"/>
    </xf>
    <xf numFmtId="166" fontId="1" fillId="6" borderId="8" xfId="1" applyNumberFormat="1" applyFill="1" applyBorder="1" applyAlignment="1">
      <alignment horizontal="center" vertical="center"/>
    </xf>
    <xf numFmtId="3" fontId="1" fillId="6" borderId="0" xfId="1" applyNumberFormat="1" applyFill="1" applyAlignment="1">
      <alignment horizontal="center" vertical="center"/>
    </xf>
    <xf numFmtId="3" fontId="1" fillId="6" borderId="8" xfId="1" applyNumberFormat="1" applyFill="1" applyBorder="1" applyAlignment="1">
      <alignment horizontal="center" vertical="center"/>
    </xf>
    <xf numFmtId="10" fontId="0" fillId="6" borderId="0" xfId="0" applyNumberFormat="1" applyFill="1" applyBorder="1" applyAlignment="1">
      <alignment horizontal="center"/>
    </xf>
    <xf numFmtId="10" fontId="0" fillId="6" borderId="8" xfId="0" applyNumberFormat="1" applyFill="1" applyBorder="1" applyAlignment="1">
      <alignment horizontal="center"/>
    </xf>
    <xf numFmtId="0" fontId="11" fillId="0" borderId="8" xfId="0" applyFont="1" applyFill="1" applyBorder="1" applyAlignment="1">
      <alignment horizontal="center"/>
    </xf>
    <xf numFmtId="0" fontId="11" fillId="0" borderId="5" xfId="0" applyFont="1" applyFill="1"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xf>
    <xf numFmtId="9" fontId="0" fillId="0" borderId="0" xfId="0" applyNumberFormat="1" applyFill="1" applyAlignment="1">
      <alignment horizontal="center"/>
    </xf>
    <xf numFmtId="0" fontId="0" fillId="0" borderId="1"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xf>
    <xf numFmtId="0" fontId="0" fillId="0" borderId="9" xfId="0" applyFill="1" applyBorder="1" applyAlignment="1">
      <alignment horizontal="center"/>
    </xf>
    <xf numFmtId="0" fontId="0" fillId="0" borderId="5" xfId="1" applyFont="1" applyBorder="1" applyAlignment="1">
      <alignment horizontal="center" vertical="center"/>
    </xf>
    <xf numFmtId="0" fontId="0" fillId="0" borderId="6" xfId="1" applyFont="1" applyBorder="1" applyAlignment="1">
      <alignment horizontal="center" vertical="center"/>
    </xf>
    <xf numFmtId="10" fontId="0" fillId="0" borderId="0" xfId="0" applyNumberFormat="1" applyFill="1" applyAlignment="1">
      <alignment horizontal="center"/>
    </xf>
    <xf numFmtId="0" fontId="1" fillId="0" borderId="6" xfId="1" applyFill="1" applyBorder="1">
      <alignment vertical="center"/>
    </xf>
    <xf numFmtId="0" fontId="1" fillId="0" borderId="1" xfId="1" applyFill="1" applyBorder="1">
      <alignment vertical="center"/>
    </xf>
    <xf numFmtId="0" fontId="4" fillId="0" borderId="0" xfId="0" applyFont="1" applyFill="1" applyBorder="1" applyAlignment="1">
      <alignment horizontal="center"/>
    </xf>
    <xf numFmtId="0" fontId="4" fillId="0" borderId="8" xfId="0" applyFont="1" applyFill="1" applyBorder="1" applyAlignment="1">
      <alignment horizontal="center"/>
    </xf>
    <xf numFmtId="0" fontId="3" fillId="3" borderId="5" xfId="1" applyFont="1" applyFill="1" applyBorder="1">
      <alignment vertical="center"/>
    </xf>
    <xf numFmtId="0" fontId="7" fillId="3" borderId="0" xfId="1" applyFont="1" applyFill="1" applyBorder="1">
      <alignment vertical="center"/>
    </xf>
    <xf numFmtId="0" fontId="1" fillId="3" borderId="0" xfId="1" applyFill="1" applyBorder="1">
      <alignment vertical="center"/>
    </xf>
    <xf numFmtId="0" fontId="1" fillId="3" borderId="8" xfId="1" applyFill="1" applyBorder="1">
      <alignment vertical="center"/>
    </xf>
    <xf numFmtId="0" fontId="0" fillId="3" borderId="0" xfId="1" applyFont="1" applyFill="1" applyBorder="1" applyAlignment="1">
      <alignment vertical="center" wrapText="1"/>
    </xf>
    <xf numFmtId="0" fontId="0" fillId="3" borderId="8" xfId="1" applyFont="1" applyFill="1" applyBorder="1" applyAlignment="1">
      <alignment vertical="center" wrapText="1"/>
    </xf>
    <xf numFmtId="164" fontId="1" fillId="0" borderId="0" xfId="1" applyNumberFormat="1" applyAlignment="1">
      <alignment horizontal="center" vertical="center"/>
    </xf>
    <xf numFmtId="0" fontId="0" fillId="0" borderId="0" xfId="0" applyNumberFormat="1" applyFill="1" applyBorder="1"/>
    <xf numFmtId="164" fontId="0" fillId="6" borderId="9" xfId="0" applyNumberFormat="1" applyFill="1" applyBorder="1" applyAlignment="1">
      <alignment horizontal="center"/>
    </xf>
    <xf numFmtId="166" fontId="1" fillId="0" borderId="0" xfId="1" applyNumberFormat="1" applyFill="1">
      <alignment vertical="center"/>
    </xf>
    <xf numFmtId="166" fontId="0" fillId="0" borderId="9" xfId="0" applyNumberFormat="1" applyFill="1" applyBorder="1" applyAlignment="1">
      <alignment horizontal="center"/>
    </xf>
    <xf numFmtId="166" fontId="1" fillId="7" borderId="0" xfId="1" applyNumberFormat="1" applyFill="1" applyAlignment="1">
      <alignment horizontal="center" vertical="center"/>
    </xf>
    <xf numFmtId="3" fontId="1" fillId="7" borderId="0" xfId="1" applyNumberFormat="1" applyFill="1" applyAlignment="1">
      <alignment horizontal="center" vertical="center"/>
    </xf>
    <xf numFmtId="164" fontId="0" fillId="7" borderId="1" xfId="0" applyNumberFormat="1" applyFill="1" applyBorder="1" applyAlignment="1">
      <alignment horizontal="center"/>
    </xf>
    <xf numFmtId="166" fontId="1" fillId="0" borderId="1" xfId="1" applyNumberFormat="1" applyFill="1" applyBorder="1" applyAlignment="1">
      <alignment horizontal="center" vertical="center"/>
    </xf>
    <xf numFmtId="3" fontId="0" fillId="0" borderId="1" xfId="0" applyNumberFormat="1" applyFill="1" applyBorder="1" applyAlignment="1">
      <alignment horizontal="center"/>
    </xf>
    <xf numFmtId="164" fontId="1" fillId="0" borderId="9" xfId="1" applyNumberFormat="1" applyFill="1" applyBorder="1" applyAlignment="1">
      <alignment horizontal="center" vertical="center"/>
    </xf>
    <xf numFmtId="0" fontId="12" fillId="0" borderId="5" xfId="1" applyFont="1" applyBorder="1" applyAlignment="1">
      <alignment horizontal="center" vertical="center"/>
    </xf>
    <xf numFmtId="0" fontId="12" fillId="0" borderId="0" xfId="3" applyFont="1" applyBorder="1" applyAlignment="1">
      <alignment horizontal="center"/>
    </xf>
    <xf numFmtId="0" fontId="12" fillId="0" borderId="8" xfId="3" applyFont="1" applyBorder="1" applyAlignment="1">
      <alignment horizontal="center"/>
    </xf>
    <xf numFmtId="0" fontId="12" fillId="0" borderId="5" xfId="1" applyFont="1" applyBorder="1">
      <alignment vertical="center"/>
    </xf>
    <xf numFmtId="0" fontId="1" fillId="4" borderId="0" xfId="1" applyFill="1" applyAlignment="1">
      <alignment horizontal="center" vertical="center"/>
    </xf>
    <xf numFmtId="0" fontId="2" fillId="0" borderId="0" xfId="0" applyFont="1" applyFill="1" applyBorder="1" applyAlignment="1">
      <alignment horizontal="center"/>
    </xf>
    <xf numFmtId="166" fontId="0" fillId="0" borderId="8" xfId="0" applyNumberFormat="1" applyFill="1" applyBorder="1" applyAlignment="1">
      <alignment horizontal="center"/>
    </xf>
    <xf numFmtId="9" fontId="0" fillId="0" borderId="0" xfId="0" applyNumberFormat="1" applyFill="1" applyBorder="1" applyAlignment="1">
      <alignment horizontal="center"/>
    </xf>
    <xf numFmtId="0" fontId="1" fillId="8" borderId="0" xfId="1" applyFill="1">
      <alignment vertical="center"/>
    </xf>
    <xf numFmtId="3" fontId="1" fillId="0" borderId="0" xfId="1" applyNumberFormat="1" applyFill="1" applyBorder="1" applyAlignment="1">
      <alignment horizontal="center" vertical="center"/>
    </xf>
    <xf numFmtId="3" fontId="1" fillId="0" borderId="1" xfId="1" applyNumberFormat="1" applyFill="1" applyBorder="1" applyAlignment="1">
      <alignment horizontal="center" vertical="center"/>
    </xf>
    <xf numFmtId="167" fontId="1" fillId="0" borderId="0" xfId="1" applyNumberFormat="1" applyFill="1" applyBorder="1" applyAlignment="1">
      <alignment horizontal="center" vertical="center"/>
    </xf>
    <xf numFmtId="166" fontId="1" fillId="4" borderId="0" xfId="1" applyNumberFormat="1" applyFill="1" applyBorder="1">
      <alignment vertical="center"/>
    </xf>
    <xf numFmtId="166" fontId="1" fillId="4" borderId="1" xfId="1" applyNumberFormat="1" applyFill="1" applyBorder="1">
      <alignment vertical="center"/>
    </xf>
    <xf numFmtId="0" fontId="11" fillId="6" borderId="4" xfId="0" applyFont="1" applyFill="1" applyBorder="1" applyAlignment="1">
      <alignment horizontal="center"/>
    </xf>
    <xf numFmtId="0" fontId="11" fillId="6" borderId="3" xfId="0" applyFont="1" applyFill="1" applyBorder="1" applyAlignment="1">
      <alignment horizontal="center"/>
    </xf>
    <xf numFmtId="0" fontId="11" fillId="6" borderId="7" xfId="0" applyFont="1" applyFill="1"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11" fillId="5" borderId="4" xfId="0" applyFont="1" applyFill="1" applyBorder="1" applyAlignment="1">
      <alignment horizontal="center"/>
    </xf>
    <xf numFmtId="0" fontId="11" fillId="5" borderId="3" xfId="0" applyFont="1" applyFill="1" applyBorder="1" applyAlignment="1">
      <alignment horizontal="center"/>
    </xf>
    <xf numFmtId="0" fontId="11" fillId="5" borderId="7" xfId="0" applyFont="1" applyFill="1" applyBorder="1" applyAlignment="1">
      <alignment horizontal="center"/>
    </xf>
    <xf numFmtId="0" fontId="11" fillId="2" borderId="4" xfId="0" applyFont="1" applyFill="1" applyBorder="1" applyAlignment="1">
      <alignment horizontal="center"/>
    </xf>
    <xf numFmtId="0" fontId="11" fillId="2" borderId="3" xfId="0" applyFont="1" applyFill="1" applyBorder="1" applyAlignment="1">
      <alignment horizontal="center"/>
    </xf>
    <xf numFmtId="0" fontId="11" fillId="2" borderId="7" xfId="0" applyFont="1" applyFill="1" applyBorder="1" applyAlignment="1">
      <alignment horizontal="center"/>
    </xf>
    <xf numFmtId="0" fontId="11" fillId="5" borderId="5" xfId="0" applyFont="1" applyFill="1" applyBorder="1" applyAlignment="1">
      <alignment horizontal="center"/>
    </xf>
    <xf numFmtId="0" fontId="11" fillId="5" borderId="0" xfId="0" applyFont="1" applyFill="1" applyBorder="1" applyAlignment="1">
      <alignment horizontal="center"/>
    </xf>
    <xf numFmtId="0" fontId="11" fillId="5" borderId="8" xfId="0" applyFont="1" applyFill="1" applyBorder="1" applyAlignment="1">
      <alignment horizontal="center"/>
    </xf>
    <xf numFmtId="0" fontId="0" fillId="0" borderId="0" xfId="1" applyFont="1" applyAlignment="1">
      <alignment horizontal="left" vertical="center" wrapText="1"/>
    </xf>
    <xf numFmtId="0" fontId="2" fillId="0" borderId="0" xfId="0" applyFont="1" applyFill="1" applyBorder="1" applyAlignment="1">
      <alignment horizontal="center"/>
    </xf>
    <xf numFmtId="0" fontId="2" fillId="0" borderId="8" xfId="0"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Border="1" applyAlignment="1">
      <alignment horizontal="center"/>
    </xf>
    <xf numFmtId="0" fontId="4" fillId="3" borderId="8" xfId="0" applyFont="1" applyFill="1" applyBorder="1" applyAlignment="1">
      <alignment horizontal="center"/>
    </xf>
    <xf numFmtId="0" fontId="4" fillId="0" borderId="0" xfId="0" applyFont="1" applyFill="1" applyBorder="1" applyAlignment="1">
      <alignment horizontal="center"/>
    </xf>
    <xf numFmtId="0" fontId="4" fillId="0" borderId="8" xfId="0" applyFont="1" applyFill="1" applyBorder="1" applyAlignment="1">
      <alignment horizontal="center"/>
    </xf>
  </cellXfs>
  <cellStyles count="4">
    <cellStyle name="Comma" xfId="2" builtinId="3"/>
    <cellStyle name="Normal" xfId="0" builtinId="0"/>
    <cellStyle name="Normal 14" xfId="3"/>
    <cellStyle name="Normal 2" xfId="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655908594616115"/>
          <c:y val="3.7617444490974553E-2"/>
          <c:w val="0.77117287973765891"/>
          <c:h val="0.72474455515695169"/>
        </c:manualLayout>
      </c:layout>
      <c:scatterChart>
        <c:scatterStyle val="lineMarker"/>
        <c:varyColors val="0"/>
        <c:ser>
          <c:idx val="3"/>
          <c:order val="0"/>
          <c:tx>
            <c:strRef>
              <c:f>'Clearing Details'!$V$3</c:f>
              <c:strCache>
                <c:ptCount val="1"/>
                <c:pt idx="0">
                  <c:v>Supply Curve formatted for graphing</c:v>
                </c:pt>
              </c:strCache>
            </c:strRef>
          </c:tx>
          <c:spPr>
            <a:ln w="19050" cap="rnd">
              <a:solidFill>
                <a:schemeClr val="accent4"/>
              </a:solidFill>
              <a:round/>
            </a:ln>
            <a:effectLst/>
          </c:spPr>
          <c:marker>
            <c:symbol val="none"/>
          </c:marker>
          <c:xVal>
            <c:numRef>
              <c:f>'Clearing Details'!$X$9:$X$108</c:f>
              <c:numCache>
                <c:formatCode>_(* #,##0_);_(* \(#,##0\);_(* "-"??_);_(@_)</c:formatCode>
                <c:ptCount val="100"/>
                <c:pt idx="0">
                  <c:v>0</c:v>
                </c:pt>
                <c:pt idx="1">
                  <c:v>24883.72093023255</c:v>
                </c:pt>
                <c:pt idx="2">
                  <c:v>24883.72093023255</c:v>
                </c:pt>
                <c:pt idx="3">
                  <c:v>28139.534883720899</c:v>
                </c:pt>
                <c:pt idx="4">
                  <c:v>28139.534883720899</c:v>
                </c:pt>
                <c:pt idx="5">
                  <c:v>31162.790697674402</c:v>
                </c:pt>
                <c:pt idx="6">
                  <c:v>31162.790697674402</c:v>
                </c:pt>
                <c:pt idx="7">
                  <c:v>34651.162790697599</c:v>
                </c:pt>
                <c:pt idx="8">
                  <c:v>34651.162790697599</c:v>
                </c:pt>
                <c:pt idx="9">
                  <c:v>37441.860465116253</c:v>
                </c:pt>
                <c:pt idx="10">
                  <c:v>37441.860465116253</c:v>
                </c:pt>
                <c:pt idx="11">
                  <c:v>39767.441860465049</c:v>
                </c:pt>
                <c:pt idx="12">
                  <c:v>39767.441860465049</c:v>
                </c:pt>
                <c:pt idx="13">
                  <c:v>46046.511627906897</c:v>
                </c:pt>
                <c:pt idx="14">
                  <c:v>46046.511627906897</c:v>
                </c:pt>
                <c:pt idx="15">
                  <c:v>49534.883720930098</c:v>
                </c:pt>
                <c:pt idx="16">
                  <c:v>49534.883720930098</c:v>
                </c:pt>
                <c:pt idx="17">
                  <c:v>53023.255813953445</c:v>
                </c:pt>
                <c:pt idx="18">
                  <c:v>53023.255813953445</c:v>
                </c:pt>
                <c:pt idx="19">
                  <c:v>56279.069767441797</c:v>
                </c:pt>
                <c:pt idx="20">
                  <c:v>56279.069767441797</c:v>
                </c:pt>
                <c:pt idx="21">
                  <c:v>59534.883720930149</c:v>
                </c:pt>
                <c:pt idx="22">
                  <c:v>59534.883720930149</c:v>
                </c:pt>
                <c:pt idx="23">
                  <c:v>61627.906976744103</c:v>
                </c:pt>
                <c:pt idx="24">
                  <c:v>61627.906976744103</c:v>
                </c:pt>
                <c:pt idx="25">
                  <c:v>65813.953488372004</c:v>
                </c:pt>
                <c:pt idx="26">
                  <c:v>65813.953488372004</c:v>
                </c:pt>
                <c:pt idx="27">
                  <c:v>69767.441860465042</c:v>
                </c:pt>
                <c:pt idx="28">
                  <c:v>69767.441860465042</c:v>
                </c:pt>
                <c:pt idx="29">
                  <c:v>72790.697674418552</c:v>
                </c:pt>
                <c:pt idx="30">
                  <c:v>72790.697674418552</c:v>
                </c:pt>
                <c:pt idx="31">
                  <c:v>76511.627906976602</c:v>
                </c:pt>
                <c:pt idx="32">
                  <c:v>76511.627906976602</c:v>
                </c:pt>
                <c:pt idx="33">
                  <c:v>80465.116279069654</c:v>
                </c:pt>
                <c:pt idx="34">
                  <c:v>80465.116279069654</c:v>
                </c:pt>
                <c:pt idx="35">
                  <c:v>82325.581395348752</c:v>
                </c:pt>
                <c:pt idx="36">
                  <c:v>82325.581395348752</c:v>
                </c:pt>
                <c:pt idx="37">
                  <c:v>85348.837209302248</c:v>
                </c:pt>
                <c:pt idx="38">
                  <c:v>85348.837209302248</c:v>
                </c:pt>
                <c:pt idx="39">
                  <c:v>88604.6511627906</c:v>
                </c:pt>
                <c:pt idx="40">
                  <c:v>88604.6511627906</c:v>
                </c:pt>
                <c:pt idx="41">
                  <c:v>92325.58139534881</c:v>
                </c:pt>
                <c:pt idx="42">
                  <c:v>92325.58139534881</c:v>
                </c:pt>
                <c:pt idx="43">
                  <c:v>95581.395348837163</c:v>
                </c:pt>
                <c:pt idx="44">
                  <c:v>95581.395348837163</c:v>
                </c:pt>
                <c:pt idx="45">
                  <c:v>98837.2093023255</c:v>
                </c:pt>
                <c:pt idx="46">
                  <c:v>98837.2093023255</c:v>
                </c:pt>
                <c:pt idx="47">
                  <c:v>102558.1395348837</c:v>
                </c:pt>
                <c:pt idx="48">
                  <c:v>102558.1395348837</c:v>
                </c:pt>
                <c:pt idx="49">
                  <c:v>104651.16279069765</c:v>
                </c:pt>
                <c:pt idx="50">
                  <c:v>104651.16279069765</c:v>
                </c:pt>
                <c:pt idx="51">
                  <c:v>107209.3023255813</c:v>
                </c:pt>
                <c:pt idx="52">
                  <c:v>107209.3023255813</c:v>
                </c:pt>
                <c:pt idx="53">
                  <c:v>110465.11627906965</c:v>
                </c:pt>
                <c:pt idx="54">
                  <c:v>110465.11627906965</c:v>
                </c:pt>
                <c:pt idx="55">
                  <c:v>113720.93023255815</c:v>
                </c:pt>
                <c:pt idx="56">
                  <c:v>113720.93023255815</c:v>
                </c:pt>
                <c:pt idx="57">
                  <c:v>116279.0697674418</c:v>
                </c:pt>
                <c:pt idx="58">
                  <c:v>116279.0697674418</c:v>
                </c:pt>
                <c:pt idx="59">
                  <c:v>119302.32558139531</c:v>
                </c:pt>
                <c:pt idx="60">
                  <c:v>119302.32558139531</c:v>
                </c:pt>
                <c:pt idx="61">
                  <c:v>121860.46511627894</c:v>
                </c:pt>
                <c:pt idx="62">
                  <c:v>121860.46511627894</c:v>
                </c:pt>
                <c:pt idx="63">
                  <c:v>123255.81395348835</c:v>
                </c:pt>
                <c:pt idx="64">
                  <c:v>123255.81395348835</c:v>
                </c:pt>
                <c:pt idx="65">
                  <c:v>126279.06976744185</c:v>
                </c:pt>
                <c:pt idx="66">
                  <c:v>126279.06976744185</c:v>
                </c:pt>
                <c:pt idx="67">
                  <c:v>129069.76744186034</c:v>
                </c:pt>
                <c:pt idx="68">
                  <c:v>129069.76744186034</c:v>
                </c:pt>
                <c:pt idx="69">
                  <c:v>131860.465116279</c:v>
                </c:pt>
                <c:pt idx="70">
                  <c:v>131860.465116279</c:v>
                </c:pt>
                <c:pt idx="71">
                  <c:v>133488.37209302324</c:v>
                </c:pt>
                <c:pt idx="72">
                  <c:v>133488.37209302324</c:v>
                </c:pt>
                <c:pt idx="73">
                  <c:v>135116.27906976733</c:v>
                </c:pt>
                <c:pt idx="74">
                  <c:v>135116.27906976733</c:v>
                </c:pt>
                <c:pt idx="75">
                  <c:v>136744.1860465116</c:v>
                </c:pt>
                <c:pt idx="76">
                  <c:v>136744.1860465116</c:v>
                </c:pt>
                <c:pt idx="77">
                  <c:v>139069.7674418604</c:v>
                </c:pt>
                <c:pt idx="78">
                  <c:v>139069.7674418604</c:v>
                </c:pt>
                <c:pt idx="79">
                  <c:v>140930.23255813948</c:v>
                </c:pt>
                <c:pt idx="80">
                  <c:v>140930.23255813948</c:v>
                </c:pt>
                <c:pt idx="81">
                  <c:v>142325.58139534874</c:v>
                </c:pt>
                <c:pt idx="82">
                  <c:v>142325.58139534874</c:v>
                </c:pt>
                <c:pt idx="83">
                  <c:v>144186.04651162785</c:v>
                </c:pt>
                <c:pt idx="84">
                  <c:v>144186.04651162785</c:v>
                </c:pt>
                <c:pt idx="85">
                  <c:v>145581.3953488371</c:v>
                </c:pt>
                <c:pt idx="86">
                  <c:v>145581.3953488371</c:v>
                </c:pt>
                <c:pt idx="87">
                  <c:v>146511.62790697665</c:v>
                </c:pt>
                <c:pt idx="88">
                  <c:v>146511.62790697665</c:v>
                </c:pt>
                <c:pt idx="89">
                  <c:v>147441.86046511619</c:v>
                </c:pt>
                <c:pt idx="90">
                  <c:v>147441.86046511619</c:v>
                </c:pt>
                <c:pt idx="91">
                  <c:v>148372.09302325576</c:v>
                </c:pt>
                <c:pt idx="92">
                  <c:v>148372.09302325576</c:v>
                </c:pt>
                <c:pt idx="93">
                  <c:v>149069.76744186046</c:v>
                </c:pt>
                <c:pt idx="94">
                  <c:v>149069.76744186046</c:v>
                </c:pt>
                <c:pt idx="95">
                  <c:v>149302.3255813953</c:v>
                </c:pt>
                <c:pt idx="96">
                  <c:v>149302.3255813953</c:v>
                </c:pt>
                <c:pt idx="97">
                  <c:v>149767.44186046501</c:v>
                </c:pt>
                <c:pt idx="98">
                  <c:v>149767.44186046501</c:v>
                </c:pt>
                <c:pt idx="99">
                  <c:v>150000</c:v>
                </c:pt>
              </c:numCache>
            </c:numRef>
          </c:xVal>
          <c:yVal>
            <c:numRef>
              <c:f>'Clearing Details'!$W$9:$W$108</c:f>
              <c:numCache>
                <c:formatCode>"$"#,##0</c:formatCode>
                <c:ptCount val="100"/>
                <c:pt idx="0">
                  <c:v>0</c:v>
                </c:pt>
                <c:pt idx="1">
                  <c:v>0</c:v>
                </c:pt>
                <c:pt idx="2">
                  <c:v>1.2165450121655099</c:v>
                </c:pt>
                <c:pt idx="3">
                  <c:v>1.2165450121655099</c:v>
                </c:pt>
                <c:pt idx="4">
                  <c:v>1.82481751824826</c:v>
                </c:pt>
                <c:pt idx="5">
                  <c:v>1.82481751824826</c:v>
                </c:pt>
                <c:pt idx="6">
                  <c:v>2.4330900243310198</c:v>
                </c:pt>
                <c:pt idx="7">
                  <c:v>2.4330900243310198</c:v>
                </c:pt>
                <c:pt idx="8">
                  <c:v>3.6496350364964201</c:v>
                </c:pt>
                <c:pt idx="9">
                  <c:v>3.6496350364964201</c:v>
                </c:pt>
                <c:pt idx="10">
                  <c:v>7.2992700729927202</c:v>
                </c:pt>
                <c:pt idx="11">
                  <c:v>7.2992700729927202</c:v>
                </c:pt>
                <c:pt idx="12">
                  <c:v>9.1240875912409098</c:v>
                </c:pt>
                <c:pt idx="13">
                  <c:v>9.1240875912409098</c:v>
                </c:pt>
                <c:pt idx="14">
                  <c:v>10.9489051094891</c:v>
                </c:pt>
                <c:pt idx="15">
                  <c:v>10.9489051094891</c:v>
                </c:pt>
                <c:pt idx="16">
                  <c:v>12.1654501216545</c:v>
                </c:pt>
                <c:pt idx="17">
                  <c:v>12.1654501216545</c:v>
                </c:pt>
                <c:pt idx="18">
                  <c:v>13.381995133819901</c:v>
                </c:pt>
                <c:pt idx="19">
                  <c:v>13.381995133819901</c:v>
                </c:pt>
                <c:pt idx="20">
                  <c:v>15.8150851581509</c:v>
                </c:pt>
                <c:pt idx="21">
                  <c:v>15.8150851581509</c:v>
                </c:pt>
                <c:pt idx="22">
                  <c:v>17.033900170316347</c:v>
                </c:pt>
                <c:pt idx="23">
                  <c:v>17.033900170316347</c:v>
                </c:pt>
                <c:pt idx="24">
                  <c:v>18.248175182481798</c:v>
                </c:pt>
                <c:pt idx="25">
                  <c:v>18.248175182481798</c:v>
                </c:pt>
                <c:pt idx="26">
                  <c:v>19.464720194647199</c:v>
                </c:pt>
                <c:pt idx="27">
                  <c:v>19.464720194647199</c:v>
                </c:pt>
                <c:pt idx="28">
                  <c:v>20.6812652068127</c:v>
                </c:pt>
                <c:pt idx="29">
                  <c:v>20.6812652068127</c:v>
                </c:pt>
                <c:pt idx="30">
                  <c:v>23.114355231143499</c:v>
                </c:pt>
                <c:pt idx="31">
                  <c:v>23.114355231143499</c:v>
                </c:pt>
                <c:pt idx="32">
                  <c:v>25.5474452554744</c:v>
                </c:pt>
                <c:pt idx="33">
                  <c:v>25.5474452554744</c:v>
                </c:pt>
                <c:pt idx="34">
                  <c:v>26.286215767639849</c:v>
                </c:pt>
                <c:pt idx="35">
                  <c:v>26.286215767639849</c:v>
                </c:pt>
                <c:pt idx="36">
                  <c:v>27.980535279805299</c:v>
                </c:pt>
                <c:pt idx="37">
                  <c:v>27.980535279805299</c:v>
                </c:pt>
                <c:pt idx="38">
                  <c:v>30.4136253041363</c:v>
                </c:pt>
                <c:pt idx="39">
                  <c:v>30.4136253041363</c:v>
                </c:pt>
                <c:pt idx="40">
                  <c:v>34.063260340632603</c:v>
                </c:pt>
                <c:pt idx="41">
                  <c:v>34.063260340632603</c:v>
                </c:pt>
                <c:pt idx="42">
                  <c:v>36.496350364963497</c:v>
                </c:pt>
                <c:pt idx="43">
                  <c:v>36.496350364963497</c:v>
                </c:pt>
                <c:pt idx="44">
                  <c:v>40.145985401459797</c:v>
                </c:pt>
                <c:pt idx="45">
                  <c:v>40.145985401459797</c:v>
                </c:pt>
                <c:pt idx="46">
                  <c:v>45.012165450121699</c:v>
                </c:pt>
                <c:pt idx="47">
                  <c:v>45.012165450121699</c:v>
                </c:pt>
                <c:pt idx="48">
                  <c:v>46.228710462287097</c:v>
                </c:pt>
                <c:pt idx="49">
                  <c:v>46.228710462287097</c:v>
                </c:pt>
                <c:pt idx="50">
                  <c:v>51.0948905109489</c:v>
                </c:pt>
                <c:pt idx="51">
                  <c:v>51.0948905109489</c:v>
                </c:pt>
                <c:pt idx="52">
                  <c:v>55.961070559610697</c:v>
                </c:pt>
                <c:pt idx="53">
                  <c:v>55.961070559610697</c:v>
                </c:pt>
                <c:pt idx="54">
                  <c:v>62.043795620437997</c:v>
                </c:pt>
                <c:pt idx="55">
                  <c:v>62.043795620437997</c:v>
                </c:pt>
                <c:pt idx="56">
                  <c:v>69.343065693430702</c:v>
                </c:pt>
                <c:pt idx="57">
                  <c:v>69.343065693430702</c:v>
                </c:pt>
                <c:pt idx="58">
                  <c:v>75.425790754257903</c:v>
                </c:pt>
                <c:pt idx="59">
                  <c:v>75.425790754257903</c:v>
                </c:pt>
                <c:pt idx="60">
                  <c:v>80.291970802919707</c:v>
                </c:pt>
                <c:pt idx="61">
                  <c:v>80.291970802919707</c:v>
                </c:pt>
                <c:pt idx="62">
                  <c:v>83.941605839415999</c:v>
                </c:pt>
                <c:pt idx="63">
                  <c:v>83.941605839415999</c:v>
                </c:pt>
                <c:pt idx="64">
                  <c:v>88.807785888077902</c:v>
                </c:pt>
                <c:pt idx="65">
                  <c:v>88.807785888077902</c:v>
                </c:pt>
                <c:pt idx="66">
                  <c:v>94.890510948905103</c:v>
                </c:pt>
                <c:pt idx="67">
                  <c:v>94.890510948905103</c:v>
                </c:pt>
                <c:pt idx="68">
                  <c:v>100.97323600973201</c:v>
                </c:pt>
                <c:pt idx="69">
                  <c:v>100.97323600973201</c:v>
                </c:pt>
                <c:pt idx="70">
                  <c:v>107.05596107055899</c:v>
                </c:pt>
                <c:pt idx="71">
                  <c:v>107.05596107055899</c:v>
                </c:pt>
                <c:pt idx="72">
                  <c:v>113.138686131386</c:v>
                </c:pt>
                <c:pt idx="73">
                  <c:v>113.138686131386</c:v>
                </c:pt>
                <c:pt idx="74">
                  <c:v>125.30413625304099</c:v>
                </c:pt>
                <c:pt idx="75">
                  <c:v>125.30413625304099</c:v>
                </c:pt>
                <c:pt idx="76">
                  <c:v>139.90267639902601</c:v>
                </c:pt>
                <c:pt idx="77">
                  <c:v>139.90267639902601</c:v>
                </c:pt>
                <c:pt idx="78">
                  <c:v>154.501216545012</c:v>
                </c:pt>
                <c:pt idx="79">
                  <c:v>154.501216545012</c:v>
                </c:pt>
                <c:pt idx="80">
                  <c:v>167.883211678832</c:v>
                </c:pt>
                <c:pt idx="81">
                  <c:v>167.883211678832</c:v>
                </c:pt>
                <c:pt idx="82">
                  <c:v>180.048661800486</c:v>
                </c:pt>
                <c:pt idx="83">
                  <c:v>180.048661800486</c:v>
                </c:pt>
                <c:pt idx="84">
                  <c:v>188.56447688564401</c:v>
                </c:pt>
                <c:pt idx="85">
                  <c:v>188.56447688564401</c:v>
                </c:pt>
                <c:pt idx="86">
                  <c:v>205.596107055961</c:v>
                </c:pt>
                <c:pt idx="87">
                  <c:v>205.596107055961</c:v>
                </c:pt>
                <c:pt idx="88">
                  <c:v>227.49391727493901</c:v>
                </c:pt>
                <c:pt idx="89">
                  <c:v>227.49391727493901</c:v>
                </c:pt>
                <c:pt idx="90">
                  <c:v>245.74209245742</c:v>
                </c:pt>
                <c:pt idx="91">
                  <c:v>245.74209245742</c:v>
                </c:pt>
                <c:pt idx="92">
                  <c:v>259.12408759124003</c:v>
                </c:pt>
                <c:pt idx="93">
                  <c:v>259.12408759124003</c:v>
                </c:pt>
                <c:pt idx="94">
                  <c:v>279.80535279805298</c:v>
                </c:pt>
                <c:pt idx="95">
                  <c:v>279.80535279805298</c:v>
                </c:pt>
                <c:pt idx="96">
                  <c:v>304.13625304136201</c:v>
                </c:pt>
                <c:pt idx="97">
                  <c:v>304.13625304136201</c:v>
                </c:pt>
                <c:pt idx="98">
                  <c:v>1000</c:v>
                </c:pt>
                <c:pt idx="99">
                  <c:v>1000</c:v>
                </c:pt>
              </c:numCache>
            </c:numRef>
          </c:yVal>
          <c:smooth val="0"/>
          <c:extLst>
            <c:ext xmlns:c16="http://schemas.microsoft.com/office/drawing/2014/chart" uri="{C3380CC4-5D6E-409C-BE32-E72D297353CC}">
              <c16:uniqueId val="{00000003-8F6B-445E-978A-9B88B62EE6B9}"/>
            </c:ext>
          </c:extLst>
        </c:ser>
        <c:ser>
          <c:idx val="0"/>
          <c:order val="1"/>
          <c:tx>
            <c:strRef>
              <c:f>'Auction Simulation'!$D$7</c:f>
              <c:strCache>
                <c:ptCount val="1"/>
                <c:pt idx="0">
                  <c:v>Candidate Curve</c:v>
                </c:pt>
              </c:strCache>
            </c:strRef>
          </c:tx>
          <c:spPr>
            <a:ln w="19050" cap="rnd">
              <a:solidFill>
                <a:schemeClr val="accent1"/>
              </a:solidFill>
              <a:round/>
            </a:ln>
            <a:effectLst/>
          </c:spPr>
          <c:marker>
            <c:symbol val="none"/>
          </c:marker>
          <c:xVal>
            <c:numRef>
              <c:f>('Auction Simulation'!$K$21,'Auction Simulation'!$M$9:$M$18)</c:f>
              <c:numCache>
                <c:formatCode>#,##0</c:formatCode>
                <c:ptCount val="11"/>
                <c:pt idx="0" formatCode="General">
                  <c:v>0</c:v>
                </c:pt>
                <c:pt idx="1">
                  <c:v>131170.40028256411</c:v>
                </c:pt>
                <c:pt idx="2">
                  <c:v>134482.78412808338</c:v>
                </c:pt>
                <c:pt idx="3">
                  <c:v>138457.64474270656</c:v>
                </c:pt>
                <c:pt idx="4">
                  <c:v>#N/A</c:v>
                </c:pt>
                <c:pt idx="5">
                  <c:v>#N/A</c:v>
                </c:pt>
                <c:pt idx="6">
                  <c:v>#N/A</c:v>
                </c:pt>
                <c:pt idx="7">
                  <c:v>#N/A</c:v>
                </c:pt>
                <c:pt idx="8">
                  <c:v>#N/A</c:v>
                </c:pt>
                <c:pt idx="9">
                  <c:v>#N/A</c:v>
                </c:pt>
                <c:pt idx="10">
                  <c:v>#N/A</c:v>
                </c:pt>
              </c:numCache>
            </c:numRef>
          </c:xVal>
          <c:yVal>
            <c:numRef>
              <c:f>('Auction Simulation'!$P$9,'Auction Simulation'!$P$9:$P$18)</c:f>
              <c:numCache>
                <c:formatCode>"$"#,##0</c:formatCode>
                <c:ptCount val="11"/>
                <c:pt idx="0">
                  <c:v>491</c:v>
                </c:pt>
                <c:pt idx="1">
                  <c:v>491</c:v>
                </c:pt>
                <c:pt idx="2">
                  <c:v>200.25</c:v>
                </c:pt>
                <c:pt idx="3">
                  <c:v>0</c:v>
                </c:pt>
                <c:pt idx="4">
                  <c:v>#N/A</c:v>
                </c:pt>
                <c:pt idx="5">
                  <c:v>#N/A</c:v>
                </c:pt>
                <c:pt idx="6">
                  <c:v>#N/A</c:v>
                </c:pt>
                <c:pt idx="7">
                  <c:v>#N/A</c:v>
                </c:pt>
                <c:pt idx="8">
                  <c:v>#N/A</c:v>
                </c:pt>
                <c:pt idx="9">
                  <c:v>#N/A</c:v>
                </c:pt>
                <c:pt idx="10">
                  <c:v>#N/A</c:v>
                </c:pt>
              </c:numCache>
            </c:numRef>
          </c:yVal>
          <c:smooth val="0"/>
          <c:extLst>
            <c:ext xmlns:c16="http://schemas.microsoft.com/office/drawing/2014/chart" uri="{C3380CC4-5D6E-409C-BE32-E72D297353CC}">
              <c16:uniqueId val="{00000006-8F6B-445E-978A-9B88B62EE6B9}"/>
            </c:ext>
          </c:extLst>
        </c:ser>
        <c:ser>
          <c:idx val="2"/>
          <c:order val="2"/>
          <c:tx>
            <c:v>Clearing Point</c:v>
          </c:tx>
          <c:spPr>
            <a:ln w="19050" cap="rnd">
              <a:solidFill>
                <a:schemeClr val="accent5"/>
              </a:solidFill>
              <a:round/>
            </a:ln>
            <a:effectLst/>
          </c:spPr>
          <c:marker>
            <c:symbol val="circle"/>
            <c:size val="8"/>
            <c:spPr>
              <a:solidFill>
                <a:schemeClr val="accent5"/>
              </a:solidFill>
              <a:ln w="9525">
                <a:solidFill>
                  <a:schemeClr val="accent5"/>
                </a:solidFill>
              </a:ln>
              <a:effectLst/>
            </c:spPr>
          </c:marker>
          <c:xVal>
            <c:numRef>
              <c:f>'Auction Simulation'!$D$24</c:f>
              <c:numCache>
                <c:formatCode>#,##0</c:formatCode>
                <c:ptCount val="1"/>
                <c:pt idx="0">
                  <c:v>135970.42139168739</c:v>
                </c:pt>
              </c:numCache>
            </c:numRef>
          </c:xVal>
          <c:yVal>
            <c:numRef>
              <c:f>'Auction Simulation'!$D$23</c:f>
              <c:numCache>
                <c:formatCode>"$"#,##0</c:formatCode>
                <c:ptCount val="1"/>
                <c:pt idx="0">
                  <c:v>125.30413625304099</c:v>
                </c:pt>
              </c:numCache>
            </c:numRef>
          </c:yVal>
          <c:smooth val="0"/>
          <c:extLst>
            <c:ext xmlns:c16="http://schemas.microsoft.com/office/drawing/2014/chart" uri="{C3380CC4-5D6E-409C-BE32-E72D297353CC}">
              <c16:uniqueId val="{00000004-8F6B-445E-978A-9B88B62EE6B9}"/>
            </c:ext>
          </c:extLst>
        </c:ser>
        <c:dLbls>
          <c:showLegendKey val="0"/>
          <c:showVal val="0"/>
          <c:showCatName val="0"/>
          <c:showSerName val="0"/>
          <c:showPercent val="0"/>
          <c:showBubbleSize val="0"/>
        </c:dLbls>
        <c:axId val="806810432"/>
        <c:axId val="806812096"/>
      </c:scatterChart>
      <c:valAx>
        <c:axId val="806810432"/>
        <c:scaling>
          <c:orientation val="minMax"/>
          <c:max val="160000"/>
          <c:min val="100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Quantity</a:t>
                </a:r>
                <a:r>
                  <a:rPr lang="en-US" sz="1400" b="1" baseline="0">
                    <a:solidFill>
                      <a:sysClr val="windowText" lastClr="000000"/>
                    </a:solidFill>
                  </a:rPr>
                  <a:t> (UCAP MW)</a:t>
                </a:r>
                <a:endParaRPr lang="en-US" sz="1400" b="1">
                  <a:solidFill>
                    <a:sysClr val="windowText" lastClr="000000"/>
                  </a:solidFill>
                </a:endParaRPr>
              </a:p>
            </c:rich>
          </c:tx>
          <c:layout>
            <c:manualLayout>
              <c:xMode val="edge"/>
              <c:yMode val="edge"/>
              <c:x val="0.43690368557700154"/>
              <c:y val="0.9303193484229390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en-US"/>
          </a:p>
        </c:txPr>
        <c:crossAx val="806812096"/>
        <c:crosses val="autoZero"/>
        <c:crossBetween val="midCat"/>
      </c:valAx>
      <c:valAx>
        <c:axId val="806812096"/>
        <c:scaling>
          <c:orientation val="minMax"/>
          <c:max val="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Capacity Price (2026 $/UCAP</a:t>
                </a:r>
                <a:r>
                  <a:rPr lang="en-US" sz="1400" b="1" baseline="0">
                    <a:solidFill>
                      <a:sysClr val="windowText" lastClr="000000"/>
                    </a:solidFill>
                  </a:rPr>
                  <a:t> MW-Day)</a:t>
                </a:r>
                <a:endParaRPr lang="en-US" sz="1400" b="1">
                  <a:solidFill>
                    <a:sysClr val="windowText" lastClr="000000"/>
                  </a:solidFill>
                </a:endParaRPr>
              </a:p>
            </c:rich>
          </c:tx>
          <c:layout>
            <c:manualLayout>
              <c:xMode val="edge"/>
              <c:yMode val="edge"/>
              <c:x val="3.5571195070941926E-2"/>
              <c:y val="4.918149120248857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80681043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557167780369"/>
          <c:y val="3.3514042071757955E-2"/>
          <c:w val="0.77766213287073682"/>
          <c:h val="0.77515787096346767"/>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LOLE!$B$9:$B$24</c:f>
              <c:numCache>
                <c:formatCode>0.00%</c:formatCode>
                <c:ptCount val="16"/>
                <c:pt idx="0">
                  <c:v>0.93776240304481751</c:v>
                </c:pt>
                <c:pt idx="1">
                  <c:v>0.94648791022300149</c:v>
                </c:pt>
                <c:pt idx="2">
                  <c:v>0.95521341740118537</c:v>
                </c:pt>
                <c:pt idx="3">
                  <c:v>0.96393892457936936</c:v>
                </c:pt>
                <c:pt idx="4">
                  <c:v>0.97266443175755324</c:v>
                </c:pt>
                <c:pt idx="5">
                  <c:v>0.98138993893573723</c:v>
                </c:pt>
                <c:pt idx="6">
                  <c:v>0.99011544611392122</c:v>
                </c:pt>
                <c:pt idx="7">
                  <c:v>0.99884095329210476</c:v>
                </c:pt>
                <c:pt idx="8">
                  <c:v>1</c:v>
                </c:pt>
                <c:pt idx="9">
                  <c:v>1.007566460470289</c:v>
                </c:pt>
                <c:pt idx="10">
                  <c:v>1.0162919676484727</c:v>
                </c:pt>
                <c:pt idx="11">
                  <c:v>1.0250174748266567</c:v>
                </c:pt>
                <c:pt idx="12">
                  <c:v>1.0337429820048405</c:v>
                </c:pt>
                <c:pt idx="13">
                  <c:v>1.0424684891830245</c:v>
                </c:pt>
                <c:pt idx="14">
                  <c:v>1.0511939963612082</c:v>
                </c:pt>
                <c:pt idx="15">
                  <c:v>1.0599195035393922</c:v>
                </c:pt>
              </c:numCache>
            </c:numRef>
          </c:xVal>
          <c:yVal>
            <c:numRef>
              <c:f>LOLE!$C$9:$C$24</c:f>
              <c:numCache>
                <c:formatCode>0.000</c:formatCode>
                <c:ptCount val="16"/>
                <c:pt idx="0">
                  <c:v>0.88800000000000001</c:v>
                </c:pt>
                <c:pt idx="1">
                  <c:v>0.67700000000000005</c:v>
                </c:pt>
                <c:pt idx="2">
                  <c:v>0.51100000000000001</c:v>
                </c:pt>
                <c:pt idx="3">
                  <c:v>0.38</c:v>
                </c:pt>
                <c:pt idx="4">
                  <c:v>0.28000000000000003</c:v>
                </c:pt>
                <c:pt idx="5">
                  <c:v>0.20399999999999999</c:v>
                </c:pt>
                <c:pt idx="6">
                  <c:v>0.14699999999999999</c:v>
                </c:pt>
                <c:pt idx="7">
                  <c:v>0.104</c:v>
                </c:pt>
                <c:pt idx="8">
                  <c:v>0.1</c:v>
                </c:pt>
                <c:pt idx="9">
                  <c:v>7.3999999999999996E-2</c:v>
                </c:pt>
                <c:pt idx="10">
                  <c:v>5.0999999999999997E-2</c:v>
                </c:pt>
                <c:pt idx="11">
                  <c:v>3.5000000000000003E-2</c:v>
                </c:pt>
                <c:pt idx="12">
                  <c:v>2.4E-2</c:v>
                </c:pt>
                <c:pt idx="13">
                  <c:v>1.6E-2</c:v>
                </c:pt>
                <c:pt idx="14">
                  <c:v>0.01</c:v>
                </c:pt>
                <c:pt idx="15">
                  <c:v>7.0000000000000001E-3</c:v>
                </c:pt>
              </c:numCache>
            </c:numRef>
          </c:yVal>
          <c:smooth val="1"/>
          <c:extLst>
            <c:ext xmlns:c16="http://schemas.microsoft.com/office/drawing/2014/chart" uri="{C3380CC4-5D6E-409C-BE32-E72D297353CC}">
              <c16:uniqueId val="{00000000-6858-49E1-B496-72CE761872AD}"/>
            </c:ext>
          </c:extLst>
        </c:ser>
        <c:ser>
          <c:idx val="1"/>
          <c:order val="1"/>
          <c:tx>
            <c:v>Cleared LOLE</c:v>
          </c:tx>
          <c:spPr>
            <a:ln w="19050" cap="rnd">
              <a:solidFill>
                <a:schemeClr val="accent5"/>
              </a:solidFill>
              <a:round/>
            </a:ln>
            <a:effectLst/>
          </c:spPr>
          <c:marker>
            <c:symbol val="circle"/>
            <c:size val="8"/>
            <c:spPr>
              <a:solidFill>
                <a:schemeClr val="accent5"/>
              </a:solidFill>
              <a:ln w="9525">
                <a:solidFill>
                  <a:schemeClr val="accent5"/>
                </a:solidFill>
              </a:ln>
              <a:effectLst/>
            </c:spPr>
          </c:marker>
          <c:dPt>
            <c:idx val="0"/>
            <c:marker>
              <c:symbol val="circle"/>
              <c:size val="8"/>
              <c:spPr>
                <a:solidFill>
                  <a:schemeClr val="accent5"/>
                </a:solidFill>
                <a:ln w="9525">
                  <a:solidFill>
                    <a:schemeClr val="accent5"/>
                  </a:solidFill>
                </a:ln>
                <a:effectLst/>
              </c:spPr>
            </c:marker>
            <c:bubble3D val="0"/>
            <c:spPr>
              <a:ln w="19050" cap="rnd">
                <a:solidFill>
                  <a:schemeClr val="accent5"/>
                </a:solidFill>
                <a:round/>
              </a:ln>
              <a:effectLst/>
            </c:spPr>
            <c:extLst>
              <c:ext xmlns:c16="http://schemas.microsoft.com/office/drawing/2014/chart" uri="{C3380CC4-5D6E-409C-BE32-E72D297353CC}">
                <c16:uniqueId val="{00000002-6858-49E1-B496-72CE761872AD}"/>
              </c:ext>
            </c:extLst>
          </c:dPt>
          <c:xVal>
            <c:numRef>
              <c:f>'Auction Simulation'!$D$26</c:f>
              <c:numCache>
                <c:formatCode>0.00%</c:formatCode>
                <c:ptCount val="1"/>
                <c:pt idx="0">
                  <c:v>1.0262278447560986</c:v>
                </c:pt>
              </c:numCache>
            </c:numRef>
          </c:xVal>
          <c:yVal>
            <c:numRef>
              <c:f>'Auction Simulation'!$D$27</c:f>
              <c:numCache>
                <c:formatCode>0.000</c:formatCode>
                <c:ptCount val="1"/>
                <c:pt idx="0">
                  <c:v>3.3474120878938862E-2</c:v>
                </c:pt>
              </c:numCache>
            </c:numRef>
          </c:yVal>
          <c:smooth val="1"/>
          <c:extLst>
            <c:ext xmlns:c16="http://schemas.microsoft.com/office/drawing/2014/chart" uri="{C3380CC4-5D6E-409C-BE32-E72D297353CC}">
              <c16:uniqueId val="{00000003-6858-49E1-B496-72CE761872AD}"/>
            </c:ext>
          </c:extLst>
        </c:ser>
        <c:dLbls>
          <c:showLegendKey val="0"/>
          <c:showVal val="0"/>
          <c:showCatName val="0"/>
          <c:showSerName val="0"/>
          <c:showPercent val="0"/>
          <c:showBubbleSize val="0"/>
        </c:dLbls>
        <c:axId val="1855296000"/>
        <c:axId val="1855279360"/>
      </c:scatterChart>
      <c:valAx>
        <c:axId val="1855296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Cleared Quantity (% of Reliability Requirement)</a:t>
                </a:r>
              </a:p>
            </c:rich>
          </c:tx>
          <c:layout>
            <c:manualLayout>
              <c:xMode val="edge"/>
              <c:yMode val="edge"/>
              <c:x val="0.21874040826603511"/>
              <c:y val="0.922814263789818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55279360"/>
        <c:crosses val="autoZero"/>
        <c:crossBetween val="midCat"/>
      </c:valAx>
      <c:valAx>
        <c:axId val="1855279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LOLE (Days/Yeear)</a:t>
                </a:r>
              </a:p>
            </c:rich>
          </c:tx>
          <c:layout>
            <c:manualLayout>
              <c:xMode val="edge"/>
              <c:yMode val="edge"/>
              <c:x val="3.7502889208237125E-3"/>
              <c:y val="0.2586884463522577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5529600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1602310438951"/>
          <c:y val="3.3514042071757955E-2"/>
          <c:w val="0.82533489692000739"/>
          <c:h val="0.79562678953976451"/>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LOLE!$B$9:$B$24</c:f>
              <c:numCache>
                <c:formatCode>0.00%</c:formatCode>
                <c:ptCount val="16"/>
                <c:pt idx="0">
                  <c:v>0.93776240304481751</c:v>
                </c:pt>
                <c:pt idx="1">
                  <c:v>0.94648791022300149</c:v>
                </c:pt>
                <c:pt idx="2">
                  <c:v>0.95521341740118537</c:v>
                </c:pt>
                <c:pt idx="3">
                  <c:v>0.96393892457936936</c:v>
                </c:pt>
                <c:pt idx="4">
                  <c:v>0.97266443175755324</c:v>
                </c:pt>
                <c:pt idx="5">
                  <c:v>0.98138993893573723</c:v>
                </c:pt>
                <c:pt idx="6">
                  <c:v>0.99011544611392122</c:v>
                </c:pt>
                <c:pt idx="7">
                  <c:v>0.99884095329210476</c:v>
                </c:pt>
                <c:pt idx="8">
                  <c:v>1</c:v>
                </c:pt>
                <c:pt idx="9">
                  <c:v>1.007566460470289</c:v>
                </c:pt>
                <c:pt idx="10">
                  <c:v>1.0162919676484727</c:v>
                </c:pt>
                <c:pt idx="11">
                  <c:v>1.0250174748266567</c:v>
                </c:pt>
                <c:pt idx="12">
                  <c:v>1.0337429820048405</c:v>
                </c:pt>
                <c:pt idx="13">
                  <c:v>1.0424684891830245</c:v>
                </c:pt>
                <c:pt idx="14">
                  <c:v>1.0511939963612082</c:v>
                </c:pt>
                <c:pt idx="15">
                  <c:v>1.0599195035393922</c:v>
                </c:pt>
              </c:numCache>
            </c:numRef>
          </c:xVal>
          <c:yVal>
            <c:numRef>
              <c:f>LOLE!$C$9:$C$24</c:f>
              <c:numCache>
                <c:formatCode>0.000</c:formatCode>
                <c:ptCount val="16"/>
                <c:pt idx="0">
                  <c:v>0.88800000000000001</c:v>
                </c:pt>
                <c:pt idx="1">
                  <c:v>0.67700000000000005</c:v>
                </c:pt>
                <c:pt idx="2">
                  <c:v>0.51100000000000001</c:v>
                </c:pt>
                <c:pt idx="3">
                  <c:v>0.38</c:v>
                </c:pt>
                <c:pt idx="4">
                  <c:v>0.28000000000000003</c:v>
                </c:pt>
                <c:pt idx="5">
                  <c:v>0.20399999999999999</c:v>
                </c:pt>
                <c:pt idx="6">
                  <c:v>0.14699999999999999</c:v>
                </c:pt>
                <c:pt idx="7">
                  <c:v>0.104</c:v>
                </c:pt>
                <c:pt idx="8">
                  <c:v>0.1</c:v>
                </c:pt>
                <c:pt idx="9">
                  <c:v>7.3999999999999996E-2</c:v>
                </c:pt>
                <c:pt idx="10">
                  <c:v>5.0999999999999997E-2</c:v>
                </c:pt>
                <c:pt idx="11">
                  <c:v>3.5000000000000003E-2</c:v>
                </c:pt>
                <c:pt idx="12">
                  <c:v>2.4E-2</c:v>
                </c:pt>
                <c:pt idx="13">
                  <c:v>1.6E-2</c:v>
                </c:pt>
                <c:pt idx="14">
                  <c:v>0.01</c:v>
                </c:pt>
                <c:pt idx="15">
                  <c:v>7.0000000000000001E-3</c:v>
                </c:pt>
              </c:numCache>
            </c:numRef>
          </c:yVal>
          <c:smooth val="1"/>
          <c:extLst>
            <c:ext xmlns:c16="http://schemas.microsoft.com/office/drawing/2014/chart" uri="{C3380CC4-5D6E-409C-BE32-E72D297353CC}">
              <c16:uniqueId val="{00000000-3CC9-4759-BEC5-0979A7D0DEF4}"/>
            </c:ext>
          </c:extLst>
        </c:ser>
        <c:ser>
          <c:idx val="1"/>
          <c:order val="1"/>
          <c:tx>
            <c:v>Cleared LOLE</c:v>
          </c:tx>
          <c:spPr>
            <a:ln w="19050" cap="rnd">
              <a:solidFill>
                <a:schemeClr val="accent5"/>
              </a:solidFill>
              <a:round/>
            </a:ln>
            <a:effectLst/>
          </c:spPr>
          <c:marker>
            <c:symbol val="circle"/>
            <c:size val="8"/>
            <c:spPr>
              <a:solidFill>
                <a:schemeClr val="accent5"/>
              </a:solidFill>
              <a:ln w="9525">
                <a:solidFill>
                  <a:schemeClr val="accent5"/>
                </a:solidFill>
              </a:ln>
              <a:effectLst/>
            </c:spPr>
          </c:marker>
          <c:dPt>
            <c:idx val="0"/>
            <c:marker>
              <c:symbol val="circle"/>
              <c:size val="8"/>
              <c:spPr>
                <a:solidFill>
                  <a:schemeClr val="accent5"/>
                </a:solidFill>
                <a:ln w="9525">
                  <a:solidFill>
                    <a:schemeClr val="accent5"/>
                  </a:solidFill>
                </a:ln>
                <a:effectLst/>
              </c:spPr>
            </c:marker>
            <c:bubble3D val="0"/>
            <c:spPr>
              <a:ln w="19050" cap="rnd">
                <a:solidFill>
                  <a:schemeClr val="accent5"/>
                </a:solidFill>
                <a:round/>
              </a:ln>
              <a:effectLst/>
            </c:spPr>
            <c:extLst>
              <c:ext xmlns:c16="http://schemas.microsoft.com/office/drawing/2014/chart" uri="{C3380CC4-5D6E-409C-BE32-E72D297353CC}">
                <c16:uniqueId val="{00000001-1AB9-424B-AE4C-F498FCDC75A0}"/>
              </c:ext>
            </c:extLst>
          </c:dPt>
          <c:xVal>
            <c:numRef>
              <c:f>'Auction Simulation'!$D$26</c:f>
              <c:numCache>
                <c:formatCode>0.00%</c:formatCode>
                <c:ptCount val="1"/>
                <c:pt idx="0">
                  <c:v>1.0262278447560986</c:v>
                </c:pt>
              </c:numCache>
            </c:numRef>
          </c:xVal>
          <c:yVal>
            <c:numRef>
              <c:f>'Auction Simulation'!$D$27</c:f>
              <c:numCache>
                <c:formatCode>0.000</c:formatCode>
                <c:ptCount val="1"/>
                <c:pt idx="0">
                  <c:v>3.3474120878938862E-2</c:v>
                </c:pt>
              </c:numCache>
            </c:numRef>
          </c:yVal>
          <c:smooth val="1"/>
          <c:extLst>
            <c:ext xmlns:c16="http://schemas.microsoft.com/office/drawing/2014/chart" uri="{C3380CC4-5D6E-409C-BE32-E72D297353CC}">
              <c16:uniqueId val="{00000001-3CC9-4759-BEC5-0979A7D0DEF4}"/>
            </c:ext>
          </c:extLst>
        </c:ser>
        <c:dLbls>
          <c:showLegendKey val="0"/>
          <c:showVal val="0"/>
          <c:showCatName val="0"/>
          <c:showSerName val="0"/>
          <c:showPercent val="0"/>
          <c:showBubbleSize val="0"/>
        </c:dLbls>
        <c:axId val="1855296000"/>
        <c:axId val="1855279360"/>
      </c:scatterChart>
      <c:valAx>
        <c:axId val="18552960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Cleared Quantity (% of Reliability Requirement)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55279360"/>
        <c:crosses val="autoZero"/>
        <c:crossBetween val="midCat"/>
      </c:valAx>
      <c:valAx>
        <c:axId val="1855279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LOLE (Days/Yeear)</a:t>
                </a:r>
              </a:p>
            </c:rich>
          </c:tx>
          <c:layout>
            <c:manualLayout>
              <c:xMode val="edge"/>
              <c:yMode val="edge"/>
              <c:x val="3.7502889208237125E-3"/>
              <c:y val="0.2586884463522577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5529600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71971149922467"/>
          <c:y val="3.7617444490974553E-2"/>
          <c:w val="0.82801214498490161"/>
          <c:h val="0.72474455515695169"/>
        </c:manualLayout>
      </c:layout>
      <c:scatterChart>
        <c:scatterStyle val="lineMarker"/>
        <c:varyColors val="0"/>
        <c:ser>
          <c:idx val="3"/>
          <c:order val="0"/>
          <c:tx>
            <c:strRef>
              <c:f>'Clearing Details'!$V$3</c:f>
              <c:strCache>
                <c:ptCount val="1"/>
                <c:pt idx="0">
                  <c:v>Supply Curve formatted for graphing</c:v>
                </c:pt>
              </c:strCache>
            </c:strRef>
          </c:tx>
          <c:spPr>
            <a:ln w="31750" cap="rnd">
              <a:solidFill>
                <a:schemeClr val="accent4"/>
              </a:solidFill>
              <a:round/>
            </a:ln>
            <a:effectLst/>
          </c:spPr>
          <c:marker>
            <c:symbol val="none"/>
          </c:marker>
          <c:xVal>
            <c:numRef>
              <c:f>'Clearing Details'!$X$9:$X$108</c:f>
              <c:numCache>
                <c:formatCode>_(* #,##0_);_(* \(#,##0\);_(* "-"??_);_(@_)</c:formatCode>
                <c:ptCount val="100"/>
                <c:pt idx="0">
                  <c:v>0</c:v>
                </c:pt>
                <c:pt idx="1">
                  <c:v>24883.72093023255</c:v>
                </c:pt>
                <c:pt idx="2">
                  <c:v>24883.72093023255</c:v>
                </c:pt>
                <c:pt idx="3">
                  <c:v>28139.534883720899</c:v>
                </c:pt>
                <c:pt idx="4">
                  <c:v>28139.534883720899</c:v>
                </c:pt>
                <c:pt idx="5">
                  <c:v>31162.790697674402</c:v>
                </c:pt>
                <c:pt idx="6">
                  <c:v>31162.790697674402</c:v>
                </c:pt>
                <c:pt idx="7">
                  <c:v>34651.162790697599</c:v>
                </c:pt>
                <c:pt idx="8">
                  <c:v>34651.162790697599</c:v>
                </c:pt>
                <c:pt idx="9">
                  <c:v>37441.860465116253</c:v>
                </c:pt>
                <c:pt idx="10">
                  <c:v>37441.860465116253</c:v>
                </c:pt>
                <c:pt idx="11">
                  <c:v>39767.441860465049</c:v>
                </c:pt>
                <c:pt idx="12">
                  <c:v>39767.441860465049</c:v>
                </c:pt>
                <c:pt idx="13">
                  <c:v>46046.511627906897</c:v>
                </c:pt>
                <c:pt idx="14">
                  <c:v>46046.511627906897</c:v>
                </c:pt>
                <c:pt idx="15">
                  <c:v>49534.883720930098</c:v>
                </c:pt>
                <c:pt idx="16">
                  <c:v>49534.883720930098</c:v>
                </c:pt>
                <c:pt idx="17">
                  <c:v>53023.255813953445</c:v>
                </c:pt>
                <c:pt idx="18">
                  <c:v>53023.255813953445</c:v>
                </c:pt>
                <c:pt idx="19">
                  <c:v>56279.069767441797</c:v>
                </c:pt>
                <c:pt idx="20">
                  <c:v>56279.069767441797</c:v>
                </c:pt>
                <c:pt idx="21">
                  <c:v>59534.883720930149</c:v>
                </c:pt>
                <c:pt idx="22">
                  <c:v>59534.883720930149</c:v>
                </c:pt>
                <c:pt idx="23">
                  <c:v>61627.906976744103</c:v>
                </c:pt>
                <c:pt idx="24">
                  <c:v>61627.906976744103</c:v>
                </c:pt>
                <c:pt idx="25">
                  <c:v>65813.953488372004</c:v>
                </c:pt>
                <c:pt idx="26">
                  <c:v>65813.953488372004</c:v>
                </c:pt>
                <c:pt idx="27">
                  <c:v>69767.441860465042</c:v>
                </c:pt>
                <c:pt idx="28">
                  <c:v>69767.441860465042</c:v>
                </c:pt>
                <c:pt idx="29">
                  <c:v>72790.697674418552</c:v>
                </c:pt>
                <c:pt idx="30">
                  <c:v>72790.697674418552</c:v>
                </c:pt>
                <c:pt idx="31">
                  <c:v>76511.627906976602</c:v>
                </c:pt>
                <c:pt idx="32">
                  <c:v>76511.627906976602</c:v>
                </c:pt>
                <c:pt idx="33">
                  <c:v>80465.116279069654</c:v>
                </c:pt>
                <c:pt idx="34">
                  <c:v>80465.116279069654</c:v>
                </c:pt>
                <c:pt idx="35">
                  <c:v>82325.581395348752</c:v>
                </c:pt>
                <c:pt idx="36">
                  <c:v>82325.581395348752</c:v>
                </c:pt>
                <c:pt idx="37">
                  <c:v>85348.837209302248</c:v>
                </c:pt>
                <c:pt idx="38">
                  <c:v>85348.837209302248</c:v>
                </c:pt>
                <c:pt idx="39">
                  <c:v>88604.6511627906</c:v>
                </c:pt>
                <c:pt idx="40">
                  <c:v>88604.6511627906</c:v>
                </c:pt>
                <c:pt idx="41">
                  <c:v>92325.58139534881</c:v>
                </c:pt>
                <c:pt idx="42">
                  <c:v>92325.58139534881</c:v>
                </c:pt>
                <c:pt idx="43">
                  <c:v>95581.395348837163</c:v>
                </c:pt>
                <c:pt idx="44">
                  <c:v>95581.395348837163</c:v>
                </c:pt>
                <c:pt idx="45">
                  <c:v>98837.2093023255</c:v>
                </c:pt>
                <c:pt idx="46">
                  <c:v>98837.2093023255</c:v>
                </c:pt>
                <c:pt idx="47">
                  <c:v>102558.1395348837</c:v>
                </c:pt>
                <c:pt idx="48">
                  <c:v>102558.1395348837</c:v>
                </c:pt>
                <c:pt idx="49">
                  <c:v>104651.16279069765</c:v>
                </c:pt>
                <c:pt idx="50">
                  <c:v>104651.16279069765</c:v>
                </c:pt>
                <c:pt idx="51">
                  <c:v>107209.3023255813</c:v>
                </c:pt>
                <c:pt idx="52">
                  <c:v>107209.3023255813</c:v>
                </c:pt>
                <c:pt idx="53">
                  <c:v>110465.11627906965</c:v>
                </c:pt>
                <c:pt idx="54">
                  <c:v>110465.11627906965</c:v>
                </c:pt>
                <c:pt idx="55">
                  <c:v>113720.93023255815</c:v>
                </c:pt>
                <c:pt idx="56">
                  <c:v>113720.93023255815</c:v>
                </c:pt>
                <c:pt idx="57">
                  <c:v>116279.0697674418</c:v>
                </c:pt>
                <c:pt idx="58">
                  <c:v>116279.0697674418</c:v>
                </c:pt>
                <c:pt idx="59">
                  <c:v>119302.32558139531</c:v>
                </c:pt>
                <c:pt idx="60">
                  <c:v>119302.32558139531</c:v>
                </c:pt>
                <c:pt idx="61">
                  <c:v>121860.46511627894</c:v>
                </c:pt>
                <c:pt idx="62">
                  <c:v>121860.46511627894</c:v>
                </c:pt>
                <c:pt idx="63">
                  <c:v>123255.81395348835</c:v>
                </c:pt>
                <c:pt idx="64">
                  <c:v>123255.81395348835</c:v>
                </c:pt>
                <c:pt idx="65">
                  <c:v>126279.06976744185</c:v>
                </c:pt>
                <c:pt idx="66">
                  <c:v>126279.06976744185</c:v>
                </c:pt>
                <c:pt idx="67">
                  <c:v>129069.76744186034</c:v>
                </c:pt>
                <c:pt idx="68">
                  <c:v>129069.76744186034</c:v>
                </c:pt>
                <c:pt idx="69">
                  <c:v>131860.465116279</c:v>
                </c:pt>
                <c:pt idx="70">
                  <c:v>131860.465116279</c:v>
                </c:pt>
                <c:pt idx="71">
                  <c:v>133488.37209302324</c:v>
                </c:pt>
                <c:pt idx="72">
                  <c:v>133488.37209302324</c:v>
                </c:pt>
                <c:pt idx="73">
                  <c:v>135116.27906976733</c:v>
                </c:pt>
                <c:pt idx="74">
                  <c:v>135116.27906976733</c:v>
                </c:pt>
                <c:pt idx="75">
                  <c:v>136744.1860465116</c:v>
                </c:pt>
                <c:pt idx="76">
                  <c:v>136744.1860465116</c:v>
                </c:pt>
                <c:pt idx="77">
                  <c:v>139069.7674418604</c:v>
                </c:pt>
                <c:pt idx="78">
                  <c:v>139069.7674418604</c:v>
                </c:pt>
                <c:pt idx="79">
                  <c:v>140930.23255813948</c:v>
                </c:pt>
                <c:pt idx="80">
                  <c:v>140930.23255813948</c:v>
                </c:pt>
                <c:pt idx="81">
                  <c:v>142325.58139534874</c:v>
                </c:pt>
                <c:pt idx="82">
                  <c:v>142325.58139534874</c:v>
                </c:pt>
                <c:pt idx="83">
                  <c:v>144186.04651162785</c:v>
                </c:pt>
                <c:pt idx="84">
                  <c:v>144186.04651162785</c:v>
                </c:pt>
                <c:pt idx="85">
                  <c:v>145581.3953488371</c:v>
                </c:pt>
                <c:pt idx="86">
                  <c:v>145581.3953488371</c:v>
                </c:pt>
                <c:pt idx="87">
                  <c:v>146511.62790697665</c:v>
                </c:pt>
                <c:pt idx="88">
                  <c:v>146511.62790697665</c:v>
                </c:pt>
                <c:pt idx="89">
                  <c:v>147441.86046511619</c:v>
                </c:pt>
                <c:pt idx="90">
                  <c:v>147441.86046511619</c:v>
                </c:pt>
                <c:pt idx="91">
                  <c:v>148372.09302325576</c:v>
                </c:pt>
                <c:pt idx="92">
                  <c:v>148372.09302325576</c:v>
                </c:pt>
                <c:pt idx="93">
                  <c:v>149069.76744186046</c:v>
                </c:pt>
                <c:pt idx="94">
                  <c:v>149069.76744186046</c:v>
                </c:pt>
                <c:pt idx="95">
                  <c:v>149302.3255813953</c:v>
                </c:pt>
                <c:pt idx="96">
                  <c:v>149302.3255813953</c:v>
                </c:pt>
                <c:pt idx="97">
                  <c:v>149767.44186046501</c:v>
                </c:pt>
                <c:pt idx="98">
                  <c:v>149767.44186046501</c:v>
                </c:pt>
                <c:pt idx="99">
                  <c:v>150000</c:v>
                </c:pt>
              </c:numCache>
            </c:numRef>
          </c:xVal>
          <c:yVal>
            <c:numRef>
              <c:f>'Clearing Details'!$W$9:$W$108</c:f>
              <c:numCache>
                <c:formatCode>"$"#,##0</c:formatCode>
                <c:ptCount val="100"/>
                <c:pt idx="0">
                  <c:v>0</c:v>
                </c:pt>
                <c:pt idx="1">
                  <c:v>0</c:v>
                </c:pt>
                <c:pt idx="2">
                  <c:v>1.2165450121655099</c:v>
                </c:pt>
                <c:pt idx="3">
                  <c:v>1.2165450121655099</c:v>
                </c:pt>
                <c:pt idx="4">
                  <c:v>1.82481751824826</c:v>
                </c:pt>
                <c:pt idx="5">
                  <c:v>1.82481751824826</c:v>
                </c:pt>
                <c:pt idx="6">
                  <c:v>2.4330900243310198</c:v>
                </c:pt>
                <c:pt idx="7">
                  <c:v>2.4330900243310198</c:v>
                </c:pt>
                <c:pt idx="8">
                  <c:v>3.6496350364964201</c:v>
                </c:pt>
                <c:pt idx="9">
                  <c:v>3.6496350364964201</c:v>
                </c:pt>
                <c:pt idx="10">
                  <c:v>7.2992700729927202</c:v>
                </c:pt>
                <c:pt idx="11">
                  <c:v>7.2992700729927202</c:v>
                </c:pt>
                <c:pt idx="12">
                  <c:v>9.1240875912409098</c:v>
                </c:pt>
                <c:pt idx="13">
                  <c:v>9.1240875912409098</c:v>
                </c:pt>
                <c:pt idx="14">
                  <c:v>10.9489051094891</c:v>
                </c:pt>
                <c:pt idx="15">
                  <c:v>10.9489051094891</c:v>
                </c:pt>
                <c:pt idx="16">
                  <c:v>12.1654501216545</c:v>
                </c:pt>
                <c:pt idx="17">
                  <c:v>12.1654501216545</c:v>
                </c:pt>
                <c:pt idx="18">
                  <c:v>13.381995133819901</c:v>
                </c:pt>
                <c:pt idx="19">
                  <c:v>13.381995133819901</c:v>
                </c:pt>
                <c:pt idx="20">
                  <c:v>15.8150851581509</c:v>
                </c:pt>
                <c:pt idx="21">
                  <c:v>15.8150851581509</c:v>
                </c:pt>
                <c:pt idx="22">
                  <c:v>17.033900170316347</c:v>
                </c:pt>
                <c:pt idx="23">
                  <c:v>17.033900170316347</c:v>
                </c:pt>
                <c:pt idx="24">
                  <c:v>18.248175182481798</c:v>
                </c:pt>
                <c:pt idx="25">
                  <c:v>18.248175182481798</c:v>
                </c:pt>
                <c:pt idx="26">
                  <c:v>19.464720194647199</c:v>
                </c:pt>
                <c:pt idx="27">
                  <c:v>19.464720194647199</c:v>
                </c:pt>
                <c:pt idx="28">
                  <c:v>20.6812652068127</c:v>
                </c:pt>
                <c:pt idx="29">
                  <c:v>20.6812652068127</c:v>
                </c:pt>
                <c:pt idx="30">
                  <c:v>23.114355231143499</c:v>
                </c:pt>
                <c:pt idx="31">
                  <c:v>23.114355231143499</c:v>
                </c:pt>
                <c:pt idx="32">
                  <c:v>25.5474452554744</c:v>
                </c:pt>
                <c:pt idx="33">
                  <c:v>25.5474452554744</c:v>
                </c:pt>
                <c:pt idx="34">
                  <c:v>26.286215767639849</c:v>
                </c:pt>
                <c:pt idx="35">
                  <c:v>26.286215767639849</c:v>
                </c:pt>
                <c:pt idx="36">
                  <c:v>27.980535279805299</c:v>
                </c:pt>
                <c:pt idx="37">
                  <c:v>27.980535279805299</c:v>
                </c:pt>
                <c:pt idx="38">
                  <c:v>30.4136253041363</c:v>
                </c:pt>
                <c:pt idx="39">
                  <c:v>30.4136253041363</c:v>
                </c:pt>
                <c:pt idx="40">
                  <c:v>34.063260340632603</c:v>
                </c:pt>
                <c:pt idx="41">
                  <c:v>34.063260340632603</c:v>
                </c:pt>
                <c:pt idx="42">
                  <c:v>36.496350364963497</c:v>
                </c:pt>
                <c:pt idx="43">
                  <c:v>36.496350364963497</c:v>
                </c:pt>
                <c:pt idx="44">
                  <c:v>40.145985401459797</c:v>
                </c:pt>
                <c:pt idx="45">
                  <c:v>40.145985401459797</c:v>
                </c:pt>
                <c:pt idx="46">
                  <c:v>45.012165450121699</c:v>
                </c:pt>
                <c:pt idx="47">
                  <c:v>45.012165450121699</c:v>
                </c:pt>
                <c:pt idx="48">
                  <c:v>46.228710462287097</c:v>
                </c:pt>
                <c:pt idx="49">
                  <c:v>46.228710462287097</c:v>
                </c:pt>
                <c:pt idx="50">
                  <c:v>51.0948905109489</c:v>
                </c:pt>
                <c:pt idx="51">
                  <c:v>51.0948905109489</c:v>
                </c:pt>
                <c:pt idx="52">
                  <c:v>55.961070559610697</c:v>
                </c:pt>
                <c:pt idx="53">
                  <c:v>55.961070559610697</c:v>
                </c:pt>
                <c:pt idx="54">
                  <c:v>62.043795620437997</c:v>
                </c:pt>
                <c:pt idx="55">
                  <c:v>62.043795620437997</c:v>
                </c:pt>
                <c:pt idx="56">
                  <c:v>69.343065693430702</c:v>
                </c:pt>
                <c:pt idx="57">
                  <c:v>69.343065693430702</c:v>
                </c:pt>
                <c:pt idx="58">
                  <c:v>75.425790754257903</c:v>
                </c:pt>
                <c:pt idx="59">
                  <c:v>75.425790754257903</c:v>
                </c:pt>
                <c:pt idx="60">
                  <c:v>80.291970802919707</c:v>
                </c:pt>
                <c:pt idx="61">
                  <c:v>80.291970802919707</c:v>
                </c:pt>
                <c:pt idx="62">
                  <c:v>83.941605839415999</c:v>
                </c:pt>
                <c:pt idx="63">
                  <c:v>83.941605839415999</c:v>
                </c:pt>
                <c:pt idx="64">
                  <c:v>88.807785888077902</c:v>
                </c:pt>
                <c:pt idx="65">
                  <c:v>88.807785888077902</c:v>
                </c:pt>
                <c:pt idx="66">
                  <c:v>94.890510948905103</c:v>
                </c:pt>
                <c:pt idx="67">
                  <c:v>94.890510948905103</c:v>
                </c:pt>
                <c:pt idx="68">
                  <c:v>100.97323600973201</c:v>
                </c:pt>
                <c:pt idx="69">
                  <c:v>100.97323600973201</c:v>
                </c:pt>
                <c:pt idx="70">
                  <c:v>107.05596107055899</c:v>
                </c:pt>
                <c:pt idx="71">
                  <c:v>107.05596107055899</c:v>
                </c:pt>
                <c:pt idx="72">
                  <c:v>113.138686131386</c:v>
                </c:pt>
                <c:pt idx="73">
                  <c:v>113.138686131386</c:v>
                </c:pt>
                <c:pt idx="74">
                  <c:v>125.30413625304099</c:v>
                </c:pt>
                <c:pt idx="75">
                  <c:v>125.30413625304099</c:v>
                </c:pt>
                <c:pt idx="76">
                  <c:v>139.90267639902601</c:v>
                </c:pt>
                <c:pt idx="77">
                  <c:v>139.90267639902601</c:v>
                </c:pt>
                <c:pt idx="78">
                  <c:v>154.501216545012</c:v>
                </c:pt>
                <c:pt idx="79">
                  <c:v>154.501216545012</c:v>
                </c:pt>
                <c:pt idx="80">
                  <c:v>167.883211678832</c:v>
                </c:pt>
                <c:pt idx="81">
                  <c:v>167.883211678832</c:v>
                </c:pt>
                <c:pt idx="82">
                  <c:v>180.048661800486</c:v>
                </c:pt>
                <c:pt idx="83">
                  <c:v>180.048661800486</c:v>
                </c:pt>
                <c:pt idx="84">
                  <c:v>188.56447688564401</c:v>
                </c:pt>
                <c:pt idx="85">
                  <c:v>188.56447688564401</c:v>
                </c:pt>
                <c:pt idx="86">
                  <c:v>205.596107055961</c:v>
                </c:pt>
                <c:pt idx="87">
                  <c:v>205.596107055961</c:v>
                </c:pt>
                <c:pt idx="88">
                  <c:v>227.49391727493901</c:v>
                </c:pt>
                <c:pt idx="89">
                  <c:v>227.49391727493901</c:v>
                </c:pt>
                <c:pt idx="90">
                  <c:v>245.74209245742</c:v>
                </c:pt>
                <c:pt idx="91">
                  <c:v>245.74209245742</c:v>
                </c:pt>
                <c:pt idx="92">
                  <c:v>259.12408759124003</c:v>
                </c:pt>
                <c:pt idx="93">
                  <c:v>259.12408759124003</c:v>
                </c:pt>
                <c:pt idx="94">
                  <c:v>279.80535279805298</c:v>
                </c:pt>
                <c:pt idx="95">
                  <c:v>279.80535279805298</c:v>
                </c:pt>
                <c:pt idx="96">
                  <c:v>304.13625304136201</c:v>
                </c:pt>
                <c:pt idx="97">
                  <c:v>304.13625304136201</c:v>
                </c:pt>
                <c:pt idx="98">
                  <c:v>1000</c:v>
                </c:pt>
                <c:pt idx="99">
                  <c:v>1000</c:v>
                </c:pt>
              </c:numCache>
            </c:numRef>
          </c:yVal>
          <c:smooth val="0"/>
          <c:extLst>
            <c:ext xmlns:c16="http://schemas.microsoft.com/office/drawing/2014/chart" uri="{C3380CC4-5D6E-409C-BE32-E72D297353CC}">
              <c16:uniqueId val="{00000000-4CCE-4002-8734-5E29DF87FD67}"/>
            </c:ext>
          </c:extLst>
        </c:ser>
        <c:ser>
          <c:idx val="0"/>
          <c:order val="1"/>
          <c:tx>
            <c:strRef>
              <c:f>'Auction Simulation'!$D$7</c:f>
              <c:strCache>
                <c:ptCount val="1"/>
                <c:pt idx="0">
                  <c:v>Candidate Curve</c:v>
                </c:pt>
              </c:strCache>
            </c:strRef>
          </c:tx>
          <c:spPr>
            <a:ln w="19050" cap="rnd">
              <a:solidFill>
                <a:schemeClr val="accent1"/>
              </a:solidFill>
              <a:round/>
            </a:ln>
            <a:effectLst/>
          </c:spPr>
          <c:marker>
            <c:symbol val="none"/>
          </c:marker>
          <c:dPt>
            <c:idx val="0"/>
            <c:marker>
              <c:symbol val="none"/>
            </c:marker>
            <c:bubble3D val="0"/>
            <c:spPr>
              <a:ln w="31750" cap="rnd">
                <a:solidFill>
                  <a:schemeClr val="accent1"/>
                </a:solidFill>
                <a:round/>
              </a:ln>
              <a:effectLst/>
            </c:spPr>
            <c:extLst>
              <c:ext xmlns:c16="http://schemas.microsoft.com/office/drawing/2014/chart" uri="{C3380CC4-5D6E-409C-BE32-E72D297353CC}">
                <c16:uniqueId val="{00000001-865C-42AE-9318-B18F339391B4}"/>
              </c:ext>
            </c:extLst>
          </c:dPt>
          <c:dPt>
            <c:idx val="2"/>
            <c:marker>
              <c:symbol val="none"/>
            </c:marker>
            <c:bubble3D val="0"/>
            <c:spPr>
              <a:ln w="19050" cap="rnd">
                <a:solidFill>
                  <a:schemeClr val="accent1"/>
                </a:solidFill>
                <a:round/>
              </a:ln>
              <a:effectLst/>
            </c:spPr>
            <c:extLst>
              <c:ext xmlns:c16="http://schemas.microsoft.com/office/drawing/2014/chart" uri="{C3380CC4-5D6E-409C-BE32-E72D297353CC}">
                <c16:uniqueId val="{00000001-4902-44F2-8F69-F1186ABBA5B9}"/>
              </c:ext>
            </c:extLst>
          </c:dPt>
          <c:dPt>
            <c:idx val="3"/>
            <c:marker>
              <c:symbol val="none"/>
            </c:marker>
            <c:bubble3D val="0"/>
            <c:spPr>
              <a:ln w="19050" cap="rnd">
                <a:solidFill>
                  <a:schemeClr val="accent1"/>
                </a:solidFill>
                <a:round/>
              </a:ln>
              <a:effectLst/>
            </c:spPr>
            <c:extLst>
              <c:ext xmlns:c16="http://schemas.microsoft.com/office/drawing/2014/chart" uri="{C3380CC4-5D6E-409C-BE32-E72D297353CC}">
                <c16:uniqueId val="{00000000-4902-44F2-8F69-F1186ABBA5B9}"/>
              </c:ext>
            </c:extLst>
          </c:dPt>
          <c:xVal>
            <c:numRef>
              <c:f>('Auction Simulation'!$K$21,'Auction Simulation'!$M$9:$M$18)</c:f>
              <c:numCache>
                <c:formatCode>#,##0</c:formatCode>
                <c:ptCount val="11"/>
                <c:pt idx="0" formatCode="General">
                  <c:v>0</c:v>
                </c:pt>
                <c:pt idx="1">
                  <c:v>131170.40028256411</c:v>
                </c:pt>
                <c:pt idx="2">
                  <c:v>134482.78412808338</c:v>
                </c:pt>
                <c:pt idx="3">
                  <c:v>138457.64474270656</c:v>
                </c:pt>
                <c:pt idx="4">
                  <c:v>#N/A</c:v>
                </c:pt>
                <c:pt idx="5">
                  <c:v>#N/A</c:v>
                </c:pt>
                <c:pt idx="6">
                  <c:v>#N/A</c:v>
                </c:pt>
                <c:pt idx="7">
                  <c:v>#N/A</c:v>
                </c:pt>
                <c:pt idx="8">
                  <c:v>#N/A</c:v>
                </c:pt>
                <c:pt idx="9">
                  <c:v>#N/A</c:v>
                </c:pt>
                <c:pt idx="10">
                  <c:v>#N/A</c:v>
                </c:pt>
              </c:numCache>
            </c:numRef>
          </c:xVal>
          <c:yVal>
            <c:numRef>
              <c:f>('Auction Simulation'!$P$9,'Auction Simulation'!$P$9:$P$18)</c:f>
              <c:numCache>
                <c:formatCode>"$"#,##0</c:formatCode>
                <c:ptCount val="11"/>
                <c:pt idx="0">
                  <c:v>491</c:v>
                </c:pt>
                <c:pt idx="1">
                  <c:v>491</c:v>
                </c:pt>
                <c:pt idx="2">
                  <c:v>200.25</c:v>
                </c:pt>
                <c:pt idx="3">
                  <c:v>0</c:v>
                </c:pt>
                <c:pt idx="4">
                  <c:v>#N/A</c:v>
                </c:pt>
                <c:pt idx="5">
                  <c:v>#N/A</c:v>
                </c:pt>
                <c:pt idx="6">
                  <c:v>#N/A</c:v>
                </c:pt>
                <c:pt idx="7">
                  <c:v>#N/A</c:v>
                </c:pt>
                <c:pt idx="8">
                  <c:v>#N/A</c:v>
                </c:pt>
                <c:pt idx="9">
                  <c:v>#N/A</c:v>
                </c:pt>
                <c:pt idx="10">
                  <c:v>#N/A</c:v>
                </c:pt>
              </c:numCache>
            </c:numRef>
          </c:yVal>
          <c:smooth val="0"/>
          <c:extLst>
            <c:ext xmlns:c16="http://schemas.microsoft.com/office/drawing/2014/chart" uri="{C3380CC4-5D6E-409C-BE32-E72D297353CC}">
              <c16:uniqueId val="{00000001-4CCE-4002-8734-5E29DF87FD67}"/>
            </c:ext>
          </c:extLst>
        </c:ser>
        <c:ser>
          <c:idx val="2"/>
          <c:order val="2"/>
          <c:tx>
            <c:v>Clearing Point</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'Auction Simulation'!$D$24</c:f>
              <c:numCache>
                <c:formatCode>#,##0</c:formatCode>
                <c:ptCount val="1"/>
                <c:pt idx="0">
                  <c:v>135970.42139168739</c:v>
                </c:pt>
              </c:numCache>
            </c:numRef>
          </c:xVal>
          <c:yVal>
            <c:numRef>
              <c:f>'Auction Simulation'!$D$23</c:f>
              <c:numCache>
                <c:formatCode>"$"#,##0</c:formatCode>
                <c:ptCount val="1"/>
                <c:pt idx="0">
                  <c:v>125.30413625304099</c:v>
                </c:pt>
              </c:numCache>
            </c:numRef>
          </c:yVal>
          <c:smooth val="0"/>
          <c:extLst>
            <c:ext xmlns:c16="http://schemas.microsoft.com/office/drawing/2014/chart" uri="{C3380CC4-5D6E-409C-BE32-E72D297353CC}">
              <c16:uniqueId val="{00000002-4CCE-4002-8734-5E29DF87FD67}"/>
            </c:ext>
          </c:extLst>
        </c:ser>
        <c:dLbls>
          <c:showLegendKey val="0"/>
          <c:showVal val="0"/>
          <c:showCatName val="0"/>
          <c:showSerName val="0"/>
          <c:showPercent val="0"/>
          <c:showBubbleSize val="0"/>
        </c:dLbls>
        <c:axId val="806810432"/>
        <c:axId val="806812096"/>
      </c:scatterChart>
      <c:valAx>
        <c:axId val="806810432"/>
        <c:scaling>
          <c:orientation val="minMax"/>
          <c:max val="230000"/>
          <c:min val="80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Quantity</a:t>
                </a:r>
                <a:r>
                  <a:rPr lang="en-US" sz="1400" b="1" baseline="0">
                    <a:solidFill>
                      <a:sysClr val="windowText" lastClr="000000"/>
                    </a:solidFill>
                  </a:rPr>
                  <a:t> (UCAP MW)</a:t>
                </a:r>
                <a:endParaRPr lang="en-US" sz="1400" b="1">
                  <a:solidFill>
                    <a:sysClr val="windowText" lastClr="000000"/>
                  </a:solidFill>
                </a:endParaRPr>
              </a:p>
            </c:rich>
          </c:tx>
          <c:layout>
            <c:manualLayout>
              <c:xMode val="edge"/>
              <c:yMode val="edge"/>
              <c:x val="0.43690368557700154"/>
              <c:y val="0.9303193484229390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en-US"/>
          </a:p>
        </c:txPr>
        <c:crossAx val="806812096"/>
        <c:crosses val="autoZero"/>
        <c:crossBetween val="midCat"/>
      </c:valAx>
      <c:valAx>
        <c:axId val="806812096"/>
        <c:scaling>
          <c:orientation val="minMax"/>
          <c:max val="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ysClr val="windowText" lastClr="000000"/>
                    </a:solidFill>
                  </a:rPr>
                  <a:t>Capacity Price (2026 $/UCAP</a:t>
                </a:r>
                <a:r>
                  <a:rPr lang="en-US" sz="1400" b="1" baseline="0">
                    <a:solidFill>
                      <a:sysClr val="windowText" lastClr="000000"/>
                    </a:solidFill>
                  </a:rPr>
                  <a:t> MW-Day)</a:t>
                </a:r>
                <a:endParaRPr lang="en-US" sz="1400" b="1">
                  <a:solidFill>
                    <a:sysClr val="windowText" lastClr="000000"/>
                  </a:solidFill>
                </a:endParaRPr>
              </a:p>
            </c:rich>
          </c:tx>
          <c:layout>
            <c:manualLayout>
              <c:xMode val="edge"/>
              <c:yMode val="edge"/>
              <c:x val="3.5571228751100817E-2"/>
              <c:y val="5.844065978020778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80681043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492297</xdr:colOff>
      <xdr:row>18</xdr:row>
      <xdr:rowOff>129028</xdr:rowOff>
    </xdr:from>
    <xdr:to>
      <xdr:col>12</xdr:col>
      <xdr:colOff>1338035</xdr:colOff>
      <xdr:row>41</xdr:row>
      <xdr:rowOff>179828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4</xdr:col>
          <xdr:colOff>254000</xdr:colOff>
          <xdr:row>1</xdr:row>
          <xdr:rowOff>12700</xdr:rowOff>
        </xdr:from>
        <xdr:to>
          <xdr:col>7</xdr:col>
          <xdr:colOff>450850</xdr:colOff>
          <xdr:row>7</xdr:row>
          <xdr:rowOff>0</xdr:rowOff>
        </xdr:to>
        <xdr:sp macro="" textlink="">
          <xdr:nvSpPr>
            <xdr:cNvPr id="6148" name="Button 4" hidden="1">
              <a:extLst>
                <a:ext uri="{63B3BB69-23CF-44E3-9099-C40C66FF867C}">
                  <a14:compatExt spid="_x0000_s614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Calculate Clearing Price and Quantity</a:t>
              </a:r>
            </a:p>
          </xdr:txBody>
        </xdr:sp>
        <xdr:clientData fPrintsWithSheet="0"/>
      </xdr:twoCellAnchor>
    </mc:Choice>
    <mc:Fallback/>
  </mc:AlternateContent>
  <xdr:twoCellAnchor>
    <xdr:from>
      <xdr:col>12</xdr:col>
      <xdr:colOff>1436009</xdr:colOff>
      <xdr:row>18</xdr:row>
      <xdr:rowOff>112239</xdr:rowOff>
    </xdr:from>
    <xdr:to>
      <xdr:col>16</xdr:col>
      <xdr:colOff>282757</xdr:colOff>
      <xdr:row>41</xdr:row>
      <xdr:rowOff>161192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0.19616</cdr:x>
      <cdr:y>0.4106</cdr:y>
    </cdr:from>
    <cdr:to>
      <cdr:x>0.44449</cdr:x>
      <cdr:y>0.52014</cdr:y>
    </cdr:to>
    <cdr:sp macro="" textlink="">
      <cdr:nvSpPr>
        <cdr:cNvPr id="2" name="TextBox 1"/>
        <cdr:cNvSpPr txBox="1"/>
      </cdr:nvSpPr>
      <cdr:spPr>
        <a:xfrm xmlns:a="http://schemas.openxmlformats.org/drawingml/2006/main">
          <a:off x="1041390" y="1804254"/>
          <a:ext cx="1318371" cy="4813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5"/>
              </a:solidFill>
            </a:rPr>
            <a:t>Cleared Price and Quantity</a:t>
          </a:r>
        </a:p>
      </cdr:txBody>
    </cdr:sp>
  </cdr:relSizeAnchor>
</c:userShapes>
</file>

<file path=xl/drawings/drawing3.xml><?xml version="1.0" encoding="utf-8"?>
<c:userShapes xmlns:c="http://schemas.openxmlformats.org/drawingml/2006/chart">
  <cdr:relSizeAnchor xmlns:cdr="http://schemas.openxmlformats.org/drawingml/2006/chartDrawing">
    <cdr:from>
      <cdr:x>0.46428</cdr:x>
      <cdr:y>0.43184</cdr:y>
    </cdr:from>
    <cdr:to>
      <cdr:x>0.75488</cdr:x>
      <cdr:y>0.54142</cdr:y>
    </cdr:to>
    <cdr:sp macro="" textlink="">
      <cdr:nvSpPr>
        <cdr:cNvPr id="2" name="TextBox 1"/>
        <cdr:cNvSpPr txBox="1"/>
      </cdr:nvSpPr>
      <cdr:spPr>
        <a:xfrm xmlns:a="http://schemas.openxmlformats.org/drawingml/2006/main">
          <a:off x="2441368" y="1896809"/>
          <a:ext cx="1528101" cy="4813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5"/>
              </a:solidFill>
            </a:rPr>
            <a:t>Cleared LOLE</a:t>
          </a: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310403</xdr:colOff>
      <xdr:row>1</xdr:row>
      <xdr:rowOff>101040</xdr:rowOff>
    </xdr:from>
    <xdr:to>
      <xdr:col>13</xdr:col>
      <xdr:colOff>199838</xdr:colOff>
      <xdr:row>26</xdr:row>
      <xdr:rowOff>127001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0.64609</cdr:x>
      <cdr:y>0.68272</cdr:y>
    </cdr:from>
    <cdr:to>
      <cdr:x>0.93669</cdr:x>
      <cdr:y>0.86845</cdr:y>
    </cdr:to>
    <cdr:sp macro="" textlink="">
      <cdr:nvSpPr>
        <cdr:cNvPr id="2" name="TextBox 1"/>
        <cdr:cNvSpPr txBox="1"/>
      </cdr:nvSpPr>
      <cdr:spPr>
        <a:xfrm xmlns:a="http://schemas.openxmlformats.org/drawingml/2006/main">
          <a:off x="4166053" y="2786119"/>
          <a:ext cx="1873811" cy="757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5"/>
              </a:solidFill>
            </a:rPr>
            <a:t>Cleared LOLE</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304800</xdr:colOff>
      <xdr:row>20</xdr:row>
      <xdr:rowOff>41563</xdr:rowOff>
    </xdr:from>
    <xdr:to>
      <xdr:col>9</xdr:col>
      <xdr:colOff>1731819</xdr:colOff>
      <xdr:row>45</xdr:row>
      <xdr:rowOff>41563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Brattle-2020">
      <a:dk1>
        <a:srgbClr val="000000"/>
      </a:dk1>
      <a:lt1>
        <a:srgbClr val="FFFFFF"/>
      </a:lt1>
      <a:dk2>
        <a:srgbClr val="002B54"/>
      </a:dk2>
      <a:lt2>
        <a:srgbClr val="494F56"/>
      </a:lt2>
      <a:accent1>
        <a:srgbClr val="1B3D6F"/>
      </a:accent1>
      <a:accent2>
        <a:srgbClr val="2297AA"/>
      </a:accent2>
      <a:accent3>
        <a:srgbClr val="37BA95"/>
      </a:accent3>
      <a:accent4>
        <a:srgbClr val="F3BD48"/>
      </a:accent4>
      <a:accent5>
        <a:srgbClr val="F26A25"/>
      </a:accent5>
      <a:accent6>
        <a:srgbClr val="CD3E71"/>
      </a:accent6>
      <a:hlink>
        <a:srgbClr val="2297AA"/>
      </a:hlink>
      <a:folHlink>
        <a:srgbClr val="CD3E7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pageSetUpPr autoPageBreaks="0"/>
  </sheetPr>
  <dimension ref="B2:B12"/>
  <sheetViews>
    <sheetView showGridLines="0" tabSelected="1" zoomScaleNormal="100" workbookViewId="0"/>
  </sheetViews>
  <sheetFormatPr defaultColWidth="8.81640625" defaultRowHeight="15" customHeight="1" x14ac:dyDescent="0.35"/>
  <cols>
    <col min="1" max="1" width="8.81640625" style="2"/>
    <col min="2" max="2" width="156.1796875" style="2" customWidth="1"/>
    <col min="3" max="16384" width="8.81640625" style="2"/>
  </cols>
  <sheetData>
    <row r="2" spans="2:2" ht="6" customHeight="1" x14ac:dyDescent="0.35">
      <c r="B2" s="173"/>
    </row>
    <row r="3" spans="2:2" ht="15" customHeight="1" x14ac:dyDescent="0.35">
      <c r="B3" s="174" t="s">
        <v>59</v>
      </c>
    </row>
    <row r="4" spans="2:2" ht="116" x14ac:dyDescent="0.35">
      <c r="B4" s="175" t="s">
        <v>71</v>
      </c>
    </row>
    <row r="5" spans="2:2" ht="6" customHeight="1" x14ac:dyDescent="0.35">
      <c r="B5" s="175"/>
    </row>
    <row r="6" spans="2:2" ht="15" customHeight="1" x14ac:dyDescent="0.35">
      <c r="B6" s="174" t="s">
        <v>60</v>
      </c>
    </row>
    <row r="7" spans="2:2" ht="15" customHeight="1" x14ac:dyDescent="0.35">
      <c r="B7" s="176" t="s">
        <v>63</v>
      </c>
    </row>
    <row r="8" spans="2:2" ht="15" customHeight="1" x14ac:dyDescent="0.35">
      <c r="B8" s="176" t="s">
        <v>66</v>
      </c>
    </row>
    <row r="9" spans="2:2" ht="15" customHeight="1" x14ac:dyDescent="0.35">
      <c r="B9" s="176" t="s">
        <v>67</v>
      </c>
    </row>
    <row r="10" spans="2:2" ht="15" customHeight="1" x14ac:dyDescent="0.35">
      <c r="B10" s="176" t="s">
        <v>61</v>
      </c>
    </row>
    <row r="11" spans="2:2" ht="15" customHeight="1" x14ac:dyDescent="0.35">
      <c r="B11" s="176" t="s">
        <v>68</v>
      </c>
    </row>
    <row r="12" spans="2:2" ht="6" customHeight="1" x14ac:dyDescent="0.35">
      <c r="B12" s="177"/>
    </row>
  </sheetData>
  <printOptions horizontalCentered="1"/>
  <pageMargins left="0.7" right="0.7" top="0.75" bottom="0.75" header="0.3" footer="0.3"/>
  <pageSetup orientation="landscape" horizontalDpi="1200" verticalDpi="1200" r:id="rId1"/>
  <headerFooter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sheetPr>
  <dimension ref="A1:P48"/>
  <sheetViews>
    <sheetView showGridLines="0" zoomScale="70" zoomScaleNormal="70" workbookViewId="0"/>
  </sheetViews>
  <sheetFormatPr defaultRowHeight="14.5" x14ac:dyDescent="0.35"/>
  <cols>
    <col min="2" max="2" width="43.453125" customWidth="1"/>
    <col min="3" max="3" width="1.54296875" customWidth="1"/>
    <col min="4" max="4" width="19.81640625" customWidth="1"/>
    <col min="5" max="5" width="12.81640625" customWidth="1"/>
    <col min="6" max="6" width="1.54296875" customWidth="1"/>
    <col min="7" max="8" width="8.6328125" customWidth="1"/>
    <col min="9" max="9" width="1.54296875" style="67" customWidth="1"/>
    <col min="10" max="10" width="26.81640625" customWidth="1"/>
    <col min="11" max="11" width="1.08984375" customWidth="1"/>
    <col min="12" max="12" width="26.81640625" customWidth="1"/>
    <col min="13" max="13" width="38.81640625" customWidth="1"/>
    <col min="14" max="14" width="1.08984375" customWidth="1"/>
    <col min="15" max="16" width="26.81640625" customWidth="1"/>
    <col min="17" max="17" width="24.36328125" customWidth="1"/>
    <col min="18" max="18" width="11.36328125" bestFit="1" customWidth="1"/>
    <col min="19" max="19" width="1.54296875" customWidth="1"/>
    <col min="20" max="21" width="20.6328125" customWidth="1"/>
  </cols>
  <sheetData>
    <row r="1" spans="1:16" ht="14.5" customHeight="1" x14ac:dyDescent="0.35">
      <c r="H1" s="7"/>
      <c r="I1" s="88"/>
      <c r="J1" s="7"/>
      <c r="K1" s="7"/>
      <c r="L1" s="7"/>
      <c r="M1" s="7"/>
      <c r="N1" s="7"/>
      <c r="O1" s="7"/>
      <c r="P1" s="7"/>
    </row>
    <row r="2" spans="1:16" ht="18.5" x14ac:dyDescent="0.45">
      <c r="B2" s="242" t="s">
        <v>69</v>
      </c>
      <c r="C2" s="243"/>
      <c r="D2" s="244"/>
      <c r="E2" s="7"/>
      <c r="F2" s="7"/>
      <c r="H2" s="7"/>
      <c r="I2" s="88"/>
      <c r="J2" s="239" t="str">
        <f>"Demand Curve - "&amp;$D$7</f>
        <v>Demand Curve - Candidate Curve</v>
      </c>
      <c r="K2" s="240"/>
      <c r="L2" s="240"/>
      <c r="M2" s="240"/>
      <c r="N2" s="240"/>
      <c r="O2" s="240"/>
      <c r="P2" s="241"/>
    </row>
    <row r="3" spans="1:16" ht="6" customHeight="1" x14ac:dyDescent="0.45">
      <c r="B3" s="184"/>
      <c r="C3" s="91"/>
      <c r="D3" s="183"/>
      <c r="E3" s="7"/>
      <c r="F3" s="7"/>
      <c r="H3" s="7"/>
      <c r="I3" s="88"/>
      <c r="J3" s="115"/>
      <c r="K3" s="116"/>
      <c r="L3" s="116"/>
      <c r="M3" s="116"/>
      <c r="N3" s="116"/>
      <c r="O3" s="116"/>
      <c r="P3" s="117"/>
    </row>
    <row r="4" spans="1:16" ht="14.5" customHeight="1" x14ac:dyDescent="0.35">
      <c r="B4" s="70" t="s">
        <v>1</v>
      </c>
      <c r="C4" s="7"/>
      <c r="D4" s="72">
        <v>150000</v>
      </c>
      <c r="E4" s="7"/>
      <c r="F4" s="7"/>
      <c r="H4" s="7"/>
      <c r="I4" s="88"/>
      <c r="J4" s="82" t="s">
        <v>17</v>
      </c>
      <c r="K4" s="7"/>
      <c r="L4" s="237" t="s">
        <v>46</v>
      </c>
      <c r="M4" s="237"/>
      <c r="N4" s="7"/>
      <c r="O4" s="237" t="s">
        <v>19</v>
      </c>
      <c r="P4" s="238"/>
    </row>
    <row r="5" spans="1:16" ht="6" customHeight="1" x14ac:dyDescent="0.35">
      <c r="B5" s="70"/>
      <c r="C5" s="7"/>
      <c r="D5" s="72"/>
      <c r="E5" s="7"/>
      <c r="F5" s="7"/>
      <c r="H5" s="7"/>
      <c r="I5" s="88"/>
      <c r="J5" s="83"/>
      <c r="K5" s="7"/>
      <c r="L5" s="190"/>
      <c r="M5" s="190"/>
      <c r="N5" s="7"/>
      <c r="O5" s="190"/>
      <c r="P5" s="191"/>
    </row>
    <row r="6" spans="1:16" ht="6" customHeight="1" x14ac:dyDescent="0.35">
      <c r="B6" s="70"/>
      <c r="C6" s="7"/>
      <c r="D6" s="72"/>
      <c r="E6" s="7"/>
      <c r="F6" s="7"/>
      <c r="H6" s="7"/>
      <c r="I6" s="88"/>
      <c r="J6" s="82"/>
      <c r="K6" s="7"/>
      <c r="L6" s="185"/>
      <c r="M6" s="185"/>
      <c r="N6" s="7"/>
      <c r="O6" s="185"/>
      <c r="P6" s="186"/>
    </row>
    <row r="7" spans="1:16" ht="14.5" customHeight="1" x14ac:dyDescent="0.35">
      <c r="B7" s="70" t="s">
        <v>0</v>
      </c>
      <c r="C7" s="7"/>
      <c r="D7" s="73" t="s">
        <v>2</v>
      </c>
      <c r="E7" s="7"/>
      <c r="F7" s="7"/>
      <c r="H7" s="7"/>
      <c r="I7" s="88"/>
      <c r="J7" s="71"/>
      <c r="K7" s="68"/>
      <c r="L7" s="125" t="s">
        <v>20</v>
      </c>
      <c r="M7" s="125" t="s">
        <v>21</v>
      </c>
      <c r="N7" s="126"/>
      <c r="O7" s="125" t="s">
        <v>22</v>
      </c>
      <c r="P7" s="127" t="s">
        <v>41</v>
      </c>
    </row>
    <row r="8" spans="1:16" ht="6" customHeight="1" x14ac:dyDescent="0.35">
      <c r="B8" s="71"/>
      <c r="C8" s="68"/>
      <c r="D8" s="195"/>
      <c r="E8" s="7"/>
      <c r="F8" s="7"/>
      <c r="H8" s="7"/>
      <c r="I8" s="88"/>
      <c r="J8" s="70"/>
      <c r="K8" s="7"/>
      <c r="L8" s="77"/>
      <c r="M8" s="85"/>
      <c r="N8" s="86"/>
      <c r="O8" s="85"/>
      <c r="P8" s="87"/>
    </row>
    <row r="9" spans="1:16" x14ac:dyDescent="0.35">
      <c r="H9" s="7"/>
      <c r="I9" s="88"/>
      <c r="J9" s="82">
        <f>IF('Clearing Details'!D10="", #N/A, 'Clearing Details'!D10)</f>
        <v>1</v>
      </c>
      <c r="K9" s="7"/>
      <c r="L9" s="78">
        <f>IF('Clearing Details'!F10="", #N/A, 'Clearing Details'!F10)</f>
        <v>0.99</v>
      </c>
      <c r="M9" s="79">
        <f>IF('Clearing Details'!G10="", #N/A, 'Clearing Details'!G10)</f>
        <v>131170.40028256411</v>
      </c>
      <c r="N9" s="7"/>
      <c r="O9" s="227">
        <f>IF('Clearing Details'!I10="", #N/A, 'Clearing Details'!I10)</f>
        <v>1.75</v>
      </c>
      <c r="P9" s="226">
        <f>IF('Clearing Details'!J10="", #N/A, 'Clearing Details'!J10)</f>
        <v>491</v>
      </c>
    </row>
    <row r="10" spans="1:16" ht="14.5" customHeight="1" x14ac:dyDescent="0.35">
      <c r="H10" s="7"/>
      <c r="I10" s="88"/>
      <c r="J10" s="82">
        <f>IF('Clearing Details'!D11="", #N/A, 'Clearing Details'!D11)</f>
        <v>2</v>
      </c>
      <c r="K10" s="7"/>
      <c r="L10" s="78">
        <f>IF('Clearing Details'!F11="", #N/A, 'Clearing Details'!F11)</f>
        <v>1.0149999999999999</v>
      </c>
      <c r="M10" s="79">
        <f>IF('Clearing Details'!G11="", #N/A, 'Clearing Details'!G11)</f>
        <v>134482.78412808338</v>
      </c>
      <c r="N10" s="7"/>
      <c r="O10" s="78">
        <f>IF('Clearing Details'!I11="", #N/A, 'Clearing Details'!I11)</f>
        <v>0.75</v>
      </c>
      <c r="P10" s="76">
        <f>IF('Clearing Details'!J11="", #N/A, 'Clearing Details'!J11)</f>
        <v>200.25</v>
      </c>
    </row>
    <row r="11" spans="1:16" ht="14.5" customHeight="1" x14ac:dyDescent="0.45">
      <c r="B11" s="245" t="s">
        <v>47</v>
      </c>
      <c r="C11" s="246"/>
      <c r="D11" s="247"/>
      <c r="E11" s="67"/>
      <c r="F11" s="67"/>
      <c r="H11" s="88"/>
      <c r="I11" s="88"/>
      <c r="J11" s="82">
        <f>IF('Clearing Details'!D12="", #N/A, 'Clearing Details'!D12)</f>
        <v>3</v>
      </c>
      <c r="K11" s="7"/>
      <c r="L11" s="78">
        <f>IF('Clearing Details'!F12="", #N/A, 'Clearing Details'!F12)</f>
        <v>1.0449999999999999</v>
      </c>
      <c r="M11" s="79">
        <f>IF('Clearing Details'!G12="", #N/A, 'Clearing Details'!G12)</f>
        <v>138457.64474270656</v>
      </c>
      <c r="N11" s="7"/>
      <c r="O11" s="78">
        <f>IF('Clearing Details'!I12="", #N/A, 'Clearing Details'!I12)</f>
        <v>0</v>
      </c>
      <c r="P11" s="76">
        <f>IF('Clearing Details'!J12="", #N/A, 'Clearing Details'!J12)</f>
        <v>0</v>
      </c>
    </row>
    <row r="12" spans="1:16" ht="14.5" customHeight="1" x14ac:dyDescent="0.35">
      <c r="B12" s="70" t="s">
        <v>15</v>
      </c>
      <c r="C12" s="7"/>
      <c r="D12" s="74">
        <v>121693.59587780641</v>
      </c>
      <c r="E12" s="67"/>
      <c r="F12" s="67"/>
      <c r="H12" s="67"/>
      <c r="I12" s="88"/>
      <c r="J12" s="82" t="e">
        <f>IF('Clearing Details'!D13="", #N/A, 'Clearing Details'!D13)</f>
        <v>#N/A</v>
      </c>
      <c r="K12" s="7"/>
      <c r="L12" s="78" t="e">
        <f>IF('Clearing Details'!F13="", #N/A, 'Clearing Details'!F13)</f>
        <v>#N/A</v>
      </c>
      <c r="M12" s="79" t="e">
        <f>IF('Clearing Details'!G13="", #N/A, 'Clearing Details'!G13)</f>
        <v>#N/A</v>
      </c>
      <c r="N12" s="7"/>
      <c r="O12" s="78" t="e">
        <f>IF('Clearing Details'!I13="", #N/A, 'Clearing Details'!I13)</f>
        <v>#N/A</v>
      </c>
      <c r="P12" s="76" t="e">
        <f>IF('Clearing Details'!J13="", #N/A, 'Clearing Details'!J13)</f>
        <v>#N/A</v>
      </c>
    </row>
    <row r="13" spans="1:16" ht="14.5" customHeight="1" x14ac:dyDescent="0.35">
      <c r="B13" s="70" t="s">
        <v>14</v>
      </c>
      <c r="C13" s="7"/>
      <c r="D13" s="75">
        <v>8.8761925925926022E-2</v>
      </c>
      <c r="E13" s="67"/>
      <c r="F13" s="67"/>
      <c r="G13" s="67"/>
      <c r="H13" s="67"/>
      <c r="I13" s="88"/>
      <c r="J13" s="82" t="e">
        <f>IF('Clearing Details'!D14="", #N/A, 'Clearing Details'!D14)</f>
        <v>#N/A</v>
      </c>
      <c r="K13" s="7"/>
      <c r="L13" s="78" t="e">
        <f>IF('Clearing Details'!F14="", #N/A, 'Clearing Details'!F14)</f>
        <v>#N/A</v>
      </c>
      <c r="M13" s="79" t="e">
        <f>IF('Clearing Details'!G14="", #N/A, 'Clearing Details'!G14)</f>
        <v>#N/A</v>
      </c>
      <c r="N13" s="7"/>
      <c r="O13" s="78" t="e">
        <f>IF('Clearing Details'!I14="", #N/A, 'Clearing Details'!I14)</f>
        <v>#N/A</v>
      </c>
      <c r="P13" s="76" t="e">
        <f>IF('Clearing Details'!J14="", #N/A, 'Clearing Details'!J14)</f>
        <v>#N/A</v>
      </c>
    </row>
    <row r="14" spans="1:16" ht="14.5" customHeight="1" x14ac:dyDescent="0.35">
      <c r="B14" s="70" t="s">
        <v>13</v>
      </c>
      <c r="C14" s="7"/>
      <c r="D14" s="74">
        <f>D12*(1+D13)</f>
        <v>132495.35382077182</v>
      </c>
      <c r="E14" s="67"/>
      <c r="F14" s="67"/>
      <c r="G14" s="67"/>
      <c r="H14" s="67"/>
      <c r="I14" s="88"/>
      <c r="J14" s="82" t="e">
        <f>IF('Clearing Details'!D15="", #N/A, 'Clearing Details'!D15)</f>
        <v>#N/A</v>
      </c>
      <c r="K14" s="7"/>
      <c r="L14" s="78" t="e">
        <f>IF('Clearing Details'!F15="", #N/A, 'Clearing Details'!F15)</f>
        <v>#N/A</v>
      </c>
      <c r="M14" s="79" t="e">
        <f>IF('Clearing Details'!G15="", #N/A, 'Clearing Details'!G15)</f>
        <v>#N/A</v>
      </c>
      <c r="N14" s="7"/>
      <c r="O14" s="78" t="e">
        <f>IF('Clearing Details'!I15="", #N/A, 'Clearing Details'!I15)</f>
        <v>#N/A</v>
      </c>
      <c r="P14" s="76" t="e">
        <f>IF('Clearing Details'!J15="", #N/A, 'Clearing Details'!J15)</f>
        <v>#N/A</v>
      </c>
    </row>
    <row r="15" spans="1:16" x14ac:dyDescent="0.35">
      <c r="A15" s="7"/>
      <c r="B15" s="70" t="s">
        <v>9</v>
      </c>
      <c r="C15" s="7"/>
      <c r="D15" s="192" t="str">
        <f>IF($D$7='Demand Curves'!$H$1, "CT", "CC")</f>
        <v>CC</v>
      </c>
      <c r="E15" s="88"/>
      <c r="F15" s="67"/>
      <c r="G15" s="67"/>
      <c r="H15" s="67"/>
      <c r="I15" s="88"/>
      <c r="J15" s="82" t="e">
        <f>IF('Clearing Details'!D16="", #N/A, 'Clearing Details'!D16)</f>
        <v>#N/A</v>
      </c>
      <c r="K15" s="7"/>
      <c r="L15" s="78" t="e">
        <f>IF('Clearing Details'!F16="", #N/A, 'Clearing Details'!F16)</f>
        <v>#N/A</v>
      </c>
      <c r="M15" s="79" t="e">
        <f>IF('Clearing Details'!G16="", #N/A, 'Clearing Details'!G16)</f>
        <v>#N/A</v>
      </c>
      <c r="N15" s="7"/>
      <c r="O15" s="78" t="e">
        <f>IF('Clearing Details'!I16="", #N/A, 'Clearing Details'!I16)</f>
        <v>#N/A</v>
      </c>
      <c r="P15" s="76" t="e">
        <f>IF('Clearing Details'!J16="", #N/A, 'Clearing Details'!J16)</f>
        <v>#N/A</v>
      </c>
    </row>
    <row r="16" spans="1:16" x14ac:dyDescent="0.35">
      <c r="A16" s="7"/>
      <c r="B16" s="70" t="s">
        <v>44</v>
      </c>
      <c r="C16" s="7"/>
      <c r="D16" s="226">
        <f ca="1">INDIRECT(D15&amp;"_net_cone")</f>
        <v>267</v>
      </c>
      <c r="E16" s="210"/>
      <c r="F16" s="67"/>
      <c r="G16" s="67"/>
      <c r="H16" s="67"/>
      <c r="I16" s="88"/>
      <c r="J16" s="82" t="e">
        <f>IF('Clearing Details'!D17="", #N/A, 'Clearing Details'!D17)</f>
        <v>#N/A</v>
      </c>
      <c r="K16" s="7"/>
      <c r="L16" s="78" t="e">
        <f>IF('Clearing Details'!F17="", #N/A, 'Clearing Details'!F17)</f>
        <v>#N/A</v>
      </c>
      <c r="M16" s="79" t="e">
        <f>IF('Clearing Details'!G17="", #N/A, 'Clearing Details'!G17)</f>
        <v>#N/A</v>
      </c>
      <c r="N16" s="7"/>
      <c r="O16" s="78" t="e">
        <f>IF('Clearing Details'!I17="", #N/A, 'Clearing Details'!I17)</f>
        <v>#N/A</v>
      </c>
      <c r="P16" s="76" t="e">
        <f>IF('Clearing Details'!J17="", #N/A, 'Clearing Details'!J17)</f>
        <v>#N/A</v>
      </c>
    </row>
    <row r="17" spans="1:16" x14ac:dyDescent="0.35">
      <c r="A17" s="7"/>
      <c r="B17" s="71" t="s">
        <v>45</v>
      </c>
      <c r="C17" s="68"/>
      <c r="D17" s="213">
        <f ca="1">INDIRECT(D15&amp;"_gross_cone")</f>
        <v>491</v>
      </c>
      <c r="E17" s="88"/>
      <c r="F17" s="67"/>
      <c r="G17" s="67"/>
      <c r="H17" s="67"/>
      <c r="I17" s="88"/>
      <c r="J17" s="82" t="e">
        <f>IF('Clearing Details'!D18="", #N/A, 'Clearing Details'!D18)</f>
        <v>#N/A</v>
      </c>
      <c r="K17" s="7"/>
      <c r="L17" s="78" t="e">
        <f>IF('Clearing Details'!F18="", #N/A, 'Clearing Details'!F18)</f>
        <v>#N/A</v>
      </c>
      <c r="M17" s="79" t="e">
        <f>IF('Clearing Details'!G18="", #N/A, 'Clearing Details'!G18)</f>
        <v>#N/A</v>
      </c>
      <c r="N17" s="7"/>
      <c r="O17" s="78" t="e">
        <f>IF('Clearing Details'!I18="", #N/A, 'Clearing Details'!I18)</f>
        <v>#N/A</v>
      </c>
      <c r="P17" s="76" t="e">
        <f>IF('Clearing Details'!J18="", #N/A, 'Clearing Details'!J18)</f>
        <v>#N/A</v>
      </c>
    </row>
    <row r="18" spans="1:16" x14ac:dyDescent="0.35">
      <c r="B18" s="124" t="s">
        <v>16</v>
      </c>
      <c r="C18" s="122"/>
      <c r="D18" s="123"/>
      <c r="F18" s="67"/>
      <c r="G18" s="67"/>
      <c r="H18" s="67"/>
      <c r="I18" s="88"/>
      <c r="J18" s="83" t="e">
        <f>IF('Clearing Details'!D19="", #N/A, 'Clearing Details'!D19)</f>
        <v>#N/A</v>
      </c>
      <c r="K18" s="68"/>
      <c r="L18" s="80" t="e">
        <f>IF('Clearing Details'!F19="", #N/A, 'Clearing Details'!F19)</f>
        <v>#N/A</v>
      </c>
      <c r="M18" s="81" t="e">
        <f>IF('Clearing Details'!G19="", #N/A, 'Clearing Details'!G19)</f>
        <v>#N/A</v>
      </c>
      <c r="N18" s="68"/>
      <c r="O18" s="80" t="e">
        <f>IF('Clearing Details'!I19="", #N/A, 'Clearing Details'!I19)</f>
        <v>#N/A</v>
      </c>
      <c r="P18" s="84" t="e">
        <f>IF('Clearing Details'!J19="", #N/A, 'Clearing Details'!J19)</f>
        <v>#N/A</v>
      </c>
    </row>
    <row r="19" spans="1:16" x14ac:dyDescent="0.35">
      <c r="A19" s="88"/>
      <c r="F19" s="88"/>
      <c r="G19" s="88"/>
      <c r="H19" s="88"/>
      <c r="I19" s="88"/>
      <c r="J19" s="7"/>
      <c r="K19" s="7"/>
      <c r="L19" s="7"/>
      <c r="M19" s="7"/>
      <c r="N19" s="7"/>
    </row>
    <row r="20" spans="1:16" ht="18.5" x14ac:dyDescent="0.45">
      <c r="A20" s="88"/>
      <c r="F20" s="91"/>
      <c r="G20" s="91"/>
      <c r="H20" s="91"/>
      <c r="I20" s="91"/>
      <c r="J20" s="7"/>
      <c r="K20" s="7"/>
      <c r="L20" s="7"/>
      <c r="M20" s="7"/>
      <c r="N20" s="7"/>
    </row>
    <row r="21" spans="1:16" ht="18.5" x14ac:dyDescent="0.45">
      <c r="A21" s="88"/>
      <c r="B21" s="234" t="s">
        <v>48</v>
      </c>
      <c r="C21" s="235"/>
      <c r="D21" s="235"/>
      <c r="E21" s="236"/>
      <c r="F21" s="88"/>
      <c r="G21" s="88"/>
      <c r="H21" s="88"/>
      <c r="I21" s="88"/>
      <c r="J21" s="1" t="s">
        <v>38</v>
      </c>
      <c r="K21" s="1">
        <v>0</v>
      </c>
      <c r="L21" s="7"/>
      <c r="M21" s="7"/>
      <c r="N21" s="7"/>
    </row>
    <row r="22" spans="1:16" x14ac:dyDescent="0.35">
      <c r="A22" s="88"/>
      <c r="B22" s="70"/>
      <c r="C22" s="7"/>
      <c r="D22" s="114" t="s">
        <v>51</v>
      </c>
      <c r="E22" s="192" t="s">
        <v>52</v>
      </c>
      <c r="F22" s="88"/>
      <c r="G22" s="88"/>
      <c r="H22" s="88"/>
      <c r="I22" s="88"/>
      <c r="J22" s="7"/>
      <c r="K22" s="7"/>
      <c r="L22" s="7"/>
      <c r="M22" s="7"/>
      <c r="N22" s="7"/>
    </row>
    <row r="23" spans="1:16" x14ac:dyDescent="0.35">
      <c r="A23" s="88"/>
      <c r="B23" s="95" t="s">
        <v>49</v>
      </c>
      <c r="C23" s="7"/>
      <c r="D23" s="214">
        <v>125.30413625304099</v>
      </c>
      <c r="E23" s="178">
        <v>125.30413625304099</v>
      </c>
      <c r="F23" s="114"/>
      <c r="G23" s="114"/>
      <c r="H23" s="114"/>
      <c r="I23" s="89"/>
      <c r="J23" s="7"/>
      <c r="K23" s="7"/>
      <c r="L23" s="7"/>
      <c r="M23" s="7"/>
      <c r="N23" s="7"/>
    </row>
    <row r="24" spans="1:16" x14ac:dyDescent="0.35">
      <c r="A24" s="88"/>
      <c r="B24" s="95" t="s">
        <v>40</v>
      </c>
      <c r="C24" s="7"/>
      <c r="D24" s="215">
        <v>135970.42139168739</v>
      </c>
      <c r="E24" s="180">
        <v>135970.42139168739</v>
      </c>
      <c r="F24" s="88"/>
      <c r="G24" s="114"/>
      <c r="H24" s="114"/>
      <c r="I24" s="89"/>
      <c r="J24" s="7"/>
      <c r="K24" s="7"/>
      <c r="L24" s="7"/>
      <c r="M24" s="7"/>
      <c r="N24" s="7"/>
    </row>
    <row r="25" spans="1:16" x14ac:dyDescent="0.35">
      <c r="A25" s="88"/>
      <c r="B25" s="95" t="s">
        <v>62</v>
      </c>
      <c r="C25" s="7"/>
      <c r="D25" s="179">
        <f>bra_cleared_price_2026DollarsPerMWDay*bra_cleared_quantity_MW*365/10^6</f>
        <v>6218.7445160832995</v>
      </c>
      <c r="E25" s="180">
        <f>previous_clearing_price_2026dollarsperucapmwday*previous_clearing_quantity_ucapmw*365/10^6</f>
        <v>6218.7445160832995</v>
      </c>
      <c r="F25" s="88"/>
      <c r="G25" s="114"/>
      <c r="H25" s="114"/>
      <c r="I25" s="89"/>
      <c r="J25" s="7"/>
      <c r="K25" s="7"/>
      <c r="L25" s="7"/>
      <c r="M25" s="7"/>
      <c r="N25" s="7"/>
    </row>
    <row r="26" spans="1:16" x14ac:dyDescent="0.35">
      <c r="A26" s="88"/>
      <c r="B26" s="70" t="s">
        <v>58</v>
      </c>
      <c r="C26" s="7"/>
      <c r="D26" s="181">
        <f>IFERROR(bra_cleared_quantity_MW/reliability_requirement_UCAPMW, "#N/A")</f>
        <v>1.0262278447560986</v>
      </c>
      <c r="E26" s="182">
        <f>IFERROR(previous_clearing_quantity_ucapmw/reliability_requirement_UCAPMW, "#N/A")</f>
        <v>1.0262278447560986</v>
      </c>
      <c r="F26" s="88"/>
      <c r="G26" s="114"/>
      <c r="H26" s="114"/>
      <c r="I26" s="89"/>
      <c r="J26" s="7"/>
      <c r="K26" s="7"/>
      <c r="L26" s="7"/>
      <c r="M26" s="7"/>
      <c r="N26" s="7"/>
    </row>
    <row r="27" spans="1:16" x14ac:dyDescent="0.35">
      <c r="A27" s="88"/>
      <c r="B27" s="71" t="s">
        <v>50</v>
      </c>
      <c r="C27" s="68"/>
      <c r="D27" s="216">
        <v>3.3474120878938862E-2</v>
      </c>
      <c r="E27" s="211">
        <v>3.3474120878938862E-2</v>
      </c>
      <c r="F27" s="121"/>
      <c r="G27" s="120"/>
      <c r="H27" s="90"/>
      <c r="I27" s="90"/>
      <c r="J27" s="7"/>
      <c r="K27" s="7"/>
      <c r="L27" s="7"/>
      <c r="M27" s="7"/>
      <c r="N27" s="7"/>
    </row>
    <row r="28" spans="1:16" x14ac:dyDescent="0.35">
      <c r="A28" s="88"/>
      <c r="F28" s="88"/>
      <c r="G28" s="88"/>
      <c r="H28" s="88"/>
      <c r="I28" s="88"/>
      <c r="J28" s="7"/>
      <c r="K28" s="7"/>
      <c r="L28" s="7"/>
      <c r="M28" s="7"/>
      <c r="N28" s="7"/>
    </row>
    <row r="29" spans="1:16" x14ac:dyDescent="0.35">
      <c r="A29" s="88"/>
      <c r="B29" s="114"/>
      <c r="C29" s="88"/>
      <c r="D29" s="88"/>
      <c r="E29" s="88"/>
      <c r="F29" s="88"/>
      <c r="G29" s="88"/>
      <c r="H29" s="88"/>
      <c r="I29" s="88"/>
      <c r="J29" s="7"/>
      <c r="K29" s="7"/>
      <c r="L29" s="7"/>
      <c r="M29" s="7"/>
      <c r="N29" s="7"/>
    </row>
    <row r="30" spans="1:16" x14ac:dyDescent="0.35">
      <c r="A30" s="88"/>
      <c r="C30" s="88"/>
      <c r="D30" s="88"/>
      <c r="E30" s="88"/>
      <c r="F30" s="88"/>
      <c r="G30" s="88"/>
      <c r="H30" s="88"/>
      <c r="I30" s="92"/>
      <c r="J30" s="7"/>
      <c r="K30" s="7"/>
      <c r="L30" s="7"/>
      <c r="M30" s="7"/>
      <c r="N30" s="7"/>
    </row>
    <row r="31" spans="1:16" ht="14.5" customHeight="1" x14ac:dyDescent="0.35">
      <c r="A31" s="88"/>
      <c r="B31" s="88"/>
      <c r="C31" s="88"/>
      <c r="D31" s="88"/>
      <c r="E31" s="88"/>
      <c r="F31" s="88"/>
      <c r="G31" s="88"/>
      <c r="H31" s="88"/>
      <c r="I31" s="92"/>
      <c r="J31" s="7"/>
      <c r="K31" s="7"/>
      <c r="L31" s="7"/>
      <c r="M31" s="7"/>
      <c r="N31" s="7"/>
    </row>
    <row r="32" spans="1:16" ht="14.5" customHeight="1" x14ac:dyDescent="0.35">
      <c r="A32" s="88"/>
      <c r="B32" s="88"/>
      <c r="C32" s="88"/>
      <c r="D32" s="88"/>
      <c r="E32" s="88"/>
      <c r="F32" s="88"/>
      <c r="G32" s="88"/>
      <c r="H32" s="88"/>
      <c r="I32" s="92"/>
      <c r="J32" s="7"/>
      <c r="K32" s="7"/>
      <c r="L32" s="7"/>
      <c r="M32" s="7"/>
      <c r="N32" s="7"/>
    </row>
    <row r="33" spans="2:14" ht="14.5" customHeight="1" x14ac:dyDescent="0.35">
      <c r="I33" s="92"/>
      <c r="J33" s="7"/>
      <c r="K33" s="7"/>
      <c r="L33" s="7"/>
      <c r="M33" s="7"/>
      <c r="N33" s="7"/>
    </row>
    <row r="34" spans="2:14" ht="14.5" customHeight="1" x14ac:dyDescent="0.35">
      <c r="I34" s="92"/>
      <c r="J34" s="7"/>
      <c r="K34" s="7"/>
      <c r="L34" s="7"/>
      <c r="M34" s="7"/>
      <c r="N34" s="7"/>
    </row>
    <row r="35" spans="2:14" ht="14.5" customHeight="1" x14ac:dyDescent="0.35">
      <c r="I35" s="92"/>
      <c r="J35" s="7"/>
      <c r="K35" s="7"/>
      <c r="L35" s="7"/>
      <c r="M35" s="7"/>
      <c r="N35" s="7"/>
    </row>
    <row r="36" spans="2:14" ht="14.5" customHeight="1" x14ac:dyDescent="0.35">
      <c r="I36" s="92"/>
      <c r="J36" s="7"/>
      <c r="K36" s="7"/>
      <c r="L36" s="7"/>
      <c r="M36" s="7"/>
      <c r="N36" s="7"/>
    </row>
    <row r="37" spans="2:14" ht="14.5" customHeight="1" x14ac:dyDescent="0.35">
      <c r="I37" s="92"/>
      <c r="J37" s="7"/>
      <c r="K37" s="7"/>
      <c r="L37" s="7"/>
      <c r="M37" s="7"/>
      <c r="N37" s="7"/>
    </row>
    <row r="38" spans="2:14" ht="14.5" customHeight="1" x14ac:dyDescent="0.35">
      <c r="I38" s="92"/>
      <c r="J38" s="7"/>
      <c r="K38" s="7"/>
      <c r="L38" s="7"/>
      <c r="M38" s="7"/>
      <c r="N38" s="7"/>
    </row>
    <row r="39" spans="2:14" ht="14.5" customHeight="1" x14ac:dyDescent="0.35">
      <c r="G39" s="189"/>
      <c r="H39" s="66"/>
      <c r="I39" s="92"/>
      <c r="J39" s="7"/>
      <c r="K39" s="7"/>
      <c r="L39" s="7"/>
      <c r="M39" s="7"/>
      <c r="N39" s="7"/>
    </row>
    <row r="40" spans="2:14" ht="14.5" customHeight="1" x14ac:dyDescent="0.35">
      <c r="G40" s="69"/>
      <c r="H40" s="66"/>
      <c r="I40" s="93"/>
    </row>
    <row r="41" spans="2:14" ht="14.5" customHeight="1" x14ac:dyDescent="0.35">
      <c r="G41" s="69"/>
      <c r="H41" s="66"/>
      <c r="I41" s="93"/>
    </row>
    <row r="42" spans="2:14" ht="14.5" customHeight="1" x14ac:dyDescent="0.35">
      <c r="G42" s="69"/>
      <c r="H42" s="66"/>
      <c r="I42" s="93"/>
    </row>
    <row r="43" spans="2:14" ht="14.5" customHeight="1" x14ac:dyDescent="0.35">
      <c r="G43" s="69"/>
      <c r="H43" s="66"/>
      <c r="I43" s="93"/>
    </row>
    <row r="44" spans="2:14" ht="14.5" customHeight="1" x14ac:dyDescent="0.35">
      <c r="G44" s="69"/>
      <c r="H44" s="66"/>
      <c r="I44" s="93"/>
    </row>
    <row r="45" spans="2:14" ht="14.5" customHeight="1" x14ac:dyDescent="0.35">
      <c r="G45" s="69"/>
      <c r="H45" s="66"/>
      <c r="I45" s="93"/>
    </row>
    <row r="46" spans="2:14" x14ac:dyDescent="0.35">
      <c r="G46" s="69"/>
      <c r="H46" s="66"/>
      <c r="I46" s="93"/>
    </row>
    <row r="47" spans="2:14" x14ac:dyDescent="0.35">
      <c r="G47" s="69"/>
      <c r="H47" s="66"/>
      <c r="I47" s="93"/>
    </row>
    <row r="48" spans="2:14" x14ac:dyDescent="0.35">
      <c r="B48" s="52"/>
      <c r="D48" s="52"/>
      <c r="F48" s="52"/>
      <c r="G48" s="52"/>
      <c r="H48" s="52"/>
      <c r="I48" s="94"/>
    </row>
  </sheetData>
  <mergeCells count="6">
    <mergeCell ref="B21:E21"/>
    <mergeCell ref="L4:M4"/>
    <mergeCell ref="O4:P4"/>
    <mergeCell ref="J2:P2"/>
    <mergeCell ref="B2:D2"/>
    <mergeCell ref="B11:D11"/>
  </mergeCells>
  <conditionalFormatting sqref="F39:I47 J9:P18 I30:I38">
    <cfRule type="expression" dxfId="5" priority="2">
      <formula>ISNA(F9)</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8" r:id="rId4" name="Button 4">
              <controlPr defaultSize="0" print="0" autoFill="0" autoPict="0" macro="[0]!model_clearing">
                <anchor moveWithCells="1" sizeWithCells="1">
                  <from>
                    <xdr:col>4</xdr:col>
                    <xdr:colOff>254000</xdr:colOff>
                    <xdr:row>1</xdr:row>
                    <xdr:rowOff>12700</xdr:rowOff>
                  </from>
                  <to>
                    <xdr:col>7</xdr:col>
                    <xdr:colOff>450850</xdr:colOff>
                    <xdr:row>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'Demand Curves'!$F$1:$L$1</xm:f>
          </x14:formula1>
          <xm:sqref>D7:D8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pageSetUpPr autoPageBreaks="0"/>
  </sheetPr>
  <dimension ref="A1"/>
  <sheetViews>
    <sheetView view="pageBreakPreview" topLeftCell="XDR1" zoomScale="60" zoomScaleNormal="100" workbookViewId="0">
      <selection activeCell="XFD1" sqref="XFD1"/>
    </sheetView>
  </sheetViews>
  <sheetFormatPr defaultColWidth="8.6328125" defaultRowHeight="15" customHeight="1" x14ac:dyDescent="0.35"/>
  <cols>
    <col min="1" max="16384" width="8.6328125" style="2"/>
  </cols>
  <sheetData/>
  <printOptions horizontalCentered="1"/>
  <pageMargins left="0.7" right="0.7" top="0.75" bottom="0.75" header="0.3" footer="0.3"/>
  <pageSetup paperSize="9" orientation="landscape" horizontalDpi="1200" verticalDpi="1200"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tint="0.79998168889431442"/>
    <pageSetUpPr autoPageBreaks="0"/>
  </sheetPr>
  <dimension ref="A1:E13"/>
  <sheetViews>
    <sheetView showGridLines="0" topLeftCell="B1" zoomScaleNormal="100" workbookViewId="0">
      <selection activeCell="B1" sqref="B1"/>
    </sheetView>
  </sheetViews>
  <sheetFormatPr defaultColWidth="8.81640625" defaultRowHeight="15" customHeight="1" outlineLevelCol="1" x14ac:dyDescent="0.35"/>
  <cols>
    <col min="1" max="1" width="26" style="5" hidden="1" customWidth="1" outlineLevel="1"/>
    <col min="2" max="2" width="8.81640625" style="2" collapsed="1"/>
    <col min="3" max="3" width="29.81640625" style="2" customWidth="1"/>
    <col min="4" max="4" width="21.1796875" style="2" bestFit="1" customWidth="1"/>
    <col min="5" max="16384" width="8.81640625" style="2"/>
  </cols>
  <sheetData>
    <row r="1" spans="1:5" ht="15" customHeight="1" x14ac:dyDescent="0.35">
      <c r="A1" s="6" t="s">
        <v>10</v>
      </c>
    </row>
    <row r="2" spans="1:5" ht="15" customHeight="1" x14ac:dyDescent="0.35">
      <c r="A2" s="6" t="s">
        <v>11</v>
      </c>
      <c r="C2" s="21" t="s">
        <v>65</v>
      </c>
    </row>
    <row r="3" spans="1:5" ht="6" customHeight="1" thickBot="1" x14ac:dyDescent="0.4">
      <c r="A3" s="6" t="s">
        <v>12</v>
      </c>
      <c r="C3" s="23"/>
      <c r="D3" s="23"/>
      <c r="E3" s="23"/>
    </row>
    <row r="4" spans="1:5" ht="6" customHeight="1" thickTop="1" x14ac:dyDescent="0.35"/>
    <row r="5" spans="1:5" ht="15" customHeight="1" x14ac:dyDescent="0.35">
      <c r="C5" s="25" t="s">
        <v>23</v>
      </c>
      <c r="D5" s="26"/>
      <c r="E5" s="26"/>
    </row>
    <row r="6" spans="1:5" ht="15" customHeight="1" x14ac:dyDescent="0.35">
      <c r="C6" s="27" t="s">
        <v>26</v>
      </c>
      <c r="D6" s="24" t="s">
        <v>25</v>
      </c>
      <c r="E6" s="212">
        <v>267</v>
      </c>
    </row>
    <row r="7" spans="1:5" ht="15" customHeight="1" x14ac:dyDescent="0.35">
      <c r="C7" s="27" t="s">
        <v>27</v>
      </c>
      <c r="D7" s="24" t="s">
        <v>25</v>
      </c>
      <c r="E7" s="212">
        <v>491</v>
      </c>
    </row>
    <row r="8" spans="1:5" ht="15" customHeight="1" x14ac:dyDescent="0.35">
      <c r="C8" s="25" t="s">
        <v>24</v>
      </c>
      <c r="D8" s="26"/>
      <c r="E8" s="26"/>
    </row>
    <row r="9" spans="1:5" ht="15" customHeight="1" x14ac:dyDescent="0.35">
      <c r="C9" s="27" t="s">
        <v>28</v>
      </c>
      <c r="D9" s="24" t="s">
        <v>25</v>
      </c>
      <c r="E9" s="28">
        <v>326</v>
      </c>
    </row>
    <row r="10" spans="1:5" ht="15" customHeight="1" x14ac:dyDescent="0.35">
      <c r="C10" s="27" t="s">
        <v>29</v>
      </c>
      <c r="D10" s="24" t="s">
        <v>25</v>
      </c>
      <c r="E10" s="212">
        <v>408</v>
      </c>
    </row>
    <row r="11" spans="1:5" ht="6" customHeight="1" thickBot="1" x14ac:dyDescent="0.4">
      <c r="C11" s="23"/>
      <c r="D11" s="23"/>
      <c r="E11" s="23"/>
    </row>
    <row r="12" spans="1:5" ht="6" customHeight="1" thickTop="1" x14ac:dyDescent="0.35"/>
    <row r="13" spans="1:5" ht="46.25" customHeight="1" x14ac:dyDescent="0.35">
      <c r="C13" s="248" t="s">
        <v>70</v>
      </c>
      <c r="D13" s="248"/>
      <c r="E13" s="248"/>
    </row>
  </sheetData>
  <mergeCells count="1">
    <mergeCell ref="C13:E13"/>
  </mergeCells>
  <printOptions horizontalCentered="1"/>
  <pageMargins left="0.7" right="0.7" top="0.75" bottom="0.75" header="0.3" footer="0.3"/>
  <pageSetup orientation="landscape" horizontalDpi="1200" verticalDpi="1200"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0.79998168889431442"/>
    <pageSetUpPr autoPageBreaks="0"/>
  </sheetPr>
  <dimension ref="B2:E29"/>
  <sheetViews>
    <sheetView showGridLines="0" zoomScale="85" zoomScaleNormal="85" workbookViewId="0"/>
  </sheetViews>
  <sheetFormatPr defaultColWidth="8.81640625" defaultRowHeight="15" customHeight="1" x14ac:dyDescent="0.35"/>
  <cols>
    <col min="1" max="1" width="8.81640625" style="2"/>
    <col min="2" max="3" width="29.90625" style="2" customWidth="1"/>
    <col min="4" max="4" width="15.6328125" style="2" customWidth="1"/>
    <col min="5" max="16384" width="8.81640625" style="2"/>
  </cols>
  <sheetData>
    <row r="2" spans="2:5" ht="15" customHeight="1" x14ac:dyDescent="0.35">
      <c r="B2" s="21" t="s">
        <v>53</v>
      </c>
      <c r="D2" s="59"/>
    </row>
    <row r="3" spans="2:5" ht="6" customHeight="1" thickBot="1" x14ac:dyDescent="0.4">
      <c r="B3" s="97"/>
      <c r="C3" s="23"/>
      <c r="D3" s="59"/>
    </row>
    <row r="4" spans="2:5" ht="6" customHeight="1" thickTop="1" x14ac:dyDescent="0.35">
      <c r="D4" s="59"/>
    </row>
    <row r="5" spans="2:5" ht="15" customHeight="1" x14ac:dyDescent="0.35">
      <c r="B5" s="98" t="s">
        <v>55</v>
      </c>
      <c r="C5" s="98" t="s">
        <v>53</v>
      </c>
      <c r="D5" s="59"/>
      <c r="E5" s="3"/>
    </row>
    <row r="6" spans="2:5" ht="15" customHeight="1" x14ac:dyDescent="0.35">
      <c r="B6" s="99" t="s">
        <v>56</v>
      </c>
      <c r="C6" s="99" t="s">
        <v>57</v>
      </c>
      <c r="D6" s="59"/>
    </row>
    <row r="7" spans="2:5" ht="6" customHeight="1" x14ac:dyDescent="0.35">
      <c r="B7" s="100"/>
      <c r="C7" s="100"/>
      <c r="D7" s="59"/>
    </row>
    <row r="8" spans="2:5" ht="6" customHeight="1" x14ac:dyDescent="0.35">
      <c r="B8" s="99"/>
      <c r="C8" s="99"/>
      <c r="D8" s="59"/>
    </row>
    <row r="9" spans="2:5" ht="15" customHeight="1" x14ac:dyDescent="0.35">
      <c r="B9" s="101">
        <v>0.93776240304481751</v>
      </c>
      <c r="C9" s="209">
        <v>0.88800000000000001</v>
      </c>
      <c r="D9" s="59"/>
    </row>
    <row r="10" spans="2:5" ht="15" customHeight="1" x14ac:dyDescent="0.35">
      <c r="B10" s="101">
        <v>0.94648791022300149</v>
      </c>
      <c r="C10" s="209">
        <v>0.67700000000000005</v>
      </c>
      <c r="D10" s="59"/>
    </row>
    <row r="11" spans="2:5" ht="15" customHeight="1" x14ac:dyDescent="0.35">
      <c r="B11" s="101">
        <v>0.95521341740118537</v>
      </c>
      <c r="C11" s="209">
        <v>0.51100000000000001</v>
      </c>
      <c r="D11" s="59"/>
    </row>
    <row r="12" spans="2:5" ht="15" customHeight="1" x14ac:dyDescent="0.35">
      <c r="B12" s="101">
        <v>0.96393892457936936</v>
      </c>
      <c r="C12" s="209">
        <v>0.38</v>
      </c>
      <c r="D12" s="59"/>
    </row>
    <row r="13" spans="2:5" ht="15" customHeight="1" x14ac:dyDescent="0.35">
      <c r="B13" s="101">
        <v>0.97266443175755324</v>
      </c>
      <c r="C13" s="209">
        <v>0.28000000000000003</v>
      </c>
      <c r="D13" s="59"/>
    </row>
    <row r="14" spans="2:5" ht="15" customHeight="1" x14ac:dyDescent="0.35">
      <c r="B14" s="101">
        <v>0.98138993893573723</v>
      </c>
      <c r="C14" s="209">
        <v>0.20399999999999999</v>
      </c>
      <c r="D14" s="59"/>
    </row>
    <row r="15" spans="2:5" ht="15" customHeight="1" x14ac:dyDescent="0.35">
      <c r="B15" s="101">
        <v>0.99011544611392122</v>
      </c>
      <c r="C15" s="209">
        <v>0.14699999999999999</v>
      </c>
      <c r="D15" s="59"/>
    </row>
    <row r="16" spans="2:5" ht="15" customHeight="1" x14ac:dyDescent="0.35">
      <c r="B16" s="101">
        <v>0.99884095329210476</v>
      </c>
      <c r="C16" s="209">
        <v>0.104</v>
      </c>
      <c r="D16" s="59"/>
    </row>
    <row r="17" spans="2:4" ht="15" customHeight="1" x14ac:dyDescent="0.35">
      <c r="B17" s="101">
        <v>1</v>
      </c>
      <c r="C17" s="209">
        <v>0.1</v>
      </c>
      <c r="D17" s="59"/>
    </row>
    <row r="18" spans="2:4" ht="15" customHeight="1" x14ac:dyDescent="0.35">
      <c r="B18" s="101">
        <v>1.007566460470289</v>
      </c>
      <c r="C18" s="209">
        <v>7.3999999999999996E-2</v>
      </c>
      <c r="D18" s="59"/>
    </row>
    <row r="19" spans="2:4" ht="15" customHeight="1" x14ac:dyDescent="0.35">
      <c r="B19" s="101">
        <v>1.0162919676484727</v>
      </c>
      <c r="C19" s="209">
        <v>5.0999999999999997E-2</v>
      </c>
      <c r="D19" s="59"/>
    </row>
    <row r="20" spans="2:4" ht="15" customHeight="1" x14ac:dyDescent="0.35">
      <c r="B20" s="101">
        <v>1.0250174748266567</v>
      </c>
      <c r="C20" s="209">
        <v>3.5000000000000003E-2</v>
      </c>
      <c r="D20" s="59"/>
    </row>
    <row r="21" spans="2:4" ht="15" customHeight="1" x14ac:dyDescent="0.35">
      <c r="B21" s="101">
        <v>1.0337429820048405</v>
      </c>
      <c r="C21" s="209">
        <v>2.4E-2</v>
      </c>
      <c r="D21" s="59"/>
    </row>
    <row r="22" spans="2:4" ht="15" customHeight="1" x14ac:dyDescent="0.35">
      <c r="B22" s="101">
        <v>1.0424684891830245</v>
      </c>
      <c r="C22" s="209">
        <v>1.6E-2</v>
      </c>
      <c r="D22" s="59"/>
    </row>
    <row r="23" spans="2:4" ht="15" customHeight="1" x14ac:dyDescent="0.35">
      <c r="B23" s="101">
        <v>1.0511939963612082</v>
      </c>
      <c r="C23" s="209">
        <v>0.01</v>
      </c>
      <c r="D23" s="59"/>
    </row>
    <row r="24" spans="2:4" ht="15" customHeight="1" x14ac:dyDescent="0.35">
      <c r="B24" s="48">
        <v>1.0599195035393922</v>
      </c>
      <c r="C24" s="209">
        <v>7.0000000000000001E-3</v>
      </c>
      <c r="D24" s="59"/>
    </row>
    <row r="25" spans="2:4" ht="6" customHeight="1" thickBot="1" x14ac:dyDescent="0.4">
      <c r="B25" s="23"/>
      <c r="C25" s="23"/>
      <c r="D25" s="59"/>
    </row>
    <row r="26" spans="2:4" ht="6" customHeight="1" thickTop="1" x14ac:dyDescent="0.35">
      <c r="D26" s="59"/>
    </row>
    <row r="27" spans="2:4" ht="15" customHeight="1" x14ac:dyDescent="0.35">
      <c r="D27" s="59"/>
    </row>
    <row r="28" spans="2:4" ht="15" customHeight="1" x14ac:dyDescent="0.35">
      <c r="D28" s="59"/>
    </row>
    <row r="29" spans="2:4" ht="15" customHeight="1" x14ac:dyDescent="0.35">
      <c r="D29" s="59"/>
    </row>
  </sheetData>
  <printOptions horizontalCentered="1"/>
  <pageMargins left="0.7" right="0.7" top="0.75" bottom="0.75" header="0.3" footer="0.3"/>
  <pageSetup orientation="landscape" horizontalDpi="1200"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0.79998168889431442"/>
    <pageSetUpPr autoPageBreaks="0"/>
  </sheetPr>
  <dimension ref="A1:T128"/>
  <sheetViews>
    <sheetView showGridLines="0" topLeftCell="C2" zoomScale="55" zoomScaleNormal="55" workbookViewId="0">
      <selection activeCell="C2" sqref="C2"/>
    </sheetView>
  </sheetViews>
  <sheetFormatPr defaultColWidth="8.81640625" defaultRowHeight="15" customHeight="1" outlineLevelRow="1" outlineLevelCol="1" x14ac:dyDescent="0.35"/>
  <cols>
    <col min="1" max="1" width="23.90625" style="5" hidden="1" customWidth="1" outlineLevel="1"/>
    <col min="2" max="2" width="17.81640625" style="45" hidden="1" customWidth="1" outlineLevel="1"/>
    <col min="3" max="3" width="8.81640625" style="2" collapsed="1"/>
    <col min="4" max="4" width="8.81640625" style="2"/>
    <col min="5" max="5" width="1.54296875" style="2" customWidth="1"/>
    <col min="6" max="6" width="25.453125" style="2" bestFit="1" customWidth="1"/>
    <col min="7" max="7" width="25.81640625" style="2" customWidth="1"/>
    <col min="8" max="8" width="1.54296875" style="2" customWidth="1"/>
    <col min="9" max="10" width="25.81640625" style="2" customWidth="1"/>
    <col min="11" max="16384" width="8.81640625" style="2"/>
  </cols>
  <sheetData>
    <row r="1" spans="1:12" s="5" customFormat="1" ht="15" hidden="1" customHeight="1" outlineLevel="1" x14ac:dyDescent="0.35">
      <c r="D1" s="46" t="s">
        <v>31</v>
      </c>
      <c r="F1" s="6" t="s">
        <v>2</v>
      </c>
      <c r="G1" s="6" t="s">
        <v>3</v>
      </c>
      <c r="H1" s="6" t="s">
        <v>4</v>
      </c>
      <c r="I1" s="6" t="s">
        <v>5</v>
      </c>
      <c r="J1" s="6" t="s">
        <v>6</v>
      </c>
      <c r="K1" s="6" t="s">
        <v>7</v>
      </c>
      <c r="L1" s="6" t="s">
        <v>8</v>
      </c>
    </row>
    <row r="2" spans="1:12" ht="15" customHeight="1" collapsed="1" x14ac:dyDescent="0.35"/>
    <row r="3" spans="1:12" ht="15" customHeight="1" x14ac:dyDescent="0.45">
      <c r="D3" s="4" t="s">
        <v>30</v>
      </c>
      <c r="E3" s="4"/>
    </row>
    <row r="4" spans="1:12" ht="6" customHeight="1" x14ac:dyDescent="0.45">
      <c r="D4" s="39"/>
      <c r="E4" s="39"/>
      <c r="F4" s="22"/>
      <c r="G4" s="22"/>
      <c r="H4" s="22"/>
      <c r="I4" s="22"/>
      <c r="J4" s="22"/>
    </row>
    <row r="5" spans="1:12" ht="6" customHeight="1" x14ac:dyDescent="0.35">
      <c r="D5" s="103"/>
      <c r="E5" s="104"/>
      <c r="F5" s="104"/>
      <c r="G5" s="104"/>
      <c r="H5" s="104"/>
      <c r="I5" s="104"/>
      <c r="J5" s="109"/>
    </row>
    <row r="6" spans="1:12" ht="15" customHeight="1" x14ac:dyDescent="0.35">
      <c r="D6" s="251" t="s">
        <v>2</v>
      </c>
      <c r="E6" s="252"/>
      <c r="F6" s="252"/>
      <c r="G6" s="252"/>
      <c r="H6" s="252"/>
      <c r="I6" s="252"/>
      <c r="J6" s="253"/>
      <c r="L6" s="3"/>
    </row>
    <row r="7" spans="1:12" ht="6" customHeight="1" x14ac:dyDescent="0.35">
      <c r="D7" s="105"/>
      <c r="E7" s="29"/>
      <c r="F7" s="29"/>
      <c r="G7" s="29"/>
      <c r="H7" s="29"/>
      <c r="I7" s="29"/>
      <c r="J7" s="110"/>
    </row>
    <row r="8" spans="1:12" ht="6" customHeight="1" x14ac:dyDescent="0.35">
      <c r="D8" s="106"/>
      <c r="E8" s="47"/>
      <c r="F8" s="47"/>
      <c r="G8" s="47"/>
      <c r="H8" s="47"/>
      <c r="I8" s="47"/>
      <c r="J8" s="111"/>
    </row>
    <row r="9" spans="1:12" ht="15" customHeight="1" x14ac:dyDescent="0.35">
      <c r="D9" s="106" t="s">
        <v>17</v>
      </c>
      <c r="E9" s="47"/>
      <c r="F9" s="249" t="s">
        <v>18</v>
      </c>
      <c r="G9" s="249"/>
      <c r="H9" s="47"/>
      <c r="I9" s="249" t="s">
        <v>19</v>
      </c>
      <c r="J9" s="250"/>
    </row>
    <row r="10" spans="1:12" ht="6" customHeight="1" x14ac:dyDescent="0.35">
      <c r="D10" s="105"/>
      <c r="E10" s="47"/>
      <c r="F10" s="29"/>
      <c r="G10" s="29"/>
      <c r="H10" s="47"/>
      <c r="I10" s="29"/>
      <c r="J10" s="110"/>
    </row>
    <row r="11" spans="1:12" ht="6" customHeight="1" x14ac:dyDescent="0.35">
      <c r="D11" s="106"/>
      <c r="E11" s="47"/>
      <c r="F11" s="47"/>
      <c r="G11" s="47"/>
      <c r="H11" s="47"/>
      <c r="I11" s="47"/>
      <c r="J11" s="111"/>
    </row>
    <row r="12" spans="1:12" ht="15" customHeight="1" x14ac:dyDescent="0.35">
      <c r="D12" s="106"/>
      <c r="E12" s="47"/>
      <c r="F12" s="47" t="s">
        <v>20</v>
      </c>
      <c r="G12" s="47" t="s">
        <v>21</v>
      </c>
      <c r="H12" s="47"/>
      <c r="I12" s="225" t="s">
        <v>22</v>
      </c>
      <c r="J12" s="111" t="s">
        <v>41</v>
      </c>
    </row>
    <row r="13" spans="1:12" ht="6" customHeight="1" x14ac:dyDescent="0.35">
      <c r="D13" s="105"/>
      <c r="E13" s="29"/>
      <c r="F13" s="29"/>
      <c r="G13" s="29"/>
      <c r="H13" s="29"/>
      <c r="I13" s="29"/>
      <c r="J13" s="110"/>
    </row>
    <row r="14" spans="1:12" ht="6" customHeight="1" x14ac:dyDescent="0.35">
      <c r="D14" s="106"/>
      <c r="E14" s="187"/>
      <c r="F14" s="187"/>
      <c r="G14" s="187"/>
      <c r="H14" s="187"/>
      <c r="I14" s="187"/>
      <c r="J14" s="188"/>
    </row>
    <row r="15" spans="1:12" ht="15" customHeight="1" x14ac:dyDescent="0.35">
      <c r="A15" s="5" t="str">
        <f>$D$6&amp;"_"&amp;D15</f>
        <v>Candidate Curve_1</v>
      </c>
      <c r="B15" s="45" t="str">
        <f>$D$6</f>
        <v>Candidate Curve</v>
      </c>
      <c r="D15" s="106">
        <v>1</v>
      </c>
      <c r="E15" s="47"/>
      <c r="F15" s="107">
        <v>0.99</v>
      </c>
      <c r="G15" s="108">
        <f>F15*'Auction Simulation'!$D$14</f>
        <v>131170.40028256411</v>
      </c>
      <c r="H15" s="47"/>
      <c r="I15" s="107">
        <v>1.75</v>
      </c>
      <c r="J15" s="112">
        <f>MAX(I15*cc_net_cone, cc_gross_cone)</f>
        <v>491</v>
      </c>
    </row>
    <row r="16" spans="1:12" ht="15" customHeight="1" x14ac:dyDescent="0.35">
      <c r="A16" s="5" t="str">
        <f>$D$6&amp;"_"&amp;D16</f>
        <v>Candidate Curve_2</v>
      </c>
      <c r="B16" s="45" t="str">
        <f t="shared" ref="B16:B17" si="0">$D$6</f>
        <v>Candidate Curve</v>
      </c>
      <c r="D16" s="106">
        <v>2</v>
      </c>
      <c r="E16" s="47"/>
      <c r="F16" s="107">
        <v>1.0149999999999999</v>
      </c>
      <c r="G16" s="108">
        <f>F16*'Auction Simulation'!$D$14</f>
        <v>134482.78412808338</v>
      </c>
      <c r="H16" s="47"/>
      <c r="I16" s="107">
        <v>0.75</v>
      </c>
      <c r="J16" s="112">
        <f>I16*cc_net_cone</f>
        <v>200.25</v>
      </c>
    </row>
    <row r="17" spans="1:12" ht="15" customHeight="1" x14ac:dyDescent="0.35">
      <c r="A17" s="5" t="str">
        <f>$D$6&amp;"_"&amp;D17</f>
        <v>Candidate Curve_3</v>
      </c>
      <c r="B17" s="45" t="str">
        <f t="shared" si="0"/>
        <v>Candidate Curve</v>
      </c>
      <c r="D17" s="106">
        <v>3</v>
      </c>
      <c r="E17" s="47"/>
      <c r="F17" s="107">
        <v>1.0449999999999999</v>
      </c>
      <c r="G17" s="108">
        <f>F17*'Auction Simulation'!$D$14</f>
        <v>138457.64474270656</v>
      </c>
      <c r="H17" s="47"/>
      <c r="I17" s="107">
        <v>0</v>
      </c>
      <c r="J17" s="112">
        <f>I17*cc_net_cone</f>
        <v>0</v>
      </c>
    </row>
    <row r="18" spans="1:12" ht="6" customHeight="1" x14ac:dyDescent="0.35">
      <c r="D18" s="105"/>
      <c r="E18" s="29"/>
      <c r="F18" s="30"/>
      <c r="G18" s="102"/>
      <c r="H18" s="29"/>
      <c r="I18" s="29"/>
      <c r="J18" s="113"/>
    </row>
    <row r="19" spans="1:12" ht="6" customHeight="1" x14ac:dyDescent="0.35">
      <c r="D19" s="15"/>
      <c r="E19" s="15"/>
      <c r="F19" s="11"/>
      <c r="G19" s="12"/>
      <c r="H19" s="15"/>
      <c r="I19" s="15"/>
      <c r="J19" s="14"/>
    </row>
    <row r="20" spans="1:12" ht="14.5" x14ac:dyDescent="0.35">
      <c r="D20" s="15"/>
      <c r="E20" s="15"/>
      <c r="F20" s="11"/>
      <c r="G20" s="12"/>
      <c r="H20" s="15"/>
      <c r="I20" s="15"/>
      <c r="J20" s="14"/>
    </row>
    <row r="21" spans="1:12" ht="6" customHeight="1" x14ac:dyDescent="0.35">
      <c r="D21" s="8"/>
      <c r="E21" s="8"/>
      <c r="F21" s="18"/>
      <c r="G21" s="19"/>
      <c r="H21" s="8"/>
      <c r="I21" s="8"/>
      <c r="J21" s="20"/>
    </row>
    <row r="22" spans="1:12" ht="6" customHeight="1" x14ac:dyDescent="0.35">
      <c r="D22" s="103"/>
      <c r="E22" s="104"/>
      <c r="F22" s="104"/>
      <c r="G22" s="104"/>
      <c r="H22" s="104"/>
      <c r="I22" s="104"/>
      <c r="J22" s="109"/>
    </row>
    <row r="23" spans="1:12" ht="15" customHeight="1" x14ac:dyDescent="0.35">
      <c r="D23" s="251" t="s">
        <v>3</v>
      </c>
      <c r="E23" s="252"/>
      <c r="F23" s="252"/>
      <c r="G23" s="252"/>
      <c r="H23" s="252"/>
      <c r="I23" s="252"/>
      <c r="J23" s="253"/>
      <c r="L23" s="3"/>
    </row>
    <row r="24" spans="1:12" ht="6" customHeight="1" x14ac:dyDescent="0.35">
      <c r="D24" s="105"/>
      <c r="E24" s="29"/>
      <c r="F24" s="29"/>
      <c r="G24" s="29"/>
      <c r="H24" s="29"/>
      <c r="I24" s="29"/>
      <c r="J24" s="110"/>
    </row>
    <row r="25" spans="1:12" ht="6" customHeight="1" x14ac:dyDescent="0.35">
      <c r="D25" s="106"/>
      <c r="E25" s="193"/>
      <c r="F25" s="193"/>
      <c r="G25" s="193"/>
      <c r="H25" s="193"/>
      <c r="I25" s="193"/>
      <c r="J25" s="194"/>
    </row>
    <row r="26" spans="1:12" ht="15" customHeight="1" x14ac:dyDescent="0.35">
      <c r="D26" s="106" t="s">
        <v>17</v>
      </c>
      <c r="E26" s="193"/>
      <c r="F26" s="249" t="s">
        <v>18</v>
      </c>
      <c r="G26" s="249"/>
      <c r="H26" s="193"/>
      <c r="I26" s="249" t="s">
        <v>19</v>
      </c>
      <c r="J26" s="250"/>
    </row>
    <row r="27" spans="1:12" ht="6" customHeight="1" x14ac:dyDescent="0.35">
      <c r="D27" s="105"/>
      <c r="E27" s="193"/>
      <c r="F27" s="29"/>
      <c r="G27" s="29"/>
      <c r="H27" s="193"/>
      <c r="I27" s="29"/>
      <c r="J27" s="110"/>
    </row>
    <row r="28" spans="1:12" ht="6" customHeight="1" x14ac:dyDescent="0.35">
      <c r="D28" s="106"/>
      <c r="E28" s="193"/>
      <c r="F28" s="193"/>
      <c r="G28" s="193"/>
      <c r="H28" s="193"/>
      <c r="I28" s="193"/>
      <c r="J28" s="194"/>
    </row>
    <row r="29" spans="1:12" ht="15" customHeight="1" x14ac:dyDescent="0.35">
      <c r="D29" s="106"/>
      <c r="E29" s="193"/>
      <c r="F29" s="193" t="s">
        <v>20</v>
      </c>
      <c r="G29" s="193" t="s">
        <v>21</v>
      </c>
      <c r="H29" s="193"/>
      <c r="I29" s="193" t="s">
        <v>22</v>
      </c>
      <c r="J29" s="194" t="s">
        <v>41</v>
      </c>
    </row>
    <row r="30" spans="1:12" ht="6" customHeight="1" x14ac:dyDescent="0.35">
      <c r="D30" s="105"/>
      <c r="E30" s="29"/>
      <c r="F30" s="29"/>
      <c r="G30" s="29"/>
      <c r="H30" s="29"/>
      <c r="I30" s="29"/>
      <c r="J30" s="110"/>
    </row>
    <row r="31" spans="1:12" ht="6" customHeight="1" x14ac:dyDescent="0.35">
      <c r="D31" s="106"/>
      <c r="E31" s="193"/>
      <c r="F31" s="193"/>
      <c r="G31" s="193"/>
      <c r="H31" s="193"/>
      <c r="I31" s="193"/>
      <c r="J31" s="194"/>
    </row>
    <row r="32" spans="1:12" ht="15" customHeight="1" x14ac:dyDescent="0.35">
      <c r="A32" s="5" t="str">
        <f>$D$23&amp;"_"&amp;D32</f>
        <v>Current Curve, CC_1</v>
      </c>
      <c r="B32" s="45" t="str">
        <f>$D$23</f>
        <v>Current Curve, CC</v>
      </c>
      <c r="D32" s="106">
        <v>1</v>
      </c>
      <c r="E32" s="193"/>
      <c r="F32" s="107">
        <v>0.98951965065502201</v>
      </c>
      <c r="G32" s="108">
        <f>F32*'Auction Simulation'!$D$14</f>
        <v>131106.75622614368</v>
      </c>
      <c r="H32" s="193"/>
      <c r="I32" s="107">
        <v>1.5</v>
      </c>
      <c r="J32" s="112">
        <f>MAX(I32*cc_net_cone, cc_gross_cone)</f>
        <v>491</v>
      </c>
    </row>
    <row r="33" spans="1:20" ht="15" customHeight="1" x14ac:dyDescent="0.35">
      <c r="A33" s="5" t="str">
        <f>$D$23&amp;"_"&amp;D33</f>
        <v>Current Curve, CC_2</v>
      </c>
      <c r="B33" s="45" t="str">
        <f t="shared" ref="B33:B34" si="1">$D$23</f>
        <v>Current Curve, CC</v>
      </c>
      <c r="D33" s="106">
        <v>2</v>
      </c>
      <c r="E33" s="193"/>
      <c r="F33" s="107">
        <v>1.0165938864628801</v>
      </c>
      <c r="G33" s="108">
        <f>F33*'Auction Simulation'!$D$14</f>
        <v>134693.96667893283</v>
      </c>
      <c r="H33" s="193"/>
      <c r="I33" s="107">
        <v>0.75</v>
      </c>
      <c r="J33" s="112">
        <f>I33*cc_net_cone</f>
        <v>200.25</v>
      </c>
    </row>
    <row r="34" spans="1:20" ht="15" customHeight="1" x14ac:dyDescent="0.35">
      <c r="A34" s="5" t="str">
        <f>$D$23&amp;"_"&amp;D34</f>
        <v>Current Curve, CC_3</v>
      </c>
      <c r="B34" s="45" t="str">
        <f t="shared" si="1"/>
        <v>Current Curve, CC</v>
      </c>
      <c r="D34" s="106">
        <v>3</v>
      </c>
      <c r="E34" s="193"/>
      <c r="F34" s="107">
        <v>1.0681222707423601</v>
      </c>
      <c r="G34" s="108">
        <f>F34*'Auction Simulation'!$D$14</f>
        <v>141521.23818585524</v>
      </c>
      <c r="H34" s="193"/>
      <c r="I34" s="107">
        <v>0</v>
      </c>
      <c r="J34" s="112">
        <f>I34*cc_net_cone</f>
        <v>0</v>
      </c>
    </row>
    <row r="35" spans="1:20" ht="6" customHeight="1" x14ac:dyDescent="0.35">
      <c r="D35" s="105"/>
      <c r="E35" s="29"/>
      <c r="F35" s="30"/>
      <c r="G35" s="102"/>
      <c r="H35" s="29"/>
      <c r="I35" s="29"/>
      <c r="J35" s="113"/>
    </row>
    <row r="36" spans="1:20" ht="6" customHeight="1" x14ac:dyDescent="0.35">
      <c r="D36" s="9"/>
      <c r="E36" s="9"/>
      <c r="F36" s="9"/>
      <c r="G36" s="9"/>
      <c r="H36" s="9"/>
      <c r="I36" s="9"/>
      <c r="J36" s="9"/>
      <c r="O36" s="43"/>
      <c r="P36" s="43"/>
      <c r="Q36" s="43"/>
      <c r="R36" s="43"/>
      <c r="S36" s="43"/>
      <c r="T36" s="43"/>
    </row>
    <row r="37" spans="1:20" ht="14.5" x14ac:dyDescent="0.35">
      <c r="D37" s="9"/>
      <c r="E37" s="9"/>
      <c r="F37" s="9"/>
      <c r="G37" s="9"/>
      <c r="H37" s="9"/>
      <c r="I37" s="9"/>
      <c r="J37" s="9"/>
      <c r="O37" s="43"/>
      <c r="P37" s="43"/>
      <c r="Q37" s="43"/>
      <c r="R37" s="43"/>
      <c r="S37" s="43"/>
      <c r="T37" s="43"/>
    </row>
    <row r="38" spans="1:20" ht="6" customHeight="1" x14ac:dyDescent="0.35">
      <c r="D38" s="8"/>
      <c r="E38" s="8"/>
      <c r="F38" s="8"/>
      <c r="G38" s="8"/>
      <c r="H38" s="8"/>
      <c r="I38" s="8"/>
      <c r="J38" s="8"/>
      <c r="O38" s="43"/>
      <c r="P38" s="43"/>
      <c r="Q38" s="43"/>
      <c r="R38" s="43"/>
      <c r="S38" s="43"/>
      <c r="T38" s="43"/>
    </row>
    <row r="39" spans="1:20" ht="6" customHeight="1" x14ac:dyDescent="0.35">
      <c r="D39" s="103"/>
      <c r="E39" s="104"/>
      <c r="F39" s="104"/>
      <c r="G39" s="104"/>
      <c r="H39" s="104"/>
      <c r="I39" s="104"/>
      <c r="J39" s="109"/>
      <c r="O39" s="43"/>
      <c r="P39" s="43"/>
      <c r="Q39" s="43"/>
      <c r="R39" s="43"/>
      <c r="S39" s="43"/>
      <c r="T39" s="43"/>
    </row>
    <row r="40" spans="1:20" ht="15" customHeight="1" x14ac:dyDescent="0.35">
      <c r="D40" s="251" t="s">
        <v>4</v>
      </c>
      <c r="E40" s="252"/>
      <c r="F40" s="252"/>
      <c r="G40" s="252"/>
      <c r="H40" s="252"/>
      <c r="I40" s="252"/>
      <c r="J40" s="253"/>
      <c r="O40" s="43"/>
      <c r="P40" s="43"/>
      <c r="Q40" s="43"/>
      <c r="R40" s="43"/>
      <c r="S40" s="43"/>
      <c r="T40" s="43"/>
    </row>
    <row r="41" spans="1:20" ht="6" customHeight="1" x14ac:dyDescent="0.35">
      <c r="D41" s="105"/>
      <c r="E41" s="29"/>
      <c r="F41" s="29"/>
      <c r="G41" s="29"/>
      <c r="H41" s="29"/>
      <c r="I41" s="29"/>
      <c r="J41" s="110"/>
      <c r="O41" s="43"/>
      <c r="P41" s="43"/>
      <c r="Q41" s="43"/>
      <c r="R41" s="43"/>
      <c r="S41" s="43"/>
      <c r="T41" s="43"/>
    </row>
    <row r="42" spans="1:20" ht="6" customHeight="1" x14ac:dyDescent="0.35">
      <c r="D42" s="106"/>
      <c r="E42" s="193"/>
      <c r="F42" s="193"/>
      <c r="G42" s="193"/>
      <c r="H42" s="193"/>
      <c r="I42" s="193"/>
      <c r="J42" s="194"/>
      <c r="O42" s="43"/>
      <c r="P42" s="43"/>
      <c r="Q42" s="43"/>
      <c r="R42" s="43"/>
      <c r="S42" s="43"/>
      <c r="T42" s="43"/>
    </row>
    <row r="43" spans="1:20" ht="15" customHeight="1" x14ac:dyDescent="0.35">
      <c r="D43" s="106" t="s">
        <v>17</v>
      </c>
      <c r="E43" s="193"/>
      <c r="F43" s="249" t="s">
        <v>18</v>
      </c>
      <c r="G43" s="249"/>
      <c r="H43" s="193"/>
      <c r="I43" s="249" t="s">
        <v>19</v>
      </c>
      <c r="J43" s="250"/>
      <c r="O43" s="43"/>
      <c r="P43" s="43"/>
      <c r="Q43" s="43"/>
      <c r="R43" s="43"/>
      <c r="S43" s="43"/>
      <c r="T43" s="43"/>
    </row>
    <row r="44" spans="1:20" ht="6" customHeight="1" x14ac:dyDescent="0.35">
      <c r="D44" s="105"/>
      <c r="E44" s="193"/>
      <c r="F44" s="29"/>
      <c r="G44" s="29"/>
      <c r="H44" s="193"/>
      <c r="I44" s="29"/>
      <c r="J44" s="110"/>
      <c r="O44" s="43"/>
      <c r="P44" s="43"/>
      <c r="Q44" s="43"/>
      <c r="R44" s="43"/>
      <c r="S44" s="43"/>
      <c r="T44" s="43"/>
    </row>
    <row r="45" spans="1:20" ht="6" customHeight="1" x14ac:dyDescent="0.35">
      <c r="D45" s="106"/>
      <c r="E45" s="193"/>
      <c r="F45" s="193"/>
      <c r="G45" s="193"/>
      <c r="H45" s="193"/>
      <c r="I45" s="193"/>
      <c r="J45" s="194"/>
      <c r="O45" s="43"/>
      <c r="P45" s="43"/>
      <c r="Q45" s="43"/>
      <c r="R45" s="43"/>
      <c r="S45" s="43"/>
      <c r="T45" s="43"/>
    </row>
    <row r="46" spans="1:20" ht="15" customHeight="1" x14ac:dyDescent="0.35">
      <c r="D46" s="106"/>
      <c r="E46" s="193"/>
      <c r="F46" s="193" t="s">
        <v>20</v>
      </c>
      <c r="G46" s="193" t="s">
        <v>21</v>
      </c>
      <c r="H46" s="193"/>
      <c r="I46" s="193" t="s">
        <v>22</v>
      </c>
      <c r="J46" s="194" t="s">
        <v>41</v>
      </c>
      <c r="O46" s="43"/>
      <c r="P46" s="43"/>
      <c r="Q46" s="43"/>
      <c r="R46" s="43"/>
      <c r="S46" s="43"/>
      <c r="T46" s="43"/>
    </row>
    <row r="47" spans="1:20" ht="6" customHeight="1" x14ac:dyDescent="0.35">
      <c r="D47" s="105"/>
      <c r="E47" s="29"/>
      <c r="F47" s="29"/>
      <c r="G47" s="29"/>
      <c r="H47" s="29"/>
      <c r="I47" s="29"/>
      <c r="J47" s="110"/>
      <c r="O47" s="43"/>
      <c r="P47" s="43"/>
      <c r="Q47" s="43"/>
      <c r="R47" s="43"/>
      <c r="S47" s="43"/>
      <c r="T47" s="43"/>
    </row>
    <row r="48" spans="1:20" ht="6" customHeight="1" x14ac:dyDescent="0.35">
      <c r="D48" s="106"/>
      <c r="E48" s="193"/>
      <c r="F48" s="193"/>
      <c r="G48" s="193"/>
      <c r="H48" s="193"/>
      <c r="I48" s="193"/>
      <c r="J48" s="194"/>
      <c r="O48" s="43"/>
      <c r="P48" s="43"/>
      <c r="Q48" s="43"/>
      <c r="R48" s="43"/>
      <c r="S48" s="43"/>
      <c r="T48" s="43"/>
    </row>
    <row r="49" spans="1:20" ht="15" customHeight="1" x14ac:dyDescent="0.35">
      <c r="A49" s="5" t="str">
        <f>$D$40&amp;"_"&amp;D49</f>
        <v>Current Curve, CT_1</v>
      </c>
      <c r="B49" s="45" t="str">
        <f>$D$40</f>
        <v>Current Curve, CT</v>
      </c>
      <c r="D49" s="106">
        <v>1</v>
      </c>
      <c r="E49" s="193"/>
      <c r="F49" s="107">
        <v>0.98951965065502201</v>
      </c>
      <c r="G49" s="108">
        <f>F49*'Auction Simulation'!$D$14</f>
        <v>131106.75622614368</v>
      </c>
      <c r="H49" s="193"/>
      <c r="I49" s="107">
        <v>1.5</v>
      </c>
      <c r="J49" s="112">
        <f>MAX(I49*ct_net_cone, ct_gross_cone)</f>
        <v>489</v>
      </c>
      <c r="O49" s="43"/>
      <c r="P49" s="43"/>
      <c r="Q49" s="43"/>
      <c r="R49" s="43"/>
      <c r="S49" s="43"/>
      <c r="T49" s="43"/>
    </row>
    <row r="50" spans="1:20" ht="15" customHeight="1" x14ac:dyDescent="0.35">
      <c r="A50" s="5" t="str">
        <f>$D$40&amp;"_"&amp;D50</f>
        <v>Current Curve, CT_2</v>
      </c>
      <c r="B50" s="45" t="str">
        <f t="shared" ref="B50:B51" si="2">$D$40</f>
        <v>Current Curve, CT</v>
      </c>
      <c r="D50" s="106">
        <v>2</v>
      </c>
      <c r="E50" s="193"/>
      <c r="F50" s="107">
        <v>1.0165938864628801</v>
      </c>
      <c r="G50" s="108">
        <f>F50*'Auction Simulation'!$D$14</f>
        <v>134693.96667893283</v>
      </c>
      <c r="H50" s="193"/>
      <c r="I50" s="107">
        <v>0.75</v>
      </c>
      <c r="J50" s="112">
        <f>I50*ct_net_cone</f>
        <v>244.5</v>
      </c>
      <c r="O50" s="43"/>
      <c r="P50" s="43"/>
      <c r="Q50" s="43"/>
      <c r="R50" s="43"/>
      <c r="S50" s="43"/>
      <c r="T50" s="43"/>
    </row>
    <row r="51" spans="1:20" ht="15" customHeight="1" x14ac:dyDescent="0.35">
      <c r="A51" s="5" t="str">
        <f>$D$40&amp;"_"&amp;D51</f>
        <v>Current Curve, CT_3</v>
      </c>
      <c r="B51" s="45" t="str">
        <f t="shared" si="2"/>
        <v>Current Curve, CT</v>
      </c>
      <c r="D51" s="106">
        <v>3</v>
      </c>
      <c r="E51" s="193"/>
      <c r="F51" s="107">
        <v>1.0681222707423601</v>
      </c>
      <c r="G51" s="108">
        <f>F51*'Auction Simulation'!$D$14</f>
        <v>141521.23818585524</v>
      </c>
      <c r="H51" s="193"/>
      <c r="I51" s="107">
        <v>0</v>
      </c>
      <c r="J51" s="112">
        <f>I51*ct_net_cone</f>
        <v>0</v>
      </c>
      <c r="O51" s="43"/>
      <c r="P51" s="43"/>
      <c r="Q51" s="43"/>
      <c r="R51" s="43"/>
      <c r="S51" s="43"/>
      <c r="T51" s="43"/>
    </row>
    <row r="52" spans="1:20" ht="6" customHeight="1" x14ac:dyDescent="0.35">
      <c r="D52" s="105"/>
      <c r="E52" s="29"/>
      <c r="F52" s="30"/>
      <c r="G52" s="102"/>
      <c r="H52" s="29"/>
      <c r="I52" s="29"/>
      <c r="J52" s="113"/>
      <c r="O52" s="43"/>
      <c r="P52" s="43"/>
      <c r="Q52" s="43"/>
      <c r="R52" s="43"/>
      <c r="S52" s="43"/>
      <c r="T52" s="43"/>
    </row>
    <row r="53" spans="1:20" ht="6" customHeight="1" x14ac:dyDescent="0.35">
      <c r="D53" s="9"/>
      <c r="E53" s="9"/>
      <c r="F53" s="9"/>
      <c r="G53" s="9"/>
      <c r="H53" s="9"/>
      <c r="I53" s="9"/>
      <c r="J53" s="9"/>
      <c r="O53" s="43"/>
      <c r="P53" s="43"/>
      <c r="Q53" s="43"/>
      <c r="R53" s="43"/>
      <c r="S53" s="43"/>
      <c r="T53" s="43"/>
    </row>
    <row r="54" spans="1:20" ht="14.5" x14ac:dyDescent="0.35">
      <c r="D54" s="9"/>
      <c r="E54" s="9"/>
      <c r="F54" s="9"/>
      <c r="G54" s="9"/>
      <c r="H54" s="9"/>
      <c r="I54" s="9"/>
      <c r="J54" s="9"/>
      <c r="O54" s="43"/>
      <c r="P54" s="43"/>
      <c r="Q54" s="43"/>
      <c r="R54" s="43"/>
      <c r="S54" s="43"/>
      <c r="T54" s="43"/>
    </row>
    <row r="55" spans="1:20" ht="6" customHeight="1" x14ac:dyDescent="0.35">
      <c r="D55" s="8"/>
      <c r="E55" s="8"/>
      <c r="F55" s="8"/>
      <c r="G55" s="8"/>
      <c r="H55" s="8"/>
      <c r="I55" s="8"/>
      <c r="J55" s="8"/>
      <c r="O55" s="43"/>
      <c r="P55" s="43"/>
      <c r="Q55" s="43"/>
      <c r="R55" s="43"/>
      <c r="S55" s="43"/>
      <c r="T55" s="43"/>
    </row>
    <row r="56" spans="1:20" ht="6" customHeight="1" x14ac:dyDescent="0.35">
      <c r="D56" s="103"/>
      <c r="E56" s="104"/>
      <c r="F56" s="104"/>
      <c r="G56" s="104"/>
      <c r="H56" s="104"/>
      <c r="I56" s="104"/>
      <c r="J56" s="109"/>
      <c r="O56" s="43"/>
      <c r="P56" s="43"/>
      <c r="Q56" s="43"/>
      <c r="R56" s="43"/>
      <c r="S56" s="43"/>
      <c r="T56" s="43"/>
    </row>
    <row r="57" spans="1:20" ht="15" customHeight="1" x14ac:dyDescent="0.35">
      <c r="D57" s="251" t="s">
        <v>5</v>
      </c>
      <c r="E57" s="252"/>
      <c r="F57" s="252"/>
      <c r="G57" s="252"/>
      <c r="H57" s="252"/>
      <c r="I57" s="252"/>
      <c r="J57" s="253"/>
      <c r="L57" s="3"/>
      <c r="O57" s="43"/>
      <c r="P57" s="43"/>
      <c r="Q57" s="43"/>
      <c r="R57" s="43"/>
      <c r="S57" s="43"/>
      <c r="T57" s="43"/>
    </row>
    <row r="58" spans="1:20" ht="6" customHeight="1" x14ac:dyDescent="0.35">
      <c r="D58" s="105"/>
      <c r="E58" s="29"/>
      <c r="F58" s="29"/>
      <c r="G58" s="29"/>
      <c r="H58" s="29"/>
      <c r="I58" s="29"/>
      <c r="J58" s="110"/>
      <c r="O58" s="43"/>
      <c r="P58" s="43"/>
      <c r="Q58" s="43"/>
      <c r="R58" s="43"/>
      <c r="S58" s="43"/>
      <c r="T58" s="43"/>
    </row>
    <row r="59" spans="1:20" ht="6" customHeight="1" x14ac:dyDescent="0.35">
      <c r="D59" s="106"/>
      <c r="E59" s="193"/>
      <c r="F59" s="193"/>
      <c r="G59" s="193"/>
      <c r="H59" s="193"/>
      <c r="I59" s="193"/>
      <c r="J59" s="194"/>
      <c r="O59" s="43"/>
      <c r="P59" s="43"/>
      <c r="Q59" s="43"/>
      <c r="R59" s="43"/>
      <c r="S59" s="43"/>
      <c r="T59" s="43"/>
    </row>
    <row r="60" spans="1:20" ht="15" customHeight="1" x14ac:dyDescent="0.35">
      <c r="D60" s="106" t="s">
        <v>17</v>
      </c>
      <c r="E60" s="193"/>
      <c r="F60" s="249" t="s">
        <v>18</v>
      </c>
      <c r="G60" s="249"/>
      <c r="H60" s="193"/>
      <c r="I60" s="249" t="s">
        <v>19</v>
      </c>
      <c r="J60" s="250"/>
      <c r="O60" s="43"/>
      <c r="P60" s="43"/>
      <c r="Q60" s="43"/>
      <c r="R60" s="43"/>
      <c r="S60" s="43"/>
      <c r="T60" s="43"/>
    </row>
    <row r="61" spans="1:20" ht="6" customHeight="1" x14ac:dyDescent="0.35">
      <c r="D61" s="105"/>
      <c r="E61" s="193"/>
      <c r="F61" s="29"/>
      <c r="G61" s="29"/>
      <c r="H61" s="193"/>
      <c r="I61" s="29"/>
      <c r="J61" s="110"/>
      <c r="O61" s="43"/>
      <c r="P61" s="43"/>
      <c r="Q61" s="43"/>
      <c r="R61" s="43"/>
      <c r="S61" s="43"/>
      <c r="T61" s="43"/>
    </row>
    <row r="62" spans="1:20" ht="6" customHeight="1" x14ac:dyDescent="0.35">
      <c r="D62" s="106"/>
      <c r="E62" s="193"/>
      <c r="F62" s="193"/>
      <c r="G62" s="193"/>
      <c r="H62" s="193"/>
      <c r="I62" s="193"/>
      <c r="J62" s="194"/>
      <c r="O62" s="43"/>
      <c r="P62" s="43"/>
      <c r="Q62" s="43"/>
      <c r="R62" s="43"/>
      <c r="S62" s="43"/>
      <c r="T62" s="43"/>
    </row>
    <row r="63" spans="1:20" ht="15" customHeight="1" x14ac:dyDescent="0.35">
      <c r="D63" s="106"/>
      <c r="E63" s="193"/>
      <c r="F63" s="193" t="s">
        <v>20</v>
      </c>
      <c r="G63" s="193" t="s">
        <v>21</v>
      </c>
      <c r="H63" s="193"/>
      <c r="I63" s="193" t="s">
        <v>22</v>
      </c>
      <c r="J63" s="194" t="s">
        <v>41</v>
      </c>
      <c r="O63" s="43"/>
      <c r="P63" s="43"/>
      <c r="Q63" s="43"/>
      <c r="R63" s="43"/>
      <c r="S63" s="43"/>
      <c r="T63" s="43"/>
    </row>
    <row r="64" spans="1:20" ht="6" customHeight="1" x14ac:dyDescent="0.35">
      <c r="D64" s="105"/>
      <c r="E64" s="29"/>
      <c r="F64" s="29"/>
      <c r="G64" s="29"/>
      <c r="H64" s="29"/>
      <c r="I64" s="29"/>
      <c r="J64" s="110"/>
      <c r="O64" s="43"/>
      <c r="P64" s="43"/>
      <c r="Q64" s="43"/>
      <c r="R64" s="43"/>
      <c r="S64" s="43"/>
      <c r="T64" s="43"/>
    </row>
    <row r="65" spans="1:20" ht="6" customHeight="1" x14ac:dyDescent="0.35">
      <c r="D65" s="106"/>
      <c r="E65" s="193"/>
      <c r="F65" s="193"/>
      <c r="G65" s="193"/>
      <c r="H65" s="193"/>
      <c r="I65" s="193"/>
      <c r="J65" s="194"/>
      <c r="O65" s="43"/>
      <c r="P65" s="43"/>
      <c r="Q65" s="43"/>
      <c r="R65" s="43"/>
      <c r="S65" s="43"/>
      <c r="T65" s="43"/>
    </row>
    <row r="66" spans="1:20" ht="15" customHeight="1" x14ac:dyDescent="0.35">
      <c r="A66" s="228" t="str">
        <f>$D$57&amp;"_"&amp;D66</f>
        <v>Alternative 1_1</v>
      </c>
      <c r="B66" s="45" t="str">
        <f>$D$57</f>
        <v>Alternative 1</v>
      </c>
      <c r="D66" s="106">
        <v>1</v>
      </c>
      <c r="E66" s="193"/>
      <c r="F66" s="107">
        <v>1</v>
      </c>
      <c r="G66" s="108">
        <f>F66*'Auction Simulation'!$D$14</f>
        <v>132495.35382077182</v>
      </c>
      <c r="H66" s="193"/>
      <c r="I66" s="107">
        <v>1.75</v>
      </c>
      <c r="J66" s="112">
        <f>MAX(I66*cc_net_cone, cc_gross_cone)</f>
        <v>491</v>
      </c>
    </row>
    <row r="67" spans="1:20" ht="15" customHeight="1" x14ac:dyDescent="0.35">
      <c r="A67" s="5" t="str">
        <f>$D$57&amp;"_"&amp;D67</f>
        <v>Alternative 1_2</v>
      </c>
      <c r="B67" s="45" t="str">
        <f>$D$57</f>
        <v>Alternative 1</v>
      </c>
      <c r="D67" s="106">
        <v>2</v>
      </c>
      <c r="E67" s="193"/>
      <c r="F67" s="107">
        <v>1.0228203965485587</v>
      </c>
      <c r="G67" s="108">
        <f>F67*'Auction Simulation'!$D$14</f>
        <v>135518.95033580344</v>
      </c>
      <c r="H67" s="193"/>
      <c r="I67" s="107">
        <v>0</v>
      </c>
      <c r="J67" s="112">
        <f>I67*cc_net_cone</f>
        <v>0</v>
      </c>
    </row>
    <row r="68" spans="1:20" ht="6" customHeight="1" x14ac:dyDescent="0.35">
      <c r="D68" s="105"/>
      <c r="E68" s="29"/>
      <c r="F68" s="30"/>
      <c r="G68" s="102"/>
      <c r="H68" s="29"/>
      <c r="I68" s="29"/>
      <c r="J68" s="113"/>
    </row>
    <row r="69" spans="1:20" ht="14.5" x14ac:dyDescent="0.35">
      <c r="D69" s="15"/>
      <c r="E69" s="15"/>
      <c r="F69" s="15"/>
      <c r="G69" s="15"/>
      <c r="H69" s="15"/>
      <c r="I69" s="15"/>
      <c r="J69" s="15"/>
    </row>
    <row r="70" spans="1:20" ht="6" customHeight="1" x14ac:dyDescent="0.35">
      <c r="D70" s="8"/>
      <c r="E70" s="8"/>
      <c r="F70" s="8"/>
      <c r="G70" s="8"/>
      <c r="H70" s="8"/>
      <c r="I70" s="8"/>
      <c r="J70" s="8"/>
    </row>
    <row r="71" spans="1:20" ht="6" customHeight="1" x14ac:dyDescent="0.35">
      <c r="D71" s="103"/>
      <c r="E71" s="104"/>
      <c r="F71" s="104"/>
      <c r="G71" s="104"/>
      <c r="H71" s="104"/>
      <c r="I71" s="104"/>
      <c r="J71" s="109"/>
    </row>
    <row r="72" spans="1:20" ht="15" customHeight="1" x14ac:dyDescent="0.35">
      <c r="D72" s="251" t="s">
        <v>6</v>
      </c>
      <c r="E72" s="252"/>
      <c r="F72" s="252"/>
      <c r="G72" s="252"/>
      <c r="H72" s="252"/>
      <c r="I72" s="252"/>
      <c r="J72" s="253"/>
      <c r="L72" s="3"/>
    </row>
    <row r="73" spans="1:20" ht="6" customHeight="1" x14ac:dyDescent="0.35">
      <c r="D73" s="105"/>
      <c r="E73" s="29"/>
      <c r="F73" s="29"/>
      <c r="G73" s="29"/>
      <c r="H73" s="29"/>
      <c r="I73" s="29"/>
      <c r="J73" s="110"/>
    </row>
    <row r="74" spans="1:20" ht="6" customHeight="1" x14ac:dyDescent="0.35">
      <c r="D74" s="106"/>
      <c r="E74" s="193"/>
      <c r="F74" s="193"/>
      <c r="G74" s="193"/>
      <c r="H74" s="193"/>
      <c r="I74" s="193"/>
      <c r="J74" s="194"/>
    </row>
    <row r="75" spans="1:20" ht="15" customHeight="1" x14ac:dyDescent="0.35">
      <c r="D75" s="106" t="s">
        <v>17</v>
      </c>
      <c r="E75" s="193"/>
      <c r="F75" s="249" t="s">
        <v>18</v>
      </c>
      <c r="G75" s="249"/>
      <c r="H75" s="193"/>
      <c r="I75" s="249" t="s">
        <v>19</v>
      </c>
      <c r="J75" s="250"/>
    </row>
    <row r="76" spans="1:20" ht="6" customHeight="1" x14ac:dyDescent="0.35">
      <c r="D76" s="105"/>
      <c r="E76" s="193"/>
      <c r="F76" s="29"/>
      <c r="G76" s="29"/>
      <c r="H76" s="193"/>
      <c r="I76" s="29"/>
      <c r="J76" s="110"/>
    </row>
    <row r="77" spans="1:20" ht="6" customHeight="1" x14ac:dyDescent="0.35">
      <c r="D77" s="106"/>
      <c r="E77" s="193"/>
      <c r="F77" s="193"/>
      <c r="G77" s="193"/>
      <c r="H77" s="193"/>
      <c r="I77" s="193"/>
      <c r="J77" s="194"/>
    </row>
    <row r="78" spans="1:20" ht="15" customHeight="1" x14ac:dyDescent="0.35">
      <c r="D78" s="106"/>
      <c r="E78" s="193"/>
      <c r="F78" s="193" t="s">
        <v>20</v>
      </c>
      <c r="G78" s="193" t="s">
        <v>21</v>
      </c>
      <c r="H78" s="193"/>
      <c r="I78" s="193" t="s">
        <v>22</v>
      </c>
      <c r="J78" s="194" t="s">
        <v>41</v>
      </c>
    </row>
    <row r="79" spans="1:20" ht="6" customHeight="1" x14ac:dyDescent="0.35">
      <c r="D79" s="105"/>
      <c r="E79" s="29"/>
      <c r="F79" s="29"/>
      <c r="G79" s="29"/>
      <c r="H79" s="29"/>
      <c r="I79" s="29"/>
      <c r="J79" s="110"/>
    </row>
    <row r="80" spans="1:20" ht="6" customHeight="1" x14ac:dyDescent="0.35">
      <c r="D80" s="106"/>
      <c r="E80" s="193"/>
      <c r="F80" s="193"/>
      <c r="G80" s="193"/>
      <c r="H80" s="193"/>
      <c r="I80" s="193"/>
      <c r="J80" s="194"/>
    </row>
    <row r="81" spans="1:12" ht="15" customHeight="1" x14ac:dyDescent="0.35">
      <c r="A81" s="5" t="str">
        <f>$D$72&amp;"_"&amp;D81</f>
        <v>Alternative 2_1</v>
      </c>
      <c r="B81" s="45" t="str">
        <f>$D$72</f>
        <v>Alternative 2</v>
      </c>
      <c r="D81" s="106">
        <v>1</v>
      </c>
      <c r="E81" s="193"/>
      <c r="F81" s="107">
        <v>1</v>
      </c>
      <c r="G81" s="108">
        <f>F81*'Auction Simulation'!$D$14</f>
        <v>132495.35382077182</v>
      </c>
      <c r="H81" s="193"/>
      <c r="I81" s="107">
        <v>1.75</v>
      </c>
      <c r="J81" s="112">
        <f>MAX(I81*cc_net_cone, cc_gross_cone)</f>
        <v>491</v>
      </c>
    </row>
    <row r="82" spans="1:12" ht="15" customHeight="1" x14ac:dyDescent="0.35">
      <c r="A82" s="5" t="str">
        <f>$D$72&amp;"_"&amp;D82</f>
        <v>Alternative 2_2</v>
      </c>
      <c r="B82" s="45" t="str">
        <f t="shared" ref="B82:B83" si="3">$D$72</f>
        <v>Alternative 2</v>
      </c>
      <c r="D82" s="106">
        <v>2</v>
      </c>
      <c r="E82" s="193"/>
      <c r="F82" s="107">
        <v>1.0114566756603254</v>
      </c>
      <c r="G82" s="108">
        <f>F82*'Auction Simulation'!$D$14</f>
        <v>134013.31011599646</v>
      </c>
      <c r="H82" s="193"/>
      <c r="I82" s="107">
        <v>0.9157303370786517</v>
      </c>
      <c r="J82" s="112">
        <f>I82*cc_net_cone</f>
        <v>244.5</v>
      </c>
      <c r="K82" s="3"/>
    </row>
    <row r="83" spans="1:12" ht="15" customHeight="1" x14ac:dyDescent="0.35">
      <c r="A83" s="5" t="str">
        <f>$D$72&amp;"_"&amp;D83</f>
        <v>Alternative 2_3</v>
      </c>
      <c r="B83" s="45" t="str">
        <f t="shared" si="3"/>
        <v>Alternative 2</v>
      </c>
      <c r="D83" s="106">
        <v>3</v>
      </c>
      <c r="E83" s="193"/>
      <c r="F83" s="107">
        <v>1.0454713336454593</v>
      </c>
      <c r="G83" s="108">
        <f>F83*'Auction Simulation'!$D$14</f>
        <v>138520.09426082933</v>
      </c>
      <c r="H83" s="193"/>
      <c r="I83" s="107">
        <v>0</v>
      </c>
      <c r="J83" s="112">
        <f>I83*cc_net_cone</f>
        <v>0</v>
      </c>
    </row>
    <row r="84" spans="1:12" ht="6" customHeight="1" x14ac:dyDescent="0.35">
      <c r="D84" s="105"/>
      <c r="E84" s="29"/>
      <c r="F84" s="30"/>
      <c r="G84" s="102"/>
      <c r="H84" s="29"/>
      <c r="I84" s="29"/>
      <c r="J84" s="113"/>
    </row>
    <row r="85" spans="1:12" ht="6" customHeight="1" x14ac:dyDescent="0.35">
      <c r="D85" s="15"/>
      <c r="E85" s="15"/>
      <c r="F85" s="36"/>
      <c r="G85" s="37"/>
      <c r="H85" s="15"/>
      <c r="I85" s="38"/>
      <c r="J85" s="33"/>
    </row>
    <row r="86" spans="1:12" ht="6" customHeight="1" x14ac:dyDescent="0.35">
      <c r="D86" s="15"/>
      <c r="E86" s="15"/>
      <c r="F86" s="36"/>
      <c r="G86" s="37"/>
      <c r="H86" s="15"/>
      <c r="I86" s="38"/>
      <c r="J86" s="33"/>
    </row>
    <row r="87" spans="1:12" ht="6" customHeight="1" x14ac:dyDescent="0.35">
      <c r="D87" s="8"/>
      <c r="E87" s="8"/>
      <c r="F87" s="30"/>
      <c r="G87" s="19"/>
      <c r="H87" s="8"/>
      <c r="I87" s="34"/>
      <c r="J87" s="35"/>
    </row>
    <row r="88" spans="1:12" ht="6" customHeight="1" x14ac:dyDescent="0.35">
      <c r="D88" s="103"/>
      <c r="E88" s="104"/>
      <c r="F88" s="104"/>
      <c r="G88" s="104"/>
      <c r="H88" s="104"/>
      <c r="I88" s="104"/>
      <c r="J88" s="109"/>
    </row>
    <row r="89" spans="1:12" ht="15" customHeight="1" x14ac:dyDescent="0.35">
      <c r="D89" s="251" t="s">
        <v>7</v>
      </c>
      <c r="E89" s="252"/>
      <c r="F89" s="252"/>
      <c r="G89" s="252"/>
      <c r="H89" s="252"/>
      <c r="I89" s="252"/>
      <c r="J89" s="253"/>
    </row>
    <row r="90" spans="1:12" ht="6" customHeight="1" x14ac:dyDescent="0.35">
      <c r="D90" s="105"/>
      <c r="E90" s="29"/>
      <c r="F90" s="29"/>
      <c r="G90" s="29"/>
      <c r="H90" s="29"/>
      <c r="I90" s="29"/>
      <c r="J90" s="110"/>
    </row>
    <row r="91" spans="1:12" ht="6" customHeight="1" x14ac:dyDescent="0.35">
      <c r="D91" s="106"/>
      <c r="E91" s="193"/>
      <c r="F91" s="193"/>
      <c r="G91" s="193"/>
      <c r="H91" s="193"/>
      <c r="I91" s="193"/>
      <c r="J91" s="194"/>
    </row>
    <row r="92" spans="1:12" ht="15" customHeight="1" x14ac:dyDescent="0.35">
      <c r="D92" s="106" t="s">
        <v>17</v>
      </c>
      <c r="E92" s="193"/>
      <c r="F92" s="249" t="s">
        <v>18</v>
      </c>
      <c r="G92" s="249"/>
      <c r="H92" s="193"/>
      <c r="I92" s="249" t="s">
        <v>19</v>
      </c>
      <c r="J92" s="250"/>
      <c r="L92" s="3"/>
    </row>
    <row r="93" spans="1:12" ht="6" customHeight="1" x14ac:dyDescent="0.35">
      <c r="D93" s="105"/>
      <c r="E93" s="193"/>
      <c r="F93" s="29"/>
      <c r="G93" s="29"/>
      <c r="H93" s="193"/>
      <c r="I93" s="29"/>
      <c r="J93" s="110"/>
    </row>
    <row r="94" spans="1:12" ht="6" customHeight="1" x14ac:dyDescent="0.35">
      <c r="D94" s="106"/>
      <c r="E94" s="193"/>
      <c r="F94" s="193"/>
      <c r="G94" s="193"/>
      <c r="H94" s="193"/>
      <c r="I94" s="193"/>
      <c r="J94" s="194"/>
    </row>
    <row r="95" spans="1:12" ht="15" customHeight="1" x14ac:dyDescent="0.35">
      <c r="D95" s="106"/>
      <c r="E95" s="193"/>
      <c r="F95" s="193" t="s">
        <v>20</v>
      </c>
      <c r="G95" s="193" t="s">
        <v>21</v>
      </c>
      <c r="H95" s="193"/>
      <c r="I95" s="193" t="s">
        <v>22</v>
      </c>
      <c r="J95" s="194" t="s">
        <v>41</v>
      </c>
    </row>
    <row r="96" spans="1:12" ht="6" customHeight="1" x14ac:dyDescent="0.35">
      <c r="D96" s="105"/>
      <c r="E96" s="29"/>
      <c r="F96" s="29"/>
      <c r="G96" s="29"/>
      <c r="H96" s="29"/>
      <c r="I96" s="29"/>
      <c r="J96" s="110"/>
    </row>
    <row r="97" spans="1:13" ht="6" customHeight="1" x14ac:dyDescent="0.35">
      <c r="D97" s="106"/>
      <c r="E97" s="193"/>
      <c r="F97" s="193"/>
      <c r="G97" s="193"/>
      <c r="H97" s="193"/>
      <c r="I97" s="193"/>
      <c r="J97" s="194"/>
    </row>
    <row r="98" spans="1:13" ht="15" customHeight="1" x14ac:dyDescent="0.35">
      <c r="A98" s="5" t="str">
        <f t="shared" ref="A98:A107" si="4">$D$89&amp;"_"&amp;D98</f>
        <v>Alternative 3_1</v>
      </c>
      <c r="B98" s="45" t="str">
        <f>$D$89</f>
        <v>Alternative 3</v>
      </c>
      <c r="D98" s="106">
        <v>1</v>
      </c>
      <c r="E98" s="193"/>
      <c r="F98" s="107">
        <v>0.99</v>
      </c>
      <c r="G98" s="108">
        <f>F98*'Auction Simulation'!$D$14</f>
        <v>131170.40028256411</v>
      </c>
      <c r="H98" s="193"/>
      <c r="I98" s="107">
        <v>1.75</v>
      </c>
      <c r="J98" s="112">
        <f>MAX(I98*cc_net_cone, cc_gross_cone)</f>
        <v>491</v>
      </c>
    </row>
    <row r="99" spans="1:13" ht="15" customHeight="1" x14ac:dyDescent="0.35">
      <c r="A99" s="5" t="str">
        <f t="shared" si="4"/>
        <v>Alternative 3_2</v>
      </c>
      <c r="B99" s="45" t="str">
        <f t="shared" ref="B99:B107" si="5">$D$89</f>
        <v>Alternative 3</v>
      </c>
      <c r="D99" s="106">
        <v>2</v>
      </c>
      <c r="E99" s="193"/>
      <c r="F99" s="107">
        <v>1</v>
      </c>
      <c r="G99" s="108">
        <f>F99*'Auction Simulation'!$D$14</f>
        <v>132495.35382077182</v>
      </c>
      <c r="H99" s="193"/>
      <c r="I99" s="107">
        <v>1</v>
      </c>
      <c r="J99" s="112">
        <f t="shared" ref="J99:J107" si="6">I99*cc_net_cone</f>
        <v>267</v>
      </c>
    </row>
    <row r="100" spans="1:13" ht="15" customHeight="1" x14ac:dyDescent="0.35">
      <c r="A100" s="5" t="str">
        <f t="shared" si="4"/>
        <v>Alternative 3_3</v>
      </c>
      <c r="B100" s="45" t="str">
        <f t="shared" si="5"/>
        <v>Alternative 3</v>
      </c>
      <c r="D100" s="106">
        <v>3</v>
      </c>
      <c r="E100" s="193"/>
      <c r="F100" s="107">
        <v>1.007566460470289</v>
      </c>
      <c r="G100" s="108">
        <f>F100*'Auction Simulation'!$D$14</f>
        <v>133497.87467795363</v>
      </c>
      <c r="H100" s="193"/>
      <c r="I100" s="107">
        <v>0.73463687150838008</v>
      </c>
      <c r="J100" s="112">
        <f t="shared" si="6"/>
        <v>196.14804469273747</v>
      </c>
    </row>
    <row r="101" spans="1:13" ht="15" customHeight="1" x14ac:dyDescent="0.35">
      <c r="A101" s="5" t="str">
        <f t="shared" si="4"/>
        <v>Alternative 3_4</v>
      </c>
      <c r="B101" s="45" t="str">
        <f t="shared" si="5"/>
        <v>Alternative 3</v>
      </c>
      <c r="D101" s="106">
        <v>4</v>
      </c>
      <c r="E101" s="193"/>
      <c r="F101" s="36">
        <v>1.0162919676484727</v>
      </c>
      <c r="G101" s="108">
        <f>F101*'Auction Simulation'!$D$14</f>
        <v>134653.96383879278</v>
      </c>
      <c r="H101" s="193"/>
      <c r="I101" s="107">
        <v>0.48882681564245817</v>
      </c>
      <c r="J101" s="112">
        <f t="shared" si="6"/>
        <v>130.51675977653633</v>
      </c>
    </row>
    <row r="102" spans="1:13" ht="15" customHeight="1" x14ac:dyDescent="0.35">
      <c r="A102" s="5" t="str">
        <f t="shared" si="4"/>
        <v>Alternative 3_5</v>
      </c>
      <c r="B102" s="45" t="str">
        <f t="shared" si="5"/>
        <v>Alternative 3</v>
      </c>
      <c r="D102" s="106">
        <v>5</v>
      </c>
      <c r="E102" s="193"/>
      <c r="F102" s="36">
        <v>1.0250174748266567</v>
      </c>
      <c r="G102" s="108">
        <f>F102*'Auction Simulation'!$D$14</f>
        <v>135810.05299963197</v>
      </c>
      <c r="H102" s="193"/>
      <c r="I102" s="107">
        <v>0.33240223463687157</v>
      </c>
      <c r="J102" s="112">
        <f t="shared" si="6"/>
        <v>88.751396648044704</v>
      </c>
    </row>
    <row r="103" spans="1:13" ht="15" customHeight="1" x14ac:dyDescent="0.35">
      <c r="A103" s="5" t="str">
        <f t="shared" si="4"/>
        <v>Alternative 3_6</v>
      </c>
      <c r="B103" s="45" t="str">
        <f t="shared" si="5"/>
        <v>Alternative 3</v>
      </c>
      <c r="D103" s="106">
        <v>6</v>
      </c>
      <c r="E103" s="193"/>
      <c r="F103" s="36">
        <v>1.0337429820048405</v>
      </c>
      <c r="G103" s="108">
        <f>F103*'Auction Simulation'!$D$14</f>
        <v>136966.14216047109</v>
      </c>
      <c r="H103" s="193"/>
      <c r="I103" s="107">
        <v>0.223463687150838</v>
      </c>
      <c r="J103" s="112">
        <f t="shared" si="6"/>
        <v>59.664804469273747</v>
      </c>
    </row>
    <row r="104" spans="1:13" ht="15" customHeight="1" x14ac:dyDescent="0.35">
      <c r="A104" s="5" t="str">
        <f t="shared" si="4"/>
        <v>Alternative 3_7</v>
      </c>
      <c r="B104" s="45" t="str">
        <f t="shared" si="5"/>
        <v>Alternative 3</v>
      </c>
      <c r="D104" s="106">
        <v>7</v>
      </c>
      <c r="E104" s="193"/>
      <c r="F104" s="36">
        <v>1.0424684891830245</v>
      </c>
      <c r="G104" s="108">
        <f>F104*'Auction Simulation'!$D$14</f>
        <v>138122.23132131028</v>
      </c>
      <c r="H104" s="193"/>
      <c r="I104" s="107">
        <v>0.14525139664804468</v>
      </c>
      <c r="J104" s="112">
        <f t="shared" si="6"/>
        <v>38.782122905027926</v>
      </c>
    </row>
    <row r="105" spans="1:13" ht="15" customHeight="1" x14ac:dyDescent="0.35">
      <c r="A105" s="5" t="str">
        <f t="shared" si="4"/>
        <v>Alternative 3_8</v>
      </c>
      <c r="B105" s="45" t="str">
        <f t="shared" si="5"/>
        <v>Alternative 3</v>
      </c>
      <c r="D105" s="106">
        <v>8</v>
      </c>
      <c r="E105" s="193"/>
      <c r="F105" s="36">
        <v>1.0511939963612082</v>
      </c>
      <c r="G105" s="108">
        <f>F105*'Auction Simulation'!$D$14</f>
        <v>139278.32048214943</v>
      </c>
      <c r="H105" s="193"/>
      <c r="I105" s="107">
        <v>8.3798882681564255E-2</v>
      </c>
      <c r="J105" s="112">
        <f t="shared" si="6"/>
        <v>22.374301675977655</v>
      </c>
      <c r="L105" s="43"/>
    </row>
    <row r="106" spans="1:13" ht="15" customHeight="1" x14ac:dyDescent="0.35">
      <c r="A106" s="5" t="str">
        <f t="shared" si="4"/>
        <v>Alternative 3_9</v>
      </c>
      <c r="B106" s="45" t="str">
        <f t="shared" si="5"/>
        <v>Alternative 3</v>
      </c>
      <c r="D106" s="106">
        <v>9</v>
      </c>
      <c r="E106" s="193"/>
      <c r="F106" s="36">
        <v>1.0599195035393922</v>
      </c>
      <c r="G106" s="108">
        <f>F106*'Auction Simulation'!$D$14</f>
        <v>140434.40964298858</v>
      </c>
      <c r="H106" s="193"/>
      <c r="I106" s="107">
        <v>6.1452513966480452E-2</v>
      </c>
      <c r="J106" s="112">
        <f t="shared" si="6"/>
        <v>16.407821229050281</v>
      </c>
      <c r="L106" s="43"/>
    </row>
    <row r="107" spans="1:13" ht="15" customHeight="1" x14ac:dyDescent="0.35">
      <c r="A107" s="5" t="str">
        <f t="shared" si="4"/>
        <v>Alternative 3_10</v>
      </c>
      <c r="B107" s="45" t="str">
        <f t="shared" si="5"/>
        <v>Alternative 3</v>
      </c>
      <c r="D107" s="106">
        <v>10</v>
      </c>
      <c r="E107" s="193"/>
      <c r="F107" s="36">
        <v>1.0599195035393922</v>
      </c>
      <c r="G107" s="108">
        <f>F107*'Auction Simulation'!$D$14</f>
        <v>140434.40964298858</v>
      </c>
      <c r="H107" s="193"/>
      <c r="I107" s="107">
        <v>0</v>
      </c>
      <c r="J107" s="112">
        <f t="shared" si="6"/>
        <v>0</v>
      </c>
      <c r="L107" s="42"/>
    </row>
    <row r="108" spans="1:13" ht="6" customHeight="1" x14ac:dyDescent="0.35">
      <c r="D108" s="105"/>
      <c r="E108" s="29"/>
      <c r="F108" s="30"/>
      <c r="G108" s="40"/>
      <c r="H108" s="29"/>
      <c r="I108" s="41"/>
      <c r="J108" s="113"/>
      <c r="L108" s="42"/>
    </row>
    <row r="109" spans="1:13" ht="6" customHeight="1" x14ac:dyDescent="0.35">
      <c r="D109" s="10"/>
      <c r="E109" s="10"/>
      <c r="F109" s="16"/>
      <c r="G109" s="32"/>
      <c r="H109" s="10"/>
      <c r="I109" s="17"/>
      <c r="J109" s="13"/>
      <c r="L109" s="42"/>
      <c r="M109" s="43"/>
    </row>
    <row r="110" spans="1:13" ht="14.5" x14ac:dyDescent="0.35">
      <c r="D110" s="10"/>
      <c r="E110" s="10"/>
      <c r="F110" s="16"/>
      <c r="G110" s="32"/>
      <c r="H110" s="10"/>
      <c r="I110" s="17"/>
      <c r="J110" s="13"/>
      <c r="L110" s="42"/>
      <c r="M110" s="43"/>
    </row>
    <row r="111" spans="1:13" ht="6" customHeight="1" x14ac:dyDescent="0.35">
      <c r="D111" s="29"/>
      <c r="E111" s="29"/>
      <c r="F111" s="30"/>
      <c r="G111" s="40"/>
      <c r="H111" s="29"/>
      <c r="I111" s="41"/>
      <c r="J111" s="31"/>
      <c r="L111" s="42"/>
      <c r="M111" s="43"/>
    </row>
    <row r="112" spans="1:13" ht="6" customHeight="1" x14ac:dyDescent="0.35">
      <c r="D112" s="103"/>
      <c r="E112" s="104"/>
      <c r="F112" s="104"/>
      <c r="G112" s="104"/>
      <c r="H112" s="104"/>
      <c r="I112" s="104"/>
      <c r="J112" s="109"/>
      <c r="L112" s="43"/>
      <c r="M112" s="43"/>
    </row>
    <row r="113" spans="1:12" ht="15" customHeight="1" x14ac:dyDescent="0.35">
      <c r="D113" s="251" t="s">
        <v>8</v>
      </c>
      <c r="E113" s="252"/>
      <c r="F113" s="252"/>
      <c r="G113" s="252"/>
      <c r="H113" s="252"/>
      <c r="I113" s="252"/>
      <c r="J113" s="253"/>
    </row>
    <row r="114" spans="1:12" ht="6" customHeight="1" x14ac:dyDescent="0.35">
      <c r="D114" s="105"/>
      <c r="E114" s="29"/>
      <c r="F114" s="29"/>
      <c r="G114" s="29"/>
      <c r="H114" s="29"/>
      <c r="I114" s="29"/>
      <c r="J114" s="110"/>
    </row>
    <row r="115" spans="1:12" ht="6" customHeight="1" x14ac:dyDescent="0.35">
      <c r="D115" s="106"/>
      <c r="E115" s="193"/>
      <c r="F115" s="193"/>
      <c r="G115" s="193"/>
      <c r="H115" s="193"/>
      <c r="I115" s="193"/>
      <c r="J115" s="194"/>
    </row>
    <row r="116" spans="1:12" ht="15" customHeight="1" x14ac:dyDescent="0.35">
      <c r="D116" s="106" t="s">
        <v>17</v>
      </c>
      <c r="E116" s="193"/>
      <c r="F116" s="249" t="s">
        <v>18</v>
      </c>
      <c r="G116" s="249"/>
      <c r="H116" s="193"/>
      <c r="I116" s="249" t="s">
        <v>19</v>
      </c>
      <c r="J116" s="250"/>
    </row>
    <row r="117" spans="1:12" ht="6" customHeight="1" x14ac:dyDescent="0.35">
      <c r="D117" s="105"/>
      <c r="E117" s="193"/>
      <c r="F117" s="29"/>
      <c r="G117" s="29"/>
      <c r="H117" s="193"/>
      <c r="I117" s="29"/>
      <c r="J117" s="110"/>
    </row>
    <row r="118" spans="1:12" ht="6" customHeight="1" x14ac:dyDescent="0.35">
      <c r="D118" s="106"/>
      <c r="E118" s="193"/>
      <c r="F118" s="193"/>
      <c r="G118" s="193"/>
      <c r="H118" s="193"/>
      <c r="I118" s="193"/>
      <c r="J118" s="194"/>
    </row>
    <row r="119" spans="1:12" ht="15" customHeight="1" x14ac:dyDescent="0.35">
      <c r="D119" s="106"/>
      <c r="E119" s="193"/>
      <c r="F119" s="193" t="s">
        <v>20</v>
      </c>
      <c r="G119" s="193" t="s">
        <v>21</v>
      </c>
      <c r="H119" s="193"/>
      <c r="I119" s="193" t="s">
        <v>22</v>
      </c>
      <c r="J119" s="194" t="s">
        <v>41</v>
      </c>
      <c r="L119" s="43"/>
    </row>
    <row r="120" spans="1:12" ht="6" customHeight="1" x14ac:dyDescent="0.35">
      <c r="D120" s="105"/>
      <c r="E120" s="29"/>
      <c r="F120" s="29"/>
      <c r="G120" s="29"/>
      <c r="H120" s="29"/>
      <c r="I120" s="29"/>
      <c r="J120" s="110"/>
      <c r="L120" s="43"/>
    </row>
    <row r="121" spans="1:12" ht="6" customHeight="1" x14ac:dyDescent="0.35">
      <c r="D121" s="106"/>
      <c r="E121" s="193"/>
      <c r="F121" s="193"/>
      <c r="G121" s="193"/>
      <c r="H121" s="193"/>
      <c r="I121" s="193"/>
      <c r="J121" s="194"/>
      <c r="L121" s="43"/>
    </row>
    <row r="122" spans="1:12" ht="15" customHeight="1" x14ac:dyDescent="0.35">
      <c r="A122" s="5" t="str">
        <f>$D$113&amp;"_"&amp;D122</f>
        <v>Alternative 4_1</v>
      </c>
      <c r="B122" s="45" t="str">
        <f>$D$113</f>
        <v>Alternative 4</v>
      </c>
      <c r="D122" s="106">
        <v>1</v>
      </c>
      <c r="E122" s="193"/>
      <c r="F122" s="107">
        <v>0.99</v>
      </c>
      <c r="G122" s="108">
        <f>F122*'Auction Simulation'!$D$14</f>
        <v>131170.40028256411</v>
      </c>
      <c r="H122" s="193"/>
      <c r="I122" s="107">
        <v>1.75</v>
      </c>
      <c r="J122" s="112">
        <f>MAX(I122*cc_net_cone, cc_gross_cone)</f>
        <v>491</v>
      </c>
      <c r="L122" s="43"/>
    </row>
    <row r="123" spans="1:12" ht="15" customHeight="1" x14ac:dyDescent="0.35">
      <c r="A123" s="5" t="str">
        <f>$D$113&amp;"_"&amp;D123</f>
        <v>Alternative 4_2</v>
      </c>
      <c r="B123" s="45" t="str">
        <f t="shared" ref="B123:B124" si="7">$D$113</f>
        <v>Alternative 4</v>
      </c>
      <c r="D123" s="106">
        <v>2</v>
      </c>
      <c r="E123" s="193"/>
      <c r="F123" s="107">
        <v>1</v>
      </c>
      <c r="G123" s="108">
        <f>F123*'Auction Simulation'!$D$14</f>
        <v>132495.35382077182</v>
      </c>
      <c r="H123" s="193"/>
      <c r="I123" s="107">
        <v>1</v>
      </c>
      <c r="J123" s="112">
        <f>I123*cc_net_cone</f>
        <v>267</v>
      </c>
      <c r="L123" s="43"/>
    </row>
    <row r="124" spans="1:12" ht="15" customHeight="1" x14ac:dyDescent="0.35">
      <c r="A124" s="5" t="str">
        <f>$D$113&amp;"_"&amp;D124</f>
        <v>Alternative 4_3</v>
      </c>
      <c r="B124" s="45" t="str">
        <f t="shared" si="7"/>
        <v>Alternative 4</v>
      </c>
      <c r="D124" s="106">
        <v>3</v>
      </c>
      <c r="E124" s="193"/>
      <c r="F124" s="107">
        <v>1.0449999999999999</v>
      </c>
      <c r="G124" s="108">
        <f>F124*'Auction Simulation'!$D$14</f>
        <v>138457.64474270656</v>
      </c>
      <c r="H124" s="193"/>
      <c r="I124" s="107">
        <v>0</v>
      </c>
      <c r="J124" s="112">
        <f>I124*cc_net_cone</f>
        <v>0</v>
      </c>
      <c r="L124" s="42"/>
    </row>
    <row r="125" spans="1:12" ht="6" customHeight="1" x14ac:dyDescent="0.35">
      <c r="D125" s="105"/>
      <c r="E125" s="29"/>
      <c r="F125" s="30"/>
      <c r="G125" s="102"/>
      <c r="H125" s="29"/>
      <c r="I125" s="29"/>
      <c r="J125" s="113"/>
      <c r="L125" s="43"/>
    </row>
    <row r="126" spans="1:12" ht="6" customHeight="1" x14ac:dyDescent="0.35">
      <c r="L126" s="43"/>
    </row>
    <row r="127" spans="1:12" ht="15" customHeight="1" x14ac:dyDescent="0.35">
      <c r="L127" s="43"/>
    </row>
    <row r="128" spans="1:12" ht="15" customHeight="1" x14ac:dyDescent="0.35">
      <c r="L128" s="43"/>
    </row>
  </sheetData>
  <mergeCells count="21">
    <mergeCell ref="F116:G116"/>
    <mergeCell ref="I116:J116"/>
    <mergeCell ref="D57:J57"/>
    <mergeCell ref="D72:J72"/>
    <mergeCell ref="D89:J89"/>
    <mergeCell ref="D113:J113"/>
    <mergeCell ref="F92:G92"/>
    <mergeCell ref="F60:G60"/>
    <mergeCell ref="I60:J60"/>
    <mergeCell ref="I75:J75"/>
    <mergeCell ref="F43:G43"/>
    <mergeCell ref="I43:J43"/>
    <mergeCell ref="F75:G75"/>
    <mergeCell ref="I92:J92"/>
    <mergeCell ref="D6:J6"/>
    <mergeCell ref="F9:G9"/>
    <mergeCell ref="I9:J9"/>
    <mergeCell ref="D23:J23"/>
    <mergeCell ref="D40:J40"/>
    <mergeCell ref="F26:G26"/>
    <mergeCell ref="I26:J26"/>
  </mergeCells>
  <printOptions horizontalCentered="1"/>
  <pageMargins left="0.7" right="0.7" top="0.75" bottom="0.75" header="0.3" footer="0.3"/>
  <pageSetup orientation="landscape" horizontalDpi="1200" verticalDpi="1200"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79998168889431442"/>
    <pageSetUpPr autoPageBreaks="0"/>
  </sheetPr>
  <dimension ref="A1:Y208"/>
  <sheetViews>
    <sheetView showGridLines="0" zoomScale="55" zoomScaleNormal="55" workbookViewId="0">
      <pane ySplit="6" topLeftCell="A7" activePane="bottomLeft" state="frozen"/>
      <selection activeCell="C1" sqref="C1"/>
      <selection pane="bottomLeft" activeCell="C1" sqref="C1"/>
    </sheetView>
  </sheetViews>
  <sheetFormatPr defaultColWidth="8.81640625" defaultRowHeight="15" customHeight="1" outlineLevelCol="1" x14ac:dyDescent="0.35"/>
  <cols>
    <col min="1" max="1" width="31.453125" style="5" hidden="1" customWidth="1" outlineLevel="1"/>
    <col min="2" max="2" width="14.6328125" style="5" hidden="1" customWidth="1" outlineLevel="1"/>
    <col min="3" max="3" width="8.81640625" style="43" collapsed="1"/>
    <col min="4" max="4" width="8.81640625" style="2"/>
    <col min="5" max="5" width="1.54296875" style="2" customWidth="1"/>
    <col min="6" max="6" width="35.1796875" style="2" bestFit="1" customWidth="1"/>
    <col min="7" max="7" width="25.6328125" style="2" customWidth="1"/>
    <col min="8" max="8" width="1.54296875" style="2" customWidth="1"/>
    <col min="9" max="9" width="25.6328125" style="2" customWidth="1"/>
    <col min="10" max="10" width="25.54296875" style="2" bestFit="1" customWidth="1"/>
    <col min="11" max="12" width="8.81640625" style="2"/>
    <col min="13" max="13" width="34.6328125" style="2" bestFit="1" customWidth="1"/>
    <col min="14" max="14" width="32.90625" style="2" bestFit="1" customWidth="1"/>
    <col min="15" max="15" width="24.81640625" style="2" bestFit="1" customWidth="1"/>
    <col min="16" max="16" width="8.81640625" style="2"/>
    <col min="17" max="17" width="9.453125" style="2" bestFit="1" customWidth="1"/>
    <col min="18" max="18" width="34.6328125" style="2" bestFit="1" customWidth="1"/>
    <col min="19" max="19" width="24.81640625" style="2" bestFit="1" customWidth="1"/>
    <col min="20" max="20" width="21.36328125" style="2" bestFit="1" customWidth="1"/>
    <col min="21" max="21" width="8.81640625" style="2"/>
    <col min="22" max="22" width="11.1796875" style="5" customWidth="1"/>
    <col min="23" max="23" width="29" style="5" bestFit="1" customWidth="1"/>
    <col min="24" max="24" width="20.54296875" style="5" bestFit="1" customWidth="1"/>
    <col min="25" max="16384" width="8.81640625" style="2"/>
  </cols>
  <sheetData>
    <row r="1" spans="1:25" ht="15" customHeight="1" x14ac:dyDescent="0.35">
      <c r="A1" s="6" t="s">
        <v>32</v>
      </c>
      <c r="B1" s="224" t="str">
        <f>'Auction Simulation'!D7</f>
        <v>Candidate Curve</v>
      </c>
    </row>
    <row r="2" spans="1:25" ht="6" customHeight="1" x14ac:dyDescent="0.35">
      <c r="A2" s="6" t="s">
        <v>33</v>
      </c>
      <c r="B2" s="224">
        <f>COUNTIFS('Demand Curves'!$B:$B,'Auction Simulation'!$D$7)</f>
        <v>3</v>
      </c>
      <c r="D2" s="135"/>
      <c r="E2" s="134"/>
      <c r="F2" s="134"/>
      <c r="G2" s="134"/>
      <c r="H2" s="134"/>
      <c r="I2" s="134"/>
      <c r="J2" s="136"/>
      <c r="L2" s="135"/>
      <c r="M2" s="134"/>
      <c r="N2" s="134"/>
      <c r="O2" s="136"/>
      <c r="Q2" s="135"/>
      <c r="R2" s="134"/>
      <c r="S2" s="134"/>
      <c r="T2" s="136"/>
      <c r="V2" s="165"/>
      <c r="W2" s="166"/>
      <c r="X2" s="167"/>
    </row>
    <row r="3" spans="1:25" ht="72.650000000000006" customHeight="1" x14ac:dyDescent="0.35">
      <c r="A3" s="6" t="s">
        <v>38</v>
      </c>
      <c r="B3" s="224">
        <v>0</v>
      </c>
      <c r="D3" s="203" t="str">
        <f>"Selected Demand Curve - "&amp;'Auction Simulation'!D7</f>
        <v>Selected Demand Curve - Candidate Curve</v>
      </c>
      <c r="E3" s="204"/>
      <c r="F3" s="204"/>
      <c r="G3" s="204"/>
      <c r="H3" s="204"/>
      <c r="I3" s="205"/>
      <c r="J3" s="206"/>
      <c r="L3" s="203" t="s">
        <v>34</v>
      </c>
      <c r="M3" s="205"/>
      <c r="N3" s="205"/>
      <c r="O3" s="206"/>
      <c r="Q3" s="203" t="s">
        <v>39</v>
      </c>
      <c r="R3" s="207"/>
      <c r="S3" s="207"/>
      <c r="T3" s="208"/>
      <c r="U3" s="59"/>
      <c r="V3" s="163" t="s">
        <v>42</v>
      </c>
      <c r="W3" s="157"/>
      <c r="X3" s="158"/>
    </row>
    <row r="4" spans="1:25" ht="6" customHeight="1" x14ac:dyDescent="0.35">
      <c r="D4" s="147"/>
      <c r="E4" s="44"/>
      <c r="F4" s="44"/>
      <c r="G4" s="44"/>
      <c r="H4" s="44"/>
      <c r="I4" s="22"/>
      <c r="J4" s="129"/>
      <c r="L4" s="137"/>
      <c r="M4" s="22"/>
      <c r="N4" s="22"/>
      <c r="O4" s="129"/>
      <c r="Q4" s="131"/>
      <c r="R4" s="22"/>
      <c r="S4" s="22"/>
      <c r="T4" s="129"/>
      <c r="U4" s="59"/>
      <c r="V4" s="164"/>
      <c r="W4" s="63"/>
      <c r="X4" s="159"/>
      <c r="Y4" s="59"/>
    </row>
    <row r="5" spans="1:25" ht="6" customHeight="1" x14ac:dyDescent="0.35">
      <c r="D5" s="148"/>
      <c r="E5" s="140"/>
      <c r="F5" s="140"/>
      <c r="G5" s="140"/>
      <c r="H5" s="140"/>
      <c r="I5" s="59"/>
      <c r="J5" s="130"/>
      <c r="L5" s="133"/>
      <c r="M5" s="59"/>
      <c r="N5" s="59"/>
      <c r="O5" s="130"/>
      <c r="Q5" s="132"/>
      <c r="R5" s="59"/>
      <c r="S5" s="59"/>
      <c r="T5" s="130"/>
      <c r="U5" s="59"/>
      <c r="V5" s="162"/>
      <c r="W5" s="157"/>
      <c r="X5" s="158"/>
      <c r="Y5" s="59"/>
    </row>
    <row r="6" spans="1:25" ht="15" customHeight="1" x14ac:dyDescent="0.35">
      <c r="D6" s="149" t="s">
        <v>17</v>
      </c>
      <c r="E6" s="118"/>
      <c r="F6" s="254" t="s">
        <v>18</v>
      </c>
      <c r="G6" s="254"/>
      <c r="H6" s="118"/>
      <c r="I6" s="254" t="s">
        <v>19</v>
      </c>
      <c r="J6" s="255"/>
      <c r="L6" s="220" t="s">
        <v>17</v>
      </c>
      <c r="M6" s="221" t="s">
        <v>35</v>
      </c>
      <c r="N6" s="221" t="s">
        <v>36</v>
      </c>
      <c r="O6" s="222" t="s">
        <v>37</v>
      </c>
      <c r="Q6" s="223" t="s">
        <v>64</v>
      </c>
      <c r="R6" s="221" t="s">
        <v>35</v>
      </c>
      <c r="S6" s="221" t="s">
        <v>37</v>
      </c>
      <c r="T6" s="222" t="s">
        <v>54</v>
      </c>
      <c r="V6" s="168" t="s">
        <v>43</v>
      </c>
      <c r="W6" s="169" t="s">
        <v>35</v>
      </c>
      <c r="X6" s="170" t="s">
        <v>37</v>
      </c>
      <c r="Y6" s="59"/>
    </row>
    <row r="7" spans="1:25" ht="6" customHeight="1" x14ac:dyDescent="0.35">
      <c r="D7" s="105"/>
      <c r="E7" s="118"/>
      <c r="F7" s="29"/>
      <c r="G7" s="29"/>
      <c r="H7" s="118"/>
      <c r="I7" s="29"/>
      <c r="J7" s="110"/>
      <c r="L7" s="197"/>
      <c r="M7" s="53"/>
      <c r="N7" s="53"/>
      <c r="O7" s="138"/>
      <c r="Q7" s="131"/>
      <c r="R7" s="22"/>
      <c r="S7" s="22"/>
      <c r="T7" s="129"/>
      <c r="V7" s="164"/>
      <c r="W7" s="63"/>
      <c r="X7" s="159"/>
      <c r="Y7" s="59"/>
    </row>
    <row r="8" spans="1:25" ht="6" customHeight="1" x14ac:dyDescent="0.35">
      <c r="D8" s="106"/>
      <c r="E8" s="118"/>
      <c r="F8" s="118"/>
      <c r="G8" s="118"/>
      <c r="H8" s="118"/>
      <c r="I8" s="118"/>
      <c r="J8" s="119"/>
      <c r="L8" s="196"/>
      <c r="M8" s="128"/>
      <c r="N8" s="128"/>
      <c r="O8" s="139"/>
      <c r="Q8" s="132"/>
      <c r="R8" s="59"/>
      <c r="S8" s="59"/>
      <c r="T8" s="130"/>
      <c r="V8" s="162"/>
      <c r="W8" s="157"/>
      <c r="X8" s="158"/>
      <c r="Y8" s="59"/>
    </row>
    <row r="9" spans="1:25" ht="15" customHeight="1" x14ac:dyDescent="0.35">
      <c r="D9" s="106"/>
      <c r="E9" s="118"/>
      <c r="F9" s="201" t="s">
        <v>20</v>
      </c>
      <c r="G9" s="201" t="s">
        <v>21</v>
      </c>
      <c r="H9" s="201"/>
      <c r="I9" s="201" t="s">
        <v>22</v>
      </c>
      <c r="J9" s="202" t="s">
        <v>41</v>
      </c>
      <c r="L9" s="150">
        <v>1</v>
      </c>
      <c r="M9" s="66">
        <v>0</v>
      </c>
      <c r="N9" s="172">
        <v>0.16589147286821701</v>
      </c>
      <c r="O9" s="74">
        <f>N9*'Auction Simulation'!$D$4</f>
        <v>24883.72093023255</v>
      </c>
      <c r="P9" s="60"/>
      <c r="Q9" s="131"/>
      <c r="R9" s="217">
        <f>bra_cleared_price_2026DollarsPerMWDay</f>
        <v>125.30413625304099</v>
      </c>
      <c r="S9" s="218">
        <f>bra_cleared_quantity_MW</f>
        <v>135970.42139168739</v>
      </c>
      <c r="T9" s="219">
        <f>cleared_LOLE_daysperyear</f>
        <v>3.3474120878938862E-2</v>
      </c>
      <c r="V9" s="162">
        <v>1</v>
      </c>
      <c r="W9" s="232">
        <f t="shared" ref="W9:W40" si="0">INDEX($M:$M, MATCH($V9,$L:$L, 0))</f>
        <v>0</v>
      </c>
      <c r="X9" s="160">
        <v>0</v>
      </c>
      <c r="Y9" s="59"/>
    </row>
    <row r="10" spans="1:25" ht="15" customHeight="1" x14ac:dyDescent="0.35">
      <c r="D10" s="150">
        <v>1</v>
      </c>
      <c r="E10" s="142"/>
      <c r="F10" s="231">
        <f>IF(ISNUMBER($D10),INDEX('Demand Curves'!$1:$1048576,MATCH('Auction Simulation'!$D$7&amp;"_"&amp;'Clearing Details'!$D10,'Demand Curves'!$A:$A,0),MATCH('Clearing Details'!F$9,'Demand Curves'!$12:$12,0)),"")</f>
        <v>0.99</v>
      </c>
      <c r="G10" s="229">
        <f>IF(ISNUMBER($D10),INDEX('Demand Curves'!$1:$1048576,MATCH('Auction Simulation'!$D$7&amp;"_"&amp;'Clearing Details'!$D10,'Demand Curves'!$A:$A,0),MATCH('Clearing Details'!G$9,'Demand Curves'!$12:$12,0)),"")</f>
        <v>131170.40028256411</v>
      </c>
      <c r="H10" s="141"/>
      <c r="I10" s="231">
        <f>IF(ISNUMBER($D10),INDEX('Demand Curves'!$1:$1048576,MATCH('Auction Simulation'!$D$7&amp;"_"&amp;'Clearing Details'!$D10,'Demand Curves'!$A:$A,0),MATCH('Clearing Details'!I$9,'Demand Curves'!$12:$12,0)),"")</f>
        <v>1.75</v>
      </c>
      <c r="J10" s="96">
        <f>IF(ISNUMBER($D10),INDEX('Demand Curves'!$1:$1048576,MATCH('Auction Simulation'!$D$7&amp;"_"&amp;'Clearing Details'!$D10,'Demand Curves'!$A:$A,0),MATCH('Clearing Details'!J$9,'Demand Curves'!$12:$12,0)),"")</f>
        <v>491</v>
      </c>
      <c r="L10" s="150">
        <f>L9+1</f>
        <v>2</v>
      </c>
      <c r="M10" s="66">
        <v>1.2165450121655099</v>
      </c>
      <c r="N10" s="172">
        <v>0.18759689922480599</v>
      </c>
      <c r="O10" s="74">
        <f>N10*'Auction Simulation'!$D$4</f>
        <v>28139.534883720899</v>
      </c>
      <c r="P10" s="60"/>
      <c r="V10" s="162">
        <v>1</v>
      </c>
      <c r="W10" s="232">
        <f t="shared" si="0"/>
        <v>0</v>
      </c>
      <c r="X10" s="160">
        <f t="shared" ref="X10:X41" si="1">INDEX($O:$O, MATCH($V9,$L:$L, 0))</f>
        <v>24883.72093023255</v>
      </c>
      <c r="Y10" s="59"/>
    </row>
    <row r="11" spans="1:25" ht="15" customHeight="1" x14ac:dyDescent="0.35">
      <c r="D11" s="151">
        <f>IF(D10&gt;=$B$2, "", D10+1)</f>
        <v>2</v>
      </c>
      <c r="E11" s="59"/>
      <c r="F11" s="231">
        <f>IF(ISNUMBER($D11),INDEX('Demand Curves'!$1:$1048576,MATCH('Auction Simulation'!$D$7&amp;"_"&amp;'Clearing Details'!$D11,'Demand Curves'!$A:$A,0),MATCH('Clearing Details'!F$9,'Demand Curves'!$12:$12,0)),"")</f>
        <v>1.0149999999999999</v>
      </c>
      <c r="G11" s="229">
        <f>IF(ISNUMBER($D11),INDEX('Demand Curves'!$1:$1048576,MATCH('Auction Simulation'!$D$7&amp;"_"&amp;'Clearing Details'!$D11,'Demand Curves'!$A:$A,0),MATCH('Clearing Details'!G$9,'Demand Curves'!$12:$12,0)),"")</f>
        <v>134482.78412808338</v>
      </c>
      <c r="H11" s="144"/>
      <c r="I11" s="231">
        <f>IF(ISNUMBER($D11),INDEX('Demand Curves'!$1:$1048576,MATCH('Auction Simulation'!$D$7&amp;"_"&amp;'Clearing Details'!$D11,'Demand Curves'!$A:$A,0),MATCH('Clearing Details'!I$9,'Demand Curves'!$12:$12,0)),"")</f>
        <v>0.75</v>
      </c>
      <c r="J11" s="96">
        <f>IF(ISNUMBER($D11),INDEX('Demand Curves'!$1:$1048576,MATCH('Auction Simulation'!$D$7&amp;"_"&amp;'Clearing Details'!$D11,'Demand Curves'!$A:$A,0),MATCH('Clearing Details'!J$9,'Demand Curves'!$12:$12,0)),"")</f>
        <v>200.25</v>
      </c>
      <c r="L11" s="150">
        <f t="shared" ref="L11:L58" si="2">L10+1</f>
        <v>3</v>
      </c>
      <c r="M11" s="66">
        <v>1.82481751824826</v>
      </c>
      <c r="N11" s="172">
        <v>0.20775193798449601</v>
      </c>
      <c r="O11" s="74">
        <f>N11*'Auction Simulation'!$D$4</f>
        <v>31162.790697674402</v>
      </c>
      <c r="P11" s="60"/>
      <c r="V11" s="162">
        <f>IF(V10=V9, V10+1,V10)</f>
        <v>2</v>
      </c>
      <c r="W11" s="232">
        <f t="shared" si="0"/>
        <v>1.2165450121655099</v>
      </c>
      <c r="X11" s="160">
        <f t="shared" si="1"/>
        <v>24883.72093023255</v>
      </c>
      <c r="Y11" s="59"/>
    </row>
    <row r="12" spans="1:25" ht="15" customHeight="1" x14ac:dyDescent="0.35">
      <c r="D12" s="151">
        <f t="shared" ref="D12:D29" si="3">IF(D11&gt;=$B$2, "", D11+1)</f>
        <v>3</v>
      </c>
      <c r="E12" s="59"/>
      <c r="F12" s="231">
        <f>IF(ISNUMBER($D12),INDEX('Demand Curves'!$1:$1048576,MATCH('Auction Simulation'!$D$7&amp;"_"&amp;'Clearing Details'!$D12,'Demand Curves'!$A:$A,0),MATCH('Clearing Details'!F$9,'Demand Curves'!$12:$12,0)),"")</f>
        <v>1.0449999999999999</v>
      </c>
      <c r="G12" s="229">
        <f>IF(ISNUMBER($D12),INDEX('Demand Curves'!$1:$1048576,MATCH('Auction Simulation'!$D$7&amp;"_"&amp;'Clearing Details'!$D12,'Demand Curves'!$A:$A,0),MATCH('Clearing Details'!G$9,'Demand Curves'!$12:$12,0)),"")</f>
        <v>138457.64474270656</v>
      </c>
      <c r="H12" s="144"/>
      <c r="I12" s="231">
        <f>IF(ISNUMBER($D12),INDEX('Demand Curves'!$1:$1048576,MATCH('Auction Simulation'!$D$7&amp;"_"&amp;'Clearing Details'!$D12,'Demand Curves'!$A:$A,0),MATCH('Clearing Details'!I$9,'Demand Curves'!$12:$12,0)),"")</f>
        <v>0</v>
      </c>
      <c r="J12" s="96">
        <f>IF(ISNUMBER($D12),INDEX('Demand Curves'!$1:$1048576,MATCH('Auction Simulation'!$D$7&amp;"_"&amp;'Clearing Details'!$D12,'Demand Curves'!$A:$A,0),MATCH('Clearing Details'!J$9,'Demand Curves'!$12:$12,0)),"")</f>
        <v>0</v>
      </c>
      <c r="L12" s="150">
        <f t="shared" si="2"/>
        <v>4</v>
      </c>
      <c r="M12" s="66">
        <v>2.4330900243310198</v>
      </c>
      <c r="N12" s="172">
        <v>0.23100775193798401</v>
      </c>
      <c r="O12" s="74">
        <f>N12*'Auction Simulation'!$D$4</f>
        <v>34651.162790697599</v>
      </c>
      <c r="P12" s="60"/>
      <c r="V12" s="162">
        <f t="shared" ref="V12:V75" si="4">IF(V11=V10, V11+1,V11)</f>
        <v>2</v>
      </c>
      <c r="W12" s="232">
        <f t="shared" si="0"/>
        <v>1.2165450121655099</v>
      </c>
      <c r="X12" s="160">
        <f t="shared" si="1"/>
        <v>28139.534883720899</v>
      </c>
    </row>
    <row r="13" spans="1:25" ht="15" customHeight="1" x14ac:dyDescent="0.35">
      <c r="D13" s="151" t="str">
        <f t="shared" si="3"/>
        <v/>
      </c>
      <c r="E13" s="145"/>
      <c r="F13" s="143" t="str">
        <f>IF(ISNUMBER($D13),INDEX('Demand Curves'!$1:$1048576,MATCH('Auction Simulation'!$D$7&amp;"_"&amp;'Clearing Details'!$D13,'Demand Curves'!$A:$A,0),MATCH('Clearing Details'!F$9,'Demand Curves'!$12:$12,0)),"")</f>
        <v/>
      </c>
      <c r="G13" s="229" t="str">
        <f>IF(ISNUMBER($D13),INDEX('Demand Curves'!$1:$1048576,MATCH('Auction Simulation'!$D$7&amp;"_"&amp;'Clearing Details'!$D13,'Demand Curves'!$A:$A,0),MATCH('Clearing Details'!G$9,'Demand Curves'!$12:$12,0)),"")</f>
        <v/>
      </c>
      <c r="H13" s="146"/>
      <c r="I13" s="143" t="str">
        <f>IF(ISNUMBER($D13),INDEX('Demand Curves'!$1:$1048576,MATCH('Auction Simulation'!$D$7&amp;"_"&amp;'Clearing Details'!$D13,'Demand Curves'!$A:$A,0),MATCH('Clearing Details'!I$9,'Demand Curves'!$12:$12,0)),"")</f>
        <v/>
      </c>
      <c r="J13" s="96" t="str">
        <f>IF(ISNUMBER($D13),INDEX('Demand Curves'!$1:$1048576,MATCH('Auction Simulation'!$D$7&amp;"_"&amp;'Clearing Details'!$D13,'Demand Curves'!$A:$A,0),MATCH('Clearing Details'!J$9,'Demand Curves'!$12:$12,0)),"")</f>
        <v/>
      </c>
      <c r="L13" s="150">
        <f t="shared" si="2"/>
        <v>5</v>
      </c>
      <c r="M13" s="66">
        <v>3.6496350364964201</v>
      </c>
      <c r="N13" s="172">
        <v>0.24961240310077501</v>
      </c>
      <c r="O13" s="74">
        <f>N13*'Auction Simulation'!$D$4</f>
        <v>37441.860465116253</v>
      </c>
      <c r="P13" s="60"/>
      <c r="V13" s="162">
        <f t="shared" si="4"/>
        <v>3</v>
      </c>
      <c r="W13" s="232">
        <f t="shared" si="0"/>
        <v>1.82481751824826</v>
      </c>
      <c r="X13" s="160">
        <f t="shared" si="1"/>
        <v>28139.534883720899</v>
      </c>
    </row>
    <row r="14" spans="1:25" ht="15" customHeight="1" x14ac:dyDescent="0.35">
      <c r="D14" s="151" t="str">
        <f t="shared" si="3"/>
        <v/>
      </c>
      <c r="E14" s="145"/>
      <c r="F14" s="143" t="str">
        <f>IF(ISNUMBER($D14),INDEX('Demand Curves'!$1:$1048576,MATCH('Auction Simulation'!$D$7&amp;"_"&amp;'Clearing Details'!$D14,'Demand Curves'!$A:$A,0),MATCH('Clearing Details'!F$9,'Demand Curves'!$12:$12,0)),"")</f>
        <v/>
      </c>
      <c r="G14" s="229" t="str">
        <f>IF(ISNUMBER($D14),INDEX('Demand Curves'!$1:$1048576,MATCH('Auction Simulation'!$D$7&amp;"_"&amp;'Clearing Details'!$D14,'Demand Curves'!$A:$A,0),MATCH('Clearing Details'!G$9,'Demand Curves'!$12:$12,0)),"")</f>
        <v/>
      </c>
      <c r="H14" s="146"/>
      <c r="I14" s="143" t="str">
        <f>IF(ISNUMBER($D14),INDEX('Demand Curves'!$1:$1048576,MATCH('Auction Simulation'!$D$7&amp;"_"&amp;'Clearing Details'!$D14,'Demand Curves'!$A:$A,0),MATCH('Clearing Details'!I$9,'Demand Curves'!$12:$12,0)),"")</f>
        <v/>
      </c>
      <c r="J14" s="96" t="str">
        <f>IF(ISNUMBER($D14),INDEX('Demand Curves'!$1:$1048576,MATCH('Auction Simulation'!$D$7&amp;"_"&amp;'Clearing Details'!$D14,'Demand Curves'!$A:$A,0),MATCH('Clearing Details'!J$9,'Demand Curves'!$12:$12,0)),"")</f>
        <v/>
      </c>
      <c r="L14" s="150">
        <f t="shared" si="2"/>
        <v>6</v>
      </c>
      <c r="M14" s="66">
        <v>7.2992700729927202</v>
      </c>
      <c r="N14" s="172">
        <v>0.26511627906976698</v>
      </c>
      <c r="O14" s="74">
        <f>N14*'Auction Simulation'!$D$4</f>
        <v>39767.441860465049</v>
      </c>
      <c r="P14" s="60"/>
      <c r="V14" s="162">
        <f t="shared" si="4"/>
        <v>3</v>
      </c>
      <c r="W14" s="232">
        <f t="shared" si="0"/>
        <v>1.82481751824826</v>
      </c>
      <c r="X14" s="160">
        <f t="shared" si="1"/>
        <v>31162.790697674402</v>
      </c>
    </row>
    <row r="15" spans="1:25" ht="15" customHeight="1" x14ac:dyDescent="0.35">
      <c r="D15" s="151" t="str">
        <f t="shared" si="3"/>
        <v/>
      </c>
      <c r="E15" s="145"/>
      <c r="F15" s="143" t="str">
        <f>IF(ISNUMBER($D15),INDEX('Demand Curves'!$1:$1048576,MATCH('Auction Simulation'!$D$7&amp;"_"&amp;'Clearing Details'!$D15,'Demand Curves'!$A:$A,0),MATCH('Clearing Details'!F$9,'Demand Curves'!$12:$12,0)),"")</f>
        <v/>
      </c>
      <c r="G15" s="229" t="str">
        <f>IF(ISNUMBER($D15),INDEX('Demand Curves'!$1:$1048576,MATCH('Auction Simulation'!$D$7&amp;"_"&amp;'Clearing Details'!$D15,'Demand Curves'!$A:$A,0),MATCH('Clearing Details'!G$9,'Demand Curves'!$12:$12,0)),"")</f>
        <v/>
      </c>
      <c r="H15" s="146"/>
      <c r="I15" s="143" t="str">
        <f>IF(ISNUMBER($D15),INDEX('Demand Curves'!$1:$1048576,MATCH('Auction Simulation'!$D$7&amp;"_"&amp;'Clearing Details'!$D15,'Demand Curves'!$A:$A,0),MATCH('Clearing Details'!I$9,'Demand Curves'!$12:$12,0)),"")</f>
        <v/>
      </c>
      <c r="J15" s="96" t="str">
        <f>IF(ISNUMBER($D15),INDEX('Demand Curves'!$1:$1048576,MATCH('Auction Simulation'!$D$7&amp;"_"&amp;'Clearing Details'!$D15,'Demand Curves'!$A:$A,0),MATCH('Clearing Details'!J$9,'Demand Curves'!$12:$12,0)),"")</f>
        <v/>
      </c>
      <c r="L15" s="150">
        <f t="shared" si="2"/>
        <v>7</v>
      </c>
      <c r="M15" s="66">
        <v>9.1240875912409098</v>
      </c>
      <c r="N15" s="172">
        <v>0.30697674418604598</v>
      </c>
      <c r="O15" s="74">
        <f>N15*'Auction Simulation'!$D$4</f>
        <v>46046.511627906897</v>
      </c>
      <c r="P15" s="60"/>
      <c r="V15" s="162">
        <f t="shared" si="4"/>
        <v>4</v>
      </c>
      <c r="W15" s="232">
        <f t="shared" si="0"/>
        <v>2.4330900243310198</v>
      </c>
      <c r="X15" s="160">
        <f t="shared" si="1"/>
        <v>31162.790697674402</v>
      </c>
    </row>
    <row r="16" spans="1:25" ht="15" customHeight="1" x14ac:dyDescent="0.35">
      <c r="D16" s="151" t="str">
        <f t="shared" si="3"/>
        <v/>
      </c>
      <c r="E16" s="145"/>
      <c r="F16" s="143" t="str">
        <f>IF(ISNUMBER($D16),INDEX('Demand Curves'!$1:$1048576,MATCH('Auction Simulation'!$D$7&amp;"_"&amp;'Clearing Details'!$D16,'Demand Curves'!$A:$A,0),MATCH('Clearing Details'!F$9,'Demand Curves'!$12:$12,0)),"")</f>
        <v/>
      </c>
      <c r="G16" s="229" t="str">
        <f>IF(ISNUMBER($D16),INDEX('Demand Curves'!$1:$1048576,MATCH('Auction Simulation'!$D$7&amp;"_"&amp;'Clearing Details'!$D16,'Demand Curves'!$A:$A,0),MATCH('Clearing Details'!G$9,'Demand Curves'!$12:$12,0)),"")</f>
        <v/>
      </c>
      <c r="H16" s="146"/>
      <c r="I16" s="143" t="str">
        <f>IF(ISNUMBER($D16),INDEX('Demand Curves'!$1:$1048576,MATCH('Auction Simulation'!$D$7&amp;"_"&amp;'Clearing Details'!$D16,'Demand Curves'!$A:$A,0),MATCH('Clearing Details'!I$9,'Demand Curves'!$12:$12,0)),"")</f>
        <v/>
      </c>
      <c r="J16" s="96" t="str">
        <f>IF(ISNUMBER($D16),INDEX('Demand Curves'!$1:$1048576,MATCH('Auction Simulation'!$D$7&amp;"_"&amp;'Clearing Details'!$D16,'Demand Curves'!$A:$A,0),MATCH('Clearing Details'!J$9,'Demand Curves'!$12:$12,0)),"")</f>
        <v/>
      </c>
      <c r="L16" s="150">
        <f t="shared" si="2"/>
        <v>8</v>
      </c>
      <c r="M16" s="66">
        <v>10.9489051094891</v>
      </c>
      <c r="N16" s="172">
        <v>0.330232558139534</v>
      </c>
      <c r="O16" s="74">
        <f>N16*'Auction Simulation'!$D$4</f>
        <v>49534.883720930098</v>
      </c>
      <c r="P16" s="60"/>
      <c r="V16" s="162">
        <f t="shared" si="4"/>
        <v>4</v>
      </c>
      <c r="W16" s="232">
        <f t="shared" si="0"/>
        <v>2.4330900243310198</v>
      </c>
      <c r="X16" s="160">
        <f t="shared" si="1"/>
        <v>34651.162790697599</v>
      </c>
    </row>
    <row r="17" spans="4:24" ht="15" customHeight="1" x14ac:dyDescent="0.35">
      <c r="D17" s="151" t="str">
        <f t="shared" si="3"/>
        <v/>
      </c>
      <c r="E17" s="145"/>
      <c r="F17" s="143" t="str">
        <f>IF(ISNUMBER($D17),INDEX('Demand Curves'!$1:$1048576,MATCH('Auction Simulation'!$D$7&amp;"_"&amp;'Clearing Details'!$D17,'Demand Curves'!$A:$A,0),MATCH('Clearing Details'!F$9,'Demand Curves'!$12:$12,0)),"")</f>
        <v/>
      </c>
      <c r="G17" s="229" t="str">
        <f>IF(ISNUMBER($D17),INDEX('Demand Curves'!$1:$1048576,MATCH('Auction Simulation'!$D$7&amp;"_"&amp;'Clearing Details'!$D17,'Demand Curves'!$A:$A,0),MATCH('Clearing Details'!G$9,'Demand Curves'!$12:$12,0)),"")</f>
        <v/>
      </c>
      <c r="H17" s="146"/>
      <c r="I17" s="143" t="str">
        <f>IF(ISNUMBER($D17),INDEX('Demand Curves'!$1:$1048576,MATCH('Auction Simulation'!$D$7&amp;"_"&amp;'Clearing Details'!$D17,'Demand Curves'!$A:$A,0),MATCH('Clearing Details'!I$9,'Demand Curves'!$12:$12,0)),"")</f>
        <v/>
      </c>
      <c r="J17" s="96" t="str">
        <f>IF(ISNUMBER($D17),INDEX('Demand Curves'!$1:$1048576,MATCH('Auction Simulation'!$D$7&amp;"_"&amp;'Clearing Details'!$D17,'Demand Curves'!$A:$A,0),MATCH('Clearing Details'!J$9,'Demand Curves'!$12:$12,0)),"")</f>
        <v/>
      </c>
      <c r="L17" s="150">
        <f t="shared" si="2"/>
        <v>9</v>
      </c>
      <c r="M17" s="66">
        <v>12.1654501216545</v>
      </c>
      <c r="N17" s="172">
        <v>0.35348837209302297</v>
      </c>
      <c r="O17" s="74">
        <f>N17*'Auction Simulation'!$D$4</f>
        <v>53023.255813953445</v>
      </c>
      <c r="P17" s="60"/>
      <c r="V17" s="162">
        <f t="shared" si="4"/>
        <v>5</v>
      </c>
      <c r="W17" s="232">
        <f t="shared" si="0"/>
        <v>3.6496350364964201</v>
      </c>
      <c r="X17" s="160">
        <f t="shared" si="1"/>
        <v>34651.162790697599</v>
      </c>
    </row>
    <row r="18" spans="4:24" ht="15" customHeight="1" x14ac:dyDescent="0.35">
      <c r="D18" s="151" t="str">
        <f t="shared" si="3"/>
        <v/>
      </c>
      <c r="E18" s="145"/>
      <c r="F18" s="143" t="str">
        <f>IF(ISNUMBER($D18),INDEX('Demand Curves'!$1:$1048576,MATCH('Auction Simulation'!$D$7&amp;"_"&amp;'Clearing Details'!$D18,'Demand Curves'!$A:$A,0),MATCH('Clearing Details'!F$9,'Demand Curves'!$12:$12,0)),"")</f>
        <v/>
      </c>
      <c r="G18" s="229" t="str">
        <f>IF(ISNUMBER($D18),INDEX('Demand Curves'!$1:$1048576,MATCH('Auction Simulation'!$D$7&amp;"_"&amp;'Clearing Details'!$D18,'Demand Curves'!$A:$A,0),MATCH('Clearing Details'!G$9,'Demand Curves'!$12:$12,0)),"")</f>
        <v/>
      </c>
      <c r="H18" s="146"/>
      <c r="I18" s="143" t="str">
        <f>IF(ISNUMBER($D18),INDEX('Demand Curves'!$1:$1048576,MATCH('Auction Simulation'!$D$7&amp;"_"&amp;'Clearing Details'!$D18,'Demand Curves'!$A:$A,0),MATCH('Clearing Details'!I$9,'Demand Curves'!$12:$12,0)),"")</f>
        <v/>
      </c>
      <c r="J18" s="96" t="str">
        <f>IF(ISNUMBER($D18),INDEX('Demand Curves'!$1:$1048576,MATCH('Auction Simulation'!$D$7&amp;"_"&amp;'Clearing Details'!$D18,'Demand Curves'!$A:$A,0),MATCH('Clearing Details'!J$9,'Demand Curves'!$12:$12,0)),"")</f>
        <v/>
      </c>
      <c r="L18" s="150">
        <f t="shared" si="2"/>
        <v>10</v>
      </c>
      <c r="M18" s="66">
        <v>13.381995133819901</v>
      </c>
      <c r="N18" s="172">
        <v>0.37519379844961198</v>
      </c>
      <c r="O18" s="74">
        <f>N18*'Auction Simulation'!$D$4</f>
        <v>56279.069767441797</v>
      </c>
      <c r="P18" s="60"/>
      <c r="V18" s="162">
        <f t="shared" si="4"/>
        <v>5</v>
      </c>
      <c r="W18" s="232">
        <f t="shared" si="0"/>
        <v>3.6496350364964201</v>
      </c>
      <c r="X18" s="160">
        <f t="shared" si="1"/>
        <v>37441.860465116253</v>
      </c>
    </row>
    <row r="19" spans="4:24" ht="15" customHeight="1" x14ac:dyDescent="0.35">
      <c r="D19" s="152" t="str">
        <f t="shared" si="3"/>
        <v/>
      </c>
      <c r="E19" s="153"/>
      <c r="F19" s="154" t="str">
        <f>IF(ISNUMBER($D19),INDEX('Demand Curves'!$1:$1048576,MATCH('Auction Simulation'!$D$7&amp;"_"&amp;'Clearing Details'!$D19,'Demand Curves'!$A:$A,0),MATCH('Clearing Details'!F$9,'Demand Curves'!$12:$12,0)),"")</f>
        <v/>
      </c>
      <c r="G19" s="230" t="str">
        <f>IF(ISNUMBER($D19),INDEX('Demand Curves'!$1:$1048576,MATCH('Auction Simulation'!$D$7&amp;"_"&amp;'Clearing Details'!$D19,'Demand Curves'!$A:$A,0),MATCH('Clearing Details'!G$9,'Demand Curves'!$12:$12,0)),"")</f>
        <v/>
      </c>
      <c r="H19" s="155"/>
      <c r="I19" s="154" t="str">
        <f>IF(ISNUMBER($D19),INDEX('Demand Curves'!$1:$1048576,MATCH('Auction Simulation'!$D$7&amp;"_"&amp;'Clearing Details'!$D19,'Demand Curves'!$A:$A,0),MATCH('Clearing Details'!I$9,'Demand Curves'!$12:$12,0)),"")</f>
        <v/>
      </c>
      <c r="J19" s="156" t="str">
        <f>IF(ISNUMBER($D19),INDEX('Demand Curves'!$1:$1048576,MATCH('Auction Simulation'!$D$7&amp;"_"&amp;'Clearing Details'!$D19,'Demand Curves'!$A:$A,0),MATCH('Clearing Details'!J$9,'Demand Curves'!$12:$12,0)),"")</f>
        <v/>
      </c>
      <c r="L19" s="150">
        <f t="shared" si="2"/>
        <v>11</v>
      </c>
      <c r="M19" s="66">
        <v>15.8150851581509</v>
      </c>
      <c r="N19" s="172">
        <v>0.39689922480620099</v>
      </c>
      <c r="O19" s="74">
        <f>N19*'Auction Simulation'!$D$4</f>
        <v>59534.883720930149</v>
      </c>
      <c r="P19" s="60"/>
      <c r="V19" s="162">
        <f t="shared" si="4"/>
        <v>6</v>
      </c>
      <c r="W19" s="232">
        <f t="shared" si="0"/>
        <v>7.2992700729927202</v>
      </c>
      <c r="X19" s="160">
        <f t="shared" si="1"/>
        <v>37441.860465116253</v>
      </c>
    </row>
    <row r="20" spans="4:24" ht="15" customHeight="1" x14ac:dyDescent="0.35">
      <c r="D20" s="50" t="str">
        <f t="shared" si="3"/>
        <v/>
      </c>
      <c r="E20" s="56"/>
      <c r="F20" s="48" t="str">
        <f>IF(ISNUMBER($D20),INDEX('Demand Curves'!$1:$1048576,MATCH('Auction Simulation'!$D$7&amp;"_"&amp;'Clearing Details'!$D20,'Demand Curves'!$A:$A,0),MATCH('Clearing Details'!F$9,'Demand Curves'!$12:$12,0)),"")</f>
        <v/>
      </c>
      <c r="G20" s="58" t="str">
        <f>IF(ISNUMBER($D20),INDEX('Demand Curves'!$1:$1048576,MATCH('Auction Simulation'!$D$7&amp;"_"&amp;'Clearing Details'!$D20,'Demand Curves'!$A:$A,0),MATCH('Clearing Details'!G$9,'Demand Curves'!$12:$12,0)),"")</f>
        <v/>
      </c>
      <c r="H20" s="56"/>
      <c r="I20" s="48" t="str">
        <f>IF(ISNUMBER($D20),INDEX('Demand Curves'!$1:$1048576,MATCH('Auction Simulation'!$D$7&amp;"_"&amp;'Clearing Details'!$D20,'Demand Curves'!$A:$A,0),MATCH('Clearing Details'!I$9,'Demand Curves'!$12:$12,0)),"")</f>
        <v/>
      </c>
      <c r="J20" s="49" t="str">
        <f>IF(ISNUMBER($D20),INDEX('Demand Curves'!$1:$1048576,MATCH('Auction Simulation'!$D$7&amp;"_"&amp;'Clearing Details'!$D20,'Demand Curves'!$A:$A,0),MATCH('Clearing Details'!J$9,'Demand Curves'!$12:$12,0)),"")</f>
        <v/>
      </c>
      <c r="L20" s="150">
        <f t="shared" si="2"/>
        <v>12</v>
      </c>
      <c r="M20" s="66">
        <v>17.033900170316347</v>
      </c>
      <c r="N20" s="172">
        <v>0.41085271317829403</v>
      </c>
      <c r="O20" s="74">
        <f>N20*'Auction Simulation'!$D$4</f>
        <v>61627.906976744103</v>
      </c>
      <c r="P20" s="60"/>
      <c r="V20" s="162">
        <f t="shared" si="4"/>
        <v>6</v>
      </c>
      <c r="W20" s="232">
        <f t="shared" si="0"/>
        <v>7.2992700729927202</v>
      </c>
      <c r="X20" s="160">
        <f t="shared" si="1"/>
        <v>39767.441860465049</v>
      </c>
    </row>
    <row r="21" spans="4:24" ht="15" customHeight="1" x14ac:dyDescent="0.35">
      <c r="D21" s="50" t="str">
        <f t="shared" si="3"/>
        <v/>
      </c>
      <c r="E21" s="56"/>
      <c r="F21" s="48" t="str">
        <f>IF(ISNUMBER($D21),INDEX('Demand Curves'!$1:$1048576,MATCH('Auction Simulation'!$D$7&amp;"_"&amp;'Clearing Details'!$D21,'Demand Curves'!$A:$A,0),MATCH('Clearing Details'!F$9,'Demand Curves'!$12:$12,0)),"")</f>
        <v/>
      </c>
      <c r="G21" s="58" t="str">
        <f>IF(ISNUMBER($D21),INDEX('Demand Curves'!$1:$1048576,MATCH('Auction Simulation'!$D$7&amp;"_"&amp;'Clearing Details'!$D21,'Demand Curves'!$A:$A,0),MATCH('Clearing Details'!G$9,'Demand Curves'!$12:$12,0)),"")</f>
        <v/>
      </c>
      <c r="H21" s="56"/>
      <c r="I21" s="48" t="str">
        <f>IF(ISNUMBER($D21),INDEX('Demand Curves'!$1:$1048576,MATCH('Auction Simulation'!$D$7&amp;"_"&amp;'Clearing Details'!$D21,'Demand Curves'!$A:$A,0),MATCH('Clearing Details'!I$9,'Demand Curves'!$12:$12,0)),"")</f>
        <v/>
      </c>
      <c r="J21" s="49" t="str">
        <f>IF(ISNUMBER($D21),INDEX('Demand Curves'!$1:$1048576,MATCH('Auction Simulation'!$D$7&amp;"_"&amp;'Clearing Details'!$D21,'Demand Curves'!$A:$A,0),MATCH('Clearing Details'!J$9,'Demand Curves'!$12:$12,0)),"")</f>
        <v/>
      </c>
      <c r="L21" s="150">
        <f t="shared" si="2"/>
        <v>13</v>
      </c>
      <c r="M21" s="66">
        <v>18.248175182481798</v>
      </c>
      <c r="N21" s="172">
        <v>0.43875968992247999</v>
      </c>
      <c r="O21" s="74">
        <f>N21*'Auction Simulation'!$D$4</f>
        <v>65813.953488372004</v>
      </c>
      <c r="P21" s="60"/>
      <c r="V21" s="162">
        <f t="shared" si="4"/>
        <v>7</v>
      </c>
      <c r="W21" s="232">
        <f t="shared" si="0"/>
        <v>9.1240875912409098</v>
      </c>
      <c r="X21" s="160">
        <f t="shared" si="1"/>
        <v>39767.441860465049</v>
      </c>
    </row>
    <row r="22" spans="4:24" ht="15" customHeight="1" x14ac:dyDescent="0.35">
      <c r="D22" s="50" t="str">
        <f t="shared" si="3"/>
        <v/>
      </c>
      <c r="E22" s="56"/>
      <c r="F22" s="48" t="str">
        <f>IF(ISNUMBER($D22),INDEX('Demand Curves'!$1:$1048576,MATCH('Auction Simulation'!$D$7&amp;"_"&amp;'Clearing Details'!$D22,'Demand Curves'!$A:$A,0),MATCH('Clearing Details'!F$9,'Demand Curves'!$12:$12,0)),"")</f>
        <v/>
      </c>
      <c r="G22" s="58" t="str">
        <f>IF(ISNUMBER($D22),INDEX('Demand Curves'!$1:$1048576,MATCH('Auction Simulation'!$D$7&amp;"_"&amp;'Clearing Details'!$D22,'Demand Curves'!$A:$A,0),MATCH('Clearing Details'!G$9,'Demand Curves'!$12:$12,0)),"")</f>
        <v/>
      </c>
      <c r="H22" s="56"/>
      <c r="I22" s="48" t="str">
        <f>IF(ISNUMBER($D22),INDEX('Demand Curves'!$1:$1048576,MATCH('Auction Simulation'!$D$7&amp;"_"&amp;'Clearing Details'!$D22,'Demand Curves'!$A:$A,0),MATCH('Clearing Details'!I$9,'Demand Curves'!$12:$12,0)),"")</f>
        <v/>
      </c>
      <c r="J22" s="49" t="str">
        <f>IF(ISNUMBER($D22),INDEX('Demand Curves'!$1:$1048576,MATCH('Auction Simulation'!$D$7&amp;"_"&amp;'Clearing Details'!$D22,'Demand Curves'!$A:$A,0),MATCH('Clearing Details'!J$9,'Demand Curves'!$12:$12,0)),"")</f>
        <v/>
      </c>
      <c r="L22" s="150">
        <f t="shared" si="2"/>
        <v>14</v>
      </c>
      <c r="M22" s="66">
        <v>19.464720194647199</v>
      </c>
      <c r="N22" s="172">
        <v>0.46511627906976699</v>
      </c>
      <c r="O22" s="74">
        <f>N22*'Auction Simulation'!$D$4</f>
        <v>69767.441860465042</v>
      </c>
      <c r="P22" s="60"/>
      <c r="V22" s="162">
        <f t="shared" si="4"/>
        <v>7</v>
      </c>
      <c r="W22" s="232">
        <f t="shared" si="0"/>
        <v>9.1240875912409098</v>
      </c>
      <c r="X22" s="160">
        <f t="shared" si="1"/>
        <v>46046.511627906897</v>
      </c>
    </row>
    <row r="23" spans="4:24" ht="15" customHeight="1" x14ac:dyDescent="0.35">
      <c r="D23" s="50" t="str">
        <f t="shared" si="3"/>
        <v/>
      </c>
      <c r="E23" s="56"/>
      <c r="F23" s="48" t="str">
        <f>IF(ISNUMBER($D23),INDEX('Demand Curves'!$1:$1048576,MATCH('Auction Simulation'!$D$7&amp;"_"&amp;'Clearing Details'!$D23,'Demand Curves'!$A:$A,0),MATCH('Clearing Details'!F$9,'Demand Curves'!$12:$12,0)),"")</f>
        <v/>
      </c>
      <c r="G23" s="58" t="str">
        <f>IF(ISNUMBER($D23),INDEX('Demand Curves'!$1:$1048576,MATCH('Auction Simulation'!$D$7&amp;"_"&amp;'Clearing Details'!$D23,'Demand Curves'!$A:$A,0),MATCH('Clearing Details'!G$9,'Demand Curves'!$12:$12,0)),"")</f>
        <v/>
      </c>
      <c r="H23" s="56"/>
      <c r="I23" s="48" t="str">
        <f>IF(ISNUMBER($D23),INDEX('Demand Curves'!$1:$1048576,MATCH('Auction Simulation'!$D$7&amp;"_"&amp;'Clearing Details'!$D23,'Demand Curves'!$A:$A,0),MATCH('Clearing Details'!I$9,'Demand Curves'!$12:$12,0)),"")</f>
        <v/>
      </c>
      <c r="J23" s="49" t="str">
        <f>IF(ISNUMBER($D23),INDEX('Demand Curves'!$1:$1048576,MATCH('Auction Simulation'!$D$7&amp;"_"&amp;'Clearing Details'!$D23,'Demand Curves'!$A:$A,0),MATCH('Clearing Details'!J$9,'Demand Curves'!$12:$12,0)),"")</f>
        <v/>
      </c>
      <c r="L23" s="150">
        <f t="shared" si="2"/>
        <v>15</v>
      </c>
      <c r="M23" s="66">
        <v>20.6812652068127</v>
      </c>
      <c r="N23" s="172">
        <v>0.48527131782945698</v>
      </c>
      <c r="O23" s="74">
        <f>N23*'Auction Simulation'!$D$4</f>
        <v>72790.697674418552</v>
      </c>
      <c r="P23" s="60"/>
      <c r="V23" s="162">
        <f t="shared" si="4"/>
        <v>8</v>
      </c>
      <c r="W23" s="232">
        <f t="shared" si="0"/>
        <v>10.9489051094891</v>
      </c>
      <c r="X23" s="160">
        <f t="shared" si="1"/>
        <v>46046.511627906897</v>
      </c>
    </row>
    <row r="24" spans="4:24" ht="15" customHeight="1" x14ac:dyDescent="0.35">
      <c r="D24" s="50" t="str">
        <f t="shared" si="3"/>
        <v/>
      </c>
      <c r="E24" s="56"/>
      <c r="F24" s="48" t="str">
        <f>IF(ISNUMBER($D24),INDEX('Demand Curves'!$1:$1048576,MATCH('Auction Simulation'!$D$7&amp;"_"&amp;'Clearing Details'!$D24,'Demand Curves'!$A:$A,0),MATCH('Clearing Details'!F$9,'Demand Curves'!$12:$12,0)),"")</f>
        <v/>
      </c>
      <c r="G24" s="58" t="str">
        <f>IF(ISNUMBER($D24),INDEX('Demand Curves'!$1:$1048576,MATCH('Auction Simulation'!$D$7&amp;"_"&amp;'Clearing Details'!$D24,'Demand Curves'!$A:$A,0),MATCH('Clearing Details'!G$9,'Demand Curves'!$12:$12,0)),"")</f>
        <v/>
      </c>
      <c r="H24" s="56"/>
      <c r="I24" s="48" t="str">
        <f>IF(ISNUMBER($D24),INDEX('Demand Curves'!$1:$1048576,MATCH('Auction Simulation'!$D$7&amp;"_"&amp;'Clearing Details'!$D24,'Demand Curves'!$A:$A,0),MATCH('Clearing Details'!I$9,'Demand Curves'!$12:$12,0)),"")</f>
        <v/>
      </c>
      <c r="J24" s="49" t="str">
        <f>IF(ISNUMBER($D24),INDEX('Demand Curves'!$1:$1048576,MATCH('Auction Simulation'!$D$7&amp;"_"&amp;'Clearing Details'!$D24,'Demand Curves'!$A:$A,0),MATCH('Clearing Details'!J$9,'Demand Curves'!$12:$12,0)),"")</f>
        <v/>
      </c>
      <c r="L24" s="150">
        <f t="shared" si="2"/>
        <v>16</v>
      </c>
      <c r="M24" s="66">
        <v>23.114355231143499</v>
      </c>
      <c r="N24" s="172">
        <v>0.51007751937984402</v>
      </c>
      <c r="O24" s="74">
        <f>N24*'Auction Simulation'!$D$4</f>
        <v>76511.627906976602</v>
      </c>
      <c r="P24" s="60"/>
      <c r="V24" s="162">
        <f t="shared" si="4"/>
        <v>8</v>
      </c>
      <c r="W24" s="232">
        <f t="shared" si="0"/>
        <v>10.9489051094891</v>
      </c>
      <c r="X24" s="160">
        <f t="shared" si="1"/>
        <v>49534.883720930098</v>
      </c>
    </row>
    <row r="25" spans="4:24" ht="15" customHeight="1" x14ac:dyDescent="0.35">
      <c r="D25" s="50" t="str">
        <f t="shared" si="3"/>
        <v/>
      </c>
      <c r="E25" s="57"/>
      <c r="F25" s="48" t="str">
        <f>IF(ISNUMBER($D25),INDEX('Demand Curves'!$1:$1048576,MATCH('Auction Simulation'!$D$7&amp;"_"&amp;'Clearing Details'!$D25,'Demand Curves'!$A:$A,0),MATCH('Clearing Details'!F$9,'Demand Curves'!$12:$12,0)),"")</f>
        <v/>
      </c>
      <c r="G25" s="58" t="str">
        <f>IF(ISNUMBER($D25),INDEX('Demand Curves'!$1:$1048576,MATCH('Auction Simulation'!$D$7&amp;"_"&amp;'Clearing Details'!$D25,'Demand Curves'!$A:$A,0),MATCH('Clearing Details'!G$9,'Demand Curves'!$12:$12,0)),"")</f>
        <v/>
      </c>
      <c r="H25" s="57"/>
      <c r="I25" s="48" t="str">
        <f>IF(ISNUMBER($D25),INDEX('Demand Curves'!$1:$1048576,MATCH('Auction Simulation'!$D$7&amp;"_"&amp;'Clearing Details'!$D25,'Demand Curves'!$A:$A,0),MATCH('Clearing Details'!I$9,'Demand Curves'!$12:$12,0)),"")</f>
        <v/>
      </c>
      <c r="J25" s="49" t="str">
        <f>IF(ISNUMBER($D25),INDEX('Demand Curves'!$1:$1048576,MATCH('Auction Simulation'!$D$7&amp;"_"&amp;'Clearing Details'!$D25,'Demand Curves'!$A:$A,0),MATCH('Clearing Details'!J$9,'Demand Curves'!$12:$12,0)),"")</f>
        <v/>
      </c>
      <c r="K25" s="43"/>
      <c r="L25" s="150">
        <f t="shared" si="2"/>
        <v>17</v>
      </c>
      <c r="M25" s="66">
        <v>25.5474452554744</v>
      </c>
      <c r="N25" s="172">
        <v>0.53643410852713103</v>
      </c>
      <c r="O25" s="74">
        <f>N25*'Auction Simulation'!$D$4</f>
        <v>80465.116279069654</v>
      </c>
      <c r="P25" s="60"/>
      <c r="V25" s="162">
        <f t="shared" si="4"/>
        <v>9</v>
      </c>
      <c r="W25" s="232">
        <f t="shared" si="0"/>
        <v>12.1654501216545</v>
      </c>
      <c r="X25" s="160">
        <f t="shared" si="1"/>
        <v>49534.883720930098</v>
      </c>
    </row>
    <row r="26" spans="4:24" ht="15" customHeight="1" x14ac:dyDescent="0.35">
      <c r="D26" s="50" t="str">
        <f t="shared" si="3"/>
        <v/>
      </c>
      <c r="E26" s="57"/>
      <c r="F26" s="48" t="str">
        <f>IF(ISNUMBER($D26),INDEX('Demand Curves'!$1:$1048576,MATCH('Auction Simulation'!$D$7&amp;"_"&amp;'Clearing Details'!$D26,'Demand Curves'!$A:$A,0),MATCH('Clearing Details'!F$9,'Demand Curves'!$12:$12,0)),"")</f>
        <v/>
      </c>
      <c r="G26" s="58" t="str">
        <f>IF(ISNUMBER($D26),INDEX('Demand Curves'!$1:$1048576,MATCH('Auction Simulation'!$D$7&amp;"_"&amp;'Clearing Details'!$D26,'Demand Curves'!$A:$A,0),MATCH('Clearing Details'!G$9,'Demand Curves'!$12:$12,0)),"")</f>
        <v/>
      </c>
      <c r="H26" s="57"/>
      <c r="I26" s="48" t="str">
        <f>IF(ISNUMBER($D26),INDEX('Demand Curves'!$1:$1048576,MATCH('Auction Simulation'!$D$7&amp;"_"&amp;'Clearing Details'!$D26,'Demand Curves'!$A:$A,0),MATCH('Clearing Details'!I$9,'Demand Curves'!$12:$12,0)),"")</f>
        <v/>
      </c>
      <c r="J26" s="49" t="str">
        <f>IF(ISNUMBER($D26),INDEX('Demand Curves'!$1:$1048576,MATCH('Auction Simulation'!$D$7&amp;"_"&amp;'Clearing Details'!$D26,'Demand Curves'!$A:$A,0),MATCH('Clearing Details'!J$9,'Demand Curves'!$12:$12,0)),"")</f>
        <v/>
      </c>
      <c r="K26" s="43"/>
      <c r="L26" s="150">
        <f t="shared" si="2"/>
        <v>18</v>
      </c>
      <c r="M26" s="66">
        <v>26.286215767639849</v>
      </c>
      <c r="N26" s="172">
        <v>0.54883720930232505</v>
      </c>
      <c r="O26" s="74">
        <f>N26*'Auction Simulation'!$D$4</f>
        <v>82325.581395348752</v>
      </c>
      <c r="P26" s="60"/>
      <c r="V26" s="162">
        <f t="shared" si="4"/>
        <v>9</v>
      </c>
      <c r="W26" s="232">
        <f t="shared" si="0"/>
        <v>12.1654501216545</v>
      </c>
      <c r="X26" s="160">
        <f t="shared" si="1"/>
        <v>53023.255813953445</v>
      </c>
    </row>
    <row r="27" spans="4:24" ht="15" customHeight="1" x14ac:dyDescent="0.35">
      <c r="D27" s="50" t="str">
        <f t="shared" si="3"/>
        <v/>
      </c>
      <c r="E27" s="57"/>
      <c r="F27" s="48" t="str">
        <f>IF(ISNUMBER($D27),INDEX('Demand Curves'!$1:$1048576,MATCH('Auction Simulation'!$D$7&amp;"_"&amp;'Clearing Details'!$D27,'Demand Curves'!$A:$A,0),MATCH('Clearing Details'!F$9,'Demand Curves'!$12:$12,0)),"")</f>
        <v/>
      </c>
      <c r="G27" s="58" t="str">
        <f>IF(ISNUMBER($D27),INDEX('Demand Curves'!$1:$1048576,MATCH('Auction Simulation'!$D$7&amp;"_"&amp;'Clearing Details'!$D27,'Demand Curves'!$A:$A,0),MATCH('Clearing Details'!G$9,'Demand Curves'!$12:$12,0)),"")</f>
        <v/>
      </c>
      <c r="H27" s="57"/>
      <c r="I27" s="48" t="str">
        <f>IF(ISNUMBER($D27),INDEX('Demand Curves'!$1:$1048576,MATCH('Auction Simulation'!$D$7&amp;"_"&amp;'Clearing Details'!$D27,'Demand Curves'!$A:$A,0),MATCH('Clearing Details'!I$9,'Demand Curves'!$12:$12,0)),"")</f>
        <v/>
      </c>
      <c r="J27" s="49" t="str">
        <f>IF(ISNUMBER($D27),INDEX('Demand Curves'!$1:$1048576,MATCH('Auction Simulation'!$D$7&amp;"_"&amp;'Clearing Details'!$D27,'Demand Curves'!$A:$A,0),MATCH('Clearing Details'!J$9,'Demand Curves'!$12:$12,0)),"")</f>
        <v/>
      </c>
      <c r="K27" s="43"/>
      <c r="L27" s="150">
        <f t="shared" si="2"/>
        <v>19</v>
      </c>
      <c r="M27" s="66">
        <v>27.980535279805299</v>
      </c>
      <c r="N27" s="172">
        <v>0.56899224806201498</v>
      </c>
      <c r="O27" s="74">
        <f>N27*'Auction Simulation'!$D$4</f>
        <v>85348.837209302248</v>
      </c>
      <c r="P27" s="60"/>
      <c r="V27" s="162">
        <f t="shared" si="4"/>
        <v>10</v>
      </c>
      <c r="W27" s="232">
        <f t="shared" si="0"/>
        <v>13.381995133819901</v>
      </c>
      <c r="X27" s="160">
        <f t="shared" si="1"/>
        <v>53023.255813953445</v>
      </c>
    </row>
    <row r="28" spans="4:24" ht="15" customHeight="1" x14ac:dyDescent="0.35">
      <c r="D28" s="50" t="str">
        <f t="shared" si="3"/>
        <v/>
      </c>
      <c r="E28" s="57"/>
      <c r="F28" s="48" t="str">
        <f>IF(ISNUMBER($D28),INDEX('Demand Curves'!$1:$1048576,MATCH('Auction Simulation'!$D$7&amp;"_"&amp;'Clearing Details'!$D28,'Demand Curves'!$A:$A,0),MATCH('Clearing Details'!F$9,'Demand Curves'!$12:$12,0)),"")</f>
        <v/>
      </c>
      <c r="G28" s="58" t="str">
        <f>IF(ISNUMBER($D28),INDEX('Demand Curves'!$1:$1048576,MATCH('Auction Simulation'!$D$7&amp;"_"&amp;'Clearing Details'!$D28,'Demand Curves'!$A:$A,0),MATCH('Clearing Details'!G$9,'Demand Curves'!$12:$12,0)),"")</f>
        <v/>
      </c>
      <c r="H28" s="57"/>
      <c r="I28" s="48" t="str">
        <f>IF(ISNUMBER($D28),INDEX('Demand Curves'!$1:$1048576,MATCH('Auction Simulation'!$D$7&amp;"_"&amp;'Clearing Details'!$D28,'Demand Curves'!$A:$A,0),MATCH('Clearing Details'!I$9,'Demand Curves'!$12:$12,0)),"")</f>
        <v/>
      </c>
      <c r="J28" s="49" t="str">
        <f>IF(ISNUMBER($D28),INDEX('Demand Curves'!$1:$1048576,MATCH('Auction Simulation'!$D$7&amp;"_"&amp;'Clearing Details'!$D28,'Demand Curves'!$A:$A,0),MATCH('Clearing Details'!J$9,'Demand Curves'!$12:$12,0)),"")</f>
        <v/>
      </c>
      <c r="K28" s="43"/>
      <c r="L28" s="150">
        <f t="shared" si="2"/>
        <v>20</v>
      </c>
      <c r="M28" s="66">
        <v>30.4136253041363</v>
      </c>
      <c r="N28" s="172">
        <v>0.59069767441860399</v>
      </c>
      <c r="O28" s="74">
        <f>N28*'Auction Simulation'!$D$4</f>
        <v>88604.6511627906</v>
      </c>
      <c r="P28" s="60"/>
      <c r="V28" s="162">
        <f t="shared" si="4"/>
        <v>10</v>
      </c>
      <c r="W28" s="232">
        <f t="shared" si="0"/>
        <v>13.381995133819901</v>
      </c>
      <c r="X28" s="160">
        <f t="shared" si="1"/>
        <v>56279.069767441797</v>
      </c>
    </row>
    <row r="29" spans="4:24" ht="15" customHeight="1" x14ac:dyDescent="0.35">
      <c r="D29" s="50" t="str">
        <f t="shared" si="3"/>
        <v/>
      </c>
      <c r="E29" s="57"/>
      <c r="F29" s="48" t="str">
        <f>IF(ISNUMBER($D29),INDEX('Demand Curves'!$1:$1048576,MATCH('Auction Simulation'!$D$7&amp;"_"&amp;'Clearing Details'!$D29,'Demand Curves'!$A:$A,0),MATCH('Clearing Details'!F$9,'Demand Curves'!$12:$12,0)),"")</f>
        <v/>
      </c>
      <c r="G29" s="58" t="str">
        <f>IF(ISNUMBER($D29),INDEX('Demand Curves'!$1:$1048576,MATCH('Auction Simulation'!$D$7&amp;"_"&amp;'Clearing Details'!$D29,'Demand Curves'!$A:$A,0),MATCH('Clearing Details'!G$9,'Demand Curves'!$12:$12,0)),"")</f>
        <v/>
      </c>
      <c r="H29" s="57"/>
      <c r="I29" s="48" t="str">
        <f>IF(ISNUMBER($D29),INDEX('Demand Curves'!$1:$1048576,MATCH('Auction Simulation'!$D$7&amp;"_"&amp;'Clearing Details'!$D29,'Demand Curves'!$A:$A,0),MATCH('Clearing Details'!I$9,'Demand Curves'!$12:$12,0)),"")</f>
        <v/>
      </c>
      <c r="J29" s="49" t="str">
        <f>IF(ISNUMBER($D29),INDEX('Demand Curves'!$1:$1048576,MATCH('Auction Simulation'!$D$7&amp;"_"&amp;'Clearing Details'!$D29,'Demand Curves'!$A:$A,0),MATCH('Clearing Details'!J$9,'Demand Curves'!$12:$12,0)),"")</f>
        <v/>
      </c>
      <c r="K29" s="43"/>
      <c r="L29" s="150">
        <f t="shared" si="2"/>
        <v>21</v>
      </c>
      <c r="M29" s="66">
        <v>34.063260340632603</v>
      </c>
      <c r="N29" s="172">
        <v>0.61550387596899203</v>
      </c>
      <c r="O29" s="74">
        <f>N29*'Auction Simulation'!$D$4</f>
        <v>92325.58139534881</v>
      </c>
      <c r="P29" s="60"/>
      <c r="V29" s="162">
        <f t="shared" si="4"/>
        <v>11</v>
      </c>
      <c r="W29" s="232">
        <f t="shared" si="0"/>
        <v>15.8150851581509</v>
      </c>
      <c r="X29" s="160">
        <f t="shared" si="1"/>
        <v>56279.069767441797</v>
      </c>
    </row>
    <row r="30" spans="4:24" ht="15" customHeight="1" x14ac:dyDescent="0.35">
      <c r="D30" s="43"/>
      <c r="E30" s="43"/>
      <c r="F30" s="55"/>
      <c r="G30" s="55"/>
      <c r="H30" s="43"/>
      <c r="I30" s="48"/>
      <c r="J30" s="55"/>
      <c r="K30" s="43"/>
      <c r="L30" s="150">
        <f t="shared" si="2"/>
        <v>22</v>
      </c>
      <c r="M30" s="66">
        <v>36.496350364963497</v>
      </c>
      <c r="N30" s="172">
        <v>0.63720930232558104</v>
      </c>
      <c r="O30" s="74">
        <f>N30*'Auction Simulation'!$D$4</f>
        <v>95581.395348837163</v>
      </c>
      <c r="P30" s="60"/>
      <c r="V30" s="162">
        <f t="shared" si="4"/>
        <v>11</v>
      </c>
      <c r="W30" s="232">
        <f t="shared" si="0"/>
        <v>15.8150851581509</v>
      </c>
      <c r="X30" s="160">
        <f t="shared" si="1"/>
        <v>59534.883720930149</v>
      </c>
    </row>
    <row r="31" spans="4:24" ht="15" customHeight="1" x14ac:dyDescent="0.35">
      <c r="D31" s="42"/>
      <c r="E31" s="43"/>
      <c r="F31" s="55"/>
      <c r="G31" s="55"/>
      <c r="H31" s="43"/>
      <c r="I31" s="48"/>
      <c r="J31" s="55"/>
      <c r="K31" s="43"/>
      <c r="L31" s="150">
        <f t="shared" si="2"/>
        <v>23</v>
      </c>
      <c r="M31" s="66">
        <v>40.145985401459797</v>
      </c>
      <c r="N31" s="172">
        <v>0.65891472868217005</v>
      </c>
      <c r="O31" s="74">
        <f>N31*'Auction Simulation'!$D$4</f>
        <v>98837.2093023255</v>
      </c>
      <c r="P31" s="60"/>
      <c r="V31" s="162">
        <f t="shared" si="4"/>
        <v>12</v>
      </c>
      <c r="W31" s="232">
        <f t="shared" si="0"/>
        <v>17.033900170316347</v>
      </c>
      <c r="X31" s="160">
        <f t="shared" si="1"/>
        <v>59534.883720930149</v>
      </c>
    </row>
    <row r="32" spans="4:24" ht="15" customHeight="1" x14ac:dyDescent="0.35">
      <c r="D32" s="43"/>
      <c r="E32" s="43"/>
      <c r="F32" s="55"/>
      <c r="G32" s="55"/>
      <c r="H32" s="43"/>
      <c r="I32" s="48"/>
      <c r="J32" s="55"/>
      <c r="K32" s="43"/>
      <c r="L32" s="150">
        <f t="shared" si="2"/>
        <v>24</v>
      </c>
      <c r="M32" s="66">
        <v>45.012165450121699</v>
      </c>
      <c r="N32" s="172">
        <v>0.68372093023255798</v>
      </c>
      <c r="O32" s="74">
        <f>N32*'Auction Simulation'!$D$4</f>
        <v>102558.1395348837</v>
      </c>
      <c r="P32" s="60"/>
      <c r="V32" s="162">
        <f t="shared" si="4"/>
        <v>12</v>
      </c>
      <c r="W32" s="232">
        <f t="shared" si="0"/>
        <v>17.033900170316347</v>
      </c>
      <c r="X32" s="160">
        <f t="shared" si="1"/>
        <v>61627.906976744103</v>
      </c>
    </row>
    <row r="33" spans="4:24" ht="15" customHeight="1" x14ac:dyDescent="0.35">
      <c r="D33" s="43"/>
      <c r="E33" s="43"/>
      <c r="F33" s="48"/>
      <c r="G33" s="51"/>
      <c r="H33" s="43"/>
      <c r="I33" s="48"/>
      <c r="J33" s="49"/>
      <c r="K33" s="43"/>
      <c r="L33" s="150">
        <f t="shared" si="2"/>
        <v>25</v>
      </c>
      <c r="M33" s="66">
        <v>46.228710462287097</v>
      </c>
      <c r="N33" s="172">
        <v>0.69767441860465096</v>
      </c>
      <c r="O33" s="74">
        <f>N33*'Auction Simulation'!$D$4</f>
        <v>104651.16279069765</v>
      </c>
      <c r="P33" s="60"/>
      <c r="V33" s="162">
        <f t="shared" si="4"/>
        <v>13</v>
      </c>
      <c r="W33" s="232">
        <f t="shared" si="0"/>
        <v>18.248175182481798</v>
      </c>
      <c r="X33" s="160">
        <f t="shared" si="1"/>
        <v>61627.906976744103</v>
      </c>
    </row>
    <row r="34" spans="4:24" ht="15" customHeight="1" x14ac:dyDescent="0.35">
      <c r="D34" s="43"/>
      <c r="E34" s="43"/>
      <c r="F34" s="48"/>
      <c r="G34" s="54"/>
      <c r="H34" s="43"/>
      <c r="I34" s="48"/>
      <c r="J34" s="49"/>
      <c r="K34" s="43"/>
      <c r="L34" s="150">
        <f t="shared" si="2"/>
        <v>26</v>
      </c>
      <c r="M34" s="66">
        <v>51.0948905109489</v>
      </c>
      <c r="N34" s="172">
        <v>0.71472868217054197</v>
      </c>
      <c r="O34" s="74">
        <f>N34*'Auction Simulation'!$D$4</f>
        <v>107209.3023255813</v>
      </c>
      <c r="P34" s="60"/>
      <c r="V34" s="162">
        <f t="shared" si="4"/>
        <v>13</v>
      </c>
      <c r="W34" s="232">
        <f t="shared" si="0"/>
        <v>18.248175182481798</v>
      </c>
      <c r="X34" s="160">
        <f t="shared" si="1"/>
        <v>65813.953488372004</v>
      </c>
    </row>
    <row r="35" spans="4:24" ht="15" customHeight="1" x14ac:dyDescent="0.35">
      <c r="D35" s="43"/>
      <c r="E35" s="43"/>
      <c r="F35" s="48"/>
      <c r="G35" s="51"/>
      <c r="H35" s="43"/>
      <c r="I35" s="48"/>
      <c r="J35" s="49"/>
      <c r="K35" s="43"/>
      <c r="L35" s="150">
        <f t="shared" si="2"/>
        <v>27</v>
      </c>
      <c r="M35" s="66">
        <v>55.961070559610697</v>
      </c>
      <c r="N35" s="172">
        <v>0.73643410852713098</v>
      </c>
      <c r="O35" s="74">
        <f>N35*'Auction Simulation'!$D$4</f>
        <v>110465.11627906965</v>
      </c>
      <c r="P35" s="60"/>
      <c r="V35" s="162">
        <f t="shared" si="4"/>
        <v>14</v>
      </c>
      <c r="W35" s="232">
        <f t="shared" si="0"/>
        <v>19.464720194647199</v>
      </c>
      <c r="X35" s="160">
        <f t="shared" si="1"/>
        <v>65813.953488372004</v>
      </c>
    </row>
    <row r="36" spans="4:24" ht="15" customHeight="1" x14ac:dyDescent="0.35">
      <c r="F36" s="48"/>
      <c r="G36" s="51"/>
      <c r="H36" s="43"/>
      <c r="I36" s="48"/>
      <c r="J36" s="49"/>
      <c r="K36" s="43"/>
      <c r="L36" s="150">
        <f t="shared" si="2"/>
        <v>28</v>
      </c>
      <c r="M36" s="66">
        <v>62.043795620437997</v>
      </c>
      <c r="N36" s="172">
        <v>0.75813953488372099</v>
      </c>
      <c r="O36" s="74">
        <f>N36*'Auction Simulation'!$D$4</f>
        <v>113720.93023255815</v>
      </c>
      <c r="P36" s="60"/>
      <c r="V36" s="162">
        <f t="shared" si="4"/>
        <v>14</v>
      </c>
      <c r="W36" s="232">
        <f t="shared" si="0"/>
        <v>19.464720194647199</v>
      </c>
      <c r="X36" s="160">
        <f t="shared" si="1"/>
        <v>69767.441860465042</v>
      </c>
    </row>
    <row r="37" spans="4:24" ht="15" customHeight="1" x14ac:dyDescent="0.35">
      <c r="D37" s="3"/>
      <c r="F37" s="43"/>
      <c r="G37" s="43"/>
      <c r="H37" s="43"/>
      <c r="I37" s="43"/>
      <c r="J37" s="43"/>
      <c r="K37" s="43"/>
      <c r="L37" s="150">
        <f t="shared" si="2"/>
        <v>29</v>
      </c>
      <c r="M37" s="66">
        <v>69.343065693430702</v>
      </c>
      <c r="N37" s="172">
        <v>0.775193798449612</v>
      </c>
      <c r="O37" s="74">
        <f>N37*'Auction Simulation'!$D$4</f>
        <v>116279.0697674418</v>
      </c>
      <c r="P37" s="60"/>
      <c r="V37" s="162">
        <f t="shared" si="4"/>
        <v>15</v>
      </c>
      <c r="W37" s="232">
        <f t="shared" si="0"/>
        <v>20.6812652068127</v>
      </c>
      <c r="X37" s="160">
        <f t="shared" si="1"/>
        <v>69767.441860465042</v>
      </c>
    </row>
    <row r="38" spans="4:24" ht="15" customHeight="1" x14ac:dyDescent="0.35">
      <c r="F38" s="43"/>
      <c r="G38" s="43"/>
      <c r="H38" s="43"/>
      <c r="I38" s="43"/>
      <c r="J38" s="43"/>
      <c r="K38" s="43"/>
      <c r="L38" s="150">
        <f t="shared" si="2"/>
        <v>30</v>
      </c>
      <c r="M38" s="66">
        <v>75.425790754257903</v>
      </c>
      <c r="N38" s="172">
        <v>0.79534883720930205</v>
      </c>
      <c r="O38" s="74">
        <f>N38*'Auction Simulation'!$D$4</f>
        <v>119302.32558139531</v>
      </c>
      <c r="P38" s="60"/>
      <c r="V38" s="162">
        <f t="shared" si="4"/>
        <v>15</v>
      </c>
      <c r="W38" s="232">
        <f t="shared" si="0"/>
        <v>20.6812652068127</v>
      </c>
      <c r="X38" s="160">
        <f t="shared" si="1"/>
        <v>72790.697674418552</v>
      </c>
    </row>
    <row r="39" spans="4:24" ht="15" customHeight="1" x14ac:dyDescent="0.35">
      <c r="F39" s="43"/>
      <c r="G39" s="43"/>
      <c r="H39" s="43"/>
      <c r="I39" s="43"/>
      <c r="J39" s="43"/>
      <c r="K39" s="43"/>
      <c r="L39" s="150">
        <f t="shared" si="2"/>
        <v>31</v>
      </c>
      <c r="M39" s="66">
        <v>80.291970802919707</v>
      </c>
      <c r="N39" s="172">
        <v>0.81240310077519295</v>
      </c>
      <c r="O39" s="74">
        <f>N39*'Auction Simulation'!$D$4</f>
        <v>121860.46511627894</v>
      </c>
      <c r="P39" s="60"/>
      <c r="V39" s="162">
        <f t="shared" si="4"/>
        <v>16</v>
      </c>
      <c r="W39" s="232">
        <f t="shared" si="0"/>
        <v>23.114355231143499</v>
      </c>
      <c r="X39" s="160">
        <f t="shared" si="1"/>
        <v>72790.697674418552</v>
      </c>
    </row>
    <row r="40" spans="4:24" ht="15" customHeight="1" x14ac:dyDescent="0.35">
      <c r="F40" s="43"/>
      <c r="G40" s="43"/>
      <c r="H40" s="43"/>
      <c r="I40" s="43"/>
      <c r="J40" s="43"/>
      <c r="K40" s="43"/>
      <c r="L40" s="150">
        <f t="shared" si="2"/>
        <v>32</v>
      </c>
      <c r="M40" s="66">
        <v>83.941605839415999</v>
      </c>
      <c r="N40" s="172">
        <v>0.82170542635658905</v>
      </c>
      <c r="O40" s="74">
        <f>N40*'Auction Simulation'!$D$4</f>
        <v>123255.81395348835</v>
      </c>
      <c r="P40" s="60"/>
      <c r="V40" s="162">
        <f t="shared" si="4"/>
        <v>16</v>
      </c>
      <c r="W40" s="232">
        <f t="shared" si="0"/>
        <v>23.114355231143499</v>
      </c>
      <c r="X40" s="160">
        <f t="shared" si="1"/>
        <v>76511.627906976602</v>
      </c>
    </row>
    <row r="41" spans="4:24" ht="15" customHeight="1" x14ac:dyDescent="0.35">
      <c r="F41" s="43"/>
      <c r="G41" s="43"/>
      <c r="H41" s="43"/>
      <c r="I41" s="43"/>
      <c r="J41" s="43"/>
      <c r="K41" s="43"/>
      <c r="L41" s="150">
        <f t="shared" si="2"/>
        <v>33</v>
      </c>
      <c r="M41" s="66">
        <v>88.807785888077902</v>
      </c>
      <c r="N41" s="172">
        <v>0.84186046511627899</v>
      </c>
      <c r="O41" s="74">
        <f>N41*'Auction Simulation'!$D$4</f>
        <v>126279.06976744185</v>
      </c>
      <c r="P41" s="60"/>
      <c r="V41" s="162">
        <f t="shared" si="4"/>
        <v>17</v>
      </c>
      <c r="W41" s="232">
        <f t="shared" ref="W41:W72" si="5">INDEX($M:$M, MATCH($V41,$L:$L, 0))</f>
        <v>25.5474452554744</v>
      </c>
      <c r="X41" s="160">
        <f t="shared" si="1"/>
        <v>76511.627906976602</v>
      </c>
    </row>
    <row r="42" spans="4:24" ht="15" customHeight="1" x14ac:dyDescent="0.35">
      <c r="F42" s="43"/>
      <c r="G42" s="43"/>
      <c r="H42" s="43"/>
      <c r="I42" s="43"/>
      <c r="J42" s="43"/>
      <c r="K42" s="43"/>
      <c r="L42" s="150">
        <f t="shared" si="2"/>
        <v>34</v>
      </c>
      <c r="M42" s="66">
        <v>94.890510948905103</v>
      </c>
      <c r="N42" s="172">
        <v>0.86046511627906896</v>
      </c>
      <c r="O42" s="74">
        <f>N42*'Auction Simulation'!$D$4</f>
        <v>129069.76744186034</v>
      </c>
      <c r="P42" s="60"/>
      <c r="V42" s="162">
        <f t="shared" si="4"/>
        <v>17</v>
      </c>
      <c r="W42" s="232">
        <f t="shared" si="5"/>
        <v>25.5474452554744</v>
      </c>
      <c r="X42" s="160">
        <f t="shared" ref="X42:X73" si="6">INDEX($O:$O, MATCH($V41,$L:$L, 0))</f>
        <v>80465.116279069654</v>
      </c>
    </row>
    <row r="43" spans="4:24" ht="15" customHeight="1" x14ac:dyDescent="0.35">
      <c r="F43" s="42"/>
      <c r="G43" s="43"/>
      <c r="H43" s="43"/>
      <c r="I43" s="43"/>
      <c r="J43" s="43"/>
      <c r="K43" s="43"/>
      <c r="L43" s="150">
        <f t="shared" si="2"/>
        <v>35</v>
      </c>
      <c r="M43" s="66">
        <v>100.97323600973201</v>
      </c>
      <c r="N43" s="172">
        <v>0.87906976744186005</v>
      </c>
      <c r="O43" s="74">
        <f>N43*'Auction Simulation'!$D$4</f>
        <v>131860.465116279</v>
      </c>
      <c r="P43" s="60"/>
      <c r="V43" s="162">
        <f t="shared" si="4"/>
        <v>18</v>
      </c>
      <c r="W43" s="232">
        <f t="shared" si="5"/>
        <v>26.286215767639849</v>
      </c>
      <c r="X43" s="160">
        <f t="shared" si="6"/>
        <v>80465.116279069654</v>
      </c>
    </row>
    <row r="44" spans="4:24" ht="15" customHeight="1" x14ac:dyDescent="0.35">
      <c r="F44" s="43"/>
      <c r="G44" s="43"/>
      <c r="H44" s="43"/>
      <c r="I44" s="43"/>
      <c r="J44" s="43"/>
      <c r="K44" s="43"/>
      <c r="L44" s="150">
        <f t="shared" si="2"/>
        <v>36</v>
      </c>
      <c r="M44" s="66">
        <v>107.05596107055899</v>
      </c>
      <c r="N44" s="172">
        <v>0.889922480620155</v>
      </c>
      <c r="O44" s="74">
        <f>N44*'Auction Simulation'!$D$4</f>
        <v>133488.37209302324</v>
      </c>
      <c r="P44" s="60"/>
      <c r="V44" s="162">
        <f t="shared" si="4"/>
        <v>18</v>
      </c>
      <c r="W44" s="232">
        <f t="shared" si="5"/>
        <v>26.286215767639849</v>
      </c>
      <c r="X44" s="160">
        <f t="shared" si="6"/>
        <v>82325.581395348752</v>
      </c>
    </row>
    <row r="45" spans="4:24" ht="15" customHeight="1" x14ac:dyDescent="0.35">
      <c r="F45" s="43"/>
      <c r="G45" s="43"/>
      <c r="H45" s="43"/>
      <c r="I45" s="43"/>
      <c r="J45" s="43"/>
      <c r="K45" s="43"/>
      <c r="L45" s="150">
        <f t="shared" si="2"/>
        <v>37</v>
      </c>
      <c r="M45" s="66">
        <v>113.138686131386</v>
      </c>
      <c r="N45" s="172">
        <v>0.90077519379844895</v>
      </c>
      <c r="O45" s="74">
        <f>N45*'Auction Simulation'!$D$4</f>
        <v>135116.27906976733</v>
      </c>
      <c r="P45" s="60"/>
      <c r="V45" s="162">
        <f t="shared" si="4"/>
        <v>19</v>
      </c>
      <c r="W45" s="232">
        <f t="shared" si="5"/>
        <v>27.980535279805299</v>
      </c>
      <c r="X45" s="160">
        <f t="shared" si="6"/>
        <v>82325.581395348752</v>
      </c>
    </row>
    <row r="46" spans="4:24" ht="15" customHeight="1" x14ac:dyDescent="0.35">
      <c r="F46" s="43"/>
      <c r="G46" s="43"/>
      <c r="H46" s="43"/>
      <c r="I46" s="43"/>
      <c r="J46" s="43"/>
      <c r="K46" s="43"/>
      <c r="L46" s="150">
        <f t="shared" si="2"/>
        <v>38</v>
      </c>
      <c r="M46" s="66">
        <v>125.30413625304099</v>
      </c>
      <c r="N46" s="172">
        <v>0.91162790697674401</v>
      </c>
      <c r="O46" s="74">
        <f>N46*'Auction Simulation'!$D$4</f>
        <v>136744.1860465116</v>
      </c>
      <c r="P46" s="60"/>
      <c r="V46" s="162">
        <f t="shared" si="4"/>
        <v>19</v>
      </c>
      <c r="W46" s="232">
        <f t="shared" si="5"/>
        <v>27.980535279805299</v>
      </c>
      <c r="X46" s="160">
        <f t="shared" si="6"/>
        <v>85348.837209302248</v>
      </c>
    </row>
    <row r="47" spans="4:24" ht="15" customHeight="1" x14ac:dyDescent="0.35">
      <c r="F47" s="43"/>
      <c r="G47" s="43"/>
      <c r="H47" s="43"/>
      <c r="I47" s="43"/>
      <c r="J47" s="43"/>
      <c r="K47" s="43"/>
      <c r="L47" s="150">
        <f t="shared" si="2"/>
        <v>39</v>
      </c>
      <c r="M47" s="66">
        <v>139.90267639902601</v>
      </c>
      <c r="N47" s="172">
        <v>0.92713178294573595</v>
      </c>
      <c r="O47" s="74">
        <f>N47*'Auction Simulation'!$D$4</f>
        <v>139069.7674418604</v>
      </c>
      <c r="P47" s="60"/>
      <c r="V47" s="162">
        <f t="shared" si="4"/>
        <v>20</v>
      </c>
      <c r="W47" s="232">
        <f t="shared" si="5"/>
        <v>30.4136253041363</v>
      </c>
      <c r="X47" s="160">
        <f t="shared" si="6"/>
        <v>85348.837209302248</v>
      </c>
    </row>
    <row r="48" spans="4:24" ht="15" customHeight="1" x14ac:dyDescent="0.35">
      <c r="F48" s="43"/>
      <c r="G48" s="43"/>
      <c r="H48" s="43"/>
      <c r="I48" s="43"/>
      <c r="J48" s="43"/>
      <c r="K48" s="43"/>
      <c r="L48" s="150">
        <f t="shared" si="2"/>
        <v>40</v>
      </c>
      <c r="M48" s="66">
        <v>154.501216545012</v>
      </c>
      <c r="N48" s="172">
        <v>0.93953488372092997</v>
      </c>
      <c r="O48" s="74">
        <f>N48*'Auction Simulation'!$D$4</f>
        <v>140930.23255813948</v>
      </c>
      <c r="P48" s="60"/>
      <c r="V48" s="162">
        <f t="shared" si="4"/>
        <v>20</v>
      </c>
      <c r="W48" s="232">
        <f t="shared" si="5"/>
        <v>30.4136253041363</v>
      </c>
      <c r="X48" s="160">
        <f t="shared" si="6"/>
        <v>88604.6511627906</v>
      </c>
    </row>
    <row r="49" spans="3:24" ht="15" customHeight="1" x14ac:dyDescent="0.35">
      <c r="F49" s="43"/>
      <c r="G49" s="43"/>
      <c r="H49" s="43"/>
      <c r="I49" s="43"/>
      <c r="J49" s="43"/>
      <c r="K49" s="43"/>
      <c r="L49" s="150">
        <f t="shared" si="2"/>
        <v>41</v>
      </c>
      <c r="M49" s="66">
        <v>167.883211678832</v>
      </c>
      <c r="N49" s="172">
        <v>0.94883720930232496</v>
      </c>
      <c r="O49" s="74">
        <f>N49*'Auction Simulation'!$D$4</f>
        <v>142325.58139534874</v>
      </c>
      <c r="P49" s="60"/>
      <c r="V49" s="162">
        <f t="shared" si="4"/>
        <v>21</v>
      </c>
      <c r="W49" s="232">
        <f t="shared" si="5"/>
        <v>34.063260340632603</v>
      </c>
      <c r="X49" s="160">
        <f t="shared" si="6"/>
        <v>88604.6511627906</v>
      </c>
    </row>
    <row r="50" spans="3:24" ht="15" customHeight="1" x14ac:dyDescent="0.35">
      <c r="C50" s="42"/>
      <c r="F50" s="43"/>
      <c r="G50" s="43"/>
      <c r="H50" s="43"/>
      <c r="I50" s="43"/>
      <c r="J50" s="43"/>
      <c r="K50" s="43"/>
      <c r="L50" s="150">
        <f t="shared" si="2"/>
        <v>42</v>
      </c>
      <c r="M50" s="66">
        <v>180.048661800486</v>
      </c>
      <c r="N50" s="172">
        <v>0.96124031007751898</v>
      </c>
      <c r="O50" s="74">
        <f>N50*'Auction Simulation'!$D$4</f>
        <v>144186.04651162785</v>
      </c>
      <c r="P50" s="60"/>
      <c r="V50" s="162">
        <f t="shared" si="4"/>
        <v>21</v>
      </c>
      <c r="W50" s="232">
        <f t="shared" si="5"/>
        <v>34.063260340632603</v>
      </c>
      <c r="X50" s="160">
        <f t="shared" si="6"/>
        <v>92325.58139534881</v>
      </c>
    </row>
    <row r="51" spans="3:24" ht="15" customHeight="1" x14ac:dyDescent="0.35">
      <c r="C51" s="42"/>
      <c r="F51" s="43"/>
      <c r="G51" s="43"/>
      <c r="H51" s="43"/>
      <c r="I51" s="43"/>
      <c r="J51" s="43"/>
      <c r="K51" s="43"/>
      <c r="L51" s="150">
        <f t="shared" si="2"/>
        <v>43</v>
      </c>
      <c r="M51" s="66">
        <v>188.56447688564401</v>
      </c>
      <c r="N51" s="172">
        <v>0.97054263565891397</v>
      </c>
      <c r="O51" s="74">
        <f>N51*'Auction Simulation'!$D$4</f>
        <v>145581.3953488371</v>
      </c>
      <c r="P51" s="60"/>
      <c r="V51" s="162">
        <f t="shared" si="4"/>
        <v>22</v>
      </c>
      <c r="W51" s="232">
        <f t="shared" si="5"/>
        <v>36.496350364963497</v>
      </c>
      <c r="X51" s="160">
        <f t="shared" si="6"/>
        <v>92325.58139534881</v>
      </c>
    </row>
    <row r="52" spans="3:24" ht="15" customHeight="1" x14ac:dyDescent="0.35">
      <c r="F52" s="43"/>
      <c r="G52" s="43"/>
      <c r="H52" s="43"/>
      <c r="I52" s="43"/>
      <c r="J52" s="43"/>
      <c r="K52" s="43"/>
      <c r="L52" s="150">
        <f t="shared" si="2"/>
        <v>44</v>
      </c>
      <c r="M52" s="66">
        <v>205.596107055961</v>
      </c>
      <c r="N52" s="172">
        <v>0.97674418604651103</v>
      </c>
      <c r="O52" s="74">
        <f>N52*'Auction Simulation'!$D$4</f>
        <v>146511.62790697665</v>
      </c>
      <c r="P52" s="60"/>
      <c r="V52" s="162">
        <f t="shared" si="4"/>
        <v>22</v>
      </c>
      <c r="W52" s="232">
        <f t="shared" si="5"/>
        <v>36.496350364963497</v>
      </c>
      <c r="X52" s="160">
        <f t="shared" si="6"/>
        <v>95581.395348837163</v>
      </c>
    </row>
    <row r="53" spans="3:24" ht="15" customHeight="1" x14ac:dyDescent="0.35">
      <c r="F53" s="43"/>
      <c r="G53" s="43"/>
      <c r="H53" s="43"/>
      <c r="I53" s="43"/>
      <c r="J53" s="43"/>
      <c r="K53" s="43"/>
      <c r="L53" s="150">
        <f t="shared" si="2"/>
        <v>45</v>
      </c>
      <c r="M53" s="66">
        <v>227.49391727493901</v>
      </c>
      <c r="N53" s="172">
        <v>0.98294573643410799</v>
      </c>
      <c r="O53" s="74">
        <f>N53*'Auction Simulation'!$D$4</f>
        <v>147441.86046511619</v>
      </c>
      <c r="P53" s="60"/>
      <c r="V53" s="162">
        <f t="shared" si="4"/>
        <v>23</v>
      </c>
      <c r="W53" s="232">
        <f t="shared" si="5"/>
        <v>40.145985401459797</v>
      </c>
      <c r="X53" s="160">
        <f t="shared" si="6"/>
        <v>95581.395348837163</v>
      </c>
    </row>
    <row r="54" spans="3:24" ht="15" customHeight="1" x14ac:dyDescent="0.35">
      <c r="F54" s="43"/>
      <c r="G54" s="43"/>
      <c r="H54" s="43"/>
      <c r="I54" s="43"/>
      <c r="J54" s="43"/>
      <c r="K54" s="43"/>
      <c r="L54" s="150">
        <f t="shared" si="2"/>
        <v>46</v>
      </c>
      <c r="M54" s="93">
        <v>245.74209245742</v>
      </c>
      <c r="N54" s="198">
        <v>0.98914728682170505</v>
      </c>
      <c r="O54" s="74">
        <f>N54*'Auction Simulation'!$D$4</f>
        <v>148372.09302325576</v>
      </c>
      <c r="P54" s="60"/>
      <c r="V54" s="162">
        <f t="shared" si="4"/>
        <v>23</v>
      </c>
      <c r="W54" s="232">
        <f t="shared" si="5"/>
        <v>40.145985401459797</v>
      </c>
      <c r="X54" s="160">
        <f t="shared" si="6"/>
        <v>98837.2093023255</v>
      </c>
    </row>
    <row r="55" spans="3:24" ht="15" customHeight="1" x14ac:dyDescent="0.35">
      <c r="L55" s="150">
        <f t="shared" si="2"/>
        <v>47</v>
      </c>
      <c r="M55" s="93">
        <v>259.12408759124003</v>
      </c>
      <c r="N55" s="198">
        <v>0.99379844961240305</v>
      </c>
      <c r="O55" s="74">
        <f>N55*'Auction Simulation'!$D$4</f>
        <v>149069.76744186046</v>
      </c>
      <c r="P55" s="60"/>
      <c r="V55" s="162">
        <f t="shared" si="4"/>
        <v>24</v>
      </c>
      <c r="W55" s="232">
        <f t="shared" si="5"/>
        <v>45.012165450121699</v>
      </c>
      <c r="X55" s="160">
        <f t="shared" si="6"/>
        <v>98837.2093023255</v>
      </c>
    </row>
    <row r="56" spans="3:24" ht="15" customHeight="1" x14ac:dyDescent="0.35">
      <c r="L56" s="150">
        <f t="shared" si="2"/>
        <v>48</v>
      </c>
      <c r="M56" s="93">
        <v>279.80535279805298</v>
      </c>
      <c r="N56" s="198">
        <v>0.99534883720930201</v>
      </c>
      <c r="O56" s="74">
        <f>N56*'Auction Simulation'!$D$4</f>
        <v>149302.3255813953</v>
      </c>
      <c r="P56" s="60"/>
      <c r="V56" s="162">
        <f t="shared" si="4"/>
        <v>24</v>
      </c>
      <c r="W56" s="232">
        <f t="shared" si="5"/>
        <v>45.012165450121699</v>
      </c>
      <c r="X56" s="160">
        <f t="shared" si="6"/>
        <v>102558.1395348837</v>
      </c>
    </row>
    <row r="57" spans="3:24" ht="15" customHeight="1" x14ac:dyDescent="0.35">
      <c r="L57" s="150">
        <f t="shared" si="2"/>
        <v>49</v>
      </c>
      <c r="M57" s="93">
        <v>304.13625304136201</v>
      </c>
      <c r="N57" s="198">
        <v>0.99844961240310004</v>
      </c>
      <c r="O57" s="74">
        <f>N57*'Auction Simulation'!$D$4</f>
        <v>149767.44186046501</v>
      </c>
      <c r="P57" s="60"/>
      <c r="V57" s="162">
        <f t="shared" si="4"/>
        <v>25</v>
      </c>
      <c r="W57" s="232">
        <f t="shared" si="5"/>
        <v>46.228710462287097</v>
      </c>
      <c r="X57" s="160">
        <f t="shared" si="6"/>
        <v>102558.1395348837</v>
      </c>
    </row>
    <row r="58" spans="3:24" ht="15" customHeight="1" x14ac:dyDescent="0.35">
      <c r="L58" s="150">
        <f t="shared" si="2"/>
        <v>50</v>
      </c>
      <c r="M58" s="93">
        <v>1000</v>
      </c>
      <c r="N58" s="198">
        <v>1</v>
      </c>
      <c r="O58" s="74">
        <f>N58*'Auction Simulation'!$D$4</f>
        <v>150000</v>
      </c>
      <c r="P58" s="60"/>
      <c r="V58" s="162">
        <f t="shared" si="4"/>
        <v>25</v>
      </c>
      <c r="W58" s="232">
        <f t="shared" si="5"/>
        <v>46.228710462287097</v>
      </c>
      <c r="X58" s="160">
        <f t="shared" si="6"/>
        <v>104651.16279069765</v>
      </c>
    </row>
    <row r="59" spans="3:24" ht="6" customHeight="1" x14ac:dyDescent="0.35">
      <c r="L59" s="199"/>
      <c r="M59" s="200"/>
      <c r="N59" s="200"/>
      <c r="O59" s="129"/>
      <c r="V59" s="162">
        <f t="shared" si="4"/>
        <v>26</v>
      </c>
      <c r="W59" s="232">
        <f t="shared" si="5"/>
        <v>51.0948905109489</v>
      </c>
      <c r="X59" s="160">
        <f t="shared" si="6"/>
        <v>104651.16279069765</v>
      </c>
    </row>
    <row r="60" spans="3:24" ht="15" customHeight="1" x14ac:dyDescent="0.35">
      <c r="L60" s="43"/>
      <c r="M60" s="66"/>
      <c r="N60" s="172"/>
      <c r="V60" s="162">
        <f t="shared" si="4"/>
        <v>26</v>
      </c>
      <c r="W60" s="232">
        <f t="shared" si="5"/>
        <v>51.0948905109489</v>
      </c>
      <c r="X60" s="160">
        <f t="shared" si="6"/>
        <v>107209.3023255813</v>
      </c>
    </row>
    <row r="61" spans="3:24" ht="15" customHeight="1" x14ac:dyDescent="0.35">
      <c r="L61" s="43"/>
      <c r="M61" s="66"/>
      <c r="N61" s="172"/>
      <c r="V61" s="162">
        <f t="shared" si="4"/>
        <v>27</v>
      </c>
      <c r="W61" s="232">
        <f t="shared" si="5"/>
        <v>55.961070559610697</v>
      </c>
      <c r="X61" s="160">
        <f t="shared" si="6"/>
        <v>107209.3023255813</v>
      </c>
    </row>
    <row r="62" spans="3:24" ht="15" customHeight="1" x14ac:dyDescent="0.35">
      <c r="L62" s="43"/>
      <c r="M62" s="66"/>
      <c r="N62" s="172"/>
      <c r="V62" s="162">
        <f t="shared" si="4"/>
        <v>27</v>
      </c>
      <c r="W62" s="232">
        <f t="shared" si="5"/>
        <v>55.961070559610697</v>
      </c>
      <c r="X62" s="160">
        <f t="shared" si="6"/>
        <v>110465.11627906965</v>
      </c>
    </row>
    <row r="63" spans="3:24" ht="15" customHeight="1" x14ac:dyDescent="0.35">
      <c r="L63" s="43"/>
      <c r="M63" s="66"/>
      <c r="N63" s="172"/>
      <c r="Q63" s="3"/>
      <c r="V63" s="162">
        <f t="shared" si="4"/>
        <v>28</v>
      </c>
      <c r="W63" s="232">
        <f t="shared" si="5"/>
        <v>62.043795620437997</v>
      </c>
      <c r="X63" s="160">
        <f t="shared" si="6"/>
        <v>110465.11627906965</v>
      </c>
    </row>
    <row r="64" spans="3:24" ht="15" customHeight="1" x14ac:dyDescent="0.35">
      <c r="M64" s="66"/>
      <c r="N64" s="172"/>
      <c r="V64" s="162">
        <f t="shared" si="4"/>
        <v>28</v>
      </c>
      <c r="W64" s="232">
        <f t="shared" si="5"/>
        <v>62.043795620437997</v>
      </c>
      <c r="X64" s="160">
        <f t="shared" si="6"/>
        <v>113720.93023255815</v>
      </c>
    </row>
    <row r="65" spans="13:24" ht="15" customHeight="1" x14ac:dyDescent="0.35">
      <c r="M65" s="66"/>
      <c r="N65" s="172"/>
      <c r="V65" s="162">
        <f t="shared" si="4"/>
        <v>29</v>
      </c>
      <c r="W65" s="232">
        <f t="shared" si="5"/>
        <v>69.343065693430702</v>
      </c>
      <c r="X65" s="160">
        <f t="shared" si="6"/>
        <v>113720.93023255815</v>
      </c>
    </row>
    <row r="66" spans="13:24" ht="15" customHeight="1" x14ac:dyDescent="0.35">
      <c r="M66" s="66"/>
      <c r="N66" s="172"/>
      <c r="V66" s="162">
        <f t="shared" si="4"/>
        <v>29</v>
      </c>
      <c r="W66" s="232">
        <f t="shared" si="5"/>
        <v>69.343065693430702</v>
      </c>
      <c r="X66" s="160">
        <f t="shared" si="6"/>
        <v>116279.0697674418</v>
      </c>
    </row>
    <row r="67" spans="13:24" ht="15" customHeight="1" x14ac:dyDescent="0.35">
      <c r="M67" s="66"/>
      <c r="N67" s="172"/>
      <c r="V67" s="162">
        <f t="shared" si="4"/>
        <v>30</v>
      </c>
      <c r="W67" s="232">
        <f t="shared" si="5"/>
        <v>75.425790754257903</v>
      </c>
      <c r="X67" s="160">
        <f t="shared" si="6"/>
        <v>116279.0697674418</v>
      </c>
    </row>
    <row r="68" spans="13:24" ht="15" customHeight="1" x14ac:dyDescent="0.35">
      <c r="M68" s="66"/>
      <c r="N68" s="172"/>
      <c r="V68" s="162">
        <f t="shared" si="4"/>
        <v>30</v>
      </c>
      <c r="W68" s="232">
        <f t="shared" si="5"/>
        <v>75.425790754257903</v>
      </c>
      <c r="X68" s="160">
        <f t="shared" si="6"/>
        <v>119302.32558139531</v>
      </c>
    </row>
    <row r="69" spans="13:24" ht="15" customHeight="1" x14ac:dyDescent="0.35">
      <c r="M69" s="66"/>
      <c r="N69" s="172"/>
      <c r="V69" s="162">
        <f t="shared" si="4"/>
        <v>31</v>
      </c>
      <c r="W69" s="232">
        <f t="shared" si="5"/>
        <v>80.291970802919707</v>
      </c>
      <c r="X69" s="160">
        <f t="shared" si="6"/>
        <v>119302.32558139531</v>
      </c>
    </row>
    <row r="70" spans="13:24" ht="15" customHeight="1" x14ac:dyDescent="0.35">
      <c r="M70" s="66"/>
      <c r="N70" s="172"/>
      <c r="V70" s="162">
        <f t="shared" si="4"/>
        <v>31</v>
      </c>
      <c r="W70" s="232">
        <f t="shared" si="5"/>
        <v>80.291970802919707</v>
      </c>
      <c r="X70" s="160">
        <f t="shared" si="6"/>
        <v>121860.46511627894</v>
      </c>
    </row>
    <row r="71" spans="13:24" ht="15" customHeight="1" x14ac:dyDescent="0.35">
      <c r="M71" s="66"/>
      <c r="N71" s="172"/>
      <c r="V71" s="162">
        <f t="shared" si="4"/>
        <v>32</v>
      </c>
      <c r="W71" s="232">
        <f t="shared" si="5"/>
        <v>83.941605839415999</v>
      </c>
      <c r="X71" s="160">
        <f t="shared" si="6"/>
        <v>121860.46511627894</v>
      </c>
    </row>
    <row r="72" spans="13:24" ht="15" customHeight="1" x14ac:dyDescent="0.35">
      <c r="M72" s="66"/>
      <c r="N72" s="172"/>
      <c r="V72" s="162">
        <f t="shared" si="4"/>
        <v>32</v>
      </c>
      <c r="W72" s="232">
        <f t="shared" si="5"/>
        <v>83.941605839415999</v>
      </c>
      <c r="X72" s="160">
        <f t="shared" si="6"/>
        <v>123255.81395348835</v>
      </c>
    </row>
    <row r="73" spans="13:24" ht="15" customHeight="1" x14ac:dyDescent="0.35">
      <c r="M73" s="66"/>
      <c r="N73" s="172"/>
      <c r="V73" s="162">
        <f t="shared" si="4"/>
        <v>33</v>
      </c>
      <c r="W73" s="232">
        <f t="shared" ref="W73:W108" si="7">INDEX($M:$M, MATCH($V73,$L:$L, 0))</f>
        <v>88.807785888077902</v>
      </c>
      <c r="X73" s="160">
        <f t="shared" si="6"/>
        <v>123255.81395348835</v>
      </c>
    </row>
    <row r="74" spans="13:24" ht="15" customHeight="1" x14ac:dyDescent="0.35">
      <c r="M74" s="66"/>
      <c r="N74" s="172"/>
      <c r="V74" s="162">
        <f t="shared" si="4"/>
        <v>33</v>
      </c>
      <c r="W74" s="232">
        <f t="shared" si="7"/>
        <v>88.807785888077902</v>
      </c>
      <c r="X74" s="160">
        <f t="shared" ref="X74:X108" si="8">INDEX($O:$O, MATCH($V73,$L:$L, 0))</f>
        <v>126279.06976744185</v>
      </c>
    </row>
    <row r="75" spans="13:24" ht="15" customHeight="1" x14ac:dyDescent="0.35">
      <c r="M75" s="66"/>
      <c r="N75" s="172"/>
      <c r="V75" s="162">
        <f t="shared" si="4"/>
        <v>34</v>
      </c>
      <c r="W75" s="232">
        <f t="shared" si="7"/>
        <v>94.890510948905103</v>
      </c>
      <c r="X75" s="160">
        <f t="shared" si="8"/>
        <v>126279.06976744185</v>
      </c>
    </row>
    <row r="76" spans="13:24" ht="15" customHeight="1" x14ac:dyDescent="0.35">
      <c r="M76" s="66"/>
      <c r="N76" s="172"/>
      <c r="V76" s="162">
        <f t="shared" ref="V76:V108" si="9">IF(V75=V74, V75+1,V75)</f>
        <v>34</v>
      </c>
      <c r="W76" s="232">
        <f t="shared" si="7"/>
        <v>94.890510948905103</v>
      </c>
      <c r="X76" s="160">
        <f t="shared" si="8"/>
        <v>129069.76744186034</v>
      </c>
    </row>
    <row r="77" spans="13:24" ht="15" customHeight="1" x14ac:dyDescent="0.35">
      <c r="M77" s="66"/>
      <c r="N77" s="172"/>
      <c r="V77" s="162">
        <f t="shared" si="9"/>
        <v>35</v>
      </c>
      <c r="W77" s="232">
        <f t="shared" si="7"/>
        <v>100.97323600973201</v>
      </c>
      <c r="X77" s="160">
        <f t="shared" si="8"/>
        <v>129069.76744186034</v>
      </c>
    </row>
    <row r="78" spans="13:24" ht="15" customHeight="1" x14ac:dyDescent="0.35">
      <c r="M78" s="66"/>
      <c r="N78" s="172"/>
      <c r="V78" s="162">
        <f t="shared" si="9"/>
        <v>35</v>
      </c>
      <c r="W78" s="232">
        <f t="shared" si="7"/>
        <v>100.97323600973201</v>
      </c>
      <c r="X78" s="160">
        <f t="shared" si="8"/>
        <v>131860.465116279</v>
      </c>
    </row>
    <row r="79" spans="13:24" ht="15" customHeight="1" x14ac:dyDescent="0.35">
      <c r="M79" s="66"/>
      <c r="N79" s="172"/>
      <c r="V79" s="162">
        <f t="shared" si="9"/>
        <v>36</v>
      </c>
      <c r="W79" s="232">
        <f t="shared" si="7"/>
        <v>107.05596107055899</v>
      </c>
      <c r="X79" s="160">
        <f t="shared" si="8"/>
        <v>131860.465116279</v>
      </c>
    </row>
    <row r="80" spans="13:24" ht="15" customHeight="1" x14ac:dyDescent="0.35">
      <c r="M80" s="66"/>
      <c r="N80" s="172"/>
      <c r="V80" s="162">
        <f t="shared" si="9"/>
        <v>36</v>
      </c>
      <c r="W80" s="232">
        <f t="shared" si="7"/>
        <v>107.05596107055899</v>
      </c>
      <c r="X80" s="160">
        <f t="shared" si="8"/>
        <v>133488.37209302324</v>
      </c>
    </row>
    <row r="81" spans="13:24" ht="15" customHeight="1" x14ac:dyDescent="0.35">
      <c r="M81" s="66"/>
      <c r="N81" s="172"/>
      <c r="V81" s="162">
        <f t="shared" si="9"/>
        <v>37</v>
      </c>
      <c r="W81" s="232">
        <f t="shared" si="7"/>
        <v>113.138686131386</v>
      </c>
      <c r="X81" s="160">
        <f t="shared" si="8"/>
        <v>133488.37209302324</v>
      </c>
    </row>
    <row r="82" spans="13:24" ht="15" customHeight="1" x14ac:dyDescent="0.35">
      <c r="M82" s="66"/>
      <c r="N82" s="172"/>
      <c r="V82" s="162">
        <f t="shared" si="9"/>
        <v>37</v>
      </c>
      <c r="W82" s="232">
        <f t="shared" si="7"/>
        <v>113.138686131386</v>
      </c>
      <c r="X82" s="160">
        <f t="shared" si="8"/>
        <v>135116.27906976733</v>
      </c>
    </row>
    <row r="83" spans="13:24" ht="15" customHeight="1" x14ac:dyDescent="0.35">
      <c r="M83" s="66"/>
      <c r="N83" s="172"/>
      <c r="V83" s="162">
        <f t="shared" si="9"/>
        <v>38</v>
      </c>
      <c r="W83" s="232">
        <f t="shared" si="7"/>
        <v>125.30413625304099</v>
      </c>
      <c r="X83" s="160">
        <f t="shared" si="8"/>
        <v>135116.27906976733</v>
      </c>
    </row>
    <row r="84" spans="13:24" ht="15" customHeight="1" x14ac:dyDescent="0.35">
      <c r="M84" s="66"/>
      <c r="N84" s="172"/>
      <c r="V84" s="162">
        <f t="shared" si="9"/>
        <v>38</v>
      </c>
      <c r="W84" s="232">
        <f t="shared" si="7"/>
        <v>125.30413625304099</v>
      </c>
      <c r="X84" s="160">
        <f t="shared" si="8"/>
        <v>136744.1860465116</v>
      </c>
    </row>
    <row r="85" spans="13:24" ht="15" customHeight="1" x14ac:dyDescent="0.35">
      <c r="M85" s="66"/>
      <c r="N85" s="172"/>
      <c r="V85" s="162">
        <f t="shared" si="9"/>
        <v>39</v>
      </c>
      <c r="W85" s="232">
        <f t="shared" si="7"/>
        <v>139.90267639902601</v>
      </c>
      <c r="X85" s="160">
        <f t="shared" si="8"/>
        <v>136744.1860465116</v>
      </c>
    </row>
    <row r="86" spans="13:24" ht="15" customHeight="1" x14ac:dyDescent="0.35">
      <c r="M86" s="66"/>
      <c r="N86" s="172"/>
      <c r="V86" s="162">
        <f t="shared" si="9"/>
        <v>39</v>
      </c>
      <c r="W86" s="232">
        <f t="shared" si="7"/>
        <v>139.90267639902601</v>
      </c>
      <c r="X86" s="160">
        <f t="shared" si="8"/>
        <v>139069.7674418604</v>
      </c>
    </row>
    <row r="87" spans="13:24" ht="15" customHeight="1" x14ac:dyDescent="0.35">
      <c r="M87" s="66"/>
      <c r="N87" s="172"/>
      <c r="V87" s="162">
        <f t="shared" si="9"/>
        <v>40</v>
      </c>
      <c r="W87" s="232">
        <f t="shared" si="7"/>
        <v>154.501216545012</v>
      </c>
      <c r="X87" s="160">
        <f t="shared" si="8"/>
        <v>139069.7674418604</v>
      </c>
    </row>
    <row r="88" spans="13:24" ht="15" customHeight="1" x14ac:dyDescent="0.35">
      <c r="M88" s="66"/>
      <c r="N88" s="172"/>
      <c r="V88" s="162">
        <f t="shared" si="9"/>
        <v>40</v>
      </c>
      <c r="W88" s="232">
        <f t="shared" si="7"/>
        <v>154.501216545012</v>
      </c>
      <c r="X88" s="160">
        <f t="shared" si="8"/>
        <v>140930.23255813948</v>
      </c>
    </row>
    <row r="89" spans="13:24" ht="15" customHeight="1" x14ac:dyDescent="0.35">
      <c r="M89" s="66"/>
      <c r="N89" s="172"/>
      <c r="V89" s="162">
        <f t="shared" si="9"/>
        <v>41</v>
      </c>
      <c r="W89" s="232">
        <f t="shared" si="7"/>
        <v>167.883211678832</v>
      </c>
      <c r="X89" s="160">
        <f t="shared" si="8"/>
        <v>140930.23255813948</v>
      </c>
    </row>
    <row r="90" spans="13:24" ht="15" customHeight="1" x14ac:dyDescent="0.35">
      <c r="M90" s="66"/>
      <c r="N90" s="172"/>
      <c r="V90" s="162">
        <f t="shared" si="9"/>
        <v>41</v>
      </c>
      <c r="W90" s="232">
        <f t="shared" si="7"/>
        <v>167.883211678832</v>
      </c>
      <c r="X90" s="160">
        <f t="shared" si="8"/>
        <v>142325.58139534874</v>
      </c>
    </row>
    <row r="91" spans="13:24" ht="15" customHeight="1" x14ac:dyDescent="0.35">
      <c r="M91" s="66"/>
      <c r="N91" s="172"/>
      <c r="V91" s="162">
        <f t="shared" si="9"/>
        <v>42</v>
      </c>
      <c r="W91" s="232">
        <f t="shared" si="7"/>
        <v>180.048661800486</v>
      </c>
      <c r="X91" s="160">
        <f t="shared" si="8"/>
        <v>142325.58139534874</v>
      </c>
    </row>
    <row r="92" spans="13:24" ht="15" customHeight="1" x14ac:dyDescent="0.35">
      <c r="M92" s="66"/>
      <c r="N92" s="172"/>
      <c r="V92" s="162">
        <f t="shared" si="9"/>
        <v>42</v>
      </c>
      <c r="W92" s="232">
        <f t="shared" si="7"/>
        <v>180.048661800486</v>
      </c>
      <c r="X92" s="160">
        <f t="shared" si="8"/>
        <v>144186.04651162785</v>
      </c>
    </row>
    <row r="93" spans="13:24" ht="15" customHeight="1" x14ac:dyDescent="0.35">
      <c r="M93" s="66"/>
      <c r="N93" s="172"/>
      <c r="V93" s="162">
        <f t="shared" si="9"/>
        <v>43</v>
      </c>
      <c r="W93" s="232">
        <f t="shared" si="7"/>
        <v>188.56447688564401</v>
      </c>
      <c r="X93" s="160">
        <f t="shared" si="8"/>
        <v>144186.04651162785</v>
      </c>
    </row>
    <row r="94" spans="13:24" ht="15" customHeight="1" x14ac:dyDescent="0.35">
      <c r="M94" s="66"/>
      <c r="N94" s="172"/>
      <c r="V94" s="162">
        <f t="shared" si="9"/>
        <v>43</v>
      </c>
      <c r="W94" s="232">
        <f t="shared" si="7"/>
        <v>188.56447688564401</v>
      </c>
      <c r="X94" s="160">
        <f t="shared" si="8"/>
        <v>145581.3953488371</v>
      </c>
    </row>
    <row r="95" spans="13:24" ht="15" customHeight="1" x14ac:dyDescent="0.35">
      <c r="M95" s="66"/>
      <c r="N95" s="172"/>
      <c r="V95" s="162">
        <f t="shared" si="9"/>
        <v>44</v>
      </c>
      <c r="W95" s="232">
        <f t="shared" si="7"/>
        <v>205.596107055961</v>
      </c>
      <c r="X95" s="160">
        <f t="shared" si="8"/>
        <v>145581.3953488371</v>
      </c>
    </row>
    <row r="96" spans="13:24" ht="15" customHeight="1" x14ac:dyDescent="0.35">
      <c r="M96" s="66"/>
      <c r="N96" s="172"/>
      <c r="V96" s="162">
        <f t="shared" si="9"/>
        <v>44</v>
      </c>
      <c r="W96" s="232">
        <f t="shared" si="7"/>
        <v>205.596107055961</v>
      </c>
      <c r="X96" s="160">
        <f t="shared" si="8"/>
        <v>146511.62790697665</v>
      </c>
    </row>
    <row r="97" spans="13:24" ht="15" customHeight="1" x14ac:dyDescent="0.35">
      <c r="M97" s="66"/>
      <c r="N97" s="172"/>
      <c r="V97" s="162">
        <f t="shared" si="9"/>
        <v>45</v>
      </c>
      <c r="W97" s="232">
        <f t="shared" si="7"/>
        <v>227.49391727493901</v>
      </c>
      <c r="X97" s="160">
        <f t="shared" si="8"/>
        <v>146511.62790697665</v>
      </c>
    </row>
    <row r="98" spans="13:24" ht="15" customHeight="1" x14ac:dyDescent="0.35">
      <c r="M98" s="66"/>
      <c r="N98" s="172"/>
      <c r="V98" s="162">
        <f t="shared" si="9"/>
        <v>45</v>
      </c>
      <c r="W98" s="232">
        <f t="shared" si="7"/>
        <v>227.49391727493901</v>
      </c>
      <c r="X98" s="160">
        <f t="shared" si="8"/>
        <v>147441.86046511619</v>
      </c>
    </row>
    <row r="99" spans="13:24" ht="15" customHeight="1" x14ac:dyDescent="0.35">
      <c r="M99" s="66"/>
      <c r="N99" s="172"/>
      <c r="V99" s="162">
        <f t="shared" si="9"/>
        <v>46</v>
      </c>
      <c r="W99" s="232">
        <f t="shared" si="7"/>
        <v>245.74209245742</v>
      </c>
      <c r="X99" s="160">
        <f t="shared" si="8"/>
        <v>147441.86046511619</v>
      </c>
    </row>
    <row r="100" spans="13:24" ht="15" customHeight="1" x14ac:dyDescent="0.35">
      <c r="M100" s="66"/>
      <c r="N100" s="172"/>
      <c r="V100" s="162">
        <f t="shared" si="9"/>
        <v>46</v>
      </c>
      <c r="W100" s="232">
        <f t="shared" si="7"/>
        <v>245.74209245742</v>
      </c>
      <c r="X100" s="160">
        <f t="shared" si="8"/>
        <v>148372.09302325576</v>
      </c>
    </row>
    <row r="101" spans="13:24" ht="15" customHeight="1" x14ac:dyDescent="0.35">
      <c r="M101" s="66"/>
      <c r="N101" s="172"/>
      <c r="V101" s="162">
        <f t="shared" si="9"/>
        <v>47</v>
      </c>
      <c r="W101" s="232">
        <f t="shared" si="7"/>
        <v>259.12408759124003</v>
      </c>
      <c r="X101" s="160">
        <f t="shared" si="8"/>
        <v>148372.09302325576</v>
      </c>
    </row>
    <row r="102" spans="13:24" ht="15" customHeight="1" x14ac:dyDescent="0.35">
      <c r="M102" s="66"/>
      <c r="N102" s="172"/>
      <c r="V102" s="162">
        <f t="shared" si="9"/>
        <v>47</v>
      </c>
      <c r="W102" s="232">
        <f t="shared" si="7"/>
        <v>259.12408759124003</v>
      </c>
      <c r="X102" s="160">
        <f t="shared" si="8"/>
        <v>149069.76744186046</v>
      </c>
    </row>
    <row r="103" spans="13:24" ht="15" customHeight="1" x14ac:dyDescent="0.35">
      <c r="M103" s="66"/>
      <c r="N103" s="172"/>
      <c r="V103" s="162">
        <f t="shared" si="9"/>
        <v>48</v>
      </c>
      <c r="W103" s="232">
        <f t="shared" si="7"/>
        <v>279.80535279805298</v>
      </c>
      <c r="X103" s="160">
        <f t="shared" si="8"/>
        <v>149069.76744186046</v>
      </c>
    </row>
    <row r="104" spans="13:24" ht="15" customHeight="1" x14ac:dyDescent="0.35">
      <c r="M104" s="66"/>
      <c r="N104" s="172"/>
      <c r="V104" s="162">
        <f t="shared" si="9"/>
        <v>48</v>
      </c>
      <c r="W104" s="232">
        <f t="shared" si="7"/>
        <v>279.80535279805298</v>
      </c>
      <c r="X104" s="160">
        <f t="shared" si="8"/>
        <v>149302.3255813953</v>
      </c>
    </row>
    <row r="105" spans="13:24" ht="15" customHeight="1" x14ac:dyDescent="0.35">
      <c r="M105" s="93"/>
      <c r="N105" s="198"/>
      <c r="V105" s="162">
        <f t="shared" si="9"/>
        <v>49</v>
      </c>
      <c r="W105" s="232">
        <f t="shared" si="7"/>
        <v>304.13625304136201</v>
      </c>
      <c r="X105" s="160">
        <f t="shared" si="8"/>
        <v>149302.3255813953</v>
      </c>
    </row>
    <row r="106" spans="13:24" ht="15" customHeight="1" x14ac:dyDescent="0.35">
      <c r="M106" s="93"/>
      <c r="N106" s="198"/>
      <c r="V106" s="162">
        <f t="shared" si="9"/>
        <v>49</v>
      </c>
      <c r="W106" s="232">
        <f t="shared" si="7"/>
        <v>304.13625304136201</v>
      </c>
      <c r="X106" s="160">
        <f t="shared" si="8"/>
        <v>149767.44186046501</v>
      </c>
    </row>
    <row r="107" spans="13:24" ht="15" customHeight="1" x14ac:dyDescent="0.35">
      <c r="M107" s="93"/>
      <c r="N107" s="198"/>
      <c r="V107" s="162">
        <f t="shared" si="9"/>
        <v>50</v>
      </c>
      <c r="W107" s="232">
        <f t="shared" si="7"/>
        <v>1000</v>
      </c>
      <c r="X107" s="160">
        <f t="shared" si="8"/>
        <v>149767.44186046501</v>
      </c>
    </row>
    <row r="108" spans="13:24" ht="15" customHeight="1" x14ac:dyDescent="0.35">
      <c r="M108" s="93"/>
      <c r="N108" s="198"/>
      <c r="V108" s="164">
        <f t="shared" si="9"/>
        <v>50</v>
      </c>
      <c r="W108" s="233">
        <f t="shared" si="7"/>
        <v>1000</v>
      </c>
      <c r="X108" s="161">
        <f t="shared" si="8"/>
        <v>150000</v>
      </c>
    </row>
    <row r="109" spans="13:24" ht="15" customHeight="1" x14ac:dyDescent="0.35">
      <c r="M109" s="93"/>
      <c r="N109" s="198"/>
      <c r="W109" s="64"/>
      <c r="X109" s="65"/>
    </row>
    <row r="110" spans="13:24" ht="15" customHeight="1" x14ac:dyDescent="0.35">
      <c r="M110" s="171"/>
      <c r="N110" s="172"/>
      <c r="W110" s="64"/>
      <c r="X110" s="65"/>
    </row>
    <row r="111" spans="13:24" ht="15" customHeight="1" x14ac:dyDescent="0.35">
      <c r="M111" s="171"/>
      <c r="N111" s="172"/>
      <c r="W111" s="64"/>
      <c r="X111" s="65"/>
    </row>
    <row r="112" spans="13:24" ht="15" customHeight="1" x14ac:dyDescent="0.35">
      <c r="M112" s="61"/>
      <c r="N112" s="62"/>
      <c r="W112" s="64"/>
      <c r="X112" s="65"/>
    </row>
    <row r="113" spans="23:24" ht="15" customHeight="1" x14ac:dyDescent="0.35">
      <c r="W113" s="64"/>
      <c r="X113" s="65"/>
    </row>
    <row r="114" spans="23:24" ht="15" customHeight="1" x14ac:dyDescent="0.35">
      <c r="W114" s="64"/>
      <c r="X114" s="65"/>
    </row>
    <row r="115" spans="23:24" ht="15" customHeight="1" x14ac:dyDescent="0.35">
      <c r="W115" s="64"/>
      <c r="X115" s="65"/>
    </row>
    <row r="116" spans="23:24" ht="15" customHeight="1" x14ac:dyDescent="0.35">
      <c r="W116" s="64"/>
      <c r="X116" s="65"/>
    </row>
    <row r="117" spans="23:24" ht="15" customHeight="1" x14ac:dyDescent="0.35">
      <c r="W117" s="64"/>
      <c r="X117" s="65"/>
    </row>
    <row r="118" spans="23:24" ht="15" customHeight="1" x14ac:dyDescent="0.35">
      <c r="W118" s="64"/>
      <c r="X118" s="65"/>
    </row>
    <row r="119" spans="23:24" ht="15" customHeight="1" x14ac:dyDescent="0.35">
      <c r="W119" s="64"/>
      <c r="X119" s="65"/>
    </row>
    <row r="120" spans="23:24" ht="15" customHeight="1" x14ac:dyDescent="0.35">
      <c r="W120" s="64"/>
      <c r="X120" s="65"/>
    </row>
    <row r="121" spans="23:24" ht="15" customHeight="1" x14ac:dyDescent="0.35">
      <c r="W121" s="64"/>
      <c r="X121" s="65"/>
    </row>
    <row r="122" spans="23:24" ht="15" customHeight="1" x14ac:dyDescent="0.35">
      <c r="W122" s="64"/>
      <c r="X122" s="65"/>
    </row>
    <row r="123" spans="23:24" ht="15" customHeight="1" x14ac:dyDescent="0.35">
      <c r="W123" s="64"/>
      <c r="X123" s="65"/>
    </row>
    <row r="124" spans="23:24" ht="15" customHeight="1" x14ac:dyDescent="0.35">
      <c r="W124" s="64"/>
      <c r="X124" s="65"/>
    </row>
    <row r="125" spans="23:24" ht="15" customHeight="1" x14ac:dyDescent="0.35">
      <c r="W125" s="64"/>
      <c r="X125" s="65"/>
    </row>
    <row r="126" spans="23:24" ht="15" customHeight="1" x14ac:dyDescent="0.35">
      <c r="W126" s="64"/>
      <c r="X126" s="65"/>
    </row>
    <row r="127" spans="23:24" ht="15" customHeight="1" x14ac:dyDescent="0.35">
      <c r="W127" s="64"/>
      <c r="X127" s="65"/>
    </row>
    <row r="128" spans="23:24" ht="15" customHeight="1" x14ac:dyDescent="0.35">
      <c r="W128" s="64"/>
      <c r="X128" s="65"/>
    </row>
    <row r="129" spans="23:24" ht="15" customHeight="1" x14ac:dyDescent="0.35">
      <c r="W129" s="64"/>
      <c r="X129" s="65"/>
    </row>
    <row r="130" spans="23:24" ht="15" customHeight="1" x14ac:dyDescent="0.35">
      <c r="W130" s="64"/>
      <c r="X130" s="65"/>
    </row>
    <row r="131" spans="23:24" ht="15" customHeight="1" x14ac:dyDescent="0.35">
      <c r="W131" s="64"/>
      <c r="X131" s="65"/>
    </row>
    <row r="132" spans="23:24" ht="15" customHeight="1" x14ac:dyDescent="0.35">
      <c r="W132" s="64"/>
      <c r="X132" s="65"/>
    </row>
    <row r="133" spans="23:24" ht="15" customHeight="1" x14ac:dyDescent="0.35">
      <c r="W133" s="64"/>
      <c r="X133" s="65"/>
    </row>
    <row r="134" spans="23:24" ht="15" customHeight="1" x14ac:dyDescent="0.35">
      <c r="W134" s="64"/>
      <c r="X134" s="65"/>
    </row>
    <row r="135" spans="23:24" ht="15" customHeight="1" x14ac:dyDescent="0.35">
      <c r="W135" s="64"/>
      <c r="X135" s="65"/>
    </row>
    <row r="136" spans="23:24" ht="15" customHeight="1" x14ac:dyDescent="0.35">
      <c r="W136" s="64"/>
      <c r="X136" s="65"/>
    </row>
    <row r="137" spans="23:24" ht="15" customHeight="1" x14ac:dyDescent="0.35">
      <c r="W137" s="64"/>
      <c r="X137" s="65"/>
    </row>
    <row r="138" spans="23:24" ht="15" customHeight="1" x14ac:dyDescent="0.35">
      <c r="W138" s="64"/>
      <c r="X138" s="65"/>
    </row>
    <row r="139" spans="23:24" ht="15" customHeight="1" x14ac:dyDescent="0.35">
      <c r="W139" s="64"/>
      <c r="X139" s="65"/>
    </row>
    <row r="140" spans="23:24" ht="15" customHeight="1" x14ac:dyDescent="0.35">
      <c r="W140" s="64"/>
      <c r="X140" s="65"/>
    </row>
    <row r="141" spans="23:24" ht="15" customHeight="1" x14ac:dyDescent="0.35">
      <c r="W141" s="64"/>
      <c r="X141" s="65"/>
    </row>
    <row r="142" spans="23:24" ht="15" customHeight="1" x14ac:dyDescent="0.35">
      <c r="W142" s="64"/>
      <c r="X142" s="65"/>
    </row>
    <row r="143" spans="23:24" ht="15" customHeight="1" x14ac:dyDescent="0.35">
      <c r="W143" s="64"/>
      <c r="X143" s="65"/>
    </row>
    <row r="144" spans="23:24" ht="15" customHeight="1" x14ac:dyDescent="0.35">
      <c r="W144" s="64"/>
      <c r="X144" s="65"/>
    </row>
    <row r="145" spans="23:24" ht="15" customHeight="1" x14ac:dyDescent="0.35">
      <c r="W145" s="64"/>
      <c r="X145" s="65"/>
    </row>
    <row r="146" spans="23:24" ht="15" customHeight="1" x14ac:dyDescent="0.35">
      <c r="W146" s="64"/>
      <c r="X146" s="65"/>
    </row>
    <row r="147" spans="23:24" ht="15" customHeight="1" x14ac:dyDescent="0.35">
      <c r="W147" s="64"/>
      <c r="X147" s="65"/>
    </row>
    <row r="148" spans="23:24" ht="15" customHeight="1" x14ac:dyDescent="0.35">
      <c r="W148" s="64"/>
      <c r="X148" s="65"/>
    </row>
    <row r="149" spans="23:24" ht="15" customHeight="1" x14ac:dyDescent="0.35">
      <c r="W149" s="64"/>
      <c r="X149" s="65"/>
    </row>
    <row r="150" spans="23:24" ht="15" customHeight="1" x14ac:dyDescent="0.35">
      <c r="W150" s="64"/>
      <c r="X150" s="65"/>
    </row>
    <row r="151" spans="23:24" ht="15" customHeight="1" x14ac:dyDescent="0.35">
      <c r="W151" s="64"/>
      <c r="X151" s="65"/>
    </row>
    <row r="152" spans="23:24" ht="15" customHeight="1" x14ac:dyDescent="0.35">
      <c r="W152" s="64"/>
      <c r="X152" s="65"/>
    </row>
    <row r="153" spans="23:24" ht="15" customHeight="1" x14ac:dyDescent="0.35">
      <c r="W153" s="64"/>
      <c r="X153" s="65"/>
    </row>
    <row r="154" spans="23:24" ht="15" customHeight="1" x14ac:dyDescent="0.35">
      <c r="W154" s="64"/>
      <c r="X154" s="65"/>
    </row>
    <row r="155" spans="23:24" ht="15" customHeight="1" x14ac:dyDescent="0.35">
      <c r="W155" s="64"/>
      <c r="X155" s="65"/>
    </row>
    <row r="156" spans="23:24" ht="15" customHeight="1" x14ac:dyDescent="0.35">
      <c r="W156" s="64"/>
      <c r="X156" s="65"/>
    </row>
    <row r="157" spans="23:24" ht="15" customHeight="1" x14ac:dyDescent="0.35">
      <c r="W157" s="64"/>
      <c r="X157" s="65"/>
    </row>
    <row r="158" spans="23:24" ht="15" customHeight="1" x14ac:dyDescent="0.35">
      <c r="W158" s="64"/>
      <c r="X158" s="65"/>
    </row>
    <row r="159" spans="23:24" ht="15" customHeight="1" x14ac:dyDescent="0.35">
      <c r="W159" s="64"/>
      <c r="X159" s="65"/>
    </row>
    <row r="160" spans="23:24" ht="15" customHeight="1" x14ac:dyDescent="0.35">
      <c r="W160" s="64"/>
      <c r="X160" s="65"/>
    </row>
    <row r="161" spans="23:24" ht="15" customHeight="1" x14ac:dyDescent="0.35">
      <c r="W161" s="64"/>
      <c r="X161" s="65"/>
    </row>
    <row r="162" spans="23:24" ht="15" customHeight="1" x14ac:dyDescent="0.35">
      <c r="W162" s="64"/>
      <c r="X162" s="65"/>
    </row>
    <row r="163" spans="23:24" ht="15" customHeight="1" x14ac:dyDescent="0.35">
      <c r="W163" s="64"/>
      <c r="X163" s="65"/>
    </row>
    <row r="164" spans="23:24" ht="15" customHeight="1" x14ac:dyDescent="0.35">
      <c r="W164" s="64"/>
      <c r="X164" s="65"/>
    </row>
    <row r="165" spans="23:24" ht="15" customHeight="1" x14ac:dyDescent="0.35">
      <c r="W165" s="64"/>
      <c r="X165" s="65"/>
    </row>
    <row r="166" spans="23:24" ht="15" customHeight="1" x14ac:dyDescent="0.35">
      <c r="W166" s="64"/>
      <c r="X166" s="65"/>
    </row>
    <row r="167" spans="23:24" ht="15" customHeight="1" x14ac:dyDescent="0.35">
      <c r="W167" s="64"/>
      <c r="X167" s="65"/>
    </row>
    <row r="168" spans="23:24" ht="15" customHeight="1" x14ac:dyDescent="0.35">
      <c r="W168" s="64"/>
      <c r="X168" s="65"/>
    </row>
    <row r="169" spans="23:24" ht="15" customHeight="1" x14ac:dyDescent="0.35">
      <c r="W169" s="64"/>
      <c r="X169" s="65"/>
    </row>
    <row r="170" spans="23:24" ht="15" customHeight="1" x14ac:dyDescent="0.35">
      <c r="W170" s="64"/>
      <c r="X170" s="65"/>
    </row>
    <row r="171" spans="23:24" ht="15" customHeight="1" x14ac:dyDescent="0.35">
      <c r="W171" s="64"/>
      <c r="X171" s="65"/>
    </row>
    <row r="172" spans="23:24" ht="15" customHeight="1" x14ac:dyDescent="0.35">
      <c r="W172" s="64"/>
      <c r="X172" s="65"/>
    </row>
    <row r="173" spans="23:24" ht="15" customHeight="1" x14ac:dyDescent="0.35">
      <c r="W173" s="64"/>
      <c r="X173" s="65"/>
    </row>
    <row r="174" spans="23:24" ht="15" customHeight="1" x14ac:dyDescent="0.35">
      <c r="W174" s="64"/>
      <c r="X174" s="65"/>
    </row>
    <row r="175" spans="23:24" ht="15" customHeight="1" x14ac:dyDescent="0.35">
      <c r="W175" s="64"/>
      <c r="X175" s="65"/>
    </row>
    <row r="176" spans="23:24" ht="15" customHeight="1" x14ac:dyDescent="0.35">
      <c r="W176" s="64"/>
      <c r="X176" s="65"/>
    </row>
    <row r="177" spans="23:24" ht="15" customHeight="1" x14ac:dyDescent="0.35">
      <c r="W177" s="64"/>
      <c r="X177" s="65"/>
    </row>
    <row r="178" spans="23:24" ht="15" customHeight="1" x14ac:dyDescent="0.35">
      <c r="W178" s="64"/>
      <c r="X178" s="65"/>
    </row>
    <row r="179" spans="23:24" ht="15" customHeight="1" x14ac:dyDescent="0.35">
      <c r="W179" s="64"/>
      <c r="X179" s="65"/>
    </row>
    <row r="180" spans="23:24" ht="15" customHeight="1" x14ac:dyDescent="0.35">
      <c r="W180" s="64"/>
      <c r="X180" s="65"/>
    </row>
    <row r="181" spans="23:24" ht="15" customHeight="1" x14ac:dyDescent="0.35">
      <c r="W181" s="64"/>
      <c r="X181" s="65"/>
    </row>
    <row r="182" spans="23:24" ht="15" customHeight="1" x14ac:dyDescent="0.35">
      <c r="W182" s="64"/>
      <c r="X182" s="65"/>
    </row>
    <row r="183" spans="23:24" ht="15" customHeight="1" x14ac:dyDescent="0.35">
      <c r="W183" s="64"/>
      <c r="X183" s="65"/>
    </row>
    <row r="184" spans="23:24" ht="15" customHeight="1" x14ac:dyDescent="0.35">
      <c r="W184" s="64"/>
      <c r="X184" s="65"/>
    </row>
    <row r="185" spans="23:24" ht="15" customHeight="1" x14ac:dyDescent="0.35">
      <c r="W185" s="64"/>
      <c r="X185" s="65"/>
    </row>
    <row r="186" spans="23:24" ht="15" customHeight="1" x14ac:dyDescent="0.35">
      <c r="W186" s="64"/>
      <c r="X186" s="65"/>
    </row>
    <row r="187" spans="23:24" ht="15" customHeight="1" x14ac:dyDescent="0.35">
      <c r="W187" s="64"/>
      <c r="X187" s="65"/>
    </row>
    <row r="188" spans="23:24" ht="15" customHeight="1" x14ac:dyDescent="0.35">
      <c r="W188" s="64"/>
      <c r="X188" s="65"/>
    </row>
    <row r="189" spans="23:24" ht="15" customHeight="1" x14ac:dyDescent="0.35">
      <c r="W189" s="64"/>
      <c r="X189" s="65"/>
    </row>
    <row r="190" spans="23:24" ht="15" customHeight="1" x14ac:dyDescent="0.35">
      <c r="W190" s="64"/>
      <c r="X190" s="65"/>
    </row>
    <row r="191" spans="23:24" ht="15" customHeight="1" x14ac:dyDescent="0.35">
      <c r="W191" s="64"/>
      <c r="X191" s="65"/>
    </row>
    <row r="192" spans="23:24" ht="15" customHeight="1" x14ac:dyDescent="0.35">
      <c r="W192" s="64"/>
      <c r="X192" s="65"/>
    </row>
    <row r="193" spans="23:24" ht="15" customHeight="1" x14ac:dyDescent="0.35">
      <c r="W193" s="64"/>
      <c r="X193" s="65"/>
    </row>
    <row r="194" spans="23:24" ht="15" customHeight="1" x14ac:dyDescent="0.35">
      <c r="W194" s="64"/>
      <c r="X194" s="65"/>
    </row>
    <row r="195" spans="23:24" ht="15" customHeight="1" x14ac:dyDescent="0.35">
      <c r="W195" s="64"/>
      <c r="X195" s="65"/>
    </row>
    <row r="196" spans="23:24" ht="15" customHeight="1" x14ac:dyDescent="0.35">
      <c r="W196" s="64"/>
      <c r="X196" s="65"/>
    </row>
    <row r="197" spans="23:24" ht="15" customHeight="1" x14ac:dyDescent="0.35">
      <c r="W197" s="64"/>
      <c r="X197" s="65"/>
    </row>
    <row r="198" spans="23:24" ht="15" customHeight="1" x14ac:dyDescent="0.35">
      <c r="W198" s="64"/>
      <c r="X198" s="65"/>
    </row>
    <row r="199" spans="23:24" ht="15" customHeight="1" x14ac:dyDescent="0.35">
      <c r="W199" s="64"/>
      <c r="X199" s="65"/>
    </row>
    <row r="200" spans="23:24" ht="15" customHeight="1" x14ac:dyDescent="0.35">
      <c r="W200" s="64"/>
      <c r="X200" s="65"/>
    </row>
    <row r="201" spans="23:24" ht="15" customHeight="1" x14ac:dyDescent="0.35">
      <c r="W201" s="64"/>
      <c r="X201" s="65"/>
    </row>
    <row r="202" spans="23:24" ht="15" customHeight="1" x14ac:dyDescent="0.35">
      <c r="W202" s="64"/>
      <c r="X202" s="65"/>
    </row>
    <row r="203" spans="23:24" ht="15" customHeight="1" x14ac:dyDescent="0.35">
      <c r="W203" s="64"/>
      <c r="X203" s="65"/>
    </row>
    <row r="204" spans="23:24" ht="15" customHeight="1" x14ac:dyDescent="0.35">
      <c r="W204" s="64"/>
      <c r="X204" s="65"/>
    </row>
    <row r="205" spans="23:24" ht="15" customHeight="1" x14ac:dyDescent="0.35">
      <c r="W205" s="64"/>
      <c r="X205" s="65"/>
    </row>
    <row r="206" spans="23:24" ht="15" customHeight="1" x14ac:dyDescent="0.35">
      <c r="W206" s="64"/>
      <c r="X206" s="65"/>
    </row>
    <row r="207" spans="23:24" ht="15" customHeight="1" x14ac:dyDescent="0.35">
      <c r="W207" s="64"/>
      <c r="X207" s="65"/>
    </row>
    <row r="208" spans="23:24" ht="15" customHeight="1" x14ac:dyDescent="0.35">
      <c r="W208" s="64"/>
      <c r="X208" s="65"/>
    </row>
  </sheetData>
  <mergeCells count="2">
    <mergeCell ref="F6:G6"/>
    <mergeCell ref="I6:J6"/>
  </mergeCells>
  <conditionalFormatting sqref="D30:H36 D11:E11 H11:H12 J30:J36 E12 D12:D29">
    <cfRule type="expression" dxfId="4" priority="9">
      <formula>ISNA(D11)</formula>
    </cfRule>
  </conditionalFormatting>
  <conditionalFormatting sqref="D10:F10 E12 D12:D29 D11:E11 H10:H12 F11:F29">
    <cfRule type="expression" dxfId="3" priority="8">
      <formula>ISNA(D10)</formula>
    </cfRule>
  </conditionalFormatting>
  <conditionalFormatting sqref="G10:G29">
    <cfRule type="expression" dxfId="2" priority="4">
      <formula>ISNA(G10)</formula>
    </cfRule>
  </conditionalFormatting>
  <conditionalFormatting sqref="I10:I29">
    <cfRule type="expression" dxfId="1" priority="3">
      <formula>ISNA(I10)</formula>
    </cfRule>
  </conditionalFormatting>
  <conditionalFormatting sqref="J10:J29">
    <cfRule type="expression" dxfId="0" priority="2">
      <formula>ISNA(J10)</formula>
    </cfRule>
  </conditionalFormatting>
  <printOptions horizontalCentered="1"/>
  <pageMargins left="0.7" right="0.7" top="0.75" bottom="0.75" header="0.3" footer="0.3"/>
  <pageSetup orientation="landscape"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ReadMe</vt:lpstr>
      <vt:lpstr>Auction Simulation</vt:lpstr>
      <vt:lpstr>Supporting Tabs &gt;&gt;</vt:lpstr>
      <vt:lpstr>Net CONE</vt:lpstr>
      <vt:lpstr>LOLE</vt:lpstr>
      <vt:lpstr>Demand Curves</vt:lpstr>
      <vt:lpstr>Clearing Details</vt:lpstr>
      <vt:lpstr>bra_cleared_price_2026DollarsPerMWDay</vt:lpstr>
      <vt:lpstr>bra_cleared_quantity_MW</vt:lpstr>
      <vt:lpstr>cc_gross_cone</vt:lpstr>
      <vt:lpstr>cc_net_cone</vt:lpstr>
      <vt:lpstr>cleared_LOLE_daysperyear</vt:lpstr>
      <vt:lpstr>ct_gross_cone</vt:lpstr>
      <vt:lpstr>ct_net_cone</vt:lpstr>
      <vt:lpstr>lole_table_lole_daysperyear</vt:lpstr>
      <vt:lpstr>lole_table_percentofreliabilityrequirement</vt:lpstr>
      <vt:lpstr>num_points_in_demand_curve</vt:lpstr>
      <vt:lpstr>previous_clearing_price_2026dollarsperucapmwday</vt:lpstr>
      <vt:lpstr>previous_clearing_quantity_ucapmw</vt:lpstr>
      <vt:lpstr>previous_lole_daysperyear</vt:lpstr>
      <vt:lpstr>reliability_requirement_UCAPMW</vt:lpstr>
      <vt:lpstr>supply_curve_price_2026dollarspermwday</vt:lpstr>
      <vt:lpstr>supply_curve_quantity_ucapmw</vt:lpstr>
      <vt:lpstr>total_supply_offers_mw</vt:lpstr>
      <vt:lpstr>zero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2022-06-15T10:06:02Z</dcterms:created>
  <dcterms:modified xsi:type="dcterms:W3CDTF">2022-06-20T11:52:56Z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{B915C325-1719-434E-837F-9EE0A12CD3EF}</vt:lpwstr>
  </property>
</Properties>
</file>