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omerj\AppData\Roaming\OpenText\OTEdit\EC_cera\c246773988\"/>
    </mc:Choice>
  </mc:AlternateContent>
  <bookViews>
    <workbookView xWindow="0" yWindow="0" windowWidth="15360" windowHeight="8205" firstSheet="3" activeTab="6"/>
  </bookViews>
  <sheets>
    <sheet name="RT Only Over Gen Example" sheetId="1" r:id="rId1"/>
    <sheet name="RT Only Over Gen Ex Neg LMP" sheetId="7" r:id="rId2"/>
    <sheet name="RT &amp; DA Over Gen Example" sheetId="10" r:id="rId3"/>
    <sheet name="RT &amp; DA Over Gen Ex Neg LMP " sheetId="13" r:id="rId4"/>
    <sheet name="RT Only Under Gen Example" sheetId="8" r:id="rId5"/>
    <sheet name="RT &amp; DA Under Gen Example" sheetId="11" r:id="rId6"/>
    <sheet name="RT Only UnderGen Start&amp;NoLoad" sheetId="9"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0" i="13" l="1"/>
  <c r="B119" i="13"/>
  <c r="B118" i="13"/>
  <c r="B120" i="10"/>
  <c r="B119" i="10"/>
  <c r="B118" i="10"/>
  <c r="B69" i="10"/>
  <c r="B68" i="10"/>
  <c r="B67" i="10"/>
  <c r="B120" i="9"/>
  <c r="B119" i="9"/>
  <c r="B118" i="9"/>
  <c r="B69" i="9"/>
  <c r="B68" i="9"/>
  <c r="B67" i="9"/>
  <c r="B69" i="1"/>
  <c r="B68" i="1"/>
  <c r="B67" i="1"/>
  <c r="B118" i="1"/>
  <c r="B119" i="1"/>
  <c r="B120" i="1"/>
  <c r="B69" i="7"/>
  <c r="B68" i="7"/>
  <c r="B67" i="7"/>
  <c r="B120" i="7"/>
  <c r="B119" i="7"/>
  <c r="B118" i="7"/>
  <c r="M144" i="13" l="1"/>
  <c r="M93" i="11"/>
  <c r="B69" i="13" l="1"/>
  <c r="B68" i="13"/>
  <c r="B67" i="13"/>
  <c r="O143" i="13"/>
  <c r="T139" i="13"/>
  <c r="I139" i="13"/>
  <c r="B137" i="13"/>
  <c r="I111" i="13" s="1"/>
  <c r="B136" i="13"/>
  <c r="O131" i="13"/>
  <c r="E131" i="13"/>
  <c r="I126" i="13"/>
  <c r="L130" i="13" s="1"/>
  <c r="S120" i="13"/>
  <c r="R120" i="13"/>
  <c r="T120" i="13" s="1"/>
  <c r="Q120" i="13"/>
  <c r="P120" i="13"/>
  <c r="E120" i="13"/>
  <c r="C120" i="13"/>
  <c r="S119" i="13"/>
  <c r="Q119" i="13"/>
  <c r="E119" i="13"/>
  <c r="C119" i="13"/>
  <c r="D120" i="13" s="1"/>
  <c r="D119" i="13"/>
  <c r="S118" i="13"/>
  <c r="Q118" i="13"/>
  <c r="P119" i="13" s="1"/>
  <c r="R119" i="13" s="1"/>
  <c r="E118" i="13"/>
  <c r="C118" i="13"/>
  <c r="D118" i="13"/>
  <c r="F118" i="13" s="1"/>
  <c r="S117" i="13"/>
  <c r="Q117" i="13"/>
  <c r="T117" i="13" s="1"/>
  <c r="E117" i="13"/>
  <c r="C117" i="13"/>
  <c r="N113" i="13"/>
  <c r="L113" i="13"/>
  <c r="H113" i="13"/>
  <c r="E113" i="13"/>
  <c r="G113" i="13" s="1"/>
  <c r="N112" i="13"/>
  <c r="L112" i="13"/>
  <c r="K112" i="13"/>
  <c r="H112" i="13"/>
  <c r="E112" i="13"/>
  <c r="G112" i="13" s="1"/>
  <c r="M111" i="13"/>
  <c r="R117" i="13" s="1"/>
  <c r="L111" i="13"/>
  <c r="N111" i="13" s="1"/>
  <c r="K111" i="13"/>
  <c r="J111" i="13"/>
  <c r="K117" i="13" s="1"/>
  <c r="H111" i="13"/>
  <c r="G111" i="13"/>
  <c r="F111" i="13"/>
  <c r="D117" i="13" s="1"/>
  <c r="E111" i="13"/>
  <c r="O92" i="13"/>
  <c r="I88" i="13"/>
  <c r="T88" i="13" s="1"/>
  <c r="B86" i="13"/>
  <c r="I60" i="13" s="1"/>
  <c r="B85" i="13"/>
  <c r="M93" i="13" s="1"/>
  <c r="O80" i="13"/>
  <c r="E80" i="13"/>
  <c r="I75" i="13"/>
  <c r="S69" i="13"/>
  <c r="Q69" i="13"/>
  <c r="P69" i="13"/>
  <c r="R69" i="13" s="1"/>
  <c r="T69" i="13" s="1"/>
  <c r="E69" i="13"/>
  <c r="C69" i="13"/>
  <c r="S68" i="13"/>
  <c r="Q68" i="13"/>
  <c r="P68" i="13"/>
  <c r="R68" i="13" s="1"/>
  <c r="E68" i="13"/>
  <c r="C68" i="13"/>
  <c r="D69" i="13" s="1"/>
  <c r="F69" i="13" s="1"/>
  <c r="S67" i="13"/>
  <c r="Q67" i="13"/>
  <c r="E67" i="13"/>
  <c r="C67" i="13"/>
  <c r="D67" i="13"/>
  <c r="S66" i="13"/>
  <c r="Q66" i="13"/>
  <c r="E66" i="13"/>
  <c r="C66" i="13"/>
  <c r="L62" i="13"/>
  <c r="N62" i="13" s="1"/>
  <c r="H62" i="13"/>
  <c r="E62" i="13"/>
  <c r="G62" i="13" s="1"/>
  <c r="L61" i="13"/>
  <c r="N61" i="13" s="1"/>
  <c r="H61" i="13"/>
  <c r="K61" i="13" s="1"/>
  <c r="E61" i="13"/>
  <c r="G61" i="13" s="1"/>
  <c r="M60" i="13"/>
  <c r="R66" i="13" s="1"/>
  <c r="L60" i="13"/>
  <c r="N60" i="13" s="1"/>
  <c r="J60" i="13"/>
  <c r="K66" i="13" s="1"/>
  <c r="H60" i="13"/>
  <c r="K60" i="13" s="1"/>
  <c r="F60" i="13"/>
  <c r="D66" i="13" s="1"/>
  <c r="E60" i="13"/>
  <c r="G60" i="13" s="1"/>
  <c r="O41" i="13"/>
  <c r="I37" i="13"/>
  <c r="T37" i="13" s="1"/>
  <c r="B35" i="13"/>
  <c r="I9" i="13" s="1"/>
  <c r="B34" i="13"/>
  <c r="M42" i="13" s="1"/>
  <c r="O29" i="13"/>
  <c r="E29" i="13"/>
  <c r="I24" i="13"/>
  <c r="M40" i="13" s="1"/>
  <c r="S18" i="13"/>
  <c r="R18" i="13"/>
  <c r="T18" i="13" s="1"/>
  <c r="Q18" i="13"/>
  <c r="P18" i="13"/>
  <c r="E18" i="13"/>
  <c r="C18" i="13"/>
  <c r="B18" i="13"/>
  <c r="D18" i="13" s="1"/>
  <c r="S17" i="13"/>
  <c r="Q17" i="13"/>
  <c r="P17" i="13"/>
  <c r="R17" i="13" s="1"/>
  <c r="E17" i="13"/>
  <c r="D17" i="13"/>
  <c r="C17" i="13"/>
  <c r="B17" i="13"/>
  <c r="S16" i="13"/>
  <c r="Q16" i="13"/>
  <c r="P16" i="13"/>
  <c r="R16" i="13" s="1"/>
  <c r="T16" i="13" s="1"/>
  <c r="E16" i="13"/>
  <c r="C16" i="13"/>
  <c r="B16" i="13"/>
  <c r="D16" i="13" s="1"/>
  <c r="F16" i="13" s="1"/>
  <c r="S15" i="13"/>
  <c r="Q15" i="13"/>
  <c r="E15" i="13"/>
  <c r="C15" i="13"/>
  <c r="N11" i="13"/>
  <c r="L11" i="13"/>
  <c r="H11" i="13"/>
  <c r="G11" i="13"/>
  <c r="E11" i="13"/>
  <c r="N10" i="13"/>
  <c r="L10" i="13"/>
  <c r="K10" i="13"/>
  <c r="H10" i="13"/>
  <c r="E10" i="13"/>
  <c r="G10" i="13" s="1"/>
  <c r="M9" i="13"/>
  <c r="R15" i="13" s="1"/>
  <c r="L9" i="13"/>
  <c r="N9" i="13" s="1"/>
  <c r="K9" i="13"/>
  <c r="J9" i="13"/>
  <c r="K15" i="13" s="1"/>
  <c r="H9" i="13"/>
  <c r="F9" i="13"/>
  <c r="D15" i="13" s="1"/>
  <c r="E9" i="13"/>
  <c r="G9" i="13" s="1"/>
  <c r="P120" i="10"/>
  <c r="P119" i="10"/>
  <c r="P118" i="10"/>
  <c r="R118" i="10" s="1"/>
  <c r="T118" i="10" s="1"/>
  <c r="P120" i="9"/>
  <c r="P119" i="9"/>
  <c r="P118" i="9"/>
  <c r="P120" i="8"/>
  <c r="P119" i="8"/>
  <c r="P118" i="8"/>
  <c r="P120" i="7"/>
  <c r="P119" i="7"/>
  <c r="P118" i="7"/>
  <c r="P120" i="1"/>
  <c r="P119" i="1"/>
  <c r="P118" i="1"/>
  <c r="P120" i="11"/>
  <c r="R120" i="11" s="1"/>
  <c r="P119" i="11"/>
  <c r="R119" i="11" s="1"/>
  <c r="P118" i="11"/>
  <c r="R118" i="11" s="1"/>
  <c r="B120" i="11"/>
  <c r="B69" i="11"/>
  <c r="O143" i="11"/>
  <c r="I139" i="11"/>
  <c r="T139" i="11" s="1"/>
  <c r="B137" i="11"/>
  <c r="I111" i="11" s="1"/>
  <c r="B136" i="11"/>
  <c r="M144" i="11" s="1"/>
  <c r="O131" i="11"/>
  <c r="E131" i="11"/>
  <c r="I126" i="11"/>
  <c r="T126" i="11" s="1"/>
  <c r="S120" i="11"/>
  <c r="Q120" i="11"/>
  <c r="E120" i="11"/>
  <c r="C120" i="11"/>
  <c r="D120" i="11"/>
  <c r="S119" i="11"/>
  <c r="Q119" i="11"/>
  <c r="E119" i="11"/>
  <c r="C119" i="11"/>
  <c r="S118" i="11"/>
  <c r="Q118" i="11"/>
  <c r="E118" i="11"/>
  <c r="C118" i="11"/>
  <c r="B119" i="11" s="1"/>
  <c r="D119" i="11" s="1"/>
  <c r="B118" i="11"/>
  <c r="D118" i="11" s="1"/>
  <c r="Q117" i="11"/>
  <c r="E117" i="11"/>
  <c r="C117" i="11"/>
  <c r="L113" i="11"/>
  <c r="N113" i="11" s="1"/>
  <c r="I113" i="11"/>
  <c r="H113" i="11"/>
  <c r="E113" i="11"/>
  <c r="G113" i="11" s="1"/>
  <c r="L112" i="11"/>
  <c r="N112" i="11" s="1"/>
  <c r="I112" i="11"/>
  <c r="H112" i="11"/>
  <c r="K112" i="11" s="1"/>
  <c r="E112" i="11"/>
  <c r="G112" i="11" s="1"/>
  <c r="M111" i="11"/>
  <c r="R117" i="11" s="1"/>
  <c r="L111" i="11"/>
  <c r="N111" i="11" s="1"/>
  <c r="S117" i="11" s="1"/>
  <c r="J111" i="11"/>
  <c r="K117" i="11" s="1"/>
  <c r="H111" i="11"/>
  <c r="K111" i="11" s="1"/>
  <c r="F111" i="11"/>
  <c r="D117" i="11" s="1"/>
  <c r="E111" i="11"/>
  <c r="G111" i="11" s="1"/>
  <c r="O92" i="11"/>
  <c r="I88" i="11"/>
  <c r="T88" i="11" s="1"/>
  <c r="B86" i="11"/>
  <c r="E92" i="11" s="1"/>
  <c r="B85" i="11"/>
  <c r="O80" i="11"/>
  <c r="E80" i="11"/>
  <c r="I75" i="11"/>
  <c r="L79" i="11" s="1"/>
  <c r="S69" i="11"/>
  <c r="Q69" i="11"/>
  <c r="P69" i="11"/>
  <c r="R69" i="11" s="1"/>
  <c r="E69" i="11"/>
  <c r="C69" i="11"/>
  <c r="S68" i="11"/>
  <c r="Q68" i="11"/>
  <c r="E68" i="11"/>
  <c r="C68" i="11"/>
  <c r="D69" i="11" s="1"/>
  <c r="B68" i="11"/>
  <c r="D68" i="11" s="1"/>
  <c r="S67" i="11"/>
  <c r="Q67" i="11"/>
  <c r="P68" i="11" s="1"/>
  <c r="R68" i="11" s="1"/>
  <c r="P67" i="11"/>
  <c r="R67" i="11" s="1"/>
  <c r="E67" i="11"/>
  <c r="C67" i="11"/>
  <c r="Q66" i="11"/>
  <c r="E66" i="11"/>
  <c r="C66" i="11"/>
  <c r="B67" i="11" s="1"/>
  <c r="D67" i="11" s="1"/>
  <c r="L62" i="11"/>
  <c r="N62" i="11" s="1"/>
  <c r="H62" i="11"/>
  <c r="E62" i="11"/>
  <c r="G62" i="11" s="1"/>
  <c r="L61" i="11"/>
  <c r="N61" i="11" s="1"/>
  <c r="H61" i="11"/>
  <c r="K61" i="11" s="1"/>
  <c r="E61" i="11"/>
  <c r="G61" i="11" s="1"/>
  <c r="M60" i="11"/>
  <c r="R66" i="11" s="1"/>
  <c r="L60" i="11"/>
  <c r="N60" i="11" s="1"/>
  <c r="S66" i="11" s="1"/>
  <c r="J60" i="11"/>
  <c r="K66" i="11" s="1"/>
  <c r="H60" i="11"/>
  <c r="K60" i="11" s="1"/>
  <c r="F60" i="11"/>
  <c r="D66" i="11" s="1"/>
  <c r="F66" i="11" s="1"/>
  <c r="E60" i="11"/>
  <c r="G60" i="11" s="1"/>
  <c r="O41" i="11"/>
  <c r="I37" i="11"/>
  <c r="T37" i="11" s="1"/>
  <c r="B35" i="11"/>
  <c r="I9" i="11" s="1"/>
  <c r="B34" i="11"/>
  <c r="M42" i="11" s="1"/>
  <c r="O29" i="11"/>
  <c r="E29" i="11"/>
  <c r="I24" i="11"/>
  <c r="M40" i="11" s="1"/>
  <c r="S18" i="11"/>
  <c r="R18" i="11"/>
  <c r="Q18" i="11"/>
  <c r="P18" i="11"/>
  <c r="E18" i="11"/>
  <c r="C18" i="11"/>
  <c r="B18" i="11"/>
  <c r="D18" i="11" s="1"/>
  <c r="S17" i="11"/>
  <c r="Q17" i="11"/>
  <c r="P17" i="11"/>
  <c r="R17" i="11" s="1"/>
  <c r="E17" i="11"/>
  <c r="C17" i="11"/>
  <c r="S16" i="11"/>
  <c r="Q16" i="11"/>
  <c r="P16" i="11"/>
  <c r="E16" i="11"/>
  <c r="C16" i="11"/>
  <c r="B17" i="11" s="1"/>
  <c r="D17" i="11" s="1"/>
  <c r="B16" i="11"/>
  <c r="D16" i="11" s="1"/>
  <c r="Q15" i="11"/>
  <c r="E15" i="11"/>
  <c r="C15" i="11"/>
  <c r="L11" i="11"/>
  <c r="N11" i="11" s="1"/>
  <c r="I11" i="11"/>
  <c r="K11" i="11" s="1"/>
  <c r="H11" i="11"/>
  <c r="E11" i="11"/>
  <c r="G11" i="11" s="1"/>
  <c r="L10" i="11"/>
  <c r="N10" i="11" s="1"/>
  <c r="H10" i="11"/>
  <c r="K10" i="11" s="1"/>
  <c r="E10" i="11"/>
  <c r="G10" i="11" s="1"/>
  <c r="M9" i="11"/>
  <c r="R15" i="11" s="1"/>
  <c r="L9" i="11"/>
  <c r="N9" i="11" s="1"/>
  <c r="S15" i="11" s="1"/>
  <c r="J9" i="11"/>
  <c r="K15" i="11" s="1"/>
  <c r="H9" i="11"/>
  <c r="K9" i="11" s="1"/>
  <c r="F9" i="11"/>
  <c r="D15" i="11" s="1"/>
  <c r="E9" i="11"/>
  <c r="G9" i="11" s="1"/>
  <c r="O143" i="10"/>
  <c r="I139" i="10"/>
  <c r="T139" i="10" s="1"/>
  <c r="B137" i="10"/>
  <c r="E143" i="10" s="1"/>
  <c r="B136" i="10"/>
  <c r="M144" i="10" s="1"/>
  <c r="O131" i="10"/>
  <c r="E131" i="10"/>
  <c r="I126" i="10"/>
  <c r="M142" i="10" s="1"/>
  <c r="S120" i="10"/>
  <c r="Q120" i="10"/>
  <c r="R120" i="10"/>
  <c r="E120" i="10"/>
  <c r="C120" i="10"/>
  <c r="S119" i="10"/>
  <c r="Q119" i="10"/>
  <c r="E119" i="10"/>
  <c r="C119" i="10"/>
  <c r="D119" i="10"/>
  <c r="S118" i="10"/>
  <c r="Q118" i="10"/>
  <c r="E118" i="10"/>
  <c r="C118" i="10"/>
  <c r="Q117" i="10"/>
  <c r="E117" i="10"/>
  <c r="C117" i="10"/>
  <c r="D118" i="10" s="1"/>
  <c r="L113" i="10"/>
  <c r="N113" i="10" s="1"/>
  <c r="H113" i="10"/>
  <c r="E113" i="10"/>
  <c r="G113" i="10" s="1"/>
  <c r="L112" i="10"/>
  <c r="N112" i="10" s="1"/>
  <c r="I112" i="10"/>
  <c r="H112" i="10"/>
  <c r="K112" i="10" s="1"/>
  <c r="E112" i="10"/>
  <c r="G112" i="10" s="1"/>
  <c r="M111" i="10"/>
  <c r="R117" i="10" s="1"/>
  <c r="L111" i="10"/>
  <c r="N111" i="10" s="1"/>
  <c r="S117" i="10" s="1"/>
  <c r="J111" i="10"/>
  <c r="K117" i="10" s="1"/>
  <c r="H111" i="10"/>
  <c r="K111" i="10" s="1"/>
  <c r="F111" i="10"/>
  <c r="D117" i="10" s="1"/>
  <c r="E111" i="10"/>
  <c r="G111" i="10" s="1"/>
  <c r="O92" i="10"/>
  <c r="M91" i="10"/>
  <c r="I88" i="10"/>
  <c r="T88" i="10" s="1"/>
  <c r="B86" i="10"/>
  <c r="I61" i="10" s="1"/>
  <c r="B85" i="10"/>
  <c r="M93" i="10" s="1"/>
  <c r="O80" i="10"/>
  <c r="E80" i="10"/>
  <c r="I75" i="10"/>
  <c r="T75" i="10" s="1"/>
  <c r="S69" i="10"/>
  <c r="Q69" i="10"/>
  <c r="P69" i="10"/>
  <c r="R69" i="10" s="1"/>
  <c r="T69" i="10" s="1"/>
  <c r="E69" i="10"/>
  <c r="C69" i="10"/>
  <c r="S68" i="10"/>
  <c r="Q68" i="10"/>
  <c r="P68" i="10"/>
  <c r="R68" i="10" s="1"/>
  <c r="E68" i="10"/>
  <c r="C68" i="10"/>
  <c r="D69" i="10" s="1"/>
  <c r="S67" i="10"/>
  <c r="Q67" i="10"/>
  <c r="E67" i="10"/>
  <c r="C67" i="10"/>
  <c r="D68" i="10" s="1"/>
  <c r="Q66" i="10"/>
  <c r="P67" i="10" s="1"/>
  <c r="R67" i="10" s="1"/>
  <c r="E66" i="10"/>
  <c r="C66" i="10"/>
  <c r="D67" i="10" s="1"/>
  <c r="L62" i="10"/>
  <c r="N62" i="10" s="1"/>
  <c r="H62" i="10"/>
  <c r="E62" i="10"/>
  <c r="G62" i="10" s="1"/>
  <c r="L61" i="10"/>
  <c r="N61" i="10" s="1"/>
  <c r="H61" i="10"/>
  <c r="K61" i="10" s="1"/>
  <c r="E61" i="10"/>
  <c r="G61" i="10" s="1"/>
  <c r="M60" i="10"/>
  <c r="R66" i="10" s="1"/>
  <c r="L60" i="10"/>
  <c r="N60" i="10" s="1"/>
  <c r="S66" i="10" s="1"/>
  <c r="J60" i="10"/>
  <c r="K66" i="10" s="1"/>
  <c r="H60" i="10"/>
  <c r="K60" i="10" s="1"/>
  <c r="F60" i="10"/>
  <c r="D66" i="10" s="1"/>
  <c r="E60" i="10"/>
  <c r="G60" i="10" s="1"/>
  <c r="O41" i="10"/>
  <c r="I37" i="10"/>
  <c r="T37" i="10" s="1"/>
  <c r="B35" i="10"/>
  <c r="I9" i="10" s="1"/>
  <c r="B34" i="10"/>
  <c r="M42" i="10" s="1"/>
  <c r="O29" i="10"/>
  <c r="E29" i="10"/>
  <c r="I24" i="10"/>
  <c r="L28" i="10" s="1"/>
  <c r="S18" i="10"/>
  <c r="Q18" i="10"/>
  <c r="P18" i="10"/>
  <c r="R18" i="10" s="1"/>
  <c r="E18" i="10"/>
  <c r="C18" i="10"/>
  <c r="B18" i="10"/>
  <c r="D18" i="10" s="1"/>
  <c r="S17" i="10"/>
  <c r="Q17" i="10"/>
  <c r="P17" i="10"/>
  <c r="R17" i="10" s="1"/>
  <c r="E17" i="10"/>
  <c r="C17" i="10"/>
  <c r="S16" i="10"/>
  <c r="Q16" i="10"/>
  <c r="P16" i="10"/>
  <c r="R16" i="10" s="1"/>
  <c r="T16" i="10" s="1"/>
  <c r="E16" i="10"/>
  <c r="C16" i="10"/>
  <c r="B17" i="10" s="1"/>
  <c r="D17" i="10" s="1"/>
  <c r="Q15" i="10"/>
  <c r="E15" i="10"/>
  <c r="C15" i="10"/>
  <c r="B16" i="10" s="1"/>
  <c r="D16" i="10" s="1"/>
  <c r="L11" i="10"/>
  <c r="N11" i="10" s="1"/>
  <c r="H11" i="10"/>
  <c r="E11" i="10"/>
  <c r="G11" i="10" s="1"/>
  <c r="L10" i="10"/>
  <c r="N10" i="10" s="1"/>
  <c r="I10" i="10"/>
  <c r="H10" i="10"/>
  <c r="K10" i="10" s="1"/>
  <c r="E10" i="10"/>
  <c r="G10" i="10" s="1"/>
  <c r="M9" i="10"/>
  <c r="R15" i="10" s="1"/>
  <c r="L9" i="10"/>
  <c r="N9" i="10" s="1"/>
  <c r="S15" i="10" s="1"/>
  <c r="J9" i="10"/>
  <c r="K15" i="10" s="1"/>
  <c r="H9" i="10"/>
  <c r="K9" i="10" s="1"/>
  <c r="F9" i="10"/>
  <c r="D15" i="10" s="1"/>
  <c r="F15" i="10" s="1"/>
  <c r="E9" i="10"/>
  <c r="G9" i="10" s="1"/>
  <c r="O143" i="9"/>
  <c r="O92" i="9"/>
  <c r="O41" i="9"/>
  <c r="M96" i="9"/>
  <c r="M95" i="9"/>
  <c r="M91" i="9"/>
  <c r="M147" i="9"/>
  <c r="M146" i="9"/>
  <c r="M142" i="9"/>
  <c r="B35" i="9"/>
  <c r="E41" i="9" s="1"/>
  <c r="B34" i="9"/>
  <c r="I61" i="13" l="1"/>
  <c r="I62" i="13"/>
  <c r="K62" i="13" s="1"/>
  <c r="E92" i="13"/>
  <c r="T126" i="13"/>
  <c r="F120" i="13"/>
  <c r="M142" i="13"/>
  <c r="F67" i="13"/>
  <c r="F15" i="13"/>
  <c r="F19" i="13" s="1"/>
  <c r="F18" i="13"/>
  <c r="F17" i="13"/>
  <c r="F119" i="13"/>
  <c r="T24" i="13"/>
  <c r="L28" i="13"/>
  <c r="T68" i="13"/>
  <c r="F117" i="13"/>
  <c r="F66" i="13"/>
  <c r="T17" i="13"/>
  <c r="T66" i="13"/>
  <c r="T15" i="13"/>
  <c r="F68" i="13"/>
  <c r="T119" i="13"/>
  <c r="I16" i="13"/>
  <c r="K16" i="13" s="1"/>
  <c r="J15" i="13"/>
  <c r="M15" i="13" s="1"/>
  <c r="J17" i="13"/>
  <c r="L16" i="13"/>
  <c r="L15" i="13"/>
  <c r="J117" i="13"/>
  <c r="L120" i="13"/>
  <c r="E143" i="13"/>
  <c r="E41" i="13"/>
  <c r="I113" i="13"/>
  <c r="K113" i="13" s="1"/>
  <c r="P118" i="13"/>
  <c r="I11" i="13"/>
  <c r="K11" i="13" s="1"/>
  <c r="D68" i="13"/>
  <c r="L79" i="13"/>
  <c r="T75" i="13"/>
  <c r="I10" i="13"/>
  <c r="L18" i="13" s="1"/>
  <c r="M91" i="13"/>
  <c r="I112" i="13"/>
  <c r="J118" i="13" s="1"/>
  <c r="P67" i="13"/>
  <c r="I61" i="11"/>
  <c r="T67" i="11"/>
  <c r="E41" i="11"/>
  <c r="I10" i="11"/>
  <c r="L17" i="11" s="1"/>
  <c r="R16" i="11"/>
  <c r="T16" i="11" s="1"/>
  <c r="T18" i="11"/>
  <c r="R119" i="10"/>
  <c r="K113" i="11"/>
  <c r="T120" i="11"/>
  <c r="E143" i="11"/>
  <c r="M142" i="11"/>
  <c r="F117" i="11"/>
  <c r="M91" i="11"/>
  <c r="T75" i="11"/>
  <c r="F69" i="11"/>
  <c r="F17" i="11"/>
  <c r="F67" i="11"/>
  <c r="F18" i="11"/>
  <c r="F119" i="11"/>
  <c r="F120" i="11"/>
  <c r="F68" i="11"/>
  <c r="J18" i="11"/>
  <c r="L16" i="11"/>
  <c r="I18" i="11"/>
  <c r="K18" i="11" s="1"/>
  <c r="J16" i="11"/>
  <c r="L15" i="11"/>
  <c r="T68" i="11"/>
  <c r="T117" i="11"/>
  <c r="T119" i="11"/>
  <c r="T66" i="11"/>
  <c r="F118" i="11"/>
  <c r="J117" i="11"/>
  <c r="L120" i="11"/>
  <c r="J119" i="11"/>
  <c r="J120" i="11"/>
  <c r="I119" i="11"/>
  <c r="L118" i="11"/>
  <c r="I120" i="11"/>
  <c r="K120" i="11" s="1"/>
  <c r="L119" i="11"/>
  <c r="J118" i="11"/>
  <c r="L117" i="11"/>
  <c r="I118" i="11"/>
  <c r="K118" i="11" s="1"/>
  <c r="F16" i="11"/>
  <c r="T118" i="11"/>
  <c r="T69" i="11"/>
  <c r="F15" i="11"/>
  <c r="T15" i="11"/>
  <c r="T17" i="11"/>
  <c r="L28" i="11"/>
  <c r="L130" i="11"/>
  <c r="I60" i="11"/>
  <c r="T24" i="11"/>
  <c r="I62" i="11"/>
  <c r="K62" i="11" s="1"/>
  <c r="I60" i="10"/>
  <c r="J67" i="10" s="1"/>
  <c r="I62" i="10"/>
  <c r="K62" i="10"/>
  <c r="E92" i="10"/>
  <c r="D120" i="10"/>
  <c r="F120" i="10" s="1"/>
  <c r="T126" i="10"/>
  <c r="L130" i="10"/>
  <c r="F117" i="10"/>
  <c r="L79" i="10"/>
  <c r="F69" i="10"/>
  <c r="T24" i="10"/>
  <c r="M40" i="10"/>
  <c r="F18" i="10"/>
  <c r="F68" i="10"/>
  <c r="F67" i="10"/>
  <c r="F16" i="10"/>
  <c r="F118" i="10"/>
  <c r="T18" i="10"/>
  <c r="T68" i="10"/>
  <c r="J18" i="10"/>
  <c r="L17" i="10"/>
  <c r="J15" i="10"/>
  <c r="I17" i="10"/>
  <c r="K17" i="10" s="1"/>
  <c r="I16" i="10"/>
  <c r="K16" i="10" s="1"/>
  <c r="T66" i="10"/>
  <c r="T120" i="10"/>
  <c r="F119" i="10"/>
  <c r="F17" i="10"/>
  <c r="F19" i="10" s="1"/>
  <c r="T117" i="10"/>
  <c r="T119" i="10"/>
  <c r="T15" i="10"/>
  <c r="T17" i="10"/>
  <c r="T67" i="10"/>
  <c r="F66" i="10"/>
  <c r="I111" i="10"/>
  <c r="I11" i="10"/>
  <c r="K11" i="10" s="1"/>
  <c r="I113" i="10"/>
  <c r="K113" i="10" s="1"/>
  <c r="E41" i="10"/>
  <c r="M45" i="9"/>
  <c r="M44" i="9"/>
  <c r="I139" i="9"/>
  <c r="T139" i="9" s="1"/>
  <c r="B137" i="9"/>
  <c r="E143" i="9" s="1"/>
  <c r="M144" i="9"/>
  <c r="O131" i="9"/>
  <c r="E131" i="9"/>
  <c r="I126" i="9"/>
  <c r="S120" i="9"/>
  <c r="Q120" i="9"/>
  <c r="R120" i="9"/>
  <c r="T120" i="9" s="1"/>
  <c r="E120" i="9"/>
  <c r="D120" i="9"/>
  <c r="C120" i="9"/>
  <c r="F120" i="9" s="1"/>
  <c r="S119" i="9"/>
  <c r="Q119" i="9"/>
  <c r="R119" i="9"/>
  <c r="E119" i="9"/>
  <c r="C119" i="9"/>
  <c r="D119" i="9"/>
  <c r="F119" i="9" s="1"/>
  <c r="Q118" i="9"/>
  <c r="R118" i="9"/>
  <c r="E118" i="9"/>
  <c r="C118" i="9"/>
  <c r="D118" i="9"/>
  <c r="Q117" i="9"/>
  <c r="E117" i="9"/>
  <c r="C117" i="9"/>
  <c r="L113" i="9"/>
  <c r="N113" i="9" s="1"/>
  <c r="H113" i="9"/>
  <c r="E113" i="9"/>
  <c r="G113" i="9" s="1"/>
  <c r="L112" i="9"/>
  <c r="N112" i="9" s="1"/>
  <c r="S118" i="9" s="1"/>
  <c r="H112" i="9"/>
  <c r="K112" i="9" s="1"/>
  <c r="G112" i="9"/>
  <c r="E112" i="9"/>
  <c r="M111" i="9"/>
  <c r="R117" i="9" s="1"/>
  <c r="L111" i="9"/>
  <c r="N111" i="9" s="1"/>
  <c r="S117" i="9" s="1"/>
  <c r="J111" i="9"/>
  <c r="K117" i="9" s="1"/>
  <c r="H111" i="9"/>
  <c r="K111" i="9" s="1"/>
  <c r="F111" i="9"/>
  <c r="D117" i="9" s="1"/>
  <c r="E111" i="9"/>
  <c r="G111" i="9" s="1"/>
  <c r="I88" i="9"/>
  <c r="T88" i="9" s="1"/>
  <c r="B86" i="9"/>
  <c r="E92" i="9" s="1"/>
  <c r="B85" i="9"/>
  <c r="M93" i="9" s="1"/>
  <c r="O80" i="9"/>
  <c r="E80" i="9"/>
  <c r="L79" i="9"/>
  <c r="T75" i="9"/>
  <c r="I75" i="9"/>
  <c r="S69" i="9"/>
  <c r="Q69" i="9"/>
  <c r="P69" i="9"/>
  <c r="R69" i="9" s="1"/>
  <c r="E69" i="9"/>
  <c r="C69" i="9"/>
  <c r="D69" i="9"/>
  <c r="S68" i="9"/>
  <c r="Q68" i="9"/>
  <c r="P68" i="9"/>
  <c r="R68" i="9" s="1"/>
  <c r="E68" i="9"/>
  <c r="D68" i="9"/>
  <c r="C68" i="9"/>
  <c r="F68" i="9"/>
  <c r="S67" i="9"/>
  <c r="Q67" i="9"/>
  <c r="P67" i="9"/>
  <c r="R67" i="9" s="1"/>
  <c r="T67" i="9" s="1"/>
  <c r="E67" i="9"/>
  <c r="D67" i="9"/>
  <c r="C67" i="9"/>
  <c r="F67" i="9" s="1"/>
  <c r="Q66" i="9"/>
  <c r="E66" i="9"/>
  <c r="C66" i="9"/>
  <c r="L62" i="9"/>
  <c r="N62" i="9" s="1"/>
  <c r="H62" i="9"/>
  <c r="E62" i="9"/>
  <c r="G62" i="9" s="1"/>
  <c r="L61" i="9"/>
  <c r="N61" i="9" s="1"/>
  <c r="I61" i="9"/>
  <c r="H61" i="9"/>
  <c r="K61" i="9" s="1"/>
  <c r="G61" i="9"/>
  <c r="E61" i="9"/>
  <c r="N60" i="9"/>
  <c r="S66" i="9" s="1"/>
  <c r="M60" i="9"/>
  <c r="R66" i="9" s="1"/>
  <c r="L60" i="9"/>
  <c r="J60" i="9"/>
  <c r="K66" i="9" s="1"/>
  <c r="H60" i="9"/>
  <c r="K60" i="9" s="1"/>
  <c r="G60" i="9"/>
  <c r="F60" i="9"/>
  <c r="D66" i="9" s="1"/>
  <c r="F66" i="9" s="1"/>
  <c r="E60" i="9"/>
  <c r="M40" i="9"/>
  <c r="I37" i="9"/>
  <c r="T37" i="9" s="1"/>
  <c r="M42" i="9"/>
  <c r="O29" i="9"/>
  <c r="E29" i="9"/>
  <c r="I24" i="9"/>
  <c r="S18" i="9"/>
  <c r="Q18" i="9"/>
  <c r="P18" i="9"/>
  <c r="R18" i="9" s="1"/>
  <c r="E18" i="9"/>
  <c r="D18" i="9"/>
  <c r="C18" i="9"/>
  <c r="F18" i="9" s="1"/>
  <c r="B18" i="9"/>
  <c r="S17" i="9"/>
  <c r="Q17" i="9"/>
  <c r="P17" i="9"/>
  <c r="R17" i="9" s="1"/>
  <c r="E17" i="9"/>
  <c r="C17" i="9"/>
  <c r="B17" i="9"/>
  <c r="D17" i="9" s="1"/>
  <c r="F17" i="9" s="1"/>
  <c r="S16" i="9"/>
  <c r="Q16" i="9"/>
  <c r="E16" i="9"/>
  <c r="C16" i="9"/>
  <c r="B16" i="9"/>
  <c r="D16" i="9" s="1"/>
  <c r="Q15" i="9"/>
  <c r="P16" i="9" s="1"/>
  <c r="E15" i="9"/>
  <c r="C15" i="9"/>
  <c r="L11" i="9"/>
  <c r="N11" i="9" s="1"/>
  <c r="I11" i="9"/>
  <c r="H11" i="9"/>
  <c r="E11" i="9"/>
  <c r="G11" i="9" s="1"/>
  <c r="L10" i="9"/>
  <c r="N10" i="9" s="1"/>
  <c r="I10" i="9"/>
  <c r="H10" i="9"/>
  <c r="K10" i="9" s="1"/>
  <c r="G10" i="9"/>
  <c r="E10" i="9"/>
  <c r="M9" i="9"/>
  <c r="R15" i="9" s="1"/>
  <c r="L9" i="9"/>
  <c r="N9" i="9" s="1"/>
  <c r="S15" i="9" s="1"/>
  <c r="J9" i="9"/>
  <c r="K15" i="9" s="1"/>
  <c r="I9" i="9"/>
  <c r="H9" i="9"/>
  <c r="K9" i="9" s="1"/>
  <c r="F9" i="9"/>
  <c r="D15" i="9" s="1"/>
  <c r="E9" i="9"/>
  <c r="G9" i="9" s="1"/>
  <c r="O143" i="8"/>
  <c r="I139" i="8"/>
  <c r="T139" i="8" s="1"/>
  <c r="B137" i="8"/>
  <c r="E143" i="8" s="1"/>
  <c r="B136" i="8"/>
  <c r="M144" i="8" s="1"/>
  <c r="O131" i="8"/>
  <c r="E131" i="8"/>
  <c r="T126" i="8"/>
  <c r="I126" i="8"/>
  <c r="S120" i="8"/>
  <c r="Q120" i="8"/>
  <c r="F120" i="8"/>
  <c r="E120" i="8"/>
  <c r="D120" i="8"/>
  <c r="C120" i="8"/>
  <c r="B120" i="8"/>
  <c r="S119" i="8"/>
  <c r="Q119" i="8"/>
  <c r="E119" i="8"/>
  <c r="C119" i="8"/>
  <c r="B119" i="8"/>
  <c r="S118" i="8"/>
  <c r="Q118" i="8"/>
  <c r="R118" i="8"/>
  <c r="E118" i="8"/>
  <c r="C118" i="8"/>
  <c r="B118" i="8"/>
  <c r="D118" i="8" s="1"/>
  <c r="Q117" i="8"/>
  <c r="E117" i="8"/>
  <c r="C117" i="8"/>
  <c r="F117" i="8" s="1"/>
  <c r="L113" i="8"/>
  <c r="N113" i="8" s="1"/>
  <c r="H113" i="8"/>
  <c r="E113" i="8"/>
  <c r="G113" i="8" s="1"/>
  <c r="L112" i="8"/>
  <c r="N112" i="8" s="1"/>
  <c r="H112" i="8"/>
  <c r="K112" i="8" s="1"/>
  <c r="G112" i="8"/>
  <c r="E112" i="8"/>
  <c r="M111" i="8"/>
  <c r="R117" i="8" s="1"/>
  <c r="L111" i="8"/>
  <c r="N111" i="8" s="1"/>
  <c r="S117" i="8" s="1"/>
  <c r="J111" i="8"/>
  <c r="K117" i="8" s="1"/>
  <c r="H111" i="8"/>
  <c r="K111" i="8" s="1"/>
  <c r="F111" i="8"/>
  <c r="D117" i="8" s="1"/>
  <c r="E111" i="8"/>
  <c r="G111" i="8" s="1"/>
  <c r="O92" i="8"/>
  <c r="M91" i="8"/>
  <c r="I88" i="8"/>
  <c r="T88" i="8" s="1"/>
  <c r="B86" i="8"/>
  <c r="I60" i="8" s="1"/>
  <c r="B85" i="8"/>
  <c r="M93" i="8" s="1"/>
  <c r="O80" i="8"/>
  <c r="E80" i="8"/>
  <c r="L79" i="8"/>
  <c r="T75" i="8"/>
  <c r="I75" i="8"/>
  <c r="S69" i="8"/>
  <c r="R69" i="8"/>
  <c r="Q69" i="8"/>
  <c r="T69" i="8" s="1"/>
  <c r="P69" i="8"/>
  <c r="E69" i="8"/>
  <c r="C69" i="8"/>
  <c r="F69" i="8" s="1"/>
  <c r="B69" i="8"/>
  <c r="D69" i="8" s="1"/>
  <c r="S68" i="8"/>
  <c r="Q68" i="8"/>
  <c r="T68" i="8" s="1"/>
  <c r="P68" i="8"/>
  <c r="R68" i="8" s="1"/>
  <c r="E68" i="8"/>
  <c r="D68" i="8"/>
  <c r="F68" i="8" s="1"/>
  <c r="C68" i="8"/>
  <c r="B68" i="8"/>
  <c r="S67" i="8"/>
  <c r="Q67" i="8"/>
  <c r="F67" i="8"/>
  <c r="E67" i="8"/>
  <c r="D67" i="8"/>
  <c r="C67" i="8"/>
  <c r="B67" i="8"/>
  <c r="S66" i="8"/>
  <c r="Q66" i="8"/>
  <c r="E66" i="8"/>
  <c r="C66" i="8"/>
  <c r="L62" i="8"/>
  <c r="N62" i="8" s="1"/>
  <c r="H62" i="8"/>
  <c r="E62" i="8"/>
  <c r="G62" i="8" s="1"/>
  <c r="L61" i="8"/>
  <c r="N61" i="8" s="1"/>
  <c r="I61" i="8"/>
  <c r="H61" i="8"/>
  <c r="K61" i="8" s="1"/>
  <c r="E61" i="8"/>
  <c r="G61" i="8" s="1"/>
  <c r="M60" i="8"/>
  <c r="R66" i="8" s="1"/>
  <c r="L60" i="8"/>
  <c r="N60" i="8" s="1"/>
  <c r="J60" i="8"/>
  <c r="K66" i="8" s="1"/>
  <c r="H60" i="8"/>
  <c r="K60" i="8" s="1"/>
  <c r="G60" i="8"/>
  <c r="F60" i="8"/>
  <c r="D66" i="8" s="1"/>
  <c r="F66" i="8" s="1"/>
  <c r="E60" i="8"/>
  <c r="O41" i="8"/>
  <c r="I37" i="8"/>
  <c r="T37" i="8" s="1"/>
  <c r="B35" i="8"/>
  <c r="E41" i="8" s="1"/>
  <c r="B34" i="8"/>
  <c r="M42" i="8" s="1"/>
  <c r="O29" i="8"/>
  <c r="E29" i="8"/>
  <c r="I24" i="8"/>
  <c r="S18" i="8"/>
  <c r="Q18" i="8"/>
  <c r="P18" i="8"/>
  <c r="F18" i="8"/>
  <c r="E18" i="8"/>
  <c r="D18" i="8"/>
  <c r="C18" i="8"/>
  <c r="B18" i="8"/>
  <c r="S17" i="8"/>
  <c r="Q17" i="8"/>
  <c r="P17" i="8"/>
  <c r="R17" i="8" s="1"/>
  <c r="E17" i="8"/>
  <c r="C17" i="8"/>
  <c r="B17" i="8"/>
  <c r="S16" i="8"/>
  <c r="Q16" i="8"/>
  <c r="P16" i="8"/>
  <c r="R16" i="8" s="1"/>
  <c r="E16" i="8"/>
  <c r="C16" i="8"/>
  <c r="B16" i="8"/>
  <c r="D16" i="8" s="1"/>
  <c r="Q15" i="8"/>
  <c r="E15" i="8"/>
  <c r="C15" i="8"/>
  <c r="L11" i="8"/>
  <c r="N11" i="8" s="1"/>
  <c r="H11" i="8"/>
  <c r="E11" i="8"/>
  <c r="G11" i="8" s="1"/>
  <c r="L10" i="8"/>
  <c r="N10" i="8" s="1"/>
  <c r="H10" i="8"/>
  <c r="K10" i="8" s="1"/>
  <c r="G10" i="8"/>
  <c r="E10" i="8"/>
  <c r="M9" i="8"/>
  <c r="R15" i="8" s="1"/>
  <c r="L9" i="8"/>
  <c r="N9" i="8" s="1"/>
  <c r="S15" i="8" s="1"/>
  <c r="J9" i="8"/>
  <c r="K15" i="8" s="1"/>
  <c r="H9" i="8"/>
  <c r="K9" i="8" s="1"/>
  <c r="F9" i="8"/>
  <c r="D15" i="8" s="1"/>
  <c r="E9" i="8"/>
  <c r="G9" i="8" s="1"/>
  <c r="T119" i="9" l="1"/>
  <c r="T69" i="9"/>
  <c r="R16" i="9"/>
  <c r="T18" i="9"/>
  <c r="L69" i="13"/>
  <c r="I67" i="13"/>
  <c r="L68" i="13"/>
  <c r="F121" i="13"/>
  <c r="I131" i="13" s="1"/>
  <c r="T131" i="13" s="1"/>
  <c r="F118" i="9"/>
  <c r="F69" i="9"/>
  <c r="J69" i="13"/>
  <c r="J67" i="13"/>
  <c r="I68" i="13"/>
  <c r="K68" i="13" s="1"/>
  <c r="J68" i="13"/>
  <c r="L67" i="13"/>
  <c r="I69" i="13"/>
  <c r="K69" i="13" s="1"/>
  <c r="J66" i="13"/>
  <c r="L66" i="13"/>
  <c r="K67" i="13" s="1"/>
  <c r="M118" i="13"/>
  <c r="R118" i="13"/>
  <c r="T118" i="13" s="1"/>
  <c r="T121" i="13" s="1"/>
  <c r="T143" i="13" s="1"/>
  <c r="R67" i="13"/>
  <c r="T67" i="13" s="1"/>
  <c r="T70" i="13" s="1"/>
  <c r="T92" i="13" s="1"/>
  <c r="J119" i="13"/>
  <c r="L27" i="13"/>
  <c r="M28" i="13" s="1"/>
  <c r="I27" i="13" s="1"/>
  <c r="I29" i="13"/>
  <c r="T29" i="13" s="1"/>
  <c r="L17" i="13"/>
  <c r="L119" i="13"/>
  <c r="I18" i="13"/>
  <c r="K18" i="13" s="1"/>
  <c r="T19" i="13"/>
  <c r="T41" i="13" s="1"/>
  <c r="M117" i="13"/>
  <c r="L118" i="13"/>
  <c r="L117" i="13"/>
  <c r="J16" i="13"/>
  <c r="M16" i="13" s="1"/>
  <c r="I119" i="13"/>
  <c r="K119" i="13" s="1"/>
  <c r="J18" i="13"/>
  <c r="M18" i="13" s="1"/>
  <c r="F70" i="13"/>
  <c r="J120" i="13"/>
  <c r="M120" i="13" s="1"/>
  <c r="I17" i="13"/>
  <c r="K17" i="13" s="1"/>
  <c r="I118" i="13"/>
  <c r="K118" i="13" s="1"/>
  <c r="I120" i="13"/>
  <c r="K120" i="13" s="1"/>
  <c r="T70" i="11"/>
  <c r="T92" i="11" s="1"/>
  <c r="L18" i="11"/>
  <c r="I17" i="11"/>
  <c r="K17" i="11" s="1"/>
  <c r="J17" i="11"/>
  <c r="J15" i="11"/>
  <c r="M15" i="11" s="1"/>
  <c r="I16" i="11"/>
  <c r="K16" i="11" s="1"/>
  <c r="M17" i="11"/>
  <c r="K119" i="11"/>
  <c r="M119" i="11" s="1"/>
  <c r="F121" i="11"/>
  <c r="L129" i="11" s="1"/>
  <c r="M130" i="11" s="1"/>
  <c r="I129" i="11" s="1"/>
  <c r="F70" i="11"/>
  <c r="I80" i="11" s="1"/>
  <c r="T80" i="11" s="1"/>
  <c r="M117" i="11"/>
  <c r="M118" i="11"/>
  <c r="T121" i="11"/>
  <c r="T143" i="11" s="1"/>
  <c r="M18" i="11"/>
  <c r="F19" i="11"/>
  <c r="T19" i="11"/>
  <c r="T41" i="11" s="1"/>
  <c r="L67" i="11"/>
  <c r="J66" i="11"/>
  <c r="J68" i="11"/>
  <c r="I68" i="11"/>
  <c r="K68" i="11" s="1"/>
  <c r="J67" i="11"/>
  <c r="L66" i="11"/>
  <c r="I67" i="11"/>
  <c r="K67" i="11" s="1"/>
  <c r="L69" i="11"/>
  <c r="J69" i="11"/>
  <c r="I69" i="11"/>
  <c r="K69" i="11" s="1"/>
  <c r="L68" i="11"/>
  <c r="M120" i="11"/>
  <c r="I67" i="10"/>
  <c r="K67" i="10" s="1"/>
  <c r="L68" i="10"/>
  <c r="J68" i="10"/>
  <c r="L66" i="10"/>
  <c r="I68" i="10"/>
  <c r="K68" i="10" s="1"/>
  <c r="L69" i="10"/>
  <c r="J66" i="10"/>
  <c r="I69" i="10"/>
  <c r="K69" i="10" s="1"/>
  <c r="L67" i="10"/>
  <c r="J69" i="10"/>
  <c r="T70" i="10"/>
  <c r="T92" i="10" s="1"/>
  <c r="T19" i="10"/>
  <c r="T41" i="10" s="1"/>
  <c r="F70" i="10"/>
  <c r="I80" i="10" s="1"/>
  <c r="T80" i="10" s="1"/>
  <c r="F121" i="10"/>
  <c r="I131" i="10" s="1"/>
  <c r="T131" i="10" s="1"/>
  <c r="L16" i="10"/>
  <c r="J17" i="10"/>
  <c r="M17" i="10" s="1"/>
  <c r="I29" i="10"/>
  <c r="T29" i="10" s="1"/>
  <c r="L27" i="10"/>
  <c r="M28" i="10" s="1"/>
  <c r="I27" i="10" s="1"/>
  <c r="T121" i="10"/>
  <c r="T143" i="10" s="1"/>
  <c r="I18" i="10"/>
  <c r="K18" i="10" s="1"/>
  <c r="J120" i="10"/>
  <c r="I120" i="10"/>
  <c r="K120" i="10" s="1"/>
  <c r="L119" i="10"/>
  <c r="L120" i="10"/>
  <c r="J119" i="10"/>
  <c r="J117" i="10"/>
  <c r="I119" i="10"/>
  <c r="K119" i="10" s="1"/>
  <c r="L118" i="10"/>
  <c r="J118" i="10"/>
  <c r="L117" i="10"/>
  <c r="I118" i="10"/>
  <c r="K118" i="10" s="1"/>
  <c r="L15" i="10"/>
  <c r="M15" i="10" s="1"/>
  <c r="M68" i="10"/>
  <c r="J16" i="10"/>
  <c r="M16" i="10" s="1"/>
  <c r="M66" i="10"/>
  <c r="M69" i="10"/>
  <c r="L18" i="10"/>
  <c r="I112" i="9"/>
  <c r="T118" i="9"/>
  <c r="I113" i="9"/>
  <c r="I111" i="9"/>
  <c r="I118" i="9" s="1"/>
  <c r="K118" i="9" s="1"/>
  <c r="T16" i="9"/>
  <c r="T17" i="9"/>
  <c r="J15" i="9"/>
  <c r="L17" i="9"/>
  <c r="I16" i="9"/>
  <c r="T66" i="9"/>
  <c r="F117" i="9"/>
  <c r="F70" i="9"/>
  <c r="T117" i="9"/>
  <c r="F15" i="9"/>
  <c r="T68" i="9"/>
  <c r="T15" i="9"/>
  <c r="F16" i="9"/>
  <c r="J18" i="9"/>
  <c r="L28" i="9"/>
  <c r="L130" i="9"/>
  <c r="L15" i="9"/>
  <c r="J16" i="9"/>
  <c r="L16" i="9"/>
  <c r="K11" i="9"/>
  <c r="J17" i="9"/>
  <c r="I60" i="9"/>
  <c r="I18" i="9"/>
  <c r="K18" i="9" s="1"/>
  <c r="T24" i="9"/>
  <c r="T126" i="9"/>
  <c r="L18" i="9"/>
  <c r="I62" i="9"/>
  <c r="K62" i="9" s="1"/>
  <c r="I17" i="9"/>
  <c r="K17" i="9" s="1"/>
  <c r="T117" i="8"/>
  <c r="I112" i="8"/>
  <c r="I62" i="8"/>
  <c r="K62" i="8" s="1"/>
  <c r="E92" i="8"/>
  <c r="J66" i="8"/>
  <c r="M66" i="8" s="1"/>
  <c r="J67" i="8"/>
  <c r="I67" i="8"/>
  <c r="L66" i="8"/>
  <c r="T15" i="8"/>
  <c r="I10" i="8"/>
  <c r="T66" i="8"/>
  <c r="F16" i="8"/>
  <c r="F70" i="8"/>
  <c r="F118" i="8"/>
  <c r="T17" i="8"/>
  <c r="M40" i="8"/>
  <c r="L28" i="8"/>
  <c r="T24" i="8"/>
  <c r="T16" i="8"/>
  <c r="T118" i="8"/>
  <c r="R119" i="8"/>
  <c r="F15" i="8"/>
  <c r="F17" i="8"/>
  <c r="K67" i="8"/>
  <c r="J68" i="8"/>
  <c r="I9" i="8"/>
  <c r="P67" i="8"/>
  <c r="I111" i="8"/>
  <c r="D17" i="8"/>
  <c r="L68" i="8"/>
  <c r="I69" i="8"/>
  <c r="K69" i="8" s="1"/>
  <c r="D119" i="8"/>
  <c r="F119" i="8" s="1"/>
  <c r="L130" i="8"/>
  <c r="R18" i="8"/>
  <c r="T18" i="8" s="1"/>
  <c r="J69" i="8"/>
  <c r="R120" i="8"/>
  <c r="T120" i="8" s="1"/>
  <c r="L67" i="8"/>
  <c r="M142" i="8"/>
  <c r="I68" i="8"/>
  <c r="K68" i="8" s="1"/>
  <c r="I11" i="8"/>
  <c r="K11" i="8" s="1"/>
  <c r="L69" i="8"/>
  <c r="I113" i="8"/>
  <c r="K113" i="8" s="1"/>
  <c r="B136" i="7"/>
  <c r="M144" i="7" s="1"/>
  <c r="O143" i="7"/>
  <c r="M142" i="7"/>
  <c r="I139" i="7"/>
  <c r="T139" i="7" s="1"/>
  <c r="B137" i="7"/>
  <c r="I111" i="7" s="1"/>
  <c r="O131" i="7"/>
  <c r="E131" i="7"/>
  <c r="L130" i="7"/>
  <c r="T126" i="7"/>
  <c r="I126" i="7"/>
  <c r="S120" i="7"/>
  <c r="R120" i="7"/>
  <c r="Q120" i="7"/>
  <c r="E120" i="7"/>
  <c r="C120" i="7"/>
  <c r="D120" i="7"/>
  <c r="S119" i="7"/>
  <c r="Q119" i="7"/>
  <c r="F119" i="7"/>
  <c r="E119" i="7"/>
  <c r="D119" i="7"/>
  <c r="C119" i="7"/>
  <c r="S118" i="7"/>
  <c r="Q118" i="7"/>
  <c r="R119" i="7" s="1"/>
  <c r="E118" i="7"/>
  <c r="D118" i="7"/>
  <c r="F118" i="7" s="1"/>
  <c r="C118" i="7"/>
  <c r="S117" i="7"/>
  <c r="R117" i="7"/>
  <c r="Q117" i="7"/>
  <c r="T117" i="7" s="1"/>
  <c r="E117" i="7"/>
  <c r="C117" i="7"/>
  <c r="F117" i="7" s="1"/>
  <c r="L113" i="7"/>
  <c r="N113" i="7" s="1"/>
  <c r="H113" i="7"/>
  <c r="E113" i="7"/>
  <c r="G113" i="7" s="1"/>
  <c r="N112" i="7"/>
  <c r="L112" i="7"/>
  <c r="K112" i="7"/>
  <c r="H112" i="7"/>
  <c r="E112" i="7"/>
  <c r="G112" i="7" s="1"/>
  <c r="N111" i="7"/>
  <c r="M111" i="7"/>
  <c r="L111" i="7"/>
  <c r="K111" i="7"/>
  <c r="J111" i="7"/>
  <c r="K117" i="7" s="1"/>
  <c r="H111" i="7"/>
  <c r="G111" i="7"/>
  <c r="F111" i="7"/>
  <c r="D117" i="7" s="1"/>
  <c r="E111" i="7"/>
  <c r="O92" i="7"/>
  <c r="E92" i="7"/>
  <c r="I88" i="7"/>
  <c r="T88" i="7" s="1"/>
  <c r="B86" i="7"/>
  <c r="B85" i="7"/>
  <c r="M93" i="7" s="1"/>
  <c r="O80" i="7"/>
  <c r="E80" i="7"/>
  <c r="T75" i="7"/>
  <c r="I75" i="7"/>
  <c r="M91" i="7" s="1"/>
  <c r="S69" i="7"/>
  <c r="Q69" i="7"/>
  <c r="P69" i="7"/>
  <c r="R69" i="7" s="1"/>
  <c r="T69" i="7" s="1"/>
  <c r="E69" i="7"/>
  <c r="D69" i="7"/>
  <c r="C69" i="7"/>
  <c r="S68" i="7"/>
  <c r="Q68" i="7"/>
  <c r="E68" i="7"/>
  <c r="C68" i="7"/>
  <c r="S67" i="7"/>
  <c r="Q67" i="7"/>
  <c r="E67" i="7"/>
  <c r="C67" i="7"/>
  <c r="D67" i="7"/>
  <c r="S66" i="7"/>
  <c r="Q66" i="7"/>
  <c r="E66" i="7"/>
  <c r="C66" i="7"/>
  <c r="N62" i="7"/>
  <c r="L62" i="7"/>
  <c r="I62" i="7"/>
  <c r="K62" i="7" s="1"/>
  <c r="H62" i="7"/>
  <c r="E62" i="7"/>
  <c r="G62" i="7" s="1"/>
  <c r="L61" i="7"/>
  <c r="N61" i="7" s="1"/>
  <c r="I61" i="7"/>
  <c r="I69" i="7" s="1"/>
  <c r="K69" i="7" s="1"/>
  <c r="H61" i="7"/>
  <c r="K61" i="7" s="1"/>
  <c r="G61" i="7"/>
  <c r="E61" i="7"/>
  <c r="M60" i="7"/>
  <c r="R66" i="7" s="1"/>
  <c r="L60" i="7"/>
  <c r="N60" i="7" s="1"/>
  <c r="J60" i="7"/>
  <c r="K66" i="7" s="1"/>
  <c r="I60" i="7"/>
  <c r="J67" i="7" s="1"/>
  <c r="H60" i="7"/>
  <c r="K60" i="7" s="1"/>
  <c r="F60" i="7"/>
  <c r="D66" i="7" s="1"/>
  <c r="F66" i="7" s="1"/>
  <c r="E60" i="7"/>
  <c r="G60" i="7" s="1"/>
  <c r="O41" i="7"/>
  <c r="M40" i="7"/>
  <c r="I37" i="7"/>
  <c r="T37" i="7" s="1"/>
  <c r="B35" i="7"/>
  <c r="I9" i="7" s="1"/>
  <c r="B34" i="7"/>
  <c r="M42" i="7" s="1"/>
  <c r="O29" i="7"/>
  <c r="E29" i="7"/>
  <c r="L28" i="7"/>
  <c r="T24" i="7"/>
  <c r="I24" i="7"/>
  <c r="S18" i="7"/>
  <c r="R18" i="7"/>
  <c r="Q18" i="7"/>
  <c r="T18" i="7" s="1"/>
  <c r="P18" i="7"/>
  <c r="E18" i="7"/>
  <c r="C18" i="7"/>
  <c r="B18" i="7"/>
  <c r="D18" i="7" s="1"/>
  <c r="S17" i="7"/>
  <c r="Q17" i="7"/>
  <c r="P17" i="7"/>
  <c r="R17" i="7" s="1"/>
  <c r="E17" i="7"/>
  <c r="D17" i="7"/>
  <c r="F17" i="7" s="1"/>
  <c r="C17" i="7"/>
  <c r="B17" i="7"/>
  <c r="T16" i="7"/>
  <c r="S16" i="7"/>
  <c r="R16" i="7"/>
  <c r="Q16" i="7"/>
  <c r="P16" i="7"/>
  <c r="E16" i="7"/>
  <c r="D16" i="7"/>
  <c r="C16" i="7"/>
  <c r="F16" i="7" s="1"/>
  <c r="B16" i="7"/>
  <c r="S15" i="7"/>
  <c r="R15" i="7"/>
  <c r="Q15" i="7"/>
  <c r="T15" i="7" s="1"/>
  <c r="E15" i="7"/>
  <c r="C15" i="7"/>
  <c r="N11" i="7"/>
  <c r="L11" i="7"/>
  <c r="H11" i="7"/>
  <c r="E11" i="7"/>
  <c r="G11" i="7" s="1"/>
  <c r="N10" i="7"/>
  <c r="L10" i="7"/>
  <c r="K10" i="7"/>
  <c r="H10" i="7"/>
  <c r="G10" i="7"/>
  <c r="E10" i="7"/>
  <c r="M9" i="7"/>
  <c r="L9" i="7"/>
  <c r="N9" i="7" s="1"/>
  <c r="K9" i="7"/>
  <c r="J9" i="7"/>
  <c r="K15" i="7" s="1"/>
  <c r="H9" i="7"/>
  <c r="G9" i="7"/>
  <c r="F9" i="7"/>
  <c r="D15" i="7" s="1"/>
  <c r="F15" i="7" s="1"/>
  <c r="E9" i="7"/>
  <c r="I119" i="9" l="1"/>
  <c r="K119" i="9" s="1"/>
  <c r="L120" i="9"/>
  <c r="K16" i="9"/>
  <c r="M68" i="13"/>
  <c r="M67" i="13"/>
  <c r="M66" i="13"/>
  <c r="M69" i="13"/>
  <c r="L129" i="13"/>
  <c r="M130" i="13" s="1"/>
  <c r="I129" i="13" s="1"/>
  <c r="I133" i="13" s="1"/>
  <c r="F121" i="9"/>
  <c r="I131" i="9" s="1"/>
  <c r="T131" i="9" s="1"/>
  <c r="F69" i="7"/>
  <c r="F67" i="7"/>
  <c r="I80" i="13"/>
  <c r="T80" i="13" s="1"/>
  <c r="L78" i="13"/>
  <c r="M79" i="13" s="1"/>
  <c r="I78" i="13" s="1"/>
  <c r="M17" i="13"/>
  <c r="M19" i="13" s="1"/>
  <c r="M43" i="13" s="1"/>
  <c r="I41" i="13" s="1"/>
  <c r="T27" i="13"/>
  <c r="I31" i="13"/>
  <c r="M41" i="13"/>
  <c r="M119" i="13"/>
  <c r="M121" i="13" s="1"/>
  <c r="M145" i="13" s="1"/>
  <c r="I143" i="13" s="1"/>
  <c r="M16" i="11"/>
  <c r="M19" i="11"/>
  <c r="M43" i="11" s="1"/>
  <c r="I41" i="11" s="1"/>
  <c r="T120" i="7"/>
  <c r="L78" i="11"/>
  <c r="M79" i="11" s="1"/>
  <c r="I78" i="11" s="1"/>
  <c r="I131" i="11"/>
  <c r="T131" i="11" s="1"/>
  <c r="M69" i="11"/>
  <c r="M92" i="11"/>
  <c r="I82" i="11"/>
  <c r="T78" i="11"/>
  <c r="L27" i="11"/>
  <c r="M28" i="11" s="1"/>
  <c r="I27" i="11" s="1"/>
  <c r="I29" i="11"/>
  <c r="T29" i="11" s="1"/>
  <c r="M67" i="11"/>
  <c r="M68" i="11"/>
  <c r="M66" i="11"/>
  <c r="M121" i="11"/>
  <c r="M145" i="11" s="1"/>
  <c r="I143" i="11" s="1"/>
  <c r="T129" i="11"/>
  <c r="M143" i="11"/>
  <c r="M67" i="10"/>
  <c r="M70" i="10" s="1"/>
  <c r="M94" i="10" s="1"/>
  <c r="I92" i="10" s="1"/>
  <c r="L78" i="10"/>
  <c r="M79" i="10" s="1"/>
  <c r="I78" i="10" s="1"/>
  <c r="T78" i="10" s="1"/>
  <c r="L129" i="10"/>
  <c r="M130" i="10" s="1"/>
  <c r="I129" i="10" s="1"/>
  <c r="T129" i="10" s="1"/>
  <c r="M41" i="10"/>
  <c r="T27" i="10"/>
  <c r="I31" i="10"/>
  <c r="M117" i="10"/>
  <c r="M119" i="10"/>
  <c r="M120" i="10"/>
  <c r="M118" i="10"/>
  <c r="M18" i="10"/>
  <c r="M19" i="10" s="1"/>
  <c r="M43" i="10" s="1"/>
  <c r="I41" i="10" s="1"/>
  <c r="L119" i="9"/>
  <c r="M119" i="9" s="1"/>
  <c r="J117" i="9"/>
  <c r="J119" i="9"/>
  <c r="L118" i="9"/>
  <c r="T121" i="9"/>
  <c r="T143" i="9" s="1"/>
  <c r="J118" i="9"/>
  <c r="M118" i="9" s="1"/>
  <c r="I120" i="9"/>
  <c r="K120" i="9" s="1"/>
  <c r="L117" i="9"/>
  <c r="J120" i="9"/>
  <c r="K113" i="9"/>
  <c r="M15" i="9"/>
  <c r="T19" i="9"/>
  <c r="T41" i="9" s="1"/>
  <c r="M17" i="9"/>
  <c r="M16" i="9"/>
  <c r="J68" i="9"/>
  <c r="J67" i="9"/>
  <c r="I68" i="9"/>
  <c r="K68" i="9" s="1"/>
  <c r="L67" i="9"/>
  <c r="L66" i="9"/>
  <c r="I67" i="9"/>
  <c r="K67" i="9" s="1"/>
  <c r="J66" i="9"/>
  <c r="M66" i="9" s="1"/>
  <c r="L69" i="9"/>
  <c r="J69" i="9"/>
  <c r="I69" i="9"/>
  <c r="K69" i="9" s="1"/>
  <c r="L68" i="9"/>
  <c r="I80" i="9"/>
  <c r="T80" i="9" s="1"/>
  <c r="L78" i="9"/>
  <c r="M79" i="9" s="1"/>
  <c r="I78" i="9" s="1"/>
  <c r="M92" i="9" s="1"/>
  <c r="M18" i="9"/>
  <c r="F19" i="9"/>
  <c r="T70" i="9"/>
  <c r="T92" i="9" s="1"/>
  <c r="M67" i="8"/>
  <c r="T19" i="8"/>
  <c r="T41" i="8" s="1"/>
  <c r="F121" i="8"/>
  <c r="L78" i="8"/>
  <c r="M79" i="8" s="1"/>
  <c r="I78" i="8" s="1"/>
  <c r="I80" i="8"/>
  <c r="T80" i="8" s="1"/>
  <c r="J120" i="8"/>
  <c r="J119" i="8"/>
  <c r="M119" i="8" s="1"/>
  <c r="I119" i="8"/>
  <c r="K119" i="8" s="1"/>
  <c r="L118" i="8"/>
  <c r="L120" i="8"/>
  <c r="J118" i="8"/>
  <c r="L117" i="8"/>
  <c r="I118" i="8"/>
  <c r="K118" i="8" s="1"/>
  <c r="J117" i="8"/>
  <c r="L119" i="8"/>
  <c r="I120" i="8"/>
  <c r="K120" i="8" s="1"/>
  <c r="R67" i="8"/>
  <c r="T67" i="8" s="1"/>
  <c r="T70" i="8" s="1"/>
  <c r="T92" i="8" s="1"/>
  <c r="T119" i="8"/>
  <c r="T121" i="8" s="1"/>
  <c r="T143" i="8" s="1"/>
  <c r="F19" i="8"/>
  <c r="J17" i="8"/>
  <c r="M17" i="8" s="1"/>
  <c r="I17" i="8"/>
  <c r="K17" i="8" s="1"/>
  <c r="L16" i="8"/>
  <c r="J16" i="8"/>
  <c r="L15" i="8"/>
  <c r="I16" i="8"/>
  <c r="K16" i="8" s="1"/>
  <c r="J15" i="8"/>
  <c r="M15" i="8" s="1"/>
  <c r="L18" i="8"/>
  <c r="I18" i="8"/>
  <c r="K18" i="8" s="1"/>
  <c r="L17" i="8"/>
  <c r="J18" i="8"/>
  <c r="M68" i="8"/>
  <c r="M69" i="8"/>
  <c r="J18" i="7"/>
  <c r="F18" i="7"/>
  <c r="F19" i="7" s="1"/>
  <c r="F120" i="7"/>
  <c r="F121" i="7" s="1"/>
  <c r="J117" i="7"/>
  <c r="T17" i="7"/>
  <c r="T19" i="7" s="1"/>
  <c r="T41" i="7" s="1"/>
  <c r="T66" i="7"/>
  <c r="T119" i="7"/>
  <c r="T67" i="7"/>
  <c r="J69" i="7"/>
  <c r="P68" i="7"/>
  <c r="R68" i="7" s="1"/>
  <c r="I11" i="7"/>
  <c r="K11" i="7" s="1"/>
  <c r="E41" i="7"/>
  <c r="L69" i="7"/>
  <c r="I113" i="7"/>
  <c r="K113" i="7" s="1"/>
  <c r="E143" i="7"/>
  <c r="J66" i="7"/>
  <c r="I67" i="7"/>
  <c r="D68" i="7"/>
  <c r="F68" i="7" s="1"/>
  <c r="F70" i="7" s="1"/>
  <c r="L79" i="7"/>
  <c r="L66" i="7"/>
  <c r="I68" i="7"/>
  <c r="K68" i="7" s="1"/>
  <c r="I10" i="7"/>
  <c r="I18" i="7" s="1"/>
  <c r="K18" i="7" s="1"/>
  <c r="I112" i="7"/>
  <c r="L120" i="7" s="1"/>
  <c r="L67" i="7"/>
  <c r="J68" i="7"/>
  <c r="P67" i="7"/>
  <c r="R67" i="7" s="1"/>
  <c r="L68" i="7"/>
  <c r="I139" i="1"/>
  <c r="T139" i="1" s="1"/>
  <c r="E131" i="1"/>
  <c r="I126" i="1"/>
  <c r="T126" i="1" s="1"/>
  <c r="O143" i="1"/>
  <c r="O131" i="1"/>
  <c r="B18" i="1"/>
  <c r="I88" i="1"/>
  <c r="T88" i="1" s="1"/>
  <c r="E80" i="1"/>
  <c r="I75" i="1"/>
  <c r="L79" i="1" s="1"/>
  <c r="O92" i="1"/>
  <c r="O80" i="1"/>
  <c r="S18" i="1"/>
  <c r="Q18" i="1"/>
  <c r="L11" i="1"/>
  <c r="N11" i="1" s="1"/>
  <c r="M70" i="13" l="1"/>
  <c r="M94" i="13" s="1"/>
  <c r="I92" i="13" s="1"/>
  <c r="T129" i="13"/>
  <c r="M143" i="13"/>
  <c r="L129" i="9"/>
  <c r="M130" i="9" s="1"/>
  <c r="I129" i="9" s="1"/>
  <c r="M143" i="9" s="1"/>
  <c r="T133" i="13"/>
  <c r="T31" i="13"/>
  <c r="M146" i="13"/>
  <c r="I141" i="13" s="1"/>
  <c r="M44" i="13"/>
  <c r="I39" i="13" s="1"/>
  <c r="M92" i="13"/>
  <c r="T78" i="13"/>
  <c r="I82" i="13"/>
  <c r="M70" i="11"/>
  <c r="M94" i="11" s="1"/>
  <c r="I92" i="11" s="1"/>
  <c r="I133" i="11"/>
  <c r="T133" i="11"/>
  <c r="T27" i="11"/>
  <c r="M41" i="11"/>
  <c r="M44" i="11" s="1"/>
  <c r="I39" i="11" s="1"/>
  <c r="T39" i="11" s="1"/>
  <c r="I43" i="11"/>
  <c r="I31" i="11"/>
  <c r="T82" i="11"/>
  <c r="M146" i="11"/>
  <c r="I141" i="11" s="1"/>
  <c r="I82" i="10"/>
  <c r="M92" i="10"/>
  <c r="M95" i="10" s="1"/>
  <c r="I90" i="10" s="1"/>
  <c r="I133" i="10"/>
  <c r="M143" i="10"/>
  <c r="M146" i="10" s="1"/>
  <c r="I141" i="10" s="1"/>
  <c r="M121" i="10"/>
  <c r="M145" i="10" s="1"/>
  <c r="I143" i="10" s="1"/>
  <c r="T82" i="10"/>
  <c r="M44" i="10"/>
  <c r="I39" i="10" s="1"/>
  <c r="T133" i="10"/>
  <c r="T31" i="10"/>
  <c r="M120" i="9"/>
  <c r="M117" i="9"/>
  <c r="M121" i="9" s="1"/>
  <c r="M145" i="9" s="1"/>
  <c r="I143" i="9" s="1"/>
  <c r="M19" i="9"/>
  <c r="M43" i="9" s="1"/>
  <c r="M46" i="9" s="1"/>
  <c r="I39" i="9" s="1"/>
  <c r="M67" i="9"/>
  <c r="M70" i="9" s="1"/>
  <c r="M94" i="9" s="1"/>
  <c r="M69" i="9"/>
  <c r="T78" i="9"/>
  <c r="I82" i="9"/>
  <c r="M68" i="9"/>
  <c r="I29" i="9"/>
  <c r="T29" i="9" s="1"/>
  <c r="L27" i="9"/>
  <c r="M28" i="9" s="1"/>
  <c r="I27" i="9" s="1"/>
  <c r="M118" i="8"/>
  <c r="M70" i="8"/>
  <c r="M94" i="8" s="1"/>
  <c r="I92" i="8" s="1"/>
  <c r="M18" i="8"/>
  <c r="M120" i="8"/>
  <c r="I29" i="8"/>
  <c r="T29" i="8" s="1"/>
  <c r="L27" i="8"/>
  <c r="M28" i="8" s="1"/>
  <c r="I27" i="8" s="1"/>
  <c r="M117" i="8"/>
  <c r="I131" i="8"/>
  <c r="T131" i="8" s="1"/>
  <c r="L129" i="8"/>
  <c r="M130" i="8" s="1"/>
  <c r="I129" i="8" s="1"/>
  <c r="T78" i="8"/>
  <c r="I82" i="8"/>
  <c r="M92" i="8"/>
  <c r="M95" i="8" s="1"/>
  <c r="I90" i="8" s="1"/>
  <c r="T90" i="8" s="1"/>
  <c r="M16" i="8"/>
  <c r="L27" i="7"/>
  <c r="M28" i="7" s="1"/>
  <c r="I27" i="7" s="1"/>
  <c r="I29" i="7"/>
  <c r="T29" i="7" s="1"/>
  <c r="I80" i="7"/>
  <c r="T80" i="7" s="1"/>
  <c r="L78" i="7"/>
  <c r="M79" i="7" s="1"/>
  <c r="I78" i="7" s="1"/>
  <c r="L129" i="7"/>
  <c r="M130" i="7" s="1"/>
  <c r="I129" i="7" s="1"/>
  <c r="I131" i="7"/>
  <c r="T131" i="7" s="1"/>
  <c r="L117" i="7"/>
  <c r="M117" i="7" s="1"/>
  <c r="I16" i="7"/>
  <c r="K16" i="7" s="1"/>
  <c r="J15" i="7"/>
  <c r="M15" i="7" s="1"/>
  <c r="J118" i="7"/>
  <c r="M118" i="7" s="1"/>
  <c r="I118" i="7"/>
  <c r="K118" i="7" s="1"/>
  <c r="L118" i="7"/>
  <c r="L15" i="7"/>
  <c r="I119" i="7"/>
  <c r="K119" i="7" s="1"/>
  <c r="M69" i="7"/>
  <c r="I17" i="7"/>
  <c r="K17" i="7" s="1"/>
  <c r="K67" i="7"/>
  <c r="M67" i="7" s="1"/>
  <c r="I120" i="7"/>
  <c r="K120" i="7" s="1"/>
  <c r="T68" i="7"/>
  <c r="T70" i="7" s="1"/>
  <c r="T92" i="7" s="1"/>
  <c r="R118" i="7"/>
  <c r="T118" i="7" s="1"/>
  <c r="T121" i="7" s="1"/>
  <c r="T143" i="7" s="1"/>
  <c r="J120" i="7"/>
  <c r="L17" i="7"/>
  <c r="L18" i="7"/>
  <c r="M18" i="7" s="1"/>
  <c r="J16" i="7"/>
  <c r="J119" i="7"/>
  <c r="L16" i="7"/>
  <c r="L119" i="7"/>
  <c r="J17" i="7"/>
  <c r="M17" i="7" s="1"/>
  <c r="M68" i="7"/>
  <c r="M66" i="7"/>
  <c r="M70" i="7" s="1"/>
  <c r="M94" i="7" s="1"/>
  <c r="I92" i="7" s="1"/>
  <c r="M91" i="1"/>
  <c r="T75" i="1"/>
  <c r="L130" i="1"/>
  <c r="M142" i="1"/>
  <c r="I92" i="9" l="1"/>
  <c r="M97" i="9"/>
  <c r="I90" i="9" s="1"/>
  <c r="I94" i="9" s="1"/>
  <c r="M95" i="13"/>
  <c r="I90" i="13" s="1"/>
  <c r="I133" i="9"/>
  <c r="T129" i="9"/>
  <c r="T39" i="13"/>
  <c r="T43" i="13" s="1"/>
  <c r="I43" i="13"/>
  <c r="T82" i="13"/>
  <c r="T141" i="13"/>
  <c r="T145" i="13" s="1"/>
  <c r="I145" i="13"/>
  <c r="M95" i="11"/>
  <c r="I90" i="11" s="1"/>
  <c r="T90" i="11" s="1"/>
  <c r="T94" i="11" s="1"/>
  <c r="T141" i="11"/>
  <c r="T145" i="11" s="1"/>
  <c r="I145" i="11"/>
  <c r="T43" i="11"/>
  <c r="T31" i="11"/>
  <c r="T39" i="10"/>
  <c r="T43" i="10" s="1"/>
  <c r="I43" i="10"/>
  <c r="T90" i="10"/>
  <c r="T94" i="10" s="1"/>
  <c r="I94" i="10"/>
  <c r="T141" i="10"/>
  <c r="T145" i="10" s="1"/>
  <c r="I145" i="10"/>
  <c r="M148" i="9"/>
  <c r="I141" i="9" s="1"/>
  <c r="I145" i="9" s="1"/>
  <c r="I41" i="9"/>
  <c r="T133" i="9"/>
  <c r="T82" i="9"/>
  <c r="T27" i="9"/>
  <c r="I31" i="9"/>
  <c r="M41" i="9"/>
  <c r="T39" i="9" s="1"/>
  <c r="M19" i="8"/>
  <c r="M43" i="8" s="1"/>
  <c r="I41" i="8" s="1"/>
  <c r="M143" i="8"/>
  <c r="T129" i="8"/>
  <c r="I133" i="8"/>
  <c r="I94" i="8"/>
  <c r="T94" i="8"/>
  <c r="T82" i="8"/>
  <c r="M121" i="8"/>
  <c r="M145" i="8" s="1"/>
  <c r="I143" i="8" s="1"/>
  <c r="M41" i="8"/>
  <c r="M44" i="8" s="1"/>
  <c r="I39" i="8" s="1"/>
  <c r="T39" i="8" s="1"/>
  <c r="T27" i="8"/>
  <c r="I31" i="8"/>
  <c r="T129" i="7"/>
  <c r="I133" i="7"/>
  <c r="M143" i="7"/>
  <c r="M119" i="7"/>
  <c r="I82" i="7"/>
  <c r="M92" i="7"/>
  <c r="M95" i="7" s="1"/>
  <c r="I90" i="7" s="1"/>
  <c r="T90" i="7" s="1"/>
  <c r="T78" i="7"/>
  <c r="M16" i="7"/>
  <c r="M19" i="7" s="1"/>
  <c r="M43" i="7" s="1"/>
  <c r="I41" i="7" s="1"/>
  <c r="M120" i="7"/>
  <c r="M121" i="7" s="1"/>
  <c r="M145" i="7" s="1"/>
  <c r="I143" i="7" s="1"/>
  <c r="T27" i="7"/>
  <c r="I31" i="7"/>
  <c r="M41" i="7"/>
  <c r="O29" i="1"/>
  <c r="E29" i="1"/>
  <c r="I37" i="1"/>
  <c r="B34" i="1"/>
  <c r="M42" i="1" s="1"/>
  <c r="T90" i="13" l="1"/>
  <c r="T94" i="13" s="1"/>
  <c r="I94" i="13"/>
  <c r="I94" i="11"/>
  <c r="T141" i="9"/>
  <c r="T145" i="9" s="1"/>
  <c r="T43" i="9"/>
  <c r="T31" i="9"/>
  <c r="I43" i="9"/>
  <c r="T90" i="9"/>
  <c r="T94" i="9" s="1"/>
  <c r="I43" i="8"/>
  <c r="T43" i="8"/>
  <c r="T31" i="8"/>
  <c r="T133" i="8"/>
  <c r="M146" i="8"/>
  <c r="I141" i="8" s="1"/>
  <c r="T31" i="7"/>
  <c r="T133" i="7"/>
  <c r="T82" i="7"/>
  <c r="T94" i="7"/>
  <c r="I94" i="7"/>
  <c r="M146" i="7"/>
  <c r="I141" i="7" s="1"/>
  <c r="M44" i="7"/>
  <c r="I39" i="7" s="1"/>
  <c r="O41" i="1"/>
  <c r="T141" i="8" l="1"/>
  <c r="T145" i="8" s="1"/>
  <c r="I145" i="8"/>
  <c r="T141" i="7"/>
  <c r="T145" i="7" s="1"/>
  <c r="I145" i="7"/>
  <c r="T39" i="7"/>
  <c r="T43" i="7" s="1"/>
  <c r="I43" i="7"/>
  <c r="S118" i="1" l="1"/>
  <c r="S119" i="1"/>
  <c r="S117" i="1"/>
  <c r="Q118" i="1"/>
  <c r="Q119" i="1"/>
  <c r="Q120" i="1"/>
  <c r="Q117" i="1"/>
  <c r="S120" i="1"/>
  <c r="R120" i="1"/>
  <c r="S67" i="1"/>
  <c r="S68" i="1"/>
  <c r="S69" i="1"/>
  <c r="S66" i="1"/>
  <c r="P69" i="1"/>
  <c r="R69" i="1" s="1"/>
  <c r="Q67" i="1"/>
  <c r="P68" i="1" s="1"/>
  <c r="Q68" i="1"/>
  <c r="Q69" i="1"/>
  <c r="Q66" i="1"/>
  <c r="P67" i="1" s="1"/>
  <c r="M111" i="1"/>
  <c r="R117" i="1" s="1"/>
  <c r="M60" i="1"/>
  <c r="R66" i="1" s="1"/>
  <c r="M9" i="1"/>
  <c r="R15" i="1" s="1"/>
  <c r="L113" i="1"/>
  <c r="N113" i="1" s="1"/>
  <c r="L112" i="1"/>
  <c r="N112" i="1" s="1"/>
  <c r="L111" i="1"/>
  <c r="N111" i="1" s="1"/>
  <c r="L62" i="1"/>
  <c r="N62" i="1" s="1"/>
  <c r="L61" i="1"/>
  <c r="N61" i="1" s="1"/>
  <c r="L60" i="1"/>
  <c r="N60" i="1" s="1"/>
  <c r="T37" i="1"/>
  <c r="L10" i="1"/>
  <c r="Q16" i="1"/>
  <c r="P17" i="1" s="1"/>
  <c r="Q17" i="1"/>
  <c r="P18" i="1" s="1"/>
  <c r="Q15" i="1"/>
  <c r="P16" i="1" s="1"/>
  <c r="S15" i="1"/>
  <c r="L9" i="1"/>
  <c r="N9" i="1" s="1"/>
  <c r="B137" i="1"/>
  <c r="E143" i="1" s="1"/>
  <c r="E118" i="1"/>
  <c r="E119" i="1"/>
  <c r="E120" i="1"/>
  <c r="H112" i="1"/>
  <c r="K112" i="1" s="1"/>
  <c r="H113" i="1"/>
  <c r="H111" i="1"/>
  <c r="K111" i="1" s="1"/>
  <c r="E68" i="1"/>
  <c r="E69" i="1"/>
  <c r="E67" i="1"/>
  <c r="E117" i="1"/>
  <c r="C119" i="1"/>
  <c r="C120" i="1"/>
  <c r="C118" i="1"/>
  <c r="B136" i="1"/>
  <c r="M144" i="1" s="1"/>
  <c r="B85" i="1"/>
  <c r="M93" i="1" s="1"/>
  <c r="D120" i="1"/>
  <c r="D119" i="1"/>
  <c r="D118" i="1"/>
  <c r="C117" i="1"/>
  <c r="E113" i="1"/>
  <c r="G113" i="1" s="1"/>
  <c r="E112" i="1"/>
  <c r="G112" i="1" s="1"/>
  <c r="J111" i="1"/>
  <c r="K117" i="1" s="1"/>
  <c r="F111" i="1"/>
  <c r="D117" i="1" s="1"/>
  <c r="E111" i="1"/>
  <c r="G111" i="1" s="1"/>
  <c r="C69" i="1"/>
  <c r="C67" i="1"/>
  <c r="C68" i="1"/>
  <c r="E66" i="1"/>
  <c r="D69" i="1"/>
  <c r="H61" i="1"/>
  <c r="K61" i="1" s="1"/>
  <c r="H62" i="1"/>
  <c r="H60" i="1"/>
  <c r="K60" i="1" s="1"/>
  <c r="E60" i="1"/>
  <c r="G60" i="1" s="1"/>
  <c r="B86" i="1"/>
  <c r="E92" i="1" s="1"/>
  <c r="D68" i="1"/>
  <c r="D67" i="1"/>
  <c r="C66" i="1"/>
  <c r="E62" i="1"/>
  <c r="G62" i="1" s="1"/>
  <c r="E61" i="1"/>
  <c r="G61" i="1" s="1"/>
  <c r="J60" i="1"/>
  <c r="K66" i="1" s="1"/>
  <c r="F60" i="1"/>
  <c r="D66" i="1" s="1"/>
  <c r="J9" i="1"/>
  <c r="B35" i="1"/>
  <c r="E41" i="1" s="1"/>
  <c r="H10" i="1"/>
  <c r="H11" i="1"/>
  <c r="H9" i="1"/>
  <c r="E17" i="1"/>
  <c r="E18" i="1"/>
  <c r="C17" i="1"/>
  <c r="C18" i="1"/>
  <c r="C16" i="1"/>
  <c r="B17" i="1" s="1"/>
  <c r="C15" i="1"/>
  <c r="B16" i="1" s="1"/>
  <c r="F9" i="1"/>
  <c r="E11" i="1"/>
  <c r="G11" i="1" s="1"/>
  <c r="E10" i="1"/>
  <c r="G10" i="1" s="1"/>
  <c r="E16" i="1" s="1"/>
  <c r="E9" i="1"/>
  <c r="S17" i="1" l="1"/>
  <c r="R18" i="1" s="1"/>
  <c r="T18" i="1" s="1"/>
  <c r="E15" i="1"/>
  <c r="D16" i="1" s="1"/>
  <c r="G9" i="1"/>
  <c r="R119" i="1"/>
  <c r="T119" i="1" s="1"/>
  <c r="R67" i="1"/>
  <c r="T67" i="1" s="1"/>
  <c r="I61" i="1"/>
  <c r="I113" i="1"/>
  <c r="K113" i="1" s="1"/>
  <c r="T69" i="1"/>
  <c r="R68" i="1"/>
  <c r="T68" i="1" s="1"/>
  <c r="N10" i="1"/>
  <c r="S16" i="1" s="1"/>
  <c r="R118" i="1"/>
  <c r="T118" i="1" s="1"/>
  <c r="T117" i="1"/>
  <c r="T120" i="1"/>
  <c r="T66" i="1"/>
  <c r="I111" i="1"/>
  <c r="I112" i="1"/>
  <c r="F120" i="1"/>
  <c r="F66" i="1"/>
  <c r="F119" i="1"/>
  <c r="F118" i="1"/>
  <c r="F117" i="1"/>
  <c r="I60" i="1"/>
  <c r="I62" i="1"/>
  <c r="K62" i="1" s="1"/>
  <c r="F67" i="1"/>
  <c r="F68" i="1"/>
  <c r="F69" i="1"/>
  <c r="I24" i="1"/>
  <c r="T24" i="1" s="1"/>
  <c r="D18" i="1"/>
  <c r="D17" i="1"/>
  <c r="K10" i="1"/>
  <c r="K15" i="1"/>
  <c r="K9" i="1"/>
  <c r="D15" i="1"/>
  <c r="T70" i="1" l="1"/>
  <c r="T92" i="1" s="1"/>
  <c r="T121" i="1"/>
  <c r="T143" i="1" s="1"/>
  <c r="L120" i="1"/>
  <c r="I118" i="1"/>
  <c r="K118" i="1" s="1"/>
  <c r="L118" i="1"/>
  <c r="L117" i="1"/>
  <c r="J118" i="1"/>
  <c r="L119" i="1"/>
  <c r="J119" i="1"/>
  <c r="J117" i="1"/>
  <c r="I120" i="1"/>
  <c r="K120" i="1" s="1"/>
  <c r="J120" i="1"/>
  <c r="I119" i="1"/>
  <c r="K119" i="1" s="1"/>
  <c r="I67" i="1"/>
  <c r="I68" i="1"/>
  <c r="K68" i="1" s="1"/>
  <c r="I69" i="1"/>
  <c r="K69" i="1" s="1"/>
  <c r="F121" i="1"/>
  <c r="L68" i="1"/>
  <c r="L69" i="1"/>
  <c r="L66" i="1"/>
  <c r="J69" i="1"/>
  <c r="J68" i="1"/>
  <c r="J67" i="1"/>
  <c r="J66" i="1"/>
  <c r="L67" i="1"/>
  <c r="F70" i="1"/>
  <c r="I10" i="1"/>
  <c r="I11" i="1"/>
  <c r="I9" i="1"/>
  <c r="M40" i="1"/>
  <c r="L28" i="1"/>
  <c r="F16" i="1"/>
  <c r="F17" i="1"/>
  <c r="F18" i="1"/>
  <c r="F15" i="1"/>
  <c r="I131" i="1" l="1"/>
  <c r="T131" i="1" s="1"/>
  <c r="L129" i="1"/>
  <c r="M130" i="1" s="1"/>
  <c r="I129" i="1" s="1"/>
  <c r="I80" i="1"/>
  <c r="T80" i="1" s="1"/>
  <c r="L78" i="1"/>
  <c r="M79" i="1" s="1"/>
  <c r="I78" i="1" s="1"/>
  <c r="T78" i="1" s="1"/>
  <c r="T15" i="1"/>
  <c r="R16" i="1"/>
  <c r="K11" i="1"/>
  <c r="R17" i="1"/>
  <c r="M120" i="1"/>
  <c r="M117" i="1"/>
  <c r="M118" i="1"/>
  <c r="K67" i="1"/>
  <c r="M67" i="1" s="1"/>
  <c r="M119" i="1"/>
  <c r="M68" i="1"/>
  <c r="M69" i="1"/>
  <c r="M66" i="1"/>
  <c r="T82" i="1"/>
  <c r="L16" i="1"/>
  <c r="L18" i="1"/>
  <c r="J17" i="1"/>
  <c r="J16" i="1"/>
  <c r="L17" i="1"/>
  <c r="L15" i="1"/>
  <c r="J18" i="1"/>
  <c r="J15" i="1"/>
  <c r="I16" i="1"/>
  <c r="I18" i="1"/>
  <c r="K18" i="1" s="1"/>
  <c r="I17" i="1"/>
  <c r="F19" i="1"/>
  <c r="I133" i="1" l="1"/>
  <c r="T129" i="1"/>
  <c r="M143" i="1"/>
  <c r="M92" i="1"/>
  <c r="I82" i="1"/>
  <c r="T17" i="1"/>
  <c r="T16" i="1"/>
  <c r="M121" i="1"/>
  <c r="M145" i="1" s="1"/>
  <c r="I143" i="1" s="1"/>
  <c r="M70" i="1"/>
  <c r="M94" i="1" s="1"/>
  <c r="I92" i="1" s="1"/>
  <c r="K17" i="1"/>
  <c r="M17" i="1" s="1"/>
  <c r="K16" i="1"/>
  <c r="M16" i="1" s="1"/>
  <c r="M15" i="1"/>
  <c r="I29" i="1"/>
  <c r="T29" i="1" s="1"/>
  <c r="L27" i="1"/>
  <c r="M28" i="1" s="1"/>
  <c r="I27" i="1" s="1"/>
  <c r="M18" i="1"/>
  <c r="T133" i="1" l="1"/>
  <c r="M146" i="1"/>
  <c r="I141" i="1" s="1"/>
  <c r="M95" i="1"/>
  <c r="I90" i="1" s="1"/>
  <c r="T27" i="1"/>
  <c r="T31" i="1" s="1"/>
  <c r="T19" i="1"/>
  <c r="T41" i="1" s="1"/>
  <c r="M19" i="1"/>
  <c r="M43" i="1" s="1"/>
  <c r="I41" i="1" s="1"/>
  <c r="M41" i="1"/>
  <c r="I31" i="1"/>
  <c r="T141" i="1" l="1"/>
  <c r="T145" i="1" s="1"/>
  <c r="I145" i="1"/>
  <c r="I94" i="1"/>
  <c r="T90" i="1"/>
  <c r="T94" i="1" s="1"/>
  <c r="M44" i="1"/>
  <c r="I39" i="1" s="1"/>
  <c r="I43" i="1" s="1"/>
  <c r="T39" i="1" l="1"/>
  <c r="T43" i="1" s="1"/>
</calcChain>
</file>

<file path=xl/comments1.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comments2.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comments3.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comments4.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comments5.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comments6.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comments7.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List>
</comments>
</file>

<file path=xl/sharedStrings.xml><?xml version="1.0" encoding="utf-8"?>
<sst xmlns="http://schemas.openxmlformats.org/spreadsheetml/2006/main" count="1762" uniqueCount="73">
  <si>
    <t>Offer</t>
  </si>
  <si>
    <t>DA OpRes</t>
  </si>
  <si>
    <t>Bal OpRes</t>
  </si>
  <si>
    <t>Segment</t>
  </si>
  <si>
    <t>Price</t>
  </si>
  <si>
    <t>MW</t>
  </si>
  <si>
    <t>Begin Price</t>
  </si>
  <si>
    <t>End Price</t>
  </si>
  <si>
    <t>RT MW Used</t>
  </si>
  <si>
    <t>Balancing OpRes</t>
  </si>
  <si>
    <t>Day-ahead Information</t>
  </si>
  <si>
    <t>Day-Ahead Calculations</t>
  </si>
  <si>
    <t>Energy</t>
  </si>
  <si>
    <t>LMP</t>
  </si>
  <si>
    <t>Revenue (LMP * MW)</t>
  </si>
  <si>
    <t>Operating Reserves (Cost - Revenue)</t>
  </si>
  <si>
    <t>Cost</t>
  </si>
  <si>
    <t>DA OpRes Credit</t>
  </si>
  <si>
    <t>Revenue</t>
  </si>
  <si>
    <t>DA Profit/Loss</t>
  </si>
  <si>
    <t>Balancing Calculations</t>
  </si>
  <si>
    <t>Revenue (LMP * (RT MW - DA MW))</t>
  </si>
  <si>
    <t>Real-time Information</t>
  </si>
  <si>
    <t>Operating Reserves</t>
  </si>
  <si>
    <t xml:space="preserve">DA Revenue </t>
  </si>
  <si>
    <t>Balancing Revenue</t>
  </si>
  <si>
    <t>Profit/Loss</t>
  </si>
  <si>
    <t>Tracking Desired MW</t>
  </si>
  <si>
    <t>Bal Value MW Used</t>
  </si>
  <si>
    <t>Ramp Limited Desired</t>
  </si>
  <si>
    <t>Balancing Operating Reserves</t>
  </si>
  <si>
    <t>Real-Time MW Cost</t>
  </si>
  <si>
    <t>Real-Time</t>
  </si>
  <si>
    <t>Begin MW</t>
  </si>
  <si>
    <t>End MW</t>
  </si>
  <si>
    <t xml:space="preserve"> MW</t>
  </si>
  <si>
    <t xml:space="preserve"> Begin Price</t>
  </si>
  <si>
    <t>The following Data can be updated for Scenario Analysis</t>
  </si>
  <si>
    <t>Reference MW for Offer Price</t>
  </si>
  <si>
    <t>DA Incremental Cost - DA OpRes</t>
  </si>
  <si>
    <t xml:space="preserve">Incremental Cost @ RT MW Used - Balancing OpRes </t>
  </si>
  <si>
    <t>Incremental Cost @ RT Actual MW</t>
  </si>
  <si>
    <t>DA Estimated Profit/Loss with Actual MW Profit/Loss Calculation</t>
  </si>
  <si>
    <t>Actual RT MW</t>
  </si>
  <si>
    <t xml:space="preserve"> PJM DA and Balancing Energy and OpRes Billing</t>
  </si>
  <si>
    <r>
      <t xml:space="preserve">Scenario 2: Resource is called on by PJM and operates at full load (beyond desired MW point) using </t>
    </r>
    <r>
      <rPr>
        <b/>
        <u/>
        <sz val="16"/>
        <color theme="0"/>
        <rFont val="Calibri"/>
        <family val="2"/>
        <scheme val="minor"/>
      </rPr>
      <t>Status Quo</t>
    </r>
    <r>
      <rPr>
        <sz val="16"/>
        <color theme="0"/>
        <rFont val="Calibri"/>
        <family val="2"/>
        <scheme val="minor"/>
      </rPr>
      <t xml:space="preserve"> Rules.  RT MW Used is set to the Ramp Limited Desired value which can only reduce the resource partially to the intersection of LMP and the offer curve.</t>
    </r>
  </si>
  <si>
    <t>Incremental Cost</t>
  </si>
  <si>
    <t>End
Price</t>
  </si>
  <si>
    <t>Offer
Cost</t>
  </si>
  <si>
    <t>Begin
Price</t>
  </si>
  <si>
    <t>Begin
MW</t>
  </si>
  <si>
    <t>End
MW</t>
  </si>
  <si>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RT MW Used is set to the Tracking Desired MW.</t>
    </r>
  </si>
  <si>
    <t>RT MW
Used</t>
  </si>
  <si>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RT MW Used and Bal Value MW Used is set to the Tracking Desired MW.</t>
    </r>
  </si>
  <si>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Nothing changes in this example.</t>
    </r>
  </si>
  <si>
    <t>Startup</t>
  </si>
  <si>
    <t>No-Load</t>
  </si>
  <si>
    <t>Scenario 2: Resource is called on by PJM and operates below the Desired MW using Status Quo Rules.  RT MW Used is set to the lesser of Actual MW and Desired MW</t>
  </si>
  <si>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Balancing Value used is set to the Tracking Desired MW.</t>
    </r>
  </si>
  <si>
    <t>Scenario 2: Resource is called on by PJM and Operates at full load using Status Quo rules. RT MW Used is set to the Ramp Limited Desired value which can only reduce the resource partially to the intersection of LMP and the offer curve.</t>
  </si>
  <si>
    <r>
      <t xml:space="preserve">Scenario 2: Resource is called on by PJM and operates below the Desired MW using </t>
    </r>
    <r>
      <rPr>
        <b/>
        <u/>
        <sz val="16"/>
        <color theme="0"/>
        <rFont val="Calibri"/>
        <family val="2"/>
        <scheme val="minor"/>
      </rPr>
      <t>Status Quo Rules</t>
    </r>
    <r>
      <rPr>
        <sz val="16"/>
        <color theme="0"/>
        <rFont val="Calibri"/>
        <family val="2"/>
        <scheme val="minor"/>
      </rPr>
      <t>.  RT MW Used is set to the lesser of Actual MW and Desired MW. The Bal Value MW Used is set to the greater of Actual MW and Desired MW</t>
    </r>
  </si>
  <si>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RT MW Used is set to the lesser of Actual MW and Tracking Desired MW. Bal Value MW Used is the greater of Tracking Desired and Actual RT MW.</t>
    </r>
  </si>
  <si>
    <r>
      <t xml:space="preserve">Scenario 1 - Following Dispatch: Resource is called on by PJM  and follows dispatch.  BOR calculated using </t>
    </r>
    <r>
      <rPr>
        <b/>
        <u/>
        <sz val="16"/>
        <color theme="0"/>
        <rFont val="Calibri"/>
        <family val="2"/>
        <scheme val="minor"/>
      </rPr>
      <t>Status Quo</t>
    </r>
    <r>
      <rPr>
        <u/>
        <sz val="16"/>
        <color theme="0"/>
        <rFont val="Calibri"/>
        <family val="2"/>
        <scheme val="minor"/>
      </rPr>
      <t xml:space="preserve"> </t>
    </r>
    <r>
      <rPr>
        <sz val="16"/>
        <color theme="0"/>
        <rFont val="Calibri"/>
        <family val="2"/>
        <scheme val="minor"/>
      </rPr>
      <t>Rules</t>
    </r>
  </si>
  <si>
    <r>
      <t xml:space="preserve">Scenario 1- Following Dispatch: Resource is called on by PJM  and follows dispatch.  BOR calculated using </t>
    </r>
    <r>
      <rPr>
        <b/>
        <u/>
        <sz val="16"/>
        <color theme="0"/>
        <rFont val="Calibri"/>
        <family val="2"/>
        <scheme val="minor"/>
      </rPr>
      <t>Status Quo</t>
    </r>
    <r>
      <rPr>
        <u/>
        <sz val="16"/>
        <color theme="0"/>
        <rFont val="Calibri"/>
        <family val="2"/>
        <scheme val="minor"/>
      </rPr>
      <t xml:space="preserve"> </t>
    </r>
    <r>
      <rPr>
        <sz val="16"/>
        <color theme="0"/>
        <rFont val="Calibri"/>
        <family val="2"/>
        <scheme val="minor"/>
      </rPr>
      <t>Rules</t>
    </r>
  </si>
  <si>
    <t>Example 1:  Generator has no DA Commitment, only dispatched in RT and generates above desired MW</t>
  </si>
  <si>
    <t>Example 2:  Generator has no DA Commitment, generates above desired in RT during interval with Negative LMPs</t>
  </si>
  <si>
    <t>Example 3:  Generator committed in DA, and generates above desired in RT</t>
  </si>
  <si>
    <t>Example 4:  Generator committed in DA, and generates above desired in RT during Negative LMP interval</t>
  </si>
  <si>
    <t>Example 5:  Generator has no DA Commitment, and generates below desired in RT</t>
  </si>
  <si>
    <t>Example 6:  Generator committed in DA, and generates below desired in RT</t>
  </si>
  <si>
    <t>Example 7:  Generator has no DA Commitment, and generates below desired in RT with startup and no-load</t>
  </si>
  <si>
    <t>Balancing Net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</si>
</sst>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color theme="0"/>
      <name val="Calibri"/>
      <family val="2"/>
      <scheme val="minor"/>
    </font>
    <font>
      <sz val="9"/>
      <color indexed="81"/>
      <name val="Tahoma"/>
      <family val="2"/>
    </font>
    <font>
      <i/>
      <sz val="8"/>
      <color theme="1"/>
      <name val="Calibri"/>
      <family val="2"/>
      <scheme val="minor"/>
    </font>
    <font>
      <b/>
      <sz val="11"/>
      <name val="Calibri"/>
      <family val="2"/>
      <scheme val="minor"/>
    </font>
    <font>
      <b/>
      <u/>
      <sz val="11"/>
      <color theme="1"/>
      <name val="Calibri"/>
      <family val="2"/>
      <scheme val="minor"/>
    </font>
    <font>
      <sz val="14"/>
      <color theme="0"/>
      <name val="Calibri"/>
      <family val="2"/>
      <scheme val="minor"/>
    </font>
    <font>
      <sz val="16"/>
      <color theme="0"/>
      <name val="Calibri"/>
      <family val="2"/>
      <scheme val="minor"/>
    </font>
    <font>
      <b/>
      <u/>
      <sz val="16"/>
      <color theme="0"/>
      <name val="Calibri"/>
      <family val="2"/>
      <scheme val="minor"/>
    </font>
    <font>
      <b/>
      <sz val="14"/>
      <color theme="0"/>
      <name val="Calibri"/>
      <family val="2"/>
      <scheme val="minor"/>
    </font>
    <font>
      <u/>
      <sz val="16"/>
      <color theme="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patternFill>
    </fill>
    <fill>
      <patternFill patternType="solid">
        <fgColor theme="9"/>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0" fontId="4" fillId="6" borderId="0" applyNumberFormat="0" applyBorder="0" applyAlignment="0" applyProtection="0"/>
    <xf numFmtId="0" fontId="4" fillId="7" borderId="0" applyNumberFormat="0" applyBorder="0" applyAlignment="0" applyProtection="0"/>
  </cellStyleXfs>
  <cellXfs count="185">
    <xf numFmtId="0" fontId="0" fillId="0" borderId="0" xfId="0"/>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xf numFmtId="0" fontId="0" fillId="0" borderId="0" xfId="0" applyBorder="1"/>
    <xf numFmtId="44" fontId="0" fillId="0" borderId="8" xfId="1" applyFont="1" applyBorder="1"/>
    <xf numFmtId="0" fontId="0" fillId="0" borderId="7" xfId="1" applyNumberFormat="1" applyFont="1" applyBorder="1"/>
    <xf numFmtId="44" fontId="0" fillId="0" borderId="0" xfId="1" applyFont="1" applyBorder="1"/>
    <xf numFmtId="44" fontId="0" fillId="0" borderId="5" xfId="1" applyFont="1" applyBorder="1"/>
    <xf numFmtId="0" fontId="0" fillId="0" borderId="5" xfId="0" applyBorder="1"/>
    <xf numFmtId="44" fontId="0" fillId="0" borderId="6" xfId="1" applyFont="1" applyBorder="1"/>
    <xf numFmtId="0" fontId="0" fillId="0" borderId="0" xfId="1" applyNumberFormat="1" applyFont="1" applyBorder="1"/>
    <xf numFmtId="0" fontId="0" fillId="0" borderId="8" xfId="0" applyBorder="1"/>
    <xf numFmtId="0" fontId="0" fillId="0" borderId="4" xfId="0" applyBorder="1"/>
    <xf numFmtId="0" fontId="0" fillId="0" borderId="5" xfId="1" applyNumberFormat="1" applyFont="1" applyBorder="1"/>
    <xf numFmtId="0" fontId="0" fillId="0" borderId="7" xfId="0" applyBorder="1"/>
    <xf numFmtId="0" fontId="2" fillId="0" borderId="9" xfId="0" applyFont="1" applyBorder="1"/>
    <xf numFmtId="0" fontId="0" fillId="0" borderId="10" xfId="0" applyBorder="1"/>
    <xf numFmtId="44" fontId="0" fillId="0" borderId="11" xfId="1" applyFont="1" applyBorder="1"/>
    <xf numFmtId="0" fontId="0" fillId="0" borderId="9" xfId="1" applyNumberFormat="1" applyFont="1" applyBorder="1"/>
    <xf numFmtId="44" fontId="0" fillId="0" borderId="10" xfId="1" applyFont="1" applyBorder="1"/>
    <xf numFmtId="0" fontId="0" fillId="0" borderId="10" xfId="1" applyNumberFormat="1" applyFont="1" applyBorder="1"/>
    <xf numFmtId="0" fontId="0" fillId="0" borderId="11" xfId="0" applyBorder="1"/>
    <xf numFmtId="0" fontId="0" fillId="0" borderId="9" xfId="0" applyBorder="1"/>
    <xf numFmtId="0" fontId="0" fillId="0" borderId="0" xfId="0" applyNumberFormat="1"/>
    <xf numFmtId="0" fontId="0" fillId="0" borderId="6" xfId="0" applyBorder="1"/>
    <xf numFmtId="0" fontId="2" fillId="0" borderId="7" xfId="0" applyFont="1" applyBorder="1" applyAlignment="1">
      <alignment horizontal="center"/>
    </xf>
    <xf numFmtId="0" fontId="2" fillId="0" borderId="0" xfId="0" applyFont="1" applyBorder="1" applyAlignment="1">
      <alignment horizontal="center"/>
    </xf>
    <xf numFmtId="44" fontId="0" fillId="0" borderId="0" xfId="0" applyNumberFormat="1" applyBorder="1"/>
    <xf numFmtId="44" fontId="0" fillId="0" borderId="8" xfId="0" applyNumberFormat="1" applyBorder="1"/>
    <xf numFmtId="44" fontId="0" fillId="0" borderId="12" xfId="0" applyNumberFormat="1" applyBorder="1"/>
    <xf numFmtId="44" fontId="0" fillId="0" borderId="0" xfId="0" applyNumberFormat="1"/>
    <xf numFmtId="0" fontId="2" fillId="0" borderId="0" xfId="0" applyFont="1" applyAlignment="1">
      <alignment horizontal="center"/>
    </xf>
    <xf numFmtId="44" fontId="0" fillId="0" borderId="0" xfId="1" applyFont="1"/>
    <xf numFmtId="0" fontId="0" fillId="4" borderId="4" xfId="0" applyFill="1" applyBorder="1"/>
    <xf numFmtId="44" fontId="0" fillId="4" borderId="5" xfId="0" applyNumberFormat="1" applyFill="1" applyBorder="1"/>
    <xf numFmtId="0" fontId="0" fillId="2" borderId="9" xfId="0" applyFill="1" applyBorder="1"/>
    <xf numFmtId="44" fontId="0" fillId="2" borderId="10" xfId="0" applyNumberFormat="1" applyFill="1" applyBorder="1"/>
    <xf numFmtId="44" fontId="0" fillId="3" borderId="14" xfId="0" applyNumberFormat="1" applyFill="1" applyBorder="1"/>
    <xf numFmtId="44" fontId="0" fillId="0" borderId="15" xfId="0" applyNumberFormat="1" applyBorder="1"/>
    <xf numFmtId="0" fontId="2" fillId="0" borderId="0" xfId="0" applyFont="1"/>
    <xf numFmtId="44" fontId="0" fillId="2" borderId="0" xfId="0" applyNumberFormat="1" applyFill="1" applyBorder="1"/>
    <xf numFmtId="44" fontId="0" fillId="3" borderId="0" xfId="0" applyNumberFormat="1" applyFill="1" applyBorder="1"/>
    <xf numFmtId="44" fontId="0" fillId="4" borderId="0" xfId="0" applyNumberFormat="1" applyFill="1" applyBorder="1"/>
    <xf numFmtId="0" fontId="0" fillId="0" borderId="0" xfId="0" applyFill="1" applyBorder="1"/>
    <xf numFmtId="44" fontId="0" fillId="0" borderId="10" xfId="0" applyNumberFormat="1" applyBorder="1"/>
    <xf numFmtId="0" fontId="0" fillId="0" borderId="7" xfId="0" applyFont="1" applyBorder="1"/>
    <xf numFmtId="0" fontId="2" fillId="0" borderId="0" xfId="0" applyFont="1" applyBorder="1"/>
    <xf numFmtId="44" fontId="0" fillId="0" borderId="7" xfId="1" applyFont="1" applyBorder="1"/>
    <xf numFmtId="44" fontId="0" fillId="5" borderId="0" xfId="1" applyFont="1" applyFill="1" applyBorder="1"/>
    <xf numFmtId="44" fontId="0" fillId="0" borderId="9" xfId="1" applyFont="1" applyBorder="1"/>
    <xf numFmtId="0" fontId="2" fillId="0" borderId="10" xfId="0" applyFont="1" applyBorder="1" applyAlignment="1">
      <alignment horizontal="center"/>
    </xf>
    <xf numFmtId="0" fontId="0" fillId="0" borderId="16" xfId="0" applyBorder="1"/>
    <xf numFmtId="44" fontId="0" fillId="0" borderId="16" xfId="1" applyFont="1" applyBorder="1"/>
    <xf numFmtId="44" fontId="0" fillId="0" borderId="16" xfId="0" applyNumberFormat="1" applyBorder="1"/>
    <xf numFmtId="44" fontId="0" fillId="2" borderId="8" xfId="0" applyNumberFormat="1" applyFill="1" applyBorder="1"/>
    <xf numFmtId="0" fontId="2" fillId="0" borderId="16" xfId="0" applyFont="1" applyBorder="1"/>
    <xf numFmtId="0" fontId="0" fillId="0" borderId="1" xfId="0" applyBorder="1"/>
    <xf numFmtId="0" fontId="0" fillId="0" borderId="2" xfId="0" applyBorder="1"/>
    <xf numFmtId="0" fontId="0" fillId="0" borderId="3" xfId="0" applyBorder="1"/>
    <xf numFmtId="0" fontId="3" fillId="0" borderId="0" xfId="0" applyFont="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6" fillId="0" borderId="0" xfId="0" applyFont="1"/>
    <xf numFmtId="0" fontId="2" fillId="0" borderId="4" xfId="0" applyFont="1" applyFill="1" applyBorder="1" applyAlignment="1">
      <alignment horizontal="center"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6" xfId="0" applyFont="1" applyBorder="1" applyAlignment="1">
      <alignment horizontal="center"/>
    </xf>
    <xf numFmtId="0" fontId="3" fillId="0" borderId="0" xfId="0" applyFont="1" applyAlignment="1">
      <alignment wrapText="1"/>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2" fillId="0" borderId="16"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4" fillId="0" borderId="0" xfId="2" applyFill="1"/>
    <xf numFmtId="0" fontId="4" fillId="0" borderId="0" xfId="3" applyFill="1"/>
    <xf numFmtId="0" fontId="9" fillId="0" borderId="0" xfId="3" applyFont="1" applyFill="1" applyAlignment="1"/>
    <xf numFmtId="0" fontId="0" fillId="0" borderId="7" xfId="0" applyBorder="1" applyAlignment="1">
      <alignment wrapText="1"/>
    </xf>
    <xf numFmtId="0" fontId="0" fillId="0" borderId="0" xfId="0" applyBorder="1" applyAlignment="1">
      <alignment wrapText="1"/>
    </xf>
    <xf numFmtId="0" fontId="0" fillId="0" borderId="0" xfId="0" applyFont="1" applyBorder="1"/>
    <xf numFmtId="44" fontId="0" fillId="3" borderId="8" xfId="0" applyNumberFormat="1" applyFill="1" applyBorder="1"/>
    <xf numFmtId="44" fontId="0" fillId="4" borderId="8" xfId="0" applyNumberFormat="1" applyFill="1" applyBorder="1"/>
    <xf numFmtId="0" fontId="2" fillId="0" borderId="8" xfId="0" applyFont="1" applyBorder="1"/>
    <xf numFmtId="44" fontId="0" fillId="5" borderId="20" xfId="1" applyFont="1" applyFill="1" applyBorder="1"/>
    <xf numFmtId="0" fontId="2" fillId="0" borderId="7" xfId="0" applyFont="1" applyBorder="1" applyAlignment="1">
      <alignment horizontal="center" wrapText="1"/>
    </xf>
    <xf numFmtId="0" fontId="0" fillId="0" borderId="7" xfId="0" applyFont="1" applyBorder="1" applyAlignment="1">
      <alignment wrapText="1"/>
    </xf>
    <xf numFmtId="0" fontId="3" fillId="0" borderId="0" xfId="3" applyFont="1" applyFill="1" applyBorder="1"/>
    <xf numFmtId="0" fontId="4" fillId="0" borderId="0" xfId="3" applyFill="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0" xfId="0" applyFill="1"/>
    <xf numFmtId="44" fontId="0" fillId="0" borderId="5" xfId="0" applyNumberFormat="1" applyBorder="1"/>
    <xf numFmtId="0" fontId="0" fillId="0" borderId="0" xfId="0" applyFont="1" applyBorder="1" applyAlignment="1">
      <alignment wrapText="1"/>
    </xf>
    <xf numFmtId="44" fontId="0" fillId="0" borderId="11" xfId="0" applyNumberFormat="1" applyBorder="1"/>
    <xf numFmtId="44" fontId="0" fillId="0" borderId="2" xfId="0" applyNumberFormat="1" applyBorder="1"/>
    <xf numFmtId="44" fontId="0" fillId="5" borderId="20" xfId="0" applyNumberFormat="1" applyFill="1" applyBorder="1"/>
    <xf numFmtId="44" fontId="0" fillId="0" borderId="0" xfId="1" applyFont="1" applyFill="1" applyBorder="1"/>
    <xf numFmtId="44" fontId="2" fillId="3" borderId="13" xfId="0" applyNumberFormat="1" applyFont="1" applyFill="1" applyBorder="1" applyAlignment="1">
      <alignment horizontal="center" wrapText="1"/>
    </xf>
    <xf numFmtId="0" fontId="2" fillId="0" borderId="1" xfId="0" applyFont="1" applyBorder="1" applyAlignment="1">
      <alignment horizontal="center" wrapText="1"/>
    </xf>
    <xf numFmtId="0" fontId="2" fillId="0" borderId="8" xfId="0" applyFont="1" applyBorder="1" applyAlignment="1">
      <alignment horizontal="center" wrapText="1"/>
    </xf>
    <xf numFmtId="0" fontId="4" fillId="0" borderId="16" xfId="3" applyFill="1" applyBorder="1"/>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6"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44" fontId="0" fillId="0" borderId="8" xfId="0" applyNumberFormat="1" applyFill="1" applyBorder="1"/>
    <xf numFmtId="0" fontId="0" fillId="0" borderId="7" xfId="0" applyBorder="1" applyAlignment="1">
      <alignment horizontal="center" wrapText="1"/>
    </xf>
    <xf numFmtId="0" fontId="0" fillId="0" borderId="0" xfId="0" applyBorder="1" applyAlignment="1">
      <alignment horizontal="center" wrapText="1"/>
    </xf>
    <xf numFmtId="0" fontId="10" fillId="7" borderId="0" xfId="3" applyFont="1" applyBorder="1" applyAlignment="1">
      <alignment horizontal="left"/>
    </xf>
    <xf numFmtId="0" fontId="10" fillId="7" borderId="17" xfId="3" applyFont="1" applyBorder="1" applyAlignment="1">
      <alignment horizontal="left"/>
    </xf>
    <xf numFmtId="0" fontId="0" fillId="2" borderId="7" xfId="0" applyNumberFormat="1" applyFill="1" applyBorder="1" applyAlignment="1">
      <alignment horizontal="left"/>
    </xf>
    <xf numFmtId="0" fontId="0" fillId="2" borderId="0" xfId="0" applyNumberFormat="1" applyFill="1" applyBorder="1" applyAlignment="1">
      <alignment horizontal="left"/>
    </xf>
    <xf numFmtId="0" fontId="0" fillId="0" borderId="7" xfId="0" applyFont="1" applyBorder="1" applyAlignment="1">
      <alignment horizontal="left" wrapText="1"/>
    </xf>
    <xf numFmtId="0" fontId="0" fillId="0" borderId="0" xfId="0" applyFont="1" applyBorder="1" applyAlignment="1">
      <alignment horizontal="left" wrapText="1"/>
    </xf>
    <xf numFmtId="0" fontId="0" fillId="0" borderId="7" xfId="0" applyNumberFormat="1" applyBorder="1" applyAlignment="1">
      <alignment horizontal="left"/>
    </xf>
    <xf numFmtId="0" fontId="0" fillId="0" borderId="0" xfId="0" applyNumberFormat="1" applyBorder="1" applyAlignment="1">
      <alignment horizontal="left"/>
    </xf>
    <xf numFmtId="44" fontId="0" fillId="0" borderId="7" xfId="1" applyFont="1" applyBorder="1" applyAlignment="1">
      <alignment horizontal="left" wrapText="1"/>
    </xf>
    <xf numFmtId="44" fontId="0" fillId="0" borderId="0" xfId="1" applyFont="1" applyBorder="1" applyAlignment="1">
      <alignment horizontal="left" wrapText="1"/>
    </xf>
    <xf numFmtId="0" fontId="0" fillId="0" borderId="7" xfId="0" applyBorder="1" applyAlignment="1">
      <alignment horizontal="left"/>
    </xf>
    <xf numFmtId="0" fontId="0" fillId="0" borderId="0" xfId="0" applyBorder="1" applyAlignment="1">
      <alignment horizontal="left"/>
    </xf>
    <xf numFmtId="0" fontId="0" fillId="0" borderId="7" xfId="0" applyBorder="1" applyAlignment="1">
      <alignment horizontal="left" wrapText="1"/>
    </xf>
    <xf numFmtId="0" fontId="0" fillId="0" borderId="0"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NumberFormat="1" applyFont="1" applyBorder="1" applyAlignment="1">
      <alignment horizontal="left"/>
    </xf>
    <xf numFmtId="0" fontId="2" fillId="0" borderId="5" xfId="0" applyNumberFormat="1" applyFont="1" applyBorder="1" applyAlignment="1">
      <alignment horizontal="left"/>
    </xf>
    <xf numFmtId="0" fontId="2" fillId="0" borderId="6" xfId="0" applyNumberFormat="1" applyFont="1" applyBorder="1" applyAlignment="1">
      <alignment horizontal="left"/>
    </xf>
    <xf numFmtId="0" fontId="12" fillId="6" borderId="0" xfId="2" applyFont="1" applyAlignment="1">
      <alignment horizontal="left"/>
    </xf>
    <xf numFmtId="0" fontId="2" fillId="0" borderId="4" xfId="0" applyFont="1" applyBorder="1" applyAlignment="1">
      <alignment horizontal="left"/>
    </xf>
    <xf numFmtId="0" fontId="2" fillId="0" borderId="6" xfId="0" applyFont="1" applyBorder="1" applyAlignment="1">
      <alignment horizontal="left"/>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0" fillId="0" borderId="4" xfId="0" applyBorder="1" applyAlignment="1">
      <alignment horizontal="left"/>
    </xf>
    <xf numFmtId="0" fontId="0" fillId="0" borderId="5" xfId="0"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8" xfId="0" applyFont="1" applyFill="1" applyBorder="1" applyAlignment="1">
      <alignment horizontal="center"/>
    </xf>
    <xf numFmtId="0" fontId="2" fillId="0" borderId="16" xfId="0" applyFont="1" applyFill="1" applyBorder="1" applyAlignment="1">
      <alignment horizontal="center"/>
    </xf>
    <xf numFmtId="0" fontId="2" fillId="0" borderId="19" xfId="0" applyFont="1" applyFill="1" applyBorder="1" applyAlignment="1">
      <alignment horizontal="center"/>
    </xf>
    <xf numFmtId="0" fontId="2" fillId="0" borderId="18"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0" fillId="7" borderId="0" xfId="3" applyFont="1" applyBorder="1" applyAlignment="1">
      <alignment horizontal="left" wrapText="1"/>
    </xf>
    <xf numFmtId="0" fontId="10" fillId="7" borderId="0" xfId="3" applyFont="1" applyAlignment="1">
      <alignment horizontal="left"/>
    </xf>
    <xf numFmtId="0" fontId="6" fillId="0" borderId="0" xfId="0" applyFont="1" applyAlignment="1">
      <alignment horizontal="left"/>
    </xf>
    <xf numFmtId="0" fontId="6" fillId="0" borderId="8" xfId="0" applyFont="1" applyBorder="1" applyAlignment="1">
      <alignment horizontal="left"/>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0" fillId="7" borderId="17" xfId="3" applyFont="1" applyBorder="1" applyAlignment="1">
      <alignment horizontal="left" wrapText="1"/>
    </xf>
    <xf numFmtId="44" fontId="0" fillId="0" borderId="7" xfId="1" applyFont="1" applyBorder="1" applyAlignment="1">
      <alignment horizontal="left"/>
    </xf>
    <xf numFmtId="44" fontId="0" fillId="0" borderId="0" xfId="1" applyFont="1" applyBorder="1" applyAlignment="1">
      <alignment horizontal="left"/>
    </xf>
  </cellXfs>
  <cellStyles count="4">
    <cellStyle name="Accent5" xfId="2" builtinId="45"/>
    <cellStyle name="Accent6" xfId="3" builtinId="4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254751" y="7667627"/>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5" name="TextBox 4"/>
        <xdr:cNvSpPr txBox="1"/>
      </xdr:nvSpPr>
      <xdr:spPr>
        <a:xfrm>
          <a:off x="10517188" y="8961438"/>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1230313"/>
    <xdr:sp macro="" textlink="">
      <xdr:nvSpPr>
        <xdr:cNvPr id="8" name="TextBox 7"/>
        <xdr:cNvSpPr txBox="1"/>
      </xdr:nvSpPr>
      <xdr:spPr>
        <a:xfrm>
          <a:off x="9644064" y="20050123"/>
          <a:ext cx="4183062" cy="1230313"/>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over generates, the unit is not made whole to incremental costs above Ramp Limited Desired (i.e. incremental costs associated with  the 25 MWs between 75 MW (Ramp Limited Desired) and 100 MW (RT Actual MW)).</a:t>
          </a:r>
        </a:p>
      </xdr:txBody>
    </xdr:sp>
    <xdr:clientData/>
  </xdr:oneCellAnchor>
  <xdr:oneCellAnchor>
    <xdr:from>
      <xdr:col>13</xdr:col>
      <xdr:colOff>642938</xdr:colOff>
      <xdr:row>146</xdr:row>
      <xdr:rowOff>7938</xdr:rowOff>
    </xdr:from>
    <xdr:ext cx="4180261" cy="1270000"/>
    <xdr:sp macro="" textlink="">
      <xdr:nvSpPr>
        <xdr:cNvPr id="9" name="TextBox 8"/>
        <xdr:cNvSpPr txBox="1"/>
      </xdr:nvSpPr>
      <xdr:spPr>
        <a:xfrm>
          <a:off x="9564688" y="31392813"/>
          <a:ext cx="4180261" cy="12700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When</a:t>
          </a:r>
          <a:r>
            <a:rPr lang="en-US" sz="1400" baseline="0"/>
            <a:t> the unit overgenerates, the unit is not made whole to incremental costs above Tracking </a:t>
          </a:r>
          <a:r>
            <a:rPr lang="en-US" sz="1400" baseline="0">
              <a:solidFill>
                <a:schemeClr val="lt1"/>
              </a:solidFill>
              <a:effectLst/>
              <a:latin typeface="+mn-lt"/>
              <a:ea typeface="+mn-ea"/>
              <a:cs typeface="+mn-cs"/>
            </a:rPr>
            <a:t>Desired (i.e. incremental costs associated with  the 50 MWs between 50 MW (Tracking Desired) and 100 MW (RT Actual MW)).</a:t>
          </a:r>
          <a:endParaRPr lang="en-US" sz="1400">
            <a:effectLst/>
          </a:endParaRPr>
        </a:p>
        <a:p>
          <a:endParaRPr lang="en-US" sz="1100" baseline="0"/>
        </a:p>
      </xdr:txBody>
    </xdr:sp>
    <xdr:clientData/>
  </xdr:oneCellAnchor>
  <xdr:oneCellAnchor>
    <xdr:from>
      <xdr:col>0</xdr:col>
      <xdr:colOff>39688</xdr:colOff>
      <xdr:row>155</xdr:row>
      <xdr:rowOff>174624</xdr:rowOff>
    </xdr:from>
    <xdr:ext cx="8897937" cy="2286001"/>
    <xdr:sp macro="" textlink="">
      <xdr:nvSpPr>
        <xdr:cNvPr id="11" name="TextBox 10"/>
        <xdr:cNvSpPr txBox="1"/>
      </xdr:nvSpPr>
      <xdr:spPr>
        <a:xfrm>
          <a:off x="39688" y="33289874"/>
          <a:ext cx="8897937" cy="2286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 and 3 award</a:t>
          </a:r>
          <a:r>
            <a:rPr lang="en-US" sz="1800" baseline="0"/>
            <a:t> the same Balancing Operating Reserve Credits, which limit paying </a:t>
          </a:r>
        </a:p>
        <a:p>
          <a:r>
            <a:rPr lang="en-US" sz="1800" baseline="0"/>
            <a:t>uplift for only MWs that PJM desired.</a:t>
          </a:r>
        </a:p>
        <a:p>
          <a:endParaRPr lang="en-US" sz="1000" baseline="0"/>
        </a:p>
        <a:p>
          <a:r>
            <a:rPr lang="en-US" sz="1800" baseline="0"/>
            <a:t>Scenario 2 pays additional uplift for MW in excess of what the resource would have provided, </a:t>
          </a:r>
        </a:p>
        <a:p>
          <a:r>
            <a:rPr lang="en-US" sz="1800" baseline="0"/>
            <a:t>if it was following dispatch. In this example, the resource is overgenerating and the Ramp </a:t>
          </a:r>
        </a:p>
        <a:p>
          <a:r>
            <a:rPr lang="en-US" sz="1800" baseline="0"/>
            <a:t>Limited Desired MW is constrained in how low it can move by the resource's current </a:t>
          </a:r>
        </a:p>
        <a:p>
          <a:r>
            <a:rPr lang="en-US" sz="1800" baseline="0"/>
            <a:t>output and ramp rate.</a:t>
          </a:r>
          <a:endParaRPr lang="en-US" sz="1800"/>
        </a:p>
      </xdr:txBody>
    </xdr:sp>
    <xdr:clientData/>
  </xdr:oneCellAnchor>
  <xdr:oneCellAnchor>
    <xdr:from>
      <xdr:col>13</xdr:col>
      <xdr:colOff>644414</xdr:colOff>
      <xdr:row>156</xdr:row>
      <xdr:rowOff>13689</xdr:rowOff>
    </xdr:from>
    <xdr:ext cx="4173649" cy="3788373"/>
    <xdr:sp macro="" textlink="">
      <xdr:nvSpPr>
        <xdr:cNvPr id="12" name="TextBox 11"/>
        <xdr:cNvSpPr txBox="1"/>
      </xdr:nvSpPr>
      <xdr:spPr>
        <a:xfrm>
          <a:off x="9566164" y="33319439"/>
          <a:ext cx="4173649" cy="37883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Scenario 1 shows the resource breaks even when following</a:t>
          </a:r>
          <a:r>
            <a:rPr lang="en-US" sz="1600" baseline="0"/>
            <a:t> dispatch</a:t>
          </a:r>
        </a:p>
        <a:p>
          <a:endParaRPr lang="en-US" sz="1600" baseline="0"/>
        </a:p>
        <a:p>
          <a:r>
            <a:rPr lang="en-US" sz="1600" baseline="0"/>
            <a:t>Scenario 2 shows the resource incurs a small loss due to the resource operating above the Ramp Limited Desired MW (uplift is not paid for MW in excess of the Ramp Limited Desired MW)</a:t>
          </a:r>
        </a:p>
        <a:p>
          <a:endParaRPr lang="en-US" sz="1800" baseline="0"/>
        </a:p>
        <a:p>
          <a:r>
            <a:rPr lang="en-US" sz="1600" baseline="0"/>
            <a:t>Scenario 3 shows the resource incurs a larger loss as compared to Scenario 2 due to the Tracking Desired MW not being constrained by the resource's current output.</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13" name="Rounded Rectangular Callout 12"/>
        <xdr:cNvSpPr/>
      </xdr:nvSpPr>
      <xdr:spPr>
        <a:xfrm>
          <a:off x="3595688" y="31425912"/>
          <a:ext cx="5318125"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17" name="Rounded Rectangular Callout 16"/>
        <xdr:cNvSpPr/>
      </xdr:nvSpPr>
      <xdr:spPr>
        <a:xfrm>
          <a:off x="3548054" y="20614158"/>
          <a:ext cx="5388162" cy="1404468"/>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8" name="Rounded Rectangular Callout 17"/>
        <xdr:cNvSpPr/>
      </xdr:nvSpPr>
      <xdr:spPr>
        <a:xfrm>
          <a:off x="3635376" y="9659938"/>
          <a:ext cx="5302250"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4" name="TextBox 13"/>
        <xdr:cNvSpPr txBox="1"/>
      </xdr:nvSpPr>
      <xdr:spPr>
        <a:xfrm>
          <a:off x="7493000" y="7664451"/>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5" name="TextBox 14"/>
        <xdr:cNvSpPr txBox="1"/>
      </xdr:nvSpPr>
      <xdr:spPr>
        <a:xfrm>
          <a:off x="6405563" y="18499138"/>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2849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3" name="TextBox 2"/>
        <xdr:cNvSpPr txBox="1"/>
      </xdr:nvSpPr>
      <xdr:spPr>
        <a:xfrm>
          <a:off x="10434638" y="8988425"/>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1230313"/>
    <xdr:sp macro="" textlink="">
      <xdr:nvSpPr>
        <xdr:cNvPr id="4" name="TextBox 3"/>
        <xdr:cNvSpPr txBox="1"/>
      </xdr:nvSpPr>
      <xdr:spPr>
        <a:xfrm>
          <a:off x="9563101" y="20113623"/>
          <a:ext cx="4183062" cy="1230313"/>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over generates, the unit is not made whole to incremental costs above Ramp Limited Desired (i.e. incremental costs associated with  the 25 MWs between 75 MW (Ramp Limited Desired) and 100 MW (RT Actual MW)).</a:t>
          </a:r>
        </a:p>
      </xdr:txBody>
    </xdr:sp>
    <xdr:clientData/>
  </xdr:oneCellAnchor>
  <xdr:oneCellAnchor>
    <xdr:from>
      <xdr:col>13</xdr:col>
      <xdr:colOff>642938</xdr:colOff>
      <xdr:row>146</xdr:row>
      <xdr:rowOff>7937</xdr:rowOff>
    </xdr:from>
    <xdr:ext cx="4180261" cy="1285875"/>
    <xdr:sp macro="" textlink="">
      <xdr:nvSpPr>
        <xdr:cNvPr id="5" name="TextBox 4"/>
        <xdr:cNvSpPr txBox="1"/>
      </xdr:nvSpPr>
      <xdr:spPr>
        <a:xfrm>
          <a:off x="9913938" y="31392812"/>
          <a:ext cx="4180261" cy="128587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When</a:t>
          </a:r>
          <a:r>
            <a:rPr lang="en-US" sz="1400" baseline="0"/>
            <a:t> the unit overgenerates, the unit is not made whole to incremental costs above Tracking </a:t>
          </a:r>
          <a:r>
            <a:rPr lang="en-US" sz="1400" baseline="0">
              <a:solidFill>
                <a:schemeClr val="lt1"/>
              </a:solidFill>
              <a:effectLst/>
              <a:latin typeface="+mn-lt"/>
              <a:ea typeface="+mn-ea"/>
              <a:cs typeface="+mn-cs"/>
            </a:rPr>
            <a:t>Desired (i.e. incremental costs associated with  the 50 MWs between 50 MW (Tracking Desired) and 100 MW (RT Actual MW)).</a:t>
          </a:r>
          <a:endParaRPr lang="en-US" sz="1400">
            <a:effectLst/>
          </a:endParaRPr>
        </a:p>
        <a:p>
          <a:endParaRPr lang="en-US" sz="1100" baseline="0"/>
        </a:p>
      </xdr:txBody>
    </xdr:sp>
    <xdr:clientData/>
  </xdr:oneCellAnchor>
  <xdr:oneCellAnchor>
    <xdr:from>
      <xdr:col>0</xdr:col>
      <xdr:colOff>39689</xdr:colOff>
      <xdr:row>155</xdr:row>
      <xdr:rowOff>174624</xdr:rowOff>
    </xdr:from>
    <xdr:ext cx="8858250" cy="3643314"/>
    <xdr:sp macro="" textlink="">
      <xdr:nvSpPr>
        <xdr:cNvPr id="6" name="TextBox 5"/>
        <xdr:cNvSpPr txBox="1"/>
      </xdr:nvSpPr>
      <xdr:spPr>
        <a:xfrm>
          <a:off x="39689" y="33289874"/>
          <a:ext cx="8858250" cy="36433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 and 3 award</a:t>
          </a:r>
          <a:r>
            <a:rPr lang="en-US" sz="1800" baseline="0"/>
            <a:t> the same Balancing Operating Reserve Credits, which limit paying </a:t>
          </a:r>
        </a:p>
        <a:p>
          <a:r>
            <a:rPr lang="en-US" sz="1800" baseline="0"/>
            <a:t>uplift for only MWs that PJM desired. Scenario 3, besides limiting the Incremental cost, also</a:t>
          </a:r>
        </a:p>
        <a:p>
          <a:r>
            <a:rPr lang="en-US" sz="1800" baseline="0"/>
            <a:t>limits the Balancing Revenue, since the over generation with a negative LMP results in the </a:t>
          </a:r>
          <a:br>
            <a:rPr lang="en-US" sz="1800" baseline="0"/>
          </a:br>
          <a:r>
            <a:rPr lang="en-US" sz="1800" baseline="0"/>
            <a:t>resource being charged for all the MW being produced.</a:t>
          </a:r>
        </a:p>
        <a:p>
          <a:endParaRPr lang="en-US" sz="1000" baseline="0"/>
        </a:p>
        <a:p>
          <a:r>
            <a:rPr lang="en-US" sz="1800" baseline="0"/>
            <a:t>Scenario 2 pays additional uplift for MW in excess of what the resource would have provided, </a:t>
          </a:r>
        </a:p>
        <a:p>
          <a:r>
            <a:rPr lang="en-US" sz="1800" baseline="0"/>
            <a:t>if it was following dispatch. In this example, the resource is overgenerating and the Ramp </a:t>
          </a:r>
        </a:p>
        <a:p>
          <a:r>
            <a:rPr lang="en-US" sz="1800" baseline="0"/>
            <a:t>Limited Desired MW is constrained in how low it can move by the resource's current </a:t>
          </a:r>
        </a:p>
        <a:p>
          <a:r>
            <a:rPr lang="en-US" sz="1800" baseline="0"/>
            <a:t>output and ramp rate. The resource recovers the energy charge for the overgeneration</a:t>
          </a:r>
          <a:br>
            <a:rPr lang="en-US" sz="1800" baseline="0"/>
          </a:br>
          <a:r>
            <a:rPr lang="en-US" sz="1800" baseline="0"/>
            <a:t>due to the LMP being negative.</a:t>
          </a:r>
          <a:endParaRPr lang="en-US" sz="1800"/>
        </a:p>
      </xdr:txBody>
    </xdr:sp>
    <xdr:clientData/>
  </xdr:oneCellAnchor>
  <xdr:oneCellAnchor>
    <xdr:from>
      <xdr:col>13</xdr:col>
      <xdr:colOff>644414</xdr:colOff>
      <xdr:row>156</xdr:row>
      <xdr:rowOff>13689</xdr:rowOff>
    </xdr:from>
    <xdr:ext cx="4173649" cy="4383686"/>
    <xdr:sp macro="" textlink="">
      <xdr:nvSpPr>
        <xdr:cNvPr id="7" name="TextBox 6"/>
        <xdr:cNvSpPr txBox="1"/>
      </xdr:nvSpPr>
      <xdr:spPr>
        <a:xfrm>
          <a:off x="9915414" y="33319439"/>
          <a:ext cx="4173649" cy="4383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Scenario 1 shows the resource breaks even when following</a:t>
          </a:r>
          <a:r>
            <a:rPr lang="en-US" sz="1600" baseline="0"/>
            <a:t> dispatch</a:t>
          </a:r>
        </a:p>
        <a:p>
          <a:endParaRPr lang="en-US" sz="1600" baseline="0"/>
        </a:p>
        <a:p>
          <a:r>
            <a:rPr lang="en-US" sz="1600" baseline="0"/>
            <a:t>Scenario 2 shows the resource incurs a small loss due to the resource operating above the Ramp Limited Desired MW (uplift is not paid for MW in excess of the Ramp Limited Desired MW)</a:t>
          </a:r>
        </a:p>
        <a:p>
          <a:endParaRPr lang="en-US" sz="1800" baseline="0"/>
        </a:p>
        <a:p>
          <a:r>
            <a:rPr lang="en-US" sz="1600" baseline="0"/>
            <a:t>Scenario 3 shows the resource incurs a larger loss as compared to Scenario 2 due to the Tracking Desired MW not being constrained by the resource's current output. The Balancing Value being limited to just the energy charge that would have been requested by PJM is also a factor of the increase in loss.</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587750" y="31856124"/>
          <a:ext cx="5318125"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540116" y="20839583"/>
          <a:ext cx="5389750"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627438" y="9688513"/>
          <a:ext cx="5303838"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4039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4039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twoCellAnchor>
    <xdr:from>
      <xdr:col>0</xdr:col>
      <xdr:colOff>254001</xdr:colOff>
      <xdr:row>89</xdr:row>
      <xdr:rowOff>182561</xdr:rowOff>
    </xdr:from>
    <xdr:to>
      <xdr:col>1</xdr:col>
      <xdr:colOff>549277</xdr:colOff>
      <xdr:row>96</xdr:row>
      <xdr:rowOff>7937</xdr:rowOff>
    </xdr:to>
    <xdr:sp macro="" textlink="">
      <xdr:nvSpPr>
        <xdr:cNvPr id="17" name="Line Callout 1 16"/>
        <xdr:cNvSpPr/>
      </xdr:nvSpPr>
      <xdr:spPr>
        <a:xfrm>
          <a:off x="254001" y="19256374"/>
          <a:ext cx="1755776" cy="1285876"/>
        </a:xfrm>
        <a:prstGeom prst="borderCallout1">
          <a:avLst>
            <a:gd name="adj1" fmla="val 40221"/>
            <a:gd name="adj2" fmla="val 104218"/>
            <a:gd name="adj3" fmla="val 39390"/>
            <a:gd name="adj4" fmla="val 38785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includes the over generation,</a:t>
          </a:r>
          <a:r>
            <a:rPr lang="en-US" sz="1400" baseline="0"/>
            <a:t> which is a charge with the negative LMP.</a:t>
          </a:r>
          <a:endParaRPr lang="en-US" sz="1400"/>
        </a:p>
      </xdr:txBody>
    </xdr:sp>
    <xdr:clientData/>
  </xdr:twoCellAnchor>
  <xdr:twoCellAnchor>
    <xdr:from>
      <xdr:col>0</xdr:col>
      <xdr:colOff>198448</xdr:colOff>
      <xdr:row>140</xdr:row>
      <xdr:rowOff>166686</xdr:rowOff>
    </xdr:from>
    <xdr:to>
      <xdr:col>1</xdr:col>
      <xdr:colOff>493724</xdr:colOff>
      <xdr:row>146</xdr:row>
      <xdr:rowOff>111125</xdr:rowOff>
    </xdr:to>
    <xdr:sp macro="" textlink="">
      <xdr:nvSpPr>
        <xdr:cNvPr id="14" name="Line Callout 1 13"/>
        <xdr:cNvSpPr/>
      </xdr:nvSpPr>
      <xdr:spPr>
        <a:xfrm>
          <a:off x="198448" y="30210124"/>
          <a:ext cx="1755776" cy="1285876"/>
        </a:xfrm>
        <a:prstGeom prst="borderCallout1">
          <a:avLst>
            <a:gd name="adj1" fmla="val 40221"/>
            <a:gd name="adj2" fmla="val 104218"/>
            <a:gd name="adj3" fmla="val 39390"/>
            <a:gd name="adj4" fmla="val 38785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a:t>
          </a:r>
          <a:r>
            <a:rPr lang="en-US" sz="1400" b="1"/>
            <a:t>does not include</a:t>
          </a:r>
          <a:r>
            <a:rPr lang="en-US" sz="1400"/>
            <a:t> the over generation,</a:t>
          </a:r>
          <a:r>
            <a:rPr lang="en-US" sz="1400" baseline="0"/>
            <a:t> which is a charge with the negative LMP.</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920750"/>
    <xdr:sp macro="" textlink="">
      <xdr:nvSpPr>
        <xdr:cNvPr id="3" name="TextBox 2"/>
        <xdr:cNvSpPr txBox="1"/>
      </xdr:nvSpPr>
      <xdr:spPr>
        <a:xfrm>
          <a:off x="10866438" y="8961438"/>
          <a:ext cx="3306761" cy="92075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resource's profit increases over its day-ahead profit.</a:t>
          </a:r>
        </a:p>
      </xdr:txBody>
    </xdr:sp>
    <xdr:clientData/>
  </xdr:oneCellAnchor>
  <xdr:oneCellAnchor>
    <xdr:from>
      <xdr:col>14</xdr:col>
      <xdr:colOff>1</xdr:colOff>
      <xdr:row>94</xdr:row>
      <xdr:rowOff>15873</xdr:rowOff>
    </xdr:from>
    <xdr:ext cx="4183062" cy="849315"/>
    <xdr:sp macro="" textlink="">
      <xdr:nvSpPr>
        <xdr:cNvPr id="4" name="TextBox 3"/>
        <xdr:cNvSpPr txBox="1"/>
      </xdr:nvSpPr>
      <xdr:spPr>
        <a:xfrm>
          <a:off x="9993314" y="20050123"/>
          <a:ext cx="4183062" cy="84931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 the resource over</a:t>
          </a:r>
          <a:r>
            <a:rPr lang="en-US" sz="1400" baseline="0"/>
            <a:t> generates and maintains its day-ahead position, the resource maintains its day-ahead profit.</a:t>
          </a:r>
        </a:p>
      </xdr:txBody>
    </xdr:sp>
    <xdr:clientData/>
  </xdr:oneCellAnchor>
  <xdr:oneCellAnchor>
    <xdr:from>
      <xdr:col>13</xdr:col>
      <xdr:colOff>642938</xdr:colOff>
      <xdr:row>146</xdr:row>
      <xdr:rowOff>7938</xdr:rowOff>
    </xdr:from>
    <xdr:ext cx="4180261" cy="793750"/>
    <xdr:sp macro="" textlink="">
      <xdr:nvSpPr>
        <xdr:cNvPr id="5" name="TextBox 4"/>
        <xdr:cNvSpPr txBox="1"/>
      </xdr:nvSpPr>
      <xdr:spPr>
        <a:xfrm>
          <a:off x="9985376" y="31392813"/>
          <a:ext cx="4180261" cy="79375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solidFill>
                <a:schemeClr val="lt1"/>
              </a:solidFill>
              <a:effectLst/>
              <a:latin typeface="+mn-lt"/>
              <a:ea typeface="+mn-ea"/>
              <a:cs typeface="+mn-cs"/>
            </a:rPr>
            <a:t>When the resource over</a:t>
          </a:r>
          <a:r>
            <a:rPr lang="en-US" sz="1400" baseline="0">
              <a:solidFill>
                <a:schemeClr val="lt1"/>
              </a:solidFill>
              <a:effectLst/>
              <a:latin typeface="+mn-lt"/>
              <a:ea typeface="+mn-ea"/>
              <a:cs typeface="+mn-cs"/>
            </a:rPr>
            <a:t> generates and maintains its day-ahead position, the resource maintains its day-ahead profit.</a:t>
          </a:r>
          <a:endParaRPr lang="en-US" sz="1400">
            <a:effectLst/>
          </a:endParaRPr>
        </a:p>
        <a:p>
          <a:endParaRPr lang="en-US" sz="1100" baseline="0"/>
        </a:p>
      </xdr:txBody>
    </xdr:sp>
    <xdr:clientData/>
  </xdr:oneCellAnchor>
  <xdr:oneCellAnchor>
    <xdr:from>
      <xdr:col>0</xdr:col>
      <xdr:colOff>39688</xdr:colOff>
      <xdr:row>155</xdr:row>
      <xdr:rowOff>174623</xdr:rowOff>
    </xdr:from>
    <xdr:ext cx="9771061" cy="5611815"/>
    <xdr:sp macro="" textlink="">
      <xdr:nvSpPr>
        <xdr:cNvPr id="6" name="TextBox 5"/>
        <xdr:cNvSpPr txBox="1"/>
      </xdr:nvSpPr>
      <xdr:spPr>
        <a:xfrm>
          <a:off x="39688" y="33289873"/>
          <a:ext cx="9771061" cy="56118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In</a:t>
          </a:r>
          <a:r>
            <a:rPr lang="en-US" sz="1800" baseline="0"/>
            <a:t> scenario 1 the resource follows dispatch and makes an additional profit above its day-ahead</a:t>
          </a:r>
          <a:br>
            <a:rPr lang="en-US" sz="1800" baseline="0"/>
          </a:br>
          <a:r>
            <a:rPr lang="en-US" sz="1800" baseline="0"/>
            <a:t>profit, which is then used to offset any losses in the same OR Segment.</a:t>
          </a:r>
          <a:br>
            <a:rPr lang="en-US" sz="1800" baseline="0"/>
          </a:br>
          <a:r>
            <a:rPr lang="en-US" sz="1800" baseline="0"/>
            <a:t/>
          </a:r>
          <a:br>
            <a:rPr lang="en-US" sz="1800" baseline="0"/>
          </a:br>
          <a:r>
            <a:rPr lang="en-US" sz="1800" baseline="0"/>
            <a:t>In scenario 2 the resource operates at its day-ahead cleared MW and the incremental cost is </a:t>
          </a:r>
          <a:br>
            <a:rPr lang="en-US" sz="1800" baseline="0"/>
          </a:br>
          <a:r>
            <a:rPr lang="en-US" sz="1800" baseline="0"/>
            <a:t>increased, but limited to the Ramp-Limited Desired MW. </a:t>
          </a:r>
          <a:r>
            <a:rPr lang="en-US" sz="1800" baseline="0">
              <a:solidFill>
                <a:schemeClr val="lt1"/>
              </a:solidFill>
              <a:effectLst/>
              <a:latin typeface="+mn-lt"/>
              <a:ea typeface="+mn-ea"/>
              <a:cs typeface="+mn-cs"/>
            </a:rPr>
            <a:t>In this example, the resource is overgenerating </a:t>
          </a:r>
        </a:p>
        <a:p>
          <a:r>
            <a:rPr lang="en-US" sz="1800" baseline="0">
              <a:solidFill>
                <a:schemeClr val="lt1"/>
              </a:solidFill>
              <a:effectLst/>
              <a:latin typeface="+mn-lt"/>
              <a:ea typeface="+mn-ea"/>
              <a:cs typeface="+mn-cs"/>
            </a:rPr>
            <a:t>and the Ramp Limited Desired MW is constrained in how low it can move by the resource's current </a:t>
          </a:r>
          <a:endParaRPr lang="en-US" sz="1800">
            <a:effectLst/>
          </a:endParaRPr>
        </a:p>
        <a:p>
          <a:r>
            <a:rPr lang="en-US" sz="1800" baseline="0">
              <a:solidFill>
                <a:schemeClr val="lt1"/>
              </a:solidFill>
              <a:effectLst/>
              <a:latin typeface="+mn-lt"/>
              <a:ea typeface="+mn-ea"/>
              <a:cs typeface="+mn-cs"/>
            </a:rPr>
            <a:t>output and ramp rate. Even though there is an increase in cost, the overall net revenue that is</a:t>
          </a:r>
        </a:p>
        <a:p>
          <a:r>
            <a:rPr lang="en-US" sz="1800">
              <a:effectLst/>
            </a:rPr>
            <a:t>used to offset any losses in the same OR Segment</a:t>
          </a:r>
          <a:r>
            <a:rPr lang="en-US" sz="1800" baseline="0">
              <a:effectLst/>
            </a:rPr>
            <a:t> also increases. This is due to the resource not</a:t>
          </a:r>
          <a:br>
            <a:rPr lang="en-US" sz="1800" baseline="0">
              <a:effectLst/>
            </a:rPr>
          </a:br>
          <a:r>
            <a:rPr lang="en-US" sz="1800" baseline="0">
              <a:effectLst/>
            </a:rPr>
            <a:t>needing to buy out of its day-ahead position.</a:t>
          </a:r>
          <a:endParaRPr lang="en-US" sz="1800">
            <a:effectLst/>
          </a:endParaRPr>
        </a:p>
        <a:p>
          <a:endParaRPr lang="en-US" sz="1000" baseline="0"/>
        </a:p>
        <a:p>
          <a:r>
            <a:rPr lang="en-US" sz="1800" baseline="0">
              <a:solidFill>
                <a:schemeClr val="lt1"/>
              </a:solidFill>
              <a:effectLst/>
              <a:latin typeface="+mn-lt"/>
              <a:ea typeface="+mn-ea"/>
              <a:cs typeface="+mn-cs"/>
            </a:rPr>
            <a:t>In scenario 3 the resource operates at its day-ahead cleared MW, but the incremental cost is </a:t>
          </a:r>
          <a:br>
            <a:rPr lang="en-US" sz="1800" baseline="0">
              <a:solidFill>
                <a:schemeClr val="lt1"/>
              </a:solidFill>
              <a:effectLst/>
              <a:latin typeface="+mn-lt"/>
              <a:ea typeface="+mn-ea"/>
              <a:cs typeface="+mn-cs"/>
            </a:rPr>
          </a:br>
          <a:r>
            <a:rPr lang="en-US" sz="1800" baseline="0">
              <a:solidFill>
                <a:schemeClr val="lt1"/>
              </a:solidFill>
              <a:effectLst/>
              <a:latin typeface="+mn-lt"/>
              <a:ea typeface="+mn-ea"/>
              <a:cs typeface="+mn-cs"/>
            </a:rPr>
            <a:t>limited to the Tracking Desired MW. In this example, the resource is overgenerating and </a:t>
          </a:r>
          <a:endParaRPr lang="en-US" sz="1800">
            <a:effectLst/>
          </a:endParaRPr>
        </a:p>
        <a:p>
          <a:r>
            <a:rPr lang="en-US" sz="1800" baseline="0">
              <a:solidFill>
                <a:schemeClr val="lt1"/>
              </a:solidFill>
              <a:effectLst/>
              <a:latin typeface="+mn-lt"/>
              <a:ea typeface="+mn-ea"/>
              <a:cs typeface="+mn-cs"/>
            </a:rPr>
            <a:t>the Tracking Desired MW is </a:t>
          </a:r>
          <a:r>
            <a:rPr lang="en-US" sz="1800" b="1" u="sng" baseline="0">
              <a:solidFill>
                <a:schemeClr val="lt1"/>
              </a:solidFill>
              <a:effectLst/>
              <a:latin typeface="+mn-lt"/>
              <a:ea typeface="+mn-ea"/>
              <a:cs typeface="+mn-cs"/>
            </a:rPr>
            <a:t>NOT</a:t>
          </a:r>
          <a:r>
            <a:rPr lang="en-US" sz="1800" baseline="0">
              <a:solidFill>
                <a:schemeClr val="lt1"/>
              </a:solidFill>
              <a:effectLst/>
              <a:latin typeface="+mn-lt"/>
              <a:ea typeface="+mn-ea"/>
              <a:cs typeface="+mn-cs"/>
            </a:rPr>
            <a:t> constrained in how low it can move by the resource's current </a:t>
          </a:r>
          <a:endParaRPr lang="en-US" sz="1800">
            <a:effectLst/>
          </a:endParaRPr>
        </a:p>
        <a:p>
          <a:r>
            <a:rPr lang="en-US" sz="1800" baseline="0">
              <a:solidFill>
                <a:schemeClr val="lt1"/>
              </a:solidFill>
              <a:effectLst/>
              <a:latin typeface="+mn-lt"/>
              <a:ea typeface="+mn-ea"/>
              <a:cs typeface="+mn-cs"/>
            </a:rPr>
            <a:t>output. The overall net revenue that is </a:t>
          </a:r>
          <a:r>
            <a:rPr lang="en-US" sz="1800">
              <a:solidFill>
                <a:schemeClr val="lt1"/>
              </a:solidFill>
              <a:effectLst/>
              <a:latin typeface="+mn-lt"/>
              <a:ea typeface="+mn-ea"/>
              <a:cs typeface="+mn-cs"/>
            </a:rPr>
            <a:t>used to offset any losses in the same </a:t>
          </a:r>
        </a:p>
        <a:p>
          <a:r>
            <a:rPr lang="en-US" sz="1800">
              <a:solidFill>
                <a:schemeClr val="lt1"/>
              </a:solidFill>
              <a:effectLst/>
              <a:latin typeface="+mn-lt"/>
              <a:ea typeface="+mn-ea"/>
              <a:cs typeface="+mn-cs"/>
            </a:rPr>
            <a:t>OR Segment</a:t>
          </a:r>
          <a:r>
            <a:rPr lang="en-US" sz="1800" baseline="0">
              <a:solidFill>
                <a:schemeClr val="lt1"/>
              </a:solidFill>
              <a:effectLst/>
              <a:latin typeface="+mn-lt"/>
              <a:ea typeface="+mn-ea"/>
              <a:cs typeface="+mn-cs"/>
            </a:rPr>
            <a:t> is increased. This is due to the resource having a lower cost based on Tracking Desired MW </a:t>
          </a:r>
        </a:p>
        <a:p>
          <a:r>
            <a:rPr lang="en-US" sz="1800" baseline="0">
              <a:solidFill>
                <a:schemeClr val="lt1"/>
              </a:solidFill>
              <a:effectLst/>
              <a:latin typeface="+mn-lt"/>
              <a:ea typeface="+mn-ea"/>
              <a:cs typeface="+mn-cs"/>
            </a:rPr>
            <a:t>and not needing to buy out of its day-ahead position.</a:t>
          </a:r>
          <a:endParaRPr lang="en-US" sz="1800">
            <a:effectLst/>
          </a:endParaRPr>
        </a:p>
        <a:p>
          <a:endParaRPr lang="en-US" sz="1000" baseline="0"/>
        </a:p>
      </xdr:txBody>
    </xdr:sp>
    <xdr:clientData/>
  </xdr:oneCellAnchor>
  <xdr:oneCellAnchor>
    <xdr:from>
      <xdr:col>13</xdr:col>
      <xdr:colOff>644414</xdr:colOff>
      <xdr:row>156</xdr:row>
      <xdr:rowOff>13687</xdr:rowOff>
    </xdr:from>
    <xdr:ext cx="4173649" cy="3820125"/>
    <xdr:sp macro="" textlink="">
      <xdr:nvSpPr>
        <xdr:cNvPr id="7" name="TextBox 6"/>
        <xdr:cNvSpPr txBox="1"/>
      </xdr:nvSpPr>
      <xdr:spPr>
        <a:xfrm>
          <a:off x="9986852" y="33319437"/>
          <a:ext cx="4173649" cy="3820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If the resource follows</a:t>
          </a:r>
          <a:r>
            <a:rPr lang="en-US" sz="1600" baseline="0"/>
            <a:t> dispatch, it has the potential to earn an additional profit as shown in Scenario 1. If the resource maintains its day-ahead position, as in Scenarios 2 and 3, the resource will maintain its day-ahead profit, however, this is less than the profit it would have earned if it had followed dispatch. In addition, the Operating Reserve calculations under Scenarios 2 and 3 can reflect an increased profit beyond that used in Scenario 1.  This additional profit will be used to offset any losses in other intervals in the same OR Segment.             </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825875" y="31856124"/>
          <a:ext cx="5422900"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3" name="TextBox 2"/>
        <xdr:cNvSpPr txBox="1"/>
      </xdr:nvSpPr>
      <xdr:spPr>
        <a:xfrm>
          <a:off x="10777538" y="8988425"/>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1627190"/>
    <xdr:sp macro="" textlink="">
      <xdr:nvSpPr>
        <xdr:cNvPr id="4" name="TextBox 3"/>
        <xdr:cNvSpPr txBox="1"/>
      </xdr:nvSpPr>
      <xdr:spPr>
        <a:xfrm>
          <a:off x="9921876" y="20050123"/>
          <a:ext cx="4183062" cy="162719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over generates, the unit is not made whole to incremental costs above Ramp Limited Desired (i.e. incremental costs associated with  the 50 MWs between 50 MW (Ramp Limited Desired) and 100 MW (RT Actual MW)). The resource is being made whole for the additional balancing energy revenue for the excess energy produced in RT with a Negative LMP.</a:t>
          </a:r>
        </a:p>
      </xdr:txBody>
    </xdr:sp>
    <xdr:clientData/>
  </xdr:oneCellAnchor>
  <xdr:oneCellAnchor>
    <xdr:from>
      <xdr:col>13</xdr:col>
      <xdr:colOff>642938</xdr:colOff>
      <xdr:row>146</xdr:row>
      <xdr:rowOff>7937</xdr:rowOff>
    </xdr:from>
    <xdr:ext cx="4180261" cy="1285875"/>
    <xdr:sp macro="" textlink="">
      <xdr:nvSpPr>
        <xdr:cNvPr id="5" name="TextBox 4"/>
        <xdr:cNvSpPr txBox="1"/>
      </xdr:nvSpPr>
      <xdr:spPr>
        <a:xfrm>
          <a:off x="9901238" y="31478537"/>
          <a:ext cx="4180261" cy="128587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When</a:t>
          </a:r>
          <a:r>
            <a:rPr lang="en-US" sz="1400" baseline="0"/>
            <a:t> the unit overgenerates, the unit is not made whole to incremental costs above Tracking </a:t>
          </a:r>
          <a:r>
            <a:rPr lang="en-US" sz="1400" baseline="0">
              <a:solidFill>
                <a:schemeClr val="lt1"/>
              </a:solidFill>
              <a:effectLst/>
              <a:latin typeface="+mn-lt"/>
              <a:ea typeface="+mn-ea"/>
              <a:cs typeface="+mn-cs"/>
            </a:rPr>
            <a:t>Desired (i.e. incremental costs associated with  the 50 MWs between 50 MW (Tracking Desired) and 100 MW (RT Actual MW)).</a:t>
          </a:r>
          <a:endParaRPr lang="en-US" sz="1400">
            <a:effectLst/>
          </a:endParaRPr>
        </a:p>
        <a:p>
          <a:endParaRPr lang="en-US" sz="1100" baseline="0"/>
        </a:p>
      </xdr:txBody>
    </xdr:sp>
    <xdr:clientData/>
  </xdr:oneCellAnchor>
  <xdr:oneCellAnchor>
    <xdr:from>
      <xdr:col>0</xdr:col>
      <xdr:colOff>39689</xdr:colOff>
      <xdr:row>155</xdr:row>
      <xdr:rowOff>174623</xdr:rowOff>
    </xdr:from>
    <xdr:ext cx="8858250" cy="3055940"/>
    <xdr:sp macro="" textlink="">
      <xdr:nvSpPr>
        <xdr:cNvPr id="6" name="TextBox 5"/>
        <xdr:cNvSpPr txBox="1"/>
      </xdr:nvSpPr>
      <xdr:spPr>
        <a:xfrm>
          <a:off x="39689" y="33289873"/>
          <a:ext cx="8858250" cy="30559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 and 3 award</a:t>
          </a:r>
          <a:r>
            <a:rPr lang="en-US" sz="1800" baseline="0"/>
            <a:t> the same Balancing Operating Reserve Credits, which limit paying </a:t>
          </a:r>
        </a:p>
        <a:p>
          <a:r>
            <a:rPr lang="en-US" sz="1800" baseline="0"/>
            <a:t>uplift for only MWs that PJM desired. Scenario 3, besides limiting the Incremental cost, also</a:t>
          </a:r>
        </a:p>
        <a:p>
          <a:r>
            <a:rPr lang="en-US" sz="1800" baseline="0"/>
            <a:t>limits the Balancing Revenue, since the over generation with a negative LMP results in the </a:t>
          </a:r>
          <a:br>
            <a:rPr lang="en-US" sz="1800" baseline="0"/>
          </a:br>
          <a:r>
            <a:rPr lang="en-US" sz="1800" baseline="0"/>
            <a:t>resource being charged for all the MW being produced. </a:t>
          </a:r>
          <a:r>
            <a:rPr lang="en-US" sz="1800" baseline="0">
              <a:solidFill>
                <a:schemeClr val="bg1"/>
              </a:solidFill>
            </a:rPr>
            <a:t>This has the effect of not making the </a:t>
          </a:r>
        </a:p>
        <a:p>
          <a:r>
            <a:rPr lang="en-US" sz="1800" baseline="0">
              <a:solidFill>
                <a:schemeClr val="bg1"/>
              </a:solidFill>
            </a:rPr>
            <a:t>resource whole for the charge related to MW that were not requested.</a:t>
          </a:r>
        </a:p>
        <a:p>
          <a:endParaRPr lang="en-US" sz="1000" baseline="0"/>
        </a:p>
        <a:p>
          <a:r>
            <a:rPr lang="en-US" sz="1800" baseline="0"/>
            <a:t>Scenario 2 pays additional uplift for MW in excess of what the resource would have provided, </a:t>
          </a:r>
        </a:p>
        <a:p>
          <a:r>
            <a:rPr lang="en-US" sz="1800" baseline="0"/>
            <a:t>if it was following dispatch. The uplift is caused by the negative balancing revenue incurred</a:t>
          </a:r>
          <a:br>
            <a:rPr lang="en-US" sz="1800" baseline="0"/>
          </a:br>
          <a:r>
            <a:rPr lang="en-US" sz="1800" baseline="0"/>
            <a:t>due to the increase in generation, above the DA MW, and the interval having negative LMP.</a:t>
          </a:r>
        </a:p>
        <a:p>
          <a:endParaRPr lang="en-US" sz="1800">
            <a:solidFill>
              <a:srgbClr val="FF0000"/>
            </a:solidFill>
          </a:endParaRPr>
        </a:p>
      </xdr:txBody>
    </xdr:sp>
    <xdr:clientData/>
  </xdr:oneCellAnchor>
  <xdr:oneCellAnchor>
    <xdr:from>
      <xdr:col>13</xdr:col>
      <xdr:colOff>644414</xdr:colOff>
      <xdr:row>156</xdr:row>
      <xdr:rowOff>13688</xdr:rowOff>
    </xdr:from>
    <xdr:ext cx="4173649" cy="4463061"/>
    <xdr:sp macro="" textlink="">
      <xdr:nvSpPr>
        <xdr:cNvPr id="7" name="TextBox 6"/>
        <xdr:cNvSpPr txBox="1"/>
      </xdr:nvSpPr>
      <xdr:spPr>
        <a:xfrm>
          <a:off x="9915414" y="33319438"/>
          <a:ext cx="4173649" cy="44630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Scenario 1 shows the resource breaks even when following</a:t>
          </a:r>
          <a:r>
            <a:rPr lang="en-US" sz="1600" baseline="0"/>
            <a:t> dispatch</a:t>
          </a:r>
        </a:p>
        <a:p>
          <a:endParaRPr lang="en-US" sz="1600" baseline="0"/>
        </a:p>
        <a:p>
          <a:r>
            <a:rPr lang="en-US" sz="1600" baseline="0"/>
            <a:t>Scenario 2 shows the resource incurs a loss due to the resource operating above the Ramp Limited Desired MW (uplift is not paid for MW in excess of the Ramp Limited Desired MW)</a:t>
          </a:r>
        </a:p>
        <a:p>
          <a:endParaRPr lang="en-US" sz="1800" baseline="0"/>
        </a:p>
        <a:p>
          <a:r>
            <a:rPr lang="en-US" sz="1600" baseline="0"/>
            <a:t>Scenario 3 shows the resource incurs a loss as compared to Scenario 2 due to the Tracking Desired MW not being constrained by the resource's current output and ramp rate. The Balancing Value being limited to just the energy charge that would have been requested by PJM is also a factor of the increase in loss.</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825875" y="31856124"/>
          <a:ext cx="5422900"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twoCellAnchor>
    <xdr:from>
      <xdr:col>0</xdr:col>
      <xdr:colOff>254001</xdr:colOff>
      <xdr:row>89</xdr:row>
      <xdr:rowOff>182561</xdr:rowOff>
    </xdr:from>
    <xdr:to>
      <xdr:col>1</xdr:col>
      <xdr:colOff>549277</xdr:colOff>
      <xdr:row>96</xdr:row>
      <xdr:rowOff>7937</xdr:rowOff>
    </xdr:to>
    <xdr:sp macro="" textlink="">
      <xdr:nvSpPr>
        <xdr:cNvPr id="13" name="Line Callout 1 12"/>
        <xdr:cNvSpPr/>
      </xdr:nvSpPr>
      <xdr:spPr>
        <a:xfrm>
          <a:off x="254001" y="19318286"/>
          <a:ext cx="1752601" cy="1282701"/>
        </a:xfrm>
        <a:prstGeom prst="borderCallout1">
          <a:avLst>
            <a:gd name="adj1" fmla="val 40221"/>
            <a:gd name="adj2" fmla="val 104218"/>
            <a:gd name="adj3" fmla="val 39390"/>
            <a:gd name="adj4" fmla="val 38785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includes the over generation,</a:t>
          </a:r>
          <a:r>
            <a:rPr lang="en-US" sz="1400" baseline="0"/>
            <a:t> which is a charge with the negative LMP.</a:t>
          </a:r>
          <a:endParaRPr lang="en-US" sz="1400"/>
        </a:p>
      </xdr:txBody>
    </xdr:sp>
    <xdr:clientData/>
  </xdr:twoCellAnchor>
  <xdr:twoCellAnchor>
    <xdr:from>
      <xdr:col>0</xdr:col>
      <xdr:colOff>198448</xdr:colOff>
      <xdr:row>140</xdr:row>
      <xdr:rowOff>166686</xdr:rowOff>
    </xdr:from>
    <xdr:to>
      <xdr:col>1</xdr:col>
      <xdr:colOff>493724</xdr:colOff>
      <xdr:row>146</xdr:row>
      <xdr:rowOff>111125</xdr:rowOff>
    </xdr:to>
    <xdr:sp macro="" textlink="">
      <xdr:nvSpPr>
        <xdr:cNvPr id="14" name="Line Callout 1 13"/>
        <xdr:cNvSpPr/>
      </xdr:nvSpPr>
      <xdr:spPr>
        <a:xfrm>
          <a:off x="198448" y="30294261"/>
          <a:ext cx="1752601" cy="1287464"/>
        </a:xfrm>
        <a:prstGeom prst="borderCallout1">
          <a:avLst>
            <a:gd name="adj1" fmla="val 40221"/>
            <a:gd name="adj2" fmla="val 104218"/>
            <a:gd name="adj3" fmla="val 39390"/>
            <a:gd name="adj4" fmla="val 38785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a:t>
          </a:r>
          <a:r>
            <a:rPr lang="en-US" sz="1400" b="1"/>
            <a:t>does not include</a:t>
          </a:r>
          <a:r>
            <a:rPr lang="en-US" sz="1400"/>
            <a:t> the over generation,</a:t>
          </a:r>
          <a:r>
            <a:rPr lang="en-US" sz="1400" baseline="0"/>
            <a:t> which is a charge with the negative LMP.</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3" name="TextBox 2"/>
        <xdr:cNvSpPr txBox="1"/>
      </xdr:nvSpPr>
      <xdr:spPr>
        <a:xfrm>
          <a:off x="10777538" y="8988425"/>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595315"/>
    <xdr:sp macro="" textlink="">
      <xdr:nvSpPr>
        <xdr:cNvPr id="4" name="TextBox 3"/>
        <xdr:cNvSpPr txBox="1"/>
      </xdr:nvSpPr>
      <xdr:spPr>
        <a:xfrm>
          <a:off x="9921876" y="20050123"/>
          <a:ext cx="4183062" cy="59531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under generates, the unit is made whole to its incremental costs.</a:t>
          </a:r>
        </a:p>
      </xdr:txBody>
    </xdr:sp>
    <xdr:clientData/>
  </xdr:oneCellAnchor>
  <xdr:oneCellAnchor>
    <xdr:from>
      <xdr:col>13</xdr:col>
      <xdr:colOff>642938</xdr:colOff>
      <xdr:row>146</xdr:row>
      <xdr:rowOff>7938</xdr:rowOff>
    </xdr:from>
    <xdr:ext cx="4180261" cy="579438"/>
    <xdr:sp macro="" textlink="">
      <xdr:nvSpPr>
        <xdr:cNvPr id="5" name="TextBox 4"/>
        <xdr:cNvSpPr txBox="1"/>
      </xdr:nvSpPr>
      <xdr:spPr>
        <a:xfrm>
          <a:off x="9913938" y="31392813"/>
          <a:ext cx="4180261" cy="57943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solidFill>
                <a:schemeClr val="lt1"/>
              </a:solidFill>
              <a:effectLst/>
              <a:latin typeface="+mn-lt"/>
              <a:ea typeface="+mn-ea"/>
              <a:cs typeface="+mn-cs"/>
            </a:rPr>
            <a:t>When</a:t>
          </a:r>
          <a:r>
            <a:rPr lang="en-US" sz="1400" baseline="0">
              <a:solidFill>
                <a:schemeClr val="lt1"/>
              </a:solidFill>
              <a:effectLst/>
              <a:latin typeface="+mn-lt"/>
              <a:ea typeface="+mn-ea"/>
              <a:cs typeface="+mn-cs"/>
            </a:rPr>
            <a:t> the unit under generates, the unit is made whole to its incremental costs.</a:t>
          </a:r>
          <a:endParaRPr lang="en-US" sz="1400">
            <a:effectLst/>
          </a:endParaRPr>
        </a:p>
        <a:p>
          <a:endParaRPr lang="en-US" sz="1100" baseline="0"/>
        </a:p>
      </xdr:txBody>
    </xdr:sp>
    <xdr:clientData/>
  </xdr:oneCellAnchor>
  <xdr:oneCellAnchor>
    <xdr:from>
      <xdr:col>0</xdr:col>
      <xdr:colOff>39689</xdr:colOff>
      <xdr:row>155</xdr:row>
      <xdr:rowOff>174624</xdr:rowOff>
    </xdr:from>
    <xdr:ext cx="8858250" cy="1722439"/>
    <xdr:sp macro="" textlink="">
      <xdr:nvSpPr>
        <xdr:cNvPr id="6" name="TextBox 5"/>
        <xdr:cNvSpPr txBox="1"/>
      </xdr:nvSpPr>
      <xdr:spPr>
        <a:xfrm>
          <a:off x="39689" y="33289874"/>
          <a:ext cx="8858250" cy="17224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a:t>
          </a:r>
          <a:r>
            <a:rPr lang="en-US" sz="1800" baseline="0"/>
            <a:t> 2 </a:t>
          </a:r>
          <a:r>
            <a:rPr lang="en-US" sz="1800"/>
            <a:t>and 3 award</a:t>
          </a:r>
          <a:r>
            <a:rPr lang="en-US" sz="1800" baseline="0"/>
            <a:t> the same Balancing Operating Reserve Credits because the </a:t>
          </a:r>
        </a:p>
        <a:p>
          <a:r>
            <a:rPr lang="en-US" sz="1800" baseline="0"/>
            <a:t>Operating Reserve Credit calculation makes the resource whole to the lesser of the actual </a:t>
          </a:r>
        </a:p>
        <a:p>
          <a:r>
            <a:rPr lang="en-US" sz="1800" baseline="0"/>
            <a:t>or desired mws, which in this case is the actual RT MW in all 3 scenarios. </a:t>
          </a:r>
        </a:p>
        <a:p>
          <a:endParaRPr lang="en-US" sz="1000" baseline="0"/>
        </a:p>
      </xdr:txBody>
    </xdr:sp>
    <xdr:clientData/>
  </xdr:oneCellAnchor>
  <xdr:oneCellAnchor>
    <xdr:from>
      <xdr:col>13</xdr:col>
      <xdr:colOff>644414</xdr:colOff>
      <xdr:row>156</xdr:row>
      <xdr:rowOff>13689</xdr:rowOff>
    </xdr:from>
    <xdr:ext cx="4173649" cy="954686"/>
    <xdr:sp macro="" textlink="">
      <xdr:nvSpPr>
        <xdr:cNvPr id="7" name="TextBox 6"/>
        <xdr:cNvSpPr txBox="1"/>
      </xdr:nvSpPr>
      <xdr:spPr>
        <a:xfrm>
          <a:off x="9915414" y="33319439"/>
          <a:ext cx="4173649" cy="954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Under generation</a:t>
          </a:r>
          <a:r>
            <a:rPr lang="en-US" sz="1600" baseline="0"/>
            <a:t> results in the resource being made whole to its incremental costs.</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825875" y="31856124"/>
          <a:ext cx="5422900"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563562"/>
    <xdr:sp macro="" textlink="">
      <xdr:nvSpPr>
        <xdr:cNvPr id="3" name="TextBox 2"/>
        <xdr:cNvSpPr txBox="1"/>
      </xdr:nvSpPr>
      <xdr:spPr>
        <a:xfrm>
          <a:off x="10795001" y="8961438"/>
          <a:ext cx="3306761" cy="563562"/>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maintains the DA profit.</a:t>
          </a:r>
        </a:p>
      </xdr:txBody>
    </xdr:sp>
    <xdr:clientData/>
  </xdr:oneCellAnchor>
  <xdr:oneCellAnchor>
    <xdr:from>
      <xdr:col>14</xdr:col>
      <xdr:colOff>1</xdr:colOff>
      <xdr:row>94</xdr:row>
      <xdr:rowOff>15873</xdr:rowOff>
    </xdr:from>
    <xdr:ext cx="4183062" cy="1341440"/>
    <xdr:sp macro="" textlink="">
      <xdr:nvSpPr>
        <xdr:cNvPr id="4" name="TextBox 3"/>
        <xdr:cNvSpPr txBox="1"/>
      </xdr:nvSpPr>
      <xdr:spPr>
        <a:xfrm>
          <a:off x="9921876" y="20050123"/>
          <a:ext cx="4183062" cy="134144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The resource under generated and the Operating Reserve</a:t>
          </a:r>
          <a:r>
            <a:rPr lang="en-US" sz="1400" baseline="0"/>
            <a:t> Credit excluded the buy out MW of the day-ahead position of 25MW from RT Actual MW to Ramp Limited Desired.</a:t>
          </a:r>
        </a:p>
      </xdr:txBody>
    </xdr:sp>
    <xdr:clientData/>
  </xdr:oneCellAnchor>
  <xdr:oneCellAnchor>
    <xdr:from>
      <xdr:col>13</xdr:col>
      <xdr:colOff>642938</xdr:colOff>
      <xdr:row>146</xdr:row>
      <xdr:rowOff>7938</xdr:rowOff>
    </xdr:from>
    <xdr:ext cx="4180261" cy="579438"/>
    <xdr:sp macro="" textlink="">
      <xdr:nvSpPr>
        <xdr:cNvPr id="5" name="TextBox 4"/>
        <xdr:cNvSpPr txBox="1"/>
      </xdr:nvSpPr>
      <xdr:spPr>
        <a:xfrm>
          <a:off x="9901238" y="31478538"/>
          <a:ext cx="4180261" cy="57943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solidFill>
                <a:schemeClr val="lt1"/>
              </a:solidFill>
              <a:effectLst/>
              <a:latin typeface="+mn-lt"/>
              <a:ea typeface="+mn-ea"/>
              <a:cs typeface="+mn-cs"/>
            </a:rPr>
            <a:t>The</a:t>
          </a:r>
          <a:r>
            <a:rPr lang="en-US" sz="1400" baseline="0">
              <a:solidFill>
                <a:schemeClr val="lt1"/>
              </a:solidFill>
              <a:effectLst/>
              <a:latin typeface="+mn-lt"/>
              <a:ea typeface="+mn-ea"/>
              <a:cs typeface="+mn-cs"/>
            </a:rPr>
            <a:t> resource operates at a loss due to the buy out of the day-ahead position that was not requested by PJM. </a:t>
          </a:r>
          <a:endParaRPr lang="en-US" sz="1400">
            <a:effectLst/>
          </a:endParaRPr>
        </a:p>
        <a:p>
          <a:endParaRPr lang="en-US" sz="1100" baseline="0"/>
        </a:p>
      </xdr:txBody>
    </xdr:sp>
    <xdr:clientData/>
  </xdr:oneCellAnchor>
  <xdr:oneCellAnchor>
    <xdr:from>
      <xdr:col>0</xdr:col>
      <xdr:colOff>39689</xdr:colOff>
      <xdr:row>155</xdr:row>
      <xdr:rowOff>174623</xdr:rowOff>
    </xdr:from>
    <xdr:ext cx="8937624" cy="5365752"/>
    <xdr:sp macro="" textlink="">
      <xdr:nvSpPr>
        <xdr:cNvPr id="6" name="TextBox 5"/>
        <xdr:cNvSpPr txBox="1"/>
      </xdr:nvSpPr>
      <xdr:spPr>
        <a:xfrm>
          <a:off x="39689" y="33361311"/>
          <a:ext cx="8937624" cy="53657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100">
              <a:solidFill>
                <a:schemeClr val="lt1"/>
              </a:solidFill>
              <a:effectLst/>
              <a:latin typeface="+mn-lt"/>
              <a:ea typeface="+mn-ea"/>
              <a:cs typeface="+mn-cs"/>
            </a:rPr>
            <a:t/>
          </a:r>
          <a:br>
            <a:rPr lang="en-US" sz="1100">
              <a:solidFill>
                <a:schemeClr val="lt1"/>
              </a:solidFill>
              <a:effectLst/>
              <a:latin typeface="+mn-lt"/>
              <a:ea typeface="+mn-ea"/>
              <a:cs typeface="+mn-cs"/>
            </a:rPr>
          </a:br>
          <a:r>
            <a:rPr lang="en-US" sz="1800">
              <a:solidFill>
                <a:schemeClr val="lt1"/>
              </a:solidFill>
              <a:effectLst/>
              <a:latin typeface="+mn-lt"/>
              <a:ea typeface="+mn-ea"/>
              <a:cs typeface="+mn-cs"/>
            </a:rPr>
            <a:t>Scenario 1 the</a:t>
          </a:r>
          <a:r>
            <a:rPr lang="en-US" sz="1800" baseline="0">
              <a:solidFill>
                <a:schemeClr val="lt1"/>
              </a:solidFill>
              <a:effectLst/>
              <a:latin typeface="+mn-lt"/>
              <a:ea typeface="+mn-ea"/>
              <a:cs typeface="+mn-cs"/>
            </a:rPr>
            <a:t> resource does not require an operating reserve payment. The resource </a:t>
          </a:r>
        </a:p>
        <a:p>
          <a:r>
            <a:rPr lang="en-US" sz="1800" baseline="0">
              <a:solidFill>
                <a:schemeClr val="lt1"/>
              </a:solidFill>
              <a:effectLst/>
              <a:latin typeface="+mn-lt"/>
              <a:ea typeface="+mn-ea"/>
              <a:cs typeface="+mn-cs"/>
            </a:rPr>
            <a:t>maintined its day-ahead profit by following dispatch. </a:t>
          </a:r>
        </a:p>
        <a:p>
          <a:endParaRPr lang="en-US" sz="1800">
            <a:effectLst/>
          </a:endParaRPr>
        </a:p>
        <a:p>
          <a:r>
            <a:rPr lang="en-US" sz="1800" baseline="0">
              <a:solidFill>
                <a:schemeClr val="lt1"/>
              </a:solidFill>
              <a:effectLst/>
              <a:latin typeface="+mn-lt"/>
              <a:ea typeface="+mn-ea"/>
              <a:cs typeface="+mn-cs"/>
            </a:rPr>
            <a:t>Scenario 2 pays additional uplift for MW less than what the resource would have provided, </a:t>
          </a:r>
          <a:endParaRPr lang="en-US" sz="1800">
            <a:effectLst/>
          </a:endParaRPr>
        </a:p>
        <a:p>
          <a:r>
            <a:rPr lang="en-US" sz="1800" baseline="0">
              <a:solidFill>
                <a:schemeClr val="lt1"/>
              </a:solidFill>
              <a:effectLst/>
              <a:latin typeface="+mn-lt"/>
              <a:ea typeface="+mn-ea"/>
              <a:cs typeface="+mn-cs"/>
            </a:rPr>
            <a:t>if it was following dispatch. </a:t>
          </a:r>
          <a:r>
            <a:rPr lang="en-US" sz="1800" baseline="0">
              <a:solidFill>
                <a:schemeClr val="bg1"/>
              </a:solidFill>
              <a:effectLst/>
              <a:latin typeface="+mn-lt"/>
              <a:ea typeface="+mn-ea"/>
              <a:cs typeface="+mn-cs"/>
            </a:rPr>
            <a:t>This is because the resource is being made whole for part of its</a:t>
          </a:r>
        </a:p>
        <a:p>
          <a:r>
            <a:rPr lang="en-US" sz="1800" baseline="0">
              <a:solidFill>
                <a:schemeClr val="bg1"/>
              </a:solidFill>
              <a:effectLst/>
              <a:latin typeface="+mn-lt"/>
              <a:ea typeface="+mn-ea"/>
              <a:cs typeface="+mn-cs"/>
            </a:rPr>
            <a:t>buyout of its day-ahead position. Current rules limit the buy out included in the BOR </a:t>
          </a:r>
        </a:p>
        <a:p>
          <a:r>
            <a:rPr lang="en-US" sz="1800" baseline="0">
              <a:solidFill>
                <a:schemeClr val="bg1"/>
              </a:solidFill>
              <a:effectLst/>
              <a:latin typeface="+mn-lt"/>
              <a:ea typeface="+mn-ea"/>
              <a:cs typeface="+mn-cs"/>
            </a:rPr>
            <a:t>calculation to only the buy out that was directed (desired) by PJM. In this example, the </a:t>
          </a:r>
        </a:p>
        <a:p>
          <a:r>
            <a:rPr lang="en-US" sz="1800" baseline="0">
              <a:solidFill>
                <a:schemeClr val="bg1"/>
              </a:solidFill>
              <a:effectLst/>
              <a:latin typeface="+mn-lt"/>
              <a:ea typeface="+mn-ea"/>
              <a:cs typeface="+mn-cs"/>
            </a:rPr>
            <a:t>resource is undergenerating, but the Ramp Limited Desired MW is constrained in how low </a:t>
          </a:r>
        </a:p>
        <a:p>
          <a:r>
            <a:rPr lang="en-US" sz="1800" baseline="0">
              <a:solidFill>
                <a:schemeClr val="bg1"/>
              </a:solidFill>
              <a:effectLst/>
              <a:latin typeface="+mn-lt"/>
              <a:ea typeface="+mn-ea"/>
              <a:cs typeface="+mn-cs"/>
            </a:rPr>
            <a:t>it can move by the resource's current output and ramp rate and makes it appear that PJM is </a:t>
          </a:r>
        </a:p>
        <a:p>
          <a:r>
            <a:rPr lang="en-US" sz="1800" baseline="0">
              <a:solidFill>
                <a:schemeClr val="bg1"/>
              </a:solidFill>
              <a:effectLst/>
              <a:latin typeface="+mn-lt"/>
              <a:ea typeface="+mn-ea"/>
              <a:cs typeface="+mn-cs"/>
            </a:rPr>
            <a:t>requesting the resource to generate lower than its day-ahead commitment. This allows for </a:t>
          </a:r>
        </a:p>
        <a:p>
          <a:r>
            <a:rPr lang="en-US" sz="1800" baseline="0">
              <a:solidFill>
                <a:schemeClr val="bg1"/>
              </a:solidFill>
              <a:effectLst/>
              <a:latin typeface="+mn-lt"/>
              <a:ea typeface="+mn-ea"/>
              <a:cs typeface="+mn-cs"/>
            </a:rPr>
            <a:t>the resource to recoup part of  its buyout of the day-ahead position even though that </a:t>
          </a:r>
        </a:p>
        <a:p>
          <a:r>
            <a:rPr lang="en-US" sz="1800" baseline="0">
              <a:solidFill>
                <a:schemeClr val="bg1"/>
              </a:solidFill>
              <a:effectLst/>
              <a:latin typeface="+mn-lt"/>
              <a:ea typeface="+mn-ea"/>
              <a:cs typeface="+mn-cs"/>
            </a:rPr>
            <a:t>deviation isn't necessarily desired by PJM.</a:t>
          </a:r>
          <a:endParaRPr lang="en-US" sz="1800">
            <a:solidFill>
              <a:schemeClr val="bg1"/>
            </a:solidFill>
            <a:effectLst/>
          </a:endParaRPr>
        </a:p>
        <a:p>
          <a:endParaRPr lang="en-US" sz="1000" baseline="0"/>
        </a:p>
        <a:p>
          <a:r>
            <a:rPr lang="en-US" sz="1800" baseline="0">
              <a:solidFill>
                <a:schemeClr val="lt1"/>
              </a:solidFill>
              <a:effectLst/>
              <a:latin typeface="+mn-lt"/>
              <a:ea typeface="+mn-ea"/>
              <a:cs typeface="+mn-cs"/>
            </a:rPr>
            <a:t>Scenario 3 pays zero uplift. The cost is based on the RT Actual MW and none of the buyout of </a:t>
          </a:r>
        </a:p>
        <a:p>
          <a:r>
            <a:rPr lang="en-US" sz="1800" baseline="0">
              <a:solidFill>
                <a:schemeClr val="lt1"/>
              </a:solidFill>
              <a:effectLst/>
              <a:latin typeface="+mn-lt"/>
              <a:ea typeface="+mn-ea"/>
              <a:cs typeface="+mn-cs"/>
            </a:rPr>
            <a:t>of the day-ahead position was included in the balancing </a:t>
          </a:r>
          <a:r>
            <a:rPr lang="en-US" sz="1800" baseline="0">
              <a:solidFill>
                <a:schemeClr val="bg1"/>
              </a:solidFill>
              <a:effectLst/>
              <a:latin typeface="+mn-lt"/>
              <a:ea typeface="+mn-ea"/>
              <a:cs typeface="+mn-cs"/>
            </a:rPr>
            <a:t>revenue because Tracking Desired</a:t>
          </a:r>
        </a:p>
        <a:p>
          <a:r>
            <a:rPr lang="en-US" sz="1800" baseline="0">
              <a:solidFill>
                <a:schemeClr val="bg1"/>
              </a:solidFill>
              <a:effectLst/>
              <a:latin typeface="+mn-lt"/>
              <a:ea typeface="+mn-ea"/>
              <a:cs typeface="+mn-cs"/>
            </a:rPr>
            <a:t>is not constrained by the unit's current output and captures that conditions warrant the </a:t>
          </a:r>
        </a:p>
        <a:p>
          <a:r>
            <a:rPr lang="en-US" sz="1800" baseline="0">
              <a:solidFill>
                <a:schemeClr val="bg1"/>
              </a:solidFill>
              <a:effectLst/>
              <a:latin typeface="+mn-lt"/>
              <a:ea typeface="+mn-ea"/>
              <a:cs typeface="+mn-cs"/>
            </a:rPr>
            <a:t>resource operating at its day-ahead commitment. This r</a:t>
          </a:r>
          <a:r>
            <a:rPr lang="en-US" sz="1800" baseline="0">
              <a:solidFill>
                <a:schemeClr val="lt1"/>
              </a:solidFill>
              <a:effectLst/>
              <a:latin typeface="+mn-lt"/>
              <a:ea typeface="+mn-ea"/>
              <a:cs typeface="+mn-cs"/>
            </a:rPr>
            <a:t>esults in operating</a:t>
          </a:r>
        </a:p>
        <a:p>
          <a:r>
            <a:rPr lang="en-US" sz="1800" baseline="0">
              <a:solidFill>
                <a:schemeClr val="lt1"/>
              </a:solidFill>
              <a:effectLst/>
              <a:latin typeface="+mn-lt"/>
              <a:ea typeface="+mn-ea"/>
              <a:cs typeface="+mn-cs"/>
            </a:rPr>
            <a:t>reserves calculating a profit that will be used to offset losses in the same OR Segment.</a:t>
          </a:r>
          <a:endParaRPr lang="en-US" sz="1000" baseline="0"/>
        </a:p>
      </xdr:txBody>
    </xdr:sp>
    <xdr:clientData/>
  </xdr:oneCellAnchor>
  <xdr:oneCellAnchor>
    <xdr:from>
      <xdr:col>13</xdr:col>
      <xdr:colOff>644414</xdr:colOff>
      <xdr:row>156</xdr:row>
      <xdr:rowOff>13688</xdr:rowOff>
    </xdr:from>
    <xdr:ext cx="4173649" cy="3034311"/>
    <xdr:sp macro="" textlink="">
      <xdr:nvSpPr>
        <xdr:cNvPr id="7" name="TextBox 6"/>
        <xdr:cNvSpPr txBox="1"/>
      </xdr:nvSpPr>
      <xdr:spPr>
        <a:xfrm>
          <a:off x="9915414" y="33390876"/>
          <a:ext cx="4173649" cy="30343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If the resource</a:t>
          </a:r>
          <a:r>
            <a:rPr lang="en-US" sz="1600" baseline="0"/>
            <a:t> follows dispatch, as in Scenario 1, the resource maintains its day-ahead profit.</a:t>
          </a:r>
        </a:p>
        <a:p>
          <a:endParaRPr lang="en-US" sz="1600" baseline="0"/>
        </a:p>
        <a:p>
          <a:r>
            <a:rPr lang="en-US" sz="1600" baseline="0"/>
            <a:t>Scenario 2 and 3 results in the resource losing money by under generating, since the operating reserve calculation only includes the buy out of the day-ahead market that was requested by PJM.</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825875" y="31856124"/>
          <a:ext cx="5422900"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twoCellAnchor>
    <xdr:from>
      <xdr:col>0</xdr:col>
      <xdr:colOff>134938</xdr:colOff>
      <xdr:row>88</xdr:row>
      <xdr:rowOff>39688</xdr:rowOff>
    </xdr:from>
    <xdr:to>
      <xdr:col>2</xdr:col>
      <xdr:colOff>230187</xdr:colOff>
      <xdr:row>95</xdr:row>
      <xdr:rowOff>71437</xdr:rowOff>
    </xdr:to>
    <xdr:sp macro="" textlink="">
      <xdr:nvSpPr>
        <xdr:cNvPr id="13" name="Line Callout 1 12"/>
        <xdr:cNvSpPr/>
      </xdr:nvSpPr>
      <xdr:spPr>
        <a:xfrm>
          <a:off x="134938" y="18915063"/>
          <a:ext cx="2214562" cy="1563687"/>
        </a:xfrm>
        <a:prstGeom prst="borderCallout1">
          <a:avLst>
            <a:gd name="adj1" fmla="val 53007"/>
            <a:gd name="adj2" fmla="val 99759"/>
            <a:gd name="adj3" fmla="val 53415"/>
            <a:gd name="adj4" fmla="val 31311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a:t>
          </a:r>
          <a:r>
            <a:rPr lang="en-US" sz="1400" baseline="0"/>
            <a:t> Revenue consists of the day-ahead MW (100) minus the greater of the Actual RT MW (50) and Ramp Limited Desired MW (75). </a:t>
          </a:r>
          <a:endParaRPr lang="en-US" sz="1400"/>
        </a:p>
      </xdr:txBody>
    </xdr:sp>
    <xdr:clientData/>
  </xdr:twoCellAnchor>
  <xdr:twoCellAnchor>
    <xdr:from>
      <xdr:col>0</xdr:col>
      <xdr:colOff>104776</xdr:colOff>
      <xdr:row>139</xdr:row>
      <xdr:rowOff>41275</xdr:rowOff>
    </xdr:from>
    <xdr:to>
      <xdr:col>2</xdr:col>
      <xdr:colOff>200025</xdr:colOff>
      <xdr:row>148</xdr:row>
      <xdr:rowOff>134937</xdr:rowOff>
    </xdr:to>
    <xdr:sp macro="" textlink="">
      <xdr:nvSpPr>
        <xdr:cNvPr id="14" name="Line Callout 1 13"/>
        <xdr:cNvSpPr/>
      </xdr:nvSpPr>
      <xdr:spPr>
        <a:xfrm>
          <a:off x="104776" y="29957713"/>
          <a:ext cx="2214562" cy="2030412"/>
        </a:xfrm>
        <a:prstGeom prst="borderCallout1">
          <a:avLst>
            <a:gd name="adj1" fmla="val 40106"/>
            <a:gd name="adj2" fmla="val 101192"/>
            <a:gd name="adj3" fmla="val 40905"/>
            <a:gd name="adj4" fmla="val 31418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a:t>
          </a:r>
          <a:r>
            <a:rPr lang="en-US" sz="1400" baseline="0"/>
            <a:t> Revenue consists of the day-ahead MW (100) minus the greater of the Actual RT MW (50) and Tracking Desired MW (100). This results in zero buy out of the day-ahead position, since PJM did not request it. </a:t>
          </a:r>
          <a:endParaRPr lang="en-US" sz="14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twoCellAnchor>
    <xdr:from>
      <xdr:col>6</xdr:col>
      <xdr:colOff>309563</xdr:colOff>
      <xdr:row>149</xdr:row>
      <xdr:rowOff>1</xdr:rowOff>
    </xdr:from>
    <xdr:to>
      <xdr:col>14</xdr:col>
      <xdr:colOff>55563</xdr:colOff>
      <xdr:row>155</xdr:row>
      <xdr:rowOff>95251</xdr:rowOff>
    </xdr:to>
    <xdr:sp macro="" textlink="">
      <xdr:nvSpPr>
        <xdr:cNvPr id="8" name="Rounded Rectangular Callout 7"/>
        <xdr:cNvSpPr/>
      </xdr:nvSpPr>
      <xdr:spPr>
        <a:xfrm>
          <a:off x="4548188" y="32781876"/>
          <a:ext cx="5429250" cy="1238250"/>
        </a:xfrm>
        <a:prstGeom prst="wedgeRoundRectCallout">
          <a:avLst>
            <a:gd name="adj1" fmla="val 28262"/>
            <a:gd name="adj2" fmla="val -6714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246053</xdr:colOff>
      <xdr:row>97</xdr:row>
      <xdr:rowOff>198907</xdr:rowOff>
    </xdr:from>
    <xdr:to>
      <xdr:col>13</xdr:col>
      <xdr:colOff>6528</xdr:colOff>
      <xdr:row>105</xdr:row>
      <xdr:rowOff>0</xdr:rowOff>
    </xdr:to>
    <xdr:sp macro="" textlink="">
      <xdr:nvSpPr>
        <xdr:cNvPr id="9" name="Rounded Rectangular Callout 8"/>
        <xdr:cNvSpPr/>
      </xdr:nvSpPr>
      <xdr:spPr>
        <a:xfrm>
          <a:off x="3778241" y="21177720"/>
          <a:ext cx="5499287" cy="1325093"/>
        </a:xfrm>
        <a:prstGeom prst="wedgeRoundRectCallout">
          <a:avLst>
            <a:gd name="adj1" fmla="val 26588"/>
            <a:gd name="adj2" fmla="val -6553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7</xdr:col>
      <xdr:colOff>404813</xdr:colOff>
      <xdr:row>47</xdr:row>
      <xdr:rowOff>103187</xdr:rowOff>
    </xdr:from>
    <xdr:to>
      <xdr:col>14</xdr:col>
      <xdr:colOff>666751</xdr:colOff>
      <xdr:row>53</xdr:row>
      <xdr:rowOff>182562</xdr:rowOff>
    </xdr:to>
    <xdr:sp macro="" textlink="">
      <xdr:nvSpPr>
        <xdr:cNvPr id="10" name="Rounded Rectangular Callout 9"/>
        <xdr:cNvSpPr/>
      </xdr:nvSpPr>
      <xdr:spPr>
        <a:xfrm>
          <a:off x="5175251" y="9850437"/>
          <a:ext cx="5413375" cy="1174750"/>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Operating Reserve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0</xdr:col>
      <xdr:colOff>0</xdr:colOff>
      <xdr:row>157</xdr:row>
      <xdr:rowOff>0</xdr:rowOff>
    </xdr:from>
    <xdr:ext cx="8937624" cy="2349500"/>
    <xdr:sp macro="" textlink="">
      <xdr:nvSpPr>
        <xdr:cNvPr id="13" name="TextBox 12"/>
        <xdr:cNvSpPr txBox="1"/>
      </xdr:nvSpPr>
      <xdr:spPr>
        <a:xfrm>
          <a:off x="0" y="34305875"/>
          <a:ext cx="8937624" cy="2349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100">
              <a:solidFill>
                <a:schemeClr val="lt1"/>
              </a:solidFill>
              <a:effectLst/>
              <a:latin typeface="+mn-lt"/>
              <a:ea typeface="+mn-ea"/>
              <a:cs typeface="+mn-cs"/>
            </a:rPr>
            <a:t/>
          </a:r>
          <a:br>
            <a:rPr lang="en-US" sz="1100">
              <a:solidFill>
                <a:schemeClr val="lt1"/>
              </a:solidFill>
              <a:effectLst/>
              <a:latin typeface="+mn-lt"/>
              <a:ea typeface="+mn-ea"/>
              <a:cs typeface="+mn-cs"/>
            </a:rPr>
          </a:br>
          <a:r>
            <a:rPr lang="en-US" sz="1800">
              <a:solidFill>
                <a:schemeClr val="lt1"/>
              </a:solidFill>
              <a:effectLst/>
              <a:latin typeface="+mn-lt"/>
              <a:ea typeface="+mn-ea"/>
              <a:cs typeface="+mn-cs"/>
            </a:rPr>
            <a:t>Scenario 1 the</a:t>
          </a:r>
          <a:r>
            <a:rPr lang="en-US" sz="1800" baseline="0">
              <a:solidFill>
                <a:schemeClr val="lt1"/>
              </a:solidFill>
              <a:effectLst/>
              <a:latin typeface="+mn-lt"/>
              <a:ea typeface="+mn-ea"/>
              <a:cs typeface="+mn-cs"/>
            </a:rPr>
            <a:t> resource does not require an operating reserve payment. The resource made</a:t>
          </a:r>
        </a:p>
        <a:p>
          <a:r>
            <a:rPr lang="en-US" sz="1800" baseline="0">
              <a:solidFill>
                <a:schemeClr val="lt1"/>
              </a:solidFill>
              <a:effectLst/>
              <a:latin typeface="+mn-lt"/>
              <a:ea typeface="+mn-ea"/>
              <a:cs typeface="+mn-cs"/>
            </a:rPr>
            <a:t>enough revenues to cover its incremental cost, plus no load and start costs.</a:t>
          </a:r>
        </a:p>
        <a:p>
          <a:endParaRPr lang="en-US" sz="1800">
            <a:effectLst/>
          </a:endParaRPr>
        </a:p>
        <a:p>
          <a:r>
            <a:rPr lang="en-US" sz="1800" baseline="0">
              <a:solidFill>
                <a:schemeClr val="lt1"/>
              </a:solidFill>
              <a:effectLst/>
              <a:latin typeface="+mn-lt"/>
              <a:ea typeface="+mn-ea"/>
              <a:cs typeface="+mn-cs"/>
            </a:rPr>
            <a:t>Scenario 2 and 3 pay uplift. </a:t>
          </a:r>
          <a:r>
            <a:rPr lang="en-US" sz="1800" baseline="0">
              <a:solidFill>
                <a:schemeClr val="bg1"/>
              </a:solidFill>
              <a:effectLst/>
              <a:latin typeface="+mn-lt"/>
              <a:ea typeface="+mn-ea"/>
              <a:cs typeface="+mn-cs"/>
            </a:rPr>
            <a:t>This is because the resource did not make the expected revenues</a:t>
          </a:r>
        </a:p>
        <a:p>
          <a:r>
            <a:rPr lang="en-US" sz="1800" baseline="0">
              <a:solidFill>
                <a:schemeClr val="bg1"/>
              </a:solidFill>
              <a:effectLst/>
              <a:latin typeface="+mn-lt"/>
              <a:ea typeface="+mn-ea"/>
              <a:cs typeface="+mn-cs"/>
            </a:rPr>
            <a:t>to cover its no load and start cost. Current rules limit the balancing revenues in the BOR </a:t>
          </a:r>
        </a:p>
        <a:p>
          <a:r>
            <a:rPr lang="en-US" sz="1800" baseline="0">
              <a:solidFill>
                <a:schemeClr val="bg1"/>
              </a:solidFill>
              <a:effectLst/>
              <a:latin typeface="+mn-lt"/>
              <a:ea typeface="+mn-ea"/>
              <a:cs typeface="+mn-cs"/>
            </a:rPr>
            <a:t>calculation to actual and not to the MW desired by PJM. In this example, the uplift paid results</a:t>
          </a:r>
        </a:p>
        <a:p>
          <a:r>
            <a:rPr lang="en-US" sz="1800" baseline="0">
              <a:solidFill>
                <a:schemeClr val="bg1"/>
              </a:solidFill>
              <a:effectLst/>
              <a:latin typeface="+mn-lt"/>
              <a:ea typeface="+mn-ea"/>
              <a:cs typeface="+mn-cs"/>
            </a:rPr>
            <a:t>from the resource undergenerating. If the resource followed dispatch, uplift would be zero.</a:t>
          </a:r>
          <a:endParaRPr lang="en-US" sz="1800">
            <a:solidFill>
              <a:schemeClr val="bg1"/>
            </a:solidFill>
            <a:effectLst/>
          </a:endParaRPr>
        </a:p>
        <a:p>
          <a:endParaRPr lang="en-US" sz="1000"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opLeftCell="A154" zoomScale="120" zoomScaleNormal="120" workbookViewId="0">
      <selection activeCell="K146" sqref="K146:L146"/>
    </sheetView>
  </sheetViews>
  <sheetFormatPr defaultRowHeight="15" x14ac:dyDescent="0.25"/>
  <cols>
    <col min="1" max="1" width="21.85546875" bestFit="1" customWidth="1"/>
    <col min="2" max="2" width="6.2851562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65</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63</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06" t="s">
        <v>3</v>
      </c>
      <c r="B8" s="62" t="s">
        <v>33</v>
      </c>
      <c r="C8" s="62" t="s">
        <v>34</v>
      </c>
      <c r="D8" s="63" t="s">
        <v>4</v>
      </c>
      <c r="E8" s="106" t="s">
        <v>5</v>
      </c>
      <c r="F8" s="62" t="s">
        <v>6</v>
      </c>
      <c r="G8" s="63"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70" t="s">
        <v>3</v>
      </c>
      <c r="B14" s="62" t="s">
        <v>33</v>
      </c>
      <c r="C14" s="62" t="s">
        <v>34</v>
      </c>
      <c r="D14" s="62" t="s">
        <v>36</v>
      </c>
      <c r="E14" s="62" t="s">
        <v>7</v>
      </c>
      <c r="F14" s="63" t="s">
        <v>48</v>
      </c>
      <c r="H14" s="70" t="s">
        <v>3</v>
      </c>
      <c r="I14" s="62" t="s">
        <v>50</v>
      </c>
      <c r="J14" s="62" t="s">
        <v>51</v>
      </c>
      <c r="K14" s="62" t="s">
        <v>36</v>
      </c>
      <c r="L14" s="62" t="s">
        <v>47</v>
      </c>
      <c r="M14" s="63" t="s">
        <v>48</v>
      </c>
      <c r="O14" s="27"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0</v>
      </c>
      <c r="E23" s="152" t="s">
        <v>12</v>
      </c>
      <c r="F23" s="153"/>
      <c r="G23" s="153"/>
      <c r="H23" s="153"/>
      <c r="I23" s="99"/>
      <c r="J23" s="10"/>
      <c r="K23" s="10"/>
      <c r="L23" s="10"/>
      <c r="M23" s="26"/>
      <c r="O23" s="16" t="s">
        <v>12</v>
      </c>
      <c r="P23" s="29"/>
      <c r="Q23" s="5"/>
      <c r="R23" s="5"/>
      <c r="S23" s="5"/>
      <c r="T23" s="13"/>
    </row>
    <row r="24" spans="1:20" ht="15.75" thickBot="1" x14ac:dyDescent="0.3">
      <c r="A24" s="17" t="s">
        <v>13</v>
      </c>
      <c r="B24" s="19">
        <v>0</v>
      </c>
      <c r="E24" s="138" t="s">
        <v>14</v>
      </c>
      <c r="F24" s="139"/>
      <c r="G24" s="139"/>
      <c r="H24" s="139"/>
      <c r="I24" s="42">
        <f>B23*B24</f>
        <v>0</v>
      </c>
      <c r="J24" s="5"/>
      <c r="K24" s="5"/>
      <c r="L24" s="5"/>
      <c r="M24" s="13"/>
      <c r="O24" s="136" t="s">
        <v>14</v>
      </c>
      <c r="P24" s="137"/>
      <c r="Q24" s="137"/>
      <c r="R24" s="137"/>
      <c r="S24" s="137"/>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0</v>
      </c>
      <c r="J27" s="5"/>
      <c r="K27" s="35" t="s">
        <v>16</v>
      </c>
      <c r="L27" s="36">
        <f>F19</f>
        <v>0</v>
      </c>
      <c r="M27" s="105" t="s">
        <v>17</v>
      </c>
      <c r="O27" s="136" t="s">
        <v>15</v>
      </c>
      <c r="P27" s="137"/>
      <c r="Q27" s="137"/>
      <c r="R27" s="137"/>
      <c r="S27" s="137"/>
      <c r="T27" s="88">
        <f>I27</f>
        <v>0</v>
      </c>
    </row>
    <row r="28" spans="1:20" ht="15.75" thickBot="1" x14ac:dyDescent="0.3">
      <c r="A28" s="171" t="s">
        <v>37</v>
      </c>
      <c r="B28" s="171"/>
      <c r="C28" s="171"/>
      <c r="D28" s="172"/>
      <c r="E28" s="85"/>
      <c r="F28" s="86"/>
      <c r="G28" s="86"/>
      <c r="H28" s="86"/>
      <c r="I28" s="5"/>
      <c r="J28" s="5"/>
      <c r="K28" s="37" t="s">
        <v>18</v>
      </c>
      <c r="L28" s="38">
        <f>I24</f>
        <v>0</v>
      </c>
      <c r="M28" s="39">
        <f>MAX(L27-L28,0)</f>
        <v>0</v>
      </c>
      <c r="O28" s="16"/>
      <c r="P28" s="5"/>
      <c r="Q28" s="5"/>
      <c r="R28" s="5"/>
      <c r="S28" s="5"/>
      <c r="T28" s="13"/>
    </row>
    <row r="29" spans="1:20" x14ac:dyDescent="0.25">
      <c r="A29" s="147" t="s">
        <v>22</v>
      </c>
      <c r="B29" s="148"/>
      <c r="E29" s="138" t="str">
        <f>"DA Incremental Cost @ DA MW ("&amp;$B23&amp;" MW)"</f>
        <v>DA Incremental Cost @ DA MW (0 MW)</v>
      </c>
      <c r="F29" s="139"/>
      <c r="G29" s="139"/>
      <c r="H29" s="139"/>
      <c r="I29" s="44">
        <f>F19</f>
        <v>0</v>
      </c>
      <c r="J29" s="5"/>
      <c r="K29" s="29"/>
      <c r="L29" s="5"/>
      <c r="M29" s="13"/>
      <c r="O29" s="136" t="str">
        <f>"DA Incremental Cost @ DA MW ("&amp;$B23&amp;" MW)"</f>
        <v>DA Incremental Cost @ DA MW (0 MW)</v>
      </c>
      <c r="P29" s="137"/>
      <c r="Q29" s="137"/>
      <c r="R29" s="137"/>
      <c r="S29" s="137"/>
      <c r="T29" s="89">
        <f>I29</f>
        <v>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0</v>
      </c>
      <c r="D31" s="32"/>
      <c r="E31" s="138" t="s">
        <v>19</v>
      </c>
      <c r="F31" s="139"/>
      <c r="G31" s="139"/>
      <c r="H31" s="139"/>
      <c r="I31" s="40">
        <f>I24+I27-I29</f>
        <v>0</v>
      </c>
      <c r="J31" s="5"/>
      <c r="K31" s="29"/>
      <c r="L31" s="45"/>
      <c r="M31" s="13"/>
      <c r="O31" s="136" t="s">
        <v>19</v>
      </c>
      <c r="P31" s="137"/>
      <c r="Q31" s="137"/>
      <c r="R31" s="137"/>
      <c r="S31" s="137"/>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140" t="s">
        <v>20</v>
      </c>
      <c r="F35" s="141"/>
      <c r="G35" s="141"/>
      <c r="H35" s="141"/>
      <c r="I35" s="141"/>
      <c r="J35" s="141"/>
      <c r="K35" s="141"/>
      <c r="L35" s="141"/>
      <c r="M35" s="142"/>
      <c r="N35" s="5"/>
      <c r="O35" s="140" t="s">
        <v>20</v>
      </c>
      <c r="P35" s="141"/>
      <c r="Q35" s="141"/>
      <c r="R35" s="141"/>
      <c r="S35" s="141"/>
      <c r="T35" s="142"/>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138" t="s">
        <v>21</v>
      </c>
      <c r="F37" s="139"/>
      <c r="G37" s="139"/>
      <c r="H37" s="139"/>
      <c r="I37" s="29">
        <f>(B30-B23)*B31</f>
        <v>0</v>
      </c>
      <c r="J37" s="29"/>
      <c r="K37" s="29"/>
      <c r="L37" s="29"/>
      <c r="M37" s="13"/>
      <c r="N37" s="5"/>
      <c r="O37" s="136" t="s">
        <v>21</v>
      </c>
      <c r="P37" s="137"/>
      <c r="Q37" s="137"/>
      <c r="R37" s="137"/>
      <c r="S37" s="137"/>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MAX(M44*-1,0)</f>
        <v>1000</v>
      </c>
      <c r="J39" s="29"/>
      <c r="K39" s="143" t="s">
        <v>30</v>
      </c>
      <c r="L39" s="144"/>
      <c r="M39" s="145"/>
      <c r="N39" s="5"/>
      <c r="O39" s="136" t="s">
        <v>23</v>
      </c>
      <c r="P39" s="137"/>
      <c r="Q39" s="137"/>
      <c r="R39" s="137"/>
      <c r="S39" s="137"/>
      <c r="T39" s="30">
        <f>I39</f>
        <v>1000</v>
      </c>
    </row>
    <row r="40" spans="1:20" x14ac:dyDescent="0.25">
      <c r="E40" s="92"/>
      <c r="F40" s="67"/>
      <c r="G40" s="67"/>
      <c r="H40" s="67"/>
      <c r="I40" s="76"/>
      <c r="J40" s="76"/>
      <c r="K40" s="128" t="s">
        <v>24</v>
      </c>
      <c r="L40" s="129"/>
      <c r="M40" s="56">
        <f>I24</f>
        <v>0</v>
      </c>
      <c r="N40" s="5"/>
      <c r="O40" s="75"/>
      <c r="P40" s="76"/>
      <c r="Q40" s="76"/>
      <c r="R40" s="76"/>
      <c r="S40" s="76"/>
      <c r="T40" s="77"/>
    </row>
    <row r="41" spans="1:20" ht="30" customHeight="1" x14ac:dyDescent="0.25">
      <c r="E41" s="130" t="str">
        <f>"Incremental Cost @ RT MW Used ("&amp;$B35&amp;" MW)"</f>
        <v>Incremental Cost @ RT MW Used (50 MW)</v>
      </c>
      <c r="F41" s="131"/>
      <c r="G41" s="131"/>
      <c r="H41" s="131"/>
      <c r="I41" s="8">
        <f>M43</f>
        <v>1000</v>
      </c>
      <c r="J41" s="8"/>
      <c r="K41" s="128" t="s">
        <v>17</v>
      </c>
      <c r="L41" s="129"/>
      <c r="M41" s="56">
        <f>I27</f>
        <v>0</v>
      </c>
      <c r="N41" s="5"/>
      <c r="O41" s="136" t="str">
        <f>"Incremental Cost @ Actual RT MW ("&amp;$B30&amp;" MW)"</f>
        <v>Incremental Cost @ Actual RT MW (50 MW)</v>
      </c>
      <c r="P41" s="137"/>
      <c r="Q41" s="137"/>
      <c r="R41" s="137"/>
      <c r="S41" s="137"/>
      <c r="T41" s="6">
        <f>T19</f>
        <v>1000</v>
      </c>
    </row>
    <row r="42" spans="1:20" x14ac:dyDescent="0.25">
      <c r="E42" s="93"/>
      <c r="F42" s="100"/>
      <c r="G42" s="100"/>
      <c r="H42" s="100"/>
      <c r="I42" s="48"/>
      <c r="J42" s="48"/>
      <c r="K42" s="132" t="s">
        <v>25</v>
      </c>
      <c r="L42" s="133"/>
      <c r="M42" s="30">
        <f>(B34-B23)*B31</f>
        <v>0</v>
      </c>
      <c r="N42" s="5"/>
      <c r="O42" s="47"/>
      <c r="P42" s="87"/>
      <c r="Q42" s="87"/>
      <c r="R42" s="87"/>
      <c r="S42" s="87"/>
      <c r="T42" s="90"/>
    </row>
    <row r="43" spans="1:20" ht="15.75" thickBot="1" x14ac:dyDescent="0.3">
      <c r="E43" s="134" t="s">
        <v>26</v>
      </c>
      <c r="F43" s="135"/>
      <c r="G43" s="135"/>
      <c r="H43" s="135"/>
      <c r="I43" s="50">
        <f>I24+I27+I37+I39-I41</f>
        <v>0</v>
      </c>
      <c r="J43" s="104"/>
      <c r="K43" s="136" t="s">
        <v>46</v>
      </c>
      <c r="L43" s="137"/>
      <c r="M43" s="30">
        <f>M19</f>
        <v>1000</v>
      </c>
      <c r="N43" s="5"/>
      <c r="O43" s="136" t="s">
        <v>26</v>
      </c>
      <c r="P43" s="137"/>
      <c r="Q43" s="137"/>
      <c r="R43" s="137"/>
      <c r="S43" s="137"/>
      <c r="T43" s="91">
        <f>T24+T27+T37+T39-T41</f>
        <v>0</v>
      </c>
    </row>
    <row r="44" spans="1:20" ht="30.75" customHeight="1" thickTop="1" thickBot="1" x14ac:dyDescent="0.3">
      <c r="E44" s="49"/>
      <c r="F44" s="8"/>
      <c r="G44" s="8"/>
      <c r="H44" s="8"/>
      <c r="I44" s="8"/>
      <c r="J44" s="8"/>
      <c r="K44" s="124" t="s">
        <v>72</v>
      </c>
      <c r="L44" s="125"/>
      <c r="M44" s="103">
        <f>M40+M41+M42-M43</f>
        <v>-1000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28"/>
      <c r="H46" s="5"/>
      <c r="I46" s="29"/>
      <c r="J46" s="5"/>
    </row>
    <row r="47" spans="1:20" x14ac:dyDescent="0.25">
      <c r="D47" s="33"/>
      <c r="E47" s="8"/>
      <c r="F47" s="8"/>
      <c r="G47" s="28"/>
      <c r="H47" s="5"/>
      <c r="I47" s="29"/>
      <c r="J47" s="5"/>
    </row>
    <row r="48" spans="1:20" x14ac:dyDescent="0.25">
      <c r="A48" s="95"/>
      <c r="D48" s="33"/>
      <c r="E48" s="8"/>
      <c r="F48" s="8"/>
      <c r="G48" s="28"/>
      <c r="H48" s="5"/>
      <c r="I48" s="29"/>
      <c r="J48" s="5"/>
    </row>
    <row r="49" spans="1:23" ht="4.5" customHeight="1" x14ac:dyDescent="0.25">
      <c r="A49" s="98"/>
      <c r="D49" s="33"/>
      <c r="E49" s="8"/>
      <c r="F49" s="8"/>
      <c r="G49" s="28"/>
      <c r="H49" s="5"/>
      <c r="I49" s="29"/>
      <c r="J49" s="5"/>
    </row>
    <row r="50" spans="1:23" ht="22.5" customHeight="1" x14ac:dyDescent="0.25">
      <c r="A50" s="98"/>
      <c r="D50" s="33"/>
      <c r="E50" s="8"/>
      <c r="F50" s="8"/>
      <c r="G50" s="28"/>
      <c r="H50" s="5"/>
      <c r="I50" s="29"/>
      <c r="J50" s="5"/>
    </row>
    <row r="51" spans="1:23" ht="14.25" customHeight="1" x14ac:dyDescent="0.25">
      <c r="A51" s="98"/>
      <c r="D51" s="33"/>
      <c r="E51" s="8"/>
      <c r="F51" s="8"/>
      <c r="G51" s="28"/>
      <c r="H51" s="5"/>
      <c r="I51" s="29"/>
      <c r="J51" s="5"/>
    </row>
    <row r="52" spans="1:23" x14ac:dyDescent="0.25">
      <c r="A52" s="95"/>
      <c r="D52" s="33"/>
      <c r="E52" s="8"/>
      <c r="F52" s="8"/>
      <c r="G52" s="28"/>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45</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1" t="s">
        <v>3</v>
      </c>
      <c r="B59" s="62" t="s">
        <v>33</v>
      </c>
      <c r="C59" s="62" t="s">
        <v>34</v>
      </c>
      <c r="D59" s="2" t="s">
        <v>4</v>
      </c>
      <c r="E59" s="1" t="s">
        <v>5</v>
      </c>
      <c r="F59" s="62" t="s">
        <v>6</v>
      </c>
      <c r="G59" s="63" t="s">
        <v>7</v>
      </c>
      <c r="H59" s="69" t="s">
        <v>38</v>
      </c>
      <c r="I59" s="65" t="s">
        <v>8</v>
      </c>
      <c r="J59" s="65" t="s">
        <v>6</v>
      </c>
      <c r="K59" s="66" t="s">
        <v>7</v>
      </c>
      <c r="L59" s="3"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0</v>
      </c>
      <c r="I60" s="15">
        <f>IF(AND(B$86&gt;B60,B$86&lt;=C60),B$86,0)</f>
        <v>0</v>
      </c>
      <c r="J60" s="9">
        <f>IF(B81&gt;0,D60,0)</f>
        <v>20</v>
      </c>
      <c r="K60" s="11">
        <f>IF(H60&gt;0,IF(H60=B60,D60,IF(AND(H60&gt;B60,H60&lt;=C60),D60+(H60-B60)*((D60-D60)/(C60-B60)),0)),0)</f>
        <v>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75</v>
      </c>
      <c r="I61" s="12">
        <f t="shared" ref="I61:I62" si="7">IF(AND(B$86&gt;B61,B$86&lt;=C61),B$86,0)</f>
        <v>75</v>
      </c>
      <c r="J61" s="5">
        <v>0</v>
      </c>
      <c r="K61" s="6">
        <f>IF(H61&gt;0,IF(H61=B61,D61,IF(AND(H61&gt;B61,H61&lt;=C61),D60+(H61-B61)*((D61-D60)/(C61-B61)),0)),0)</f>
        <v>25</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06" t="s">
        <v>3</v>
      </c>
      <c r="B65" s="62" t="s">
        <v>33</v>
      </c>
      <c r="C65" s="62" t="s">
        <v>34</v>
      </c>
      <c r="D65" s="62" t="s">
        <v>49</v>
      </c>
      <c r="E65" s="62" t="s">
        <v>47</v>
      </c>
      <c r="F65" s="63" t="s">
        <v>48</v>
      </c>
      <c r="H65" s="106" t="s">
        <v>3</v>
      </c>
      <c r="I65" s="62" t="s">
        <v>50</v>
      </c>
      <c r="J65" s="62" t="s">
        <v>51</v>
      </c>
      <c r="K65" s="62" t="s">
        <v>49</v>
      </c>
      <c r="L65" s="62" t="s">
        <v>47</v>
      </c>
      <c r="M65" s="63" t="s">
        <v>48</v>
      </c>
      <c r="O65" s="106" t="s">
        <v>3</v>
      </c>
      <c r="P65" s="62" t="s">
        <v>33</v>
      </c>
      <c r="Q65" s="62" t="s">
        <v>34</v>
      </c>
      <c r="R65" s="62" t="s">
        <v>49</v>
      </c>
      <c r="S65" s="62" t="s">
        <v>47</v>
      </c>
      <c r="T65" s="63"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50</v>
      </c>
      <c r="J67" s="5">
        <f>IF(AND(MAX(I$60:I$62)&gt;B61,MAX(I$60:I$62)&lt;C61),MAX(I$60:I$62),IF(MAX(I$60:I$62)&gt;=C61,C61,0))</f>
        <v>75</v>
      </c>
      <c r="K67" s="29">
        <f>IF(I67&lt;&gt;0,L66,0)</f>
        <v>20</v>
      </c>
      <c r="L67" s="29">
        <f t="shared" ref="L67:L69" si="9">IF(AND(MAX(I$60:I$62)&gt;B61,MAX(I$60:I$62)&lt;C61),K61,IF(MAX(I$60:I$62)&gt;=C61,D61,0))</f>
        <v>25</v>
      </c>
      <c r="M67" s="30">
        <f t="shared" ref="M67:M69" si="10">(J67-I67)*(K67+L67)/2</f>
        <v>562.5</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1562.5</v>
      </c>
      <c r="O70" s="24"/>
      <c r="P70" s="18"/>
      <c r="Q70" s="18"/>
      <c r="R70" s="21"/>
      <c r="S70" s="21"/>
      <c r="T70" s="31">
        <f>SUM(T66:T69)</f>
        <v>2250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0</v>
      </c>
      <c r="E74" s="152" t="s">
        <v>12</v>
      </c>
      <c r="F74" s="153"/>
      <c r="G74" s="153"/>
      <c r="H74" s="153"/>
      <c r="I74" s="99"/>
      <c r="J74" s="10"/>
      <c r="K74" s="10"/>
      <c r="L74" s="10"/>
      <c r="M74" s="26"/>
      <c r="O74" s="16" t="s">
        <v>12</v>
      </c>
      <c r="P74" s="29"/>
      <c r="Q74" s="5"/>
      <c r="R74" s="5"/>
      <c r="S74" s="5"/>
      <c r="T74" s="13"/>
    </row>
    <row r="75" spans="1:20" ht="15.75" thickBot="1" x14ac:dyDescent="0.3">
      <c r="A75" s="17" t="s">
        <v>13</v>
      </c>
      <c r="B75" s="19">
        <v>0</v>
      </c>
      <c r="E75" s="138" t="s">
        <v>14</v>
      </c>
      <c r="F75" s="139"/>
      <c r="G75" s="139"/>
      <c r="H75" s="139"/>
      <c r="I75" s="42">
        <f>B74*B75</f>
        <v>0</v>
      </c>
      <c r="J75" s="5"/>
      <c r="K75" s="5"/>
      <c r="L75" s="5"/>
      <c r="M75" s="13"/>
      <c r="O75" s="136" t="s">
        <v>14</v>
      </c>
      <c r="P75" s="137"/>
      <c r="Q75" s="137"/>
      <c r="R75" s="137"/>
      <c r="S75" s="137"/>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0</v>
      </c>
      <c r="J78" s="5"/>
      <c r="K78" s="35" t="s">
        <v>16</v>
      </c>
      <c r="L78" s="36">
        <f>F70</f>
        <v>0</v>
      </c>
      <c r="M78" s="105" t="s">
        <v>17</v>
      </c>
      <c r="O78" s="136" t="s">
        <v>15</v>
      </c>
      <c r="P78" s="137"/>
      <c r="Q78" s="137"/>
      <c r="R78" s="137"/>
      <c r="S78" s="137"/>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147" t="s">
        <v>22</v>
      </c>
      <c r="B80" s="148"/>
      <c r="E80" s="138" t="str">
        <f>"DA Incremental Cost @ DA MW ("&amp;$B74&amp;" MW)"</f>
        <v>DA Incremental Cost @ DA MW (0 MW)</v>
      </c>
      <c r="F80" s="139"/>
      <c r="G80" s="139"/>
      <c r="H80" s="139"/>
      <c r="I80" s="44">
        <f>F70</f>
        <v>0</v>
      </c>
      <c r="J80" s="5"/>
      <c r="K80" s="29"/>
      <c r="L80" s="5"/>
      <c r="M80" s="13"/>
      <c r="O80" s="136" t="str">
        <f>"DA Incremental Cost @ DA MW ("&amp;$B74&amp;" MW)"</f>
        <v>DA Incremental Cost @ DA MW (0 MW)</v>
      </c>
      <c r="P80" s="137"/>
      <c r="Q80" s="137"/>
      <c r="R80" s="137"/>
      <c r="S80" s="137"/>
      <c r="T80" s="89">
        <f>I80</f>
        <v>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0</v>
      </c>
      <c r="D82" s="32"/>
      <c r="E82" s="138" t="s">
        <v>19</v>
      </c>
      <c r="F82" s="139"/>
      <c r="G82" s="139"/>
      <c r="H82" s="139"/>
      <c r="I82" s="40">
        <f>I75+I78-I80</f>
        <v>0</v>
      </c>
      <c r="J82" s="5"/>
      <c r="K82" s="29"/>
      <c r="L82" s="45"/>
      <c r="M82" s="13"/>
      <c r="O82" s="136" t="s">
        <v>19</v>
      </c>
      <c r="P82" s="137"/>
      <c r="Q82" s="137"/>
      <c r="R82" s="137"/>
      <c r="S82" s="137"/>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75</v>
      </c>
      <c r="E86" s="140" t="s">
        <v>20</v>
      </c>
      <c r="F86" s="141"/>
      <c r="G86" s="141"/>
      <c r="H86" s="141"/>
      <c r="I86" s="141"/>
      <c r="J86" s="141"/>
      <c r="K86" s="141"/>
      <c r="L86" s="141"/>
      <c r="M86" s="142"/>
      <c r="O86" s="160" t="s">
        <v>20</v>
      </c>
      <c r="P86" s="161"/>
      <c r="Q86" s="161"/>
      <c r="R86" s="161"/>
      <c r="S86" s="161"/>
      <c r="T86" s="162"/>
    </row>
    <row r="87" spans="1:20" x14ac:dyDescent="0.25">
      <c r="E87" s="85" t="s">
        <v>12</v>
      </c>
      <c r="F87" s="86"/>
      <c r="G87" s="86"/>
      <c r="H87" s="86"/>
      <c r="I87" s="5"/>
      <c r="J87" s="5"/>
      <c r="K87" s="5"/>
      <c r="L87" s="5"/>
      <c r="M87" s="13"/>
      <c r="O87" s="16" t="s">
        <v>12</v>
      </c>
      <c r="P87" s="5"/>
      <c r="Q87" s="5"/>
      <c r="R87" s="5"/>
      <c r="S87" s="5"/>
      <c r="T87" s="13"/>
    </row>
    <row r="88" spans="1:20" x14ac:dyDescent="0.25">
      <c r="E88" s="138" t="s">
        <v>21</v>
      </c>
      <c r="F88" s="139"/>
      <c r="G88" s="139"/>
      <c r="H88" s="139"/>
      <c r="I88" s="29">
        <f>(B81-B74)*B82</f>
        <v>0</v>
      </c>
      <c r="J88" s="29"/>
      <c r="K88" s="29"/>
      <c r="L88" s="29"/>
      <c r="M88" s="13"/>
      <c r="O88" s="136" t="s">
        <v>21</v>
      </c>
      <c r="P88" s="137"/>
      <c r="Q88" s="137"/>
      <c r="R88" s="137"/>
      <c r="S88" s="137"/>
      <c r="T88" s="30">
        <f>I88</f>
        <v>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MAX(M95*-1,0)</f>
        <v>1562.5</v>
      </c>
      <c r="J90" s="29"/>
      <c r="K90" s="143" t="s">
        <v>30</v>
      </c>
      <c r="L90" s="144"/>
      <c r="M90" s="145"/>
      <c r="O90" s="136" t="s">
        <v>23</v>
      </c>
      <c r="P90" s="137"/>
      <c r="Q90" s="137"/>
      <c r="R90" s="137"/>
      <c r="S90" s="137"/>
      <c r="T90" s="30">
        <f>I90</f>
        <v>1562.5</v>
      </c>
    </row>
    <row r="91" spans="1:20" x14ac:dyDescent="0.25">
      <c r="E91" s="92"/>
      <c r="F91" s="67"/>
      <c r="G91" s="67"/>
      <c r="H91" s="67"/>
      <c r="I91" s="76"/>
      <c r="J91" s="76"/>
      <c r="K91" s="128" t="s">
        <v>24</v>
      </c>
      <c r="L91" s="129"/>
      <c r="M91" s="56">
        <f>I75</f>
        <v>0</v>
      </c>
      <c r="O91" s="75"/>
      <c r="P91" s="76"/>
      <c r="Q91" s="76"/>
      <c r="R91" s="76"/>
      <c r="S91" s="76"/>
      <c r="T91" s="77"/>
    </row>
    <row r="92" spans="1:20" x14ac:dyDescent="0.25">
      <c r="E92" s="130" t="str">
        <f>"Incremental Cost @ RT MW Used ("&amp;$B86&amp;" MW)"</f>
        <v>Incremental Cost @ RT MW Used (75 MW)</v>
      </c>
      <c r="F92" s="131"/>
      <c r="G92" s="131"/>
      <c r="H92" s="131"/>
      <c r="I92" s="8">
        <f>M94</f>
        <v>1562.5</v>
      </c>
      <c r="J92" s="8"/>
      <c r="K92" s="128" t="s">
        <v>17</v>
      </c>
      <c r="L92" s="129"/>
      <c r="M92" s="56">
        <f>I78</f>
        <v>0</v>
      </c>
      <c r="O92" s="136" t="str">
        <f>"Incremental Cost @ Actual RT MW ("&amp;$B81&amp;" MW)"</f>
        <v>Incremental Cost @ Actual RT MW (100 MW)</v>
      </c>
      <c r="P92" s="137"/>
      <c r="Q92" s="137"/>
      <c r="R92" s="137"/>
      <c r="S92" s="137"/>
      <c r="T92" s="6">
        <f>T70</f>
        <v>2250</v>
      </c>
    </row>
    <row r="93" spans="1:20" x14ac:dyDescent="0.25">
      <c r="E93" s="93"/>
      <c r="F93" s="100"/>
      <c r="G93" s="100"/>
      <c r="H93" s="100"/>
      <c r="I93" s="48"/>
      <c r="J93" s="48"/>
      <c r="K93" s="132" t="s">
        <v>25</v>
      </c>
      <c r="L93" s="133"/>
      <c r="M93" s="30">
        <f>(B85-B74)*B82</f>
        <v>0</v>
      </c>
      <c r="O93" s="47"/>
      <c r="P93" s="87"/>
      <c r="Q93" s="87"/>
      <c r="R93" s="87"/>
      <c r="S93" s="87"/>
      <c r="T93" s="90"/>
    </row>
    <row r="94" spans="1:20" ht="15.75" thickBot="1" x14ac:dyDescent="0.3">
      <c r="E94" s="134" t="s">
        <v>26</v>
      </c>
      <c r="F94" s="135"/>
      <c r="G94" s="135"/>
      <c r="H94" s="135"/>
      <c r="I94" s="50">
        <f>I75+I78+I88+I90-I92</f>
        <v>0</v>
      </c>
      <c r="J94" s="104"/>
      <c r="K94" s="136" t="s">
        <v>46</v>
      </c>
      <c r="L94" s="137"/>
      <c r="M94" s="30">
        <f>M70</f>
        <v>1562.5</v>
      </c>
      <c r="O94" s="136" t="s">
        <v>26</v>
      </c>
      <c r="P94" s="137"/>
      <c r="Q94" s="137"/>
      <c r="R94" s="137"/>
      <c r="S94" s="137"/>
      <c r="T94" s="91">
        <f>T75+T78+T88+T90-T92</f>
        <v>-687.5</v>
      </c>
    </row>
    <row r="95" spans="1:20" ht="29.25" customHeight="1" thickTop="1" thickBot="1" x14ac:dyDescent="0.3">
      <c r="E95" s="49"/>
      <c r="F95" s="8"/>
      <c r="G95" s="8"/>
      <c r="H95" s="8"/>
      <c r="I95" s="8"/>
      <c r="J95" s="8"/>
      <c r="K95" s="124" t="s">
        <v>72</v>
      </c>
      <c r="L95" s="125"/>
      <c r="M95" s="103">
        <f>M91+M92+M93-M94</f>
        <v>-1562.5</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28"/>
      <c r="H97" s="5"/>
      <c r="I97" s="29"/>
      <c r="J97" s="5"/>
    </row>
    <row r="98" spans="1:23" x14ac:dyDescent="0.25">
      <c r="D98" s="33"/>
      <c r="E98" s="8"/>
      <c r="F98" s="8"/>
      <c r="G98" s="28"/>
      <c r="H98" s="5"/>
      <c r="I98" s="29"/>
      <c r="J98" s="5"/>
    </row>
    <row r="99" spans="1:23" x14ac:dyDescent="0.25">
      <c r="D99" s="33"/>
      <c r="E99" s="8"/>
      <c r="F99" s="8"/>
      <c r="G99" s="28"/>
      <c r="H99" s="5"/>
      <c r="I99" s="29"/>
      <c r="J99" s="5"/>
    </row>
    <row r="100" spans="1:23" ht="13.5" customHeight="1" x14ac:dyDescent="0.25">
      <c r="D100" s="33"/>
      <c r="E100" s="8"/>
      <c r="F100" s="8"/>
      <c r="G100" s="28"/>
      <c r="H100" s="5"/>
      <c r="I100" s="29"/>
      <c r="J100" s="5"/>
    </row>
    <row r="101" spans="1:23" x14ac:dyDescent="0.25">
      <c r="D101" s="33"/>
      <c r="E101" s="8"/>
      <c r="F101" s="8"/>
      <c r="G101" s="28"/>
      <c r="H101" s="5"/>
      <c r="I101" s="29"/>
      <c r="J101" s="5"/>
    </row>
    <row r="102" spans="1:23" x14ac:dyDescent="0.25">
      <c r="D102" s="33"/>
      <c r="E102" s="8"/>
      <c r="F102" s="8"/>
      <c r="G102" s="28"/>
      <c r="H102" s="5"/>
      <c r="I102" s="29"/>
      <c r="J102" s="5"/>
    </row>
    <row r="103" spans="1:23" x14ac:dyDescent="0.25">
      <c r="D103" s="33"/>
      <c r="E103" s="8"/>
      <c r="F103" s="8"/>
      <c r="G103" s="28"/>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73"/>
      <c r="E106" s="54"/>
      <c r="F106" s="54"/>
      <c r="G106" s="73"/>
      <c r="H106" s="53"/>
      <c r="I106" s="55"/>
      <c r="J106" s="53"/>
      <c r="K106" s="53"/>
      <c r="L106" s="53"/>
      <c r="M106" s="53"/>
      <c r="N106" s="53"/>
      <c r="O106" s="53"/>
      <c r="P106" s="53"/>
      <c r="Q106" s="53"/>
      <c r="R106" s="53"/>
      <c r="S106" s="53"/>
      <c r="T106" s="53"/>
    </row>
    <row r="107" spans="1:23" x14ac:dyDescent="0.25">
      <c r="A107" s="126" t="s">
        <v>52</v>
      </c>
      <c r="B107" s="126"/>
      <c r="C107" s="126"/>
      <c r="D107" s="126"/>
      <c r="E107" s="126"/>
      <c r="F107" s="126"/>
      <c r="G107" s="126"/>
      <c r="H107" s="126"/>
      <c r="I107" s="126"/>
      <c r="J107" s="126"/>
      <c r="K107" s="126"/>
      <c r="L107" s="126"/>
      <c r="M107" s="126"/>
      <c r="N107" s="126"/>
      <c r="O107" s="126"/>
      <c r="P107" s="126"/>
      <c r="Q107" s="126"/>
      <c r="R107" s="126"/>
      <c r="S107" s="126"/>
      <c r="T107" s="126"/>
    </row>
    <row r="108" spans="1:23" s="83" customFormat="1" ht="15.75" thickBot="1" x14ac:dyDescent="0.3">
      <c r="A108" s="127"/>
      <c r="B108" s="127"/>
      <c r="C108" s="127"/>
      <c r="D108" s="127"/>
      <c r="E108" s="127"/>
      <c r="F108" s="127"/>
      <c r="G108" s="127"/>
      <c r="H108" s="127"/>
      <c r="I108" s="127"/>
      <c r="J108" s="127"/>
      <c r="K108" s="127"/>
      <c r="L108" s="127"/>
      <c r="M108" s="127"/>
      <c r="N108" s="127"/>
      <c r="O108" s="127"/>
      <c r="P108" s="127"/>
      <c r="Q108" s="127"/>
      <c r="R108" s="127"/>
      <c r="S108" s="127"/>
      <c r="T108" s="127"/>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70" t="s">
        <v>3</v>
      </c>
      <c r="B110" s="62" t="s">
        <v>33</v>
      </c>
      <c r="C110" s="62" t="s">
        <v>34</v>
      </c>
      <c r="D110" s="71" t="s">
        <v>4</v>
      </c>
      <c r="E110" s="70" t="s">
        <v>5</v>
      </c>
      <c r="F110" s="62" t="s">
        <v>6</v>
      </c>
      <c r="G110" s="63" t="s">
        <v>7</v>
      </c>
      <c r="H110" s="69" t="s">
        <v>38</v>
      </c>
      <c r="I110" s="65" t="s">
        <v>8</v>
      </c>
      <c r="J110" s="65" t="s">
        <v>6</v>
      </c>
      <c r="K110" s="66" t="s">
        <v>7</v>
      </c>
      <c r="L110" s="72"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06" t="s">
        <v>3</v>
      </c>
      <c r="B116" s="62" t="s">
        <v>33</v>
      </c>
      <c r="C116" s="62" t="s">
        <v>34</v>
      </c>
      <c r="D116" s="62" t="s">
        <v>49</v>
      </c>
      <c r="E116" s="62" t="s">
        <v>47</v>
      </c>
      <c r="F116" s="63" t="s">
        <v>48</v>
      </c>
      <c r="H116" s="106" t="s">
        <v>3</v>
      </c>
      <c r="I116" s="62" t="s">
        <v>50</v>
      </c>
      <c r="J116" s="62" t="s">
        <v>51</v>
      </c>
      <c r="K116" s="62" t="s">
        <v>49</v>
      </c>
      <c r="L116" s="62" t="s">
        <v>47</v>
      </c>
      <c r="M116" s="63" t="s">
        <v>48</v>
      </c>
      <c r="O116" s="106" t="s">
        <v>3</v>
      </c>
      <c r="P116" s="62" t="s">
        <v>33</v>
      </c>
      <c r="Q116" s="62" t="s">
        <v>34</v>
      </c>
      <c r="R116" s="62" t="s">
        <v>49</v>
      </c>
      <c r="S116" s="62" t="s">
        <v>47</v>
      </c>
      <c r="T116" s="63"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0</v>
      </c>
      <c r="E126" s="138" t="s">
        <v>14</v>
      </c>
      <c r="F126" s="139"/>
      <c r="G126" s="139"/>
      <c r="H126" s="139"/>
      <c r="I126" s="42">
        <f>B125*B126</f>
        <v>0</v>
      </c>
      <c r="J126" s="5"/>
      <c r="K126" s="5"/>
      <c r="L126" s="5"/>
      <c r="M126" s="13"/>
      <c r="O126" s="136" t="s">
        <v>14</v>
      </c>
      <c r="P126" s="137"/>
      <c r="Q126" s="137"/>
      <c r="R126" s="137"/>
      <c r="S126" s="137"/>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0</v>
      </c>
      <c r="J129" s="5"/>
      <c r="K129" s="35" t="s">
        <v>16</v>
      </c>
      <c r="L129" s="36">
        <f>F121</f>
        <v>0</v>
      </c>
      <c r="M129" s="105" t="s">
        <v>17</v>
      </c>
      <c r="O129" s="136" t="s">
        <v>15</v>
      </c>
      <c r="P129" s="137"/>
      <c r="Q129" s="137"/>
      <c r="R129" s="137"/>
      <c r="S129" s="137"/>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147" t="s">
        <v>22</v>
      </c>
      <c r="B131" s="148"/>
      <c r="E131" s="138" t="str">
        <f>"DA Incremental Cost @ DA MW ("&amp;$B125&amp;" MW)"</f>
        <v>DA Incremental Cost @ DA MW (0 MW)</v>
      </c>
      <c r="F131" s="139"/>
      <c r="G131" s="139"/>
      <c r="H131" s="139"/>
      <c r="I131" s="44">
        <f>F121</f>
        <v>0</v>
      </c>
      <c r="J131" s="5"/>
      <c r="K131" s="29"/>
      <c r="L131" s="5"/>
      <c r="M131" s="13"/>
      <c r="O131" s="136" t="str">
        <f>"DA Incremental Cost @ DA MW ("&amp;$B125&amp;" MW)"</f>
        <v>DA Incremental Cost @ DA MW (0 MW)</v>
      </c>
      <c r="P131" s="137"/>
      <c r="Q131" s="137"/>
      <c r="R131" s="137"/>
      <c r="S131" s="137"/>
      <c r="T131" s="89">
        <f>I131</f>
        <v>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0</v>
      </c>
      <c r="D133" s="32"/>
      <c r="E133" s="138" t="s">
        <v>19</v>
      </c>
      <c r="F133" s="139"/>
      <c r="G133" s="139"/>
      <c r="H133" s="139"/>
      <c r="I133" s="40">
        <f>I126+I129-I131</f>
        <v>0</v>
      </c>
      <c r="J133" s="5"/>
      <c r="K133" s="29"/>
      <c r="L133" s="45"/>
      <c r="M133" s="13"/>
      <c r="O133" s="136" t="s">
        <v>19</v>
      </c>
      <c r="P133" s="137"/>
      <c r="Q133" s="137"/>
      <c r="R133" s="137"/>
      <c r="S133" s="137"/>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IF(B125=0,B132,MAX(MIN(B135,B125),B132))</f>
        <v>100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140" t="s">
        <v>20</v>
      </c>
      <c r="F137" s="141"/>
      <c r="G137" s="141"/>
      <c r="H137" s="141"/>
      <c r="I137" s="141"/>
      <c r="J137" s="141"/>
      <c r="K137" s="141"/>
      <c r="L137" s="141"/>
      <c r="M137" s="142"/>
      <c r="O137" s="160" t="s">
        <v>20</v>
      </c>
      <c r="P137" s="161"/>
      <c r="Q137" s="161"/>
      <c r="R137" s="161"/>
      <c r="S137" s="161"/>
      <c r="T137" s="162"/>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138" t="s">
        <v>21</v>
      </c>
      <c r="F139" s="139"/>
      <c r="G139" s="139"/>
      <c r="H139" s="139"/>
      <c r="I139" s="29">
        <f>(B132-B125)*B133</f>
        <v>0</v>
      </c>
      <c r="J139" s="29"/>
      <c r="K139" s="29"/>
      <c r="L139" s="29"/>
      <c r="M139" s="13"/>
      <c r="O139" s="136" t="s">
        <v>21</v>
      </c>
      <c r="P139" s="137"/>
      <c r="Q139" s="137"/>
      <c r="R139" s="137"/>
      <c r="S139" s="137"/>
      <c r="T139" s="30">
        <f>I139</f>
        <v>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MAX(M146*-1,0)</f>
        <v>1000</v>
      </c>
      <c r="J141" s="29"/>
      <c r="K141" s="143" t="s">
        <v>30</v>
      </c>
      <c r="L141" s="144"/>
      <c r="M141" s="145"/>
      <c r="O141" s="136" t="s">
        <v>23</v>
      </c>
      <c r="P141" s="137"/>
      <c r="Q141" s="137"/>
      <c r="R141" s="137"/>
      <c r="S141" s="137"/>
      <c r="T141" s="30">
        <f>I141</f>
        <v>1000</v>
      </c>
    </row>
    <row r="142" spans="1:20" x14ac:dyDescent="0.25">
      <c r="E142" s="92"/>
      <c r="F142" s="67"/>
      <c r="G142" s="67"/>
      <c r="H142" s="67"/>
      <c r="I142" s="76"/>
      <c r="J142" s="76"/>
      <c r="K142" s="128" t="s">
        <v>24</v>
      </c>
      <c r="L142" s="129"/>
      <c r="M142" s="56">
        <f>I126</f>
        <v>0</v>
      </c>
      <c r="O142" s="75"/>
      <c r="P142" s="76"/>
      <c r="Q142" s="76"/>
      <c r="R142" s="76"/>
      <c r="S142" s="76"/>
      <c r="T142" s="77"/>
    </row>
    <row r="143" spans="1:20" x14ac:dyDescent="0.25">
      <c r="E143" s="130" t="str">
        <f>"Incremental Cost @ RT MW Used ("&amp;$B137&amp;" MW)"</f>
        <v>Incremental Cost @ RT MW Used (50 MW)</v>
      </c>
      <c r="F143" s="131"/>
      <c r="G143" s="131"/>
      <c r="H143" s="131"/>
      <c r="I143" s="8">
        <f>M145</f>
        <v>1000</v>
      </c>
      <c r="J143" s="8"/>
      <c r="K143" s="128" t="s">
        <v>17</v>
      </c>
      <c r="L143" s="129"/>
      <c r="M143" s="56">
        <f>I129</f>
        <v>0</v>
      </c>
      <c r="O143" s="136" t="str">
        <f>"Incremental Cost @ Actual RT MW ("&amp;$B132&amp;" MW)"</f>
        <v>Incremental Cost @ Actual RT MW (100 MW)</v>
      </c>
      <c r="P143" s="137"/>
      <c r="Q143" s="137"/>
      <c r="R143" s="137"/>
      <c r="S143" s="137"/>
      <c r="T143" s="6">
        <f>T121</f>
        <v>2250</v>
      </c>
    </row>
    <row r="144" spans="1:20" x14ac:dyDescent="0.25">
      <c r="E144" s="93"/>
      <c r="F144" s="100"/>
      <c r="G144" s="100"/>
      <c r="H144" s="100"/>
      <c r="I144" s="48"/>
      <c r="J144" s="48"/>
      <c r="K144" s="132" t="s">
        <v>25</v>
      </c>
      <c r="L144" s="133"/>
      <c r="M144" s="30">
        <f>(B136-B125)*B133</f>
        <v>0</v>
      </c>
      <c r="O144" s="47"/>
      <c r="P144" s="87"/>
      <c r="Q144" s="87"/>
      <c r="R144" s="87"/>
      <c r="S144" s="87"/>
      <c r="T144" s="90"/>
    </row>
    <row r="145" spans="4:20" ht="15.75" thickBot="1" x14ac:dyDescent="0.3">
      <c r="E145" s="134" t="s">
        <v>26</v>
      </c>
      <c r="F145" s="135"/>
      <c r="G145" s="135"/>
      <c r="H145" s="135"/>
      <c r="I145" s="50">
        <f>I126+I129+I139+I141-I143</f>
        <v>0</v>
      </c>
      <c r="J145" s="104"/>
      <c r="K145" s="136" t="s">
        <v>46</v>
      </c>
      <c r="L145" s="137"/>
      <c r="M145" s="30">
        <f>M121</f>
        <v>1000</v>
      </c>
      <c r="O145" s="136" t="s">
        <v>26</v>
      </c>
      <c r="P145" s="137"/>
      <c r="Q145" s="137"/>
      <c r="R145" s="137"/>
      <c r="S145" s="137"/>
      <c r="T145" s="91">
        <f>T126+T129+T139+T141-T143</f>
        <v>-1250</v>
      </c>
    </row>
    <row r="146" spans="4:20" ht="30" customHeight="1" thickTop="1" thickBot="1" x14ac:dyDescent="0.3">
      <c r="E146" s="49"/>
      <c r="F146" s="8"/>
      <c r="G146" s="8"/>
      <c r="H146" s="8"/>
      <c r="I146" s="8"/>
      <c r="J146" s="8"/>
      <c r="K146" s="124" t="s">
        <v>72</v>
      </c>
      <c r="L146" s="125"/>
      <c r="M146" s="103">
        <f>M142+M143+M144-M145</f>
        <v>-1000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0">
    <mergeCell ref="A58:D58"/>
    <mergeCell ref="E58:G58"/>
    <mergeCell ref="H58:K58"/>
    <mergeCell ref="H64:M64"/>
    <mergeCell ref="A64:F64"/>
    <mergeCell ref="A109:D109"/>
    <mergeCell ref="E109:G109"/>
    <mergeCell ref="H109:K109"/>
    <mergeCell ref="A115:B115"/>
    <mergeCell ref="H115:M115"/>
    <mergeCell ref="L109:N109"/>
    <mergeCell ref="L58:N58"/>
    <mergeCell ref="E82:H82"/>
    <mergeCell ref="O31:S31"/>
    <mergeCell ref="O37:S37"/>
    <mergeCell ref="O39:S39"/>
    <mergeCell ref="O41:S41"/>
    <mergeCell ref="O43:S43"/>
    <mergeCell ref="A29:B29"/>
    <mergeCell ref="A5:T6"/>
    <mergeCell ref="A21:D21"/>
    <mergeCell ref="A28:D28"/>
    <mergeCell ref="O24:S24"/>
    <mergeCell ref="A7:D7"/>
    <mergeCell ref="E7:G7"/>
    <mergeCell ref="H7:K7"/>
    <mergeCell ref="A13:F13"/>
    <mergeCell ref="A22:B22"/>
    <mergeCell ref="O13:T13"/>
    <mergeCell ref="L7:N7"/>
    <mergeCell ref="O22:T22"/>
    <mergeCell ref="O35:T35"/>
    <mergeCell ref="O21:T21"/>
    <mergeCell ref="H13:M13"/>
    <mergeCell ref="O27:S27"/>
    <mergeCell ref="O29:S29"/>
    <mergeCell ref="E21:M21"/>
    <mergeCell ref="E22:M22"/>
    <mergeCell ref="E23:H23"/>
    <mergeCell ref="E24:H24"/>
    <mergeCell ref="E27:H27"/>
    <mergeCell ref="E29:H29"/>
    <mergeCell ref="E31:H31"/>
    <mergeCell ref="E35:M35"/>
    <mergeCell ref="O126:S126"/>
    <mergeCell ref="O88:S88"/>
    <mergeCell ref="O90:S90"/>
    <mergeCell ref="O92:S92"/>
    <mergeCell ref="O94:S94"/>
    <mergeCell ref="A56:T57"/>
    <mergeCell ref="O75:S75"/>
    <mergeCell ref="O78:S78"/>
    <mergeCell ref="O80:S80"/>
    <mergeCell ref="O82:S82"/>
    <mergeCell ref="E72:M72"/>
    <mergeCell ref="E73:M73"/>
    <mergeCell ref="E74:H74"/>
    <mergeCell ref="E75:H75"/>
    <mergeCell ref="E78:H78"/>
    <mergeCell ref="E80:H80"/>
    <mergeCell ref="E41:H41"/>
    <mergeCell ref="K39:M39"/>
    <mergeCell ref="K40:L40"/>
    <mergeCell ref="K41:L41"/>
    <mergeCell ref="K42:L42"/>
    <mergeCell ref="K43:L43"/>
    <mergeCell ref="K44:L44"/>
    <mergeCell ref="O139:S139"/>
    <mergeCell ref="O129:S129"/>
    <mergeCell ref="O131:S131"/>
    <mergeCell ref="O133:S133"/>
    <mergeCell ref="O115:T115"/>
    <mergeCell ref="O124:T124"/>
    <mergeCell ref="O137:T137"/>
    <mergeCell ref="O64:T64"/>
    <mergeCell ref="O73:T73"/>
    <mergeCell ref="O86:T86"/>
    <mergeCell ref="O123:T123"/>
    <mergeCell ref="O72:T72"/>
    <mergeCell ref="K95:L95"/>
    <mergeCell ref="A1:T2"/>
    <mergeCell ref="A124:B124"/>
    <mergeCell ref="A131:B131"/>
    <mergeCell ref="A73:B73"/>
    <mergeCell ref="A80:B80"/>
    <mergeCell ref="E123:M123"/>
    <mergeCell ref="E124:M124"/>
    <mergeCell ref="E125:H125"/>
    <mergeCell ref="E126:H126"/>
    <mergeCell ref="E129:H129"/>
    <mergeCell ref="E131:H131"/>
    <mergeCell ref="E92:H92"/>
    <mergeCell ref="K92:L92"/>
    <mergeCell ref="K93:L93"/>
    <mergeCell ref="E94:H94"/>
    <mergeCell ref="K94:L94"/>
    <mergeCell ref="E86:M86"/>
    <mergeCell ref="E88:H88"/>
    <mergeCell ref="E90:H90"/>
    <mergeCell ref="K90:M90"/>
    <mergeCell ref="K91:L91"/>
    <mergeCell ref="E37:H37"/>
    <mergeCell ref="E39:H39"/>
    <mergeCell ref="E43:H43"/>
    <mergeCell ref="K146:L146"/>
    <mergeCell ref="A107:T108"/>
    <mergeCell ref="K142:L142"/>
    <mergeCell ref="E143:H143"/>
    <mergeCell ref="K143:L143"/>
    <mergeCell ref="K144:L144"/>
    <mergeCell ref="E145:H145"/>
    <mergeCell ref="K145:L145"/>
    <mergeCell ref="E133:H133"/>
    <mergeCell ref="E137:M137"/>
    <mergeCell ref="E139:H139"/>
    <mergeCell ref="E141:H141"/>
    <mergeCell ref="K141:M141"/>
    <mergeCell ref="O141:S141"/>
    <mergeCell ref="O143:S143"/>
    <mergeCell ref="O145:S14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opLeftCell="A166" zoomScale="120" zoomScaleNormal="120" workbookViewId="0">
      <selection activeCell="K146" sqref="K146:L146"/>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66</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64</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06" t="s">
        <v>3</v>
      </c>
      <c r="B8" s="96" t="s">
        <v>33</v>
      </c>
      <c r="C8" s="96" t="s">
        <v>34</v>
      </c>
      <c r="D8" s="97" t="s">
        <v>4</v>
      </c>
      <c r="E8" s="106" t="s">
        <v>5</v>
      </c>
      <c r="F8" s="96" t="s">
        <v>6</v>
      </c>
      <c r="G8" s="97"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80" t="s">
        <v>3</v>
      </c>
      <c r="B14" s="96" t="s">
        <v>33</v>
      </c>
      <c r="C14" s="96" t="s">
        <v>34</v>
      </c>
      <c r="D14" s="96" t="s">
        <v>36</v>
      </c>
      <c r="E14" s="96" t="s">
        <v>7</v>
      </c>
      <c r="F14" s="97" t="s">
        <v>48</v>
      </c>
      <c r="H14" s="80" t="s">
        <v>3</v>
      </c>
      <c r="I14" s="96" t="s">
        <v>33</v>
      </c>
      <c r="J14" s="96" t="s">
        <v>34</v>
      </c>
      <c r="K14" s="96" t="s">
        <v>36</v>
      </c>
      <c r="L14" s="96" t="s">
        <v>47</v>
      </c>
      <c r="M14" s="97" t="s">
        <v>48</v>
      </c>
      <c r="O14" s="75"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0</v>
      </c>
      <c r="E23" s="152" t="s">
        <v>12</v>
      </c>
      <c r="F23" s="153"/>
      <c r="G23" s="153"/>
      <c r="H23" s="153"/>
      <c r="I23" s="99"/>
      <c r="J23" s="10"/>
      <c r="K23" s="10"/>
      <c r="L23" s="10"/>
      <c r="M23" s="26"/>
      <c r="O23" s="16" t="s">
        <v>12</v>
      </c>
      <c r="P23" s="29"/>
      <c r="Q23" s="5"/>
      <c r="R23" s="5"/>
      <c r="S23" s="5"/>
      <c r="T23" s="13"/>
    </row>
    <row r="24" spans="1:20" ht="15.75" thickBot="1" x14ac:dyDescent="0.3">
      <c r="A24" s="17" t="s">
        <v>13</v>
      </c>
      <c r="B24" s="19">
        <v>0</v>
      </c>
      <c r="E24" s="138" t="s">
        <v>14</v>
      </c>
      <c r="F24" s="139"/>
      <c r="G24" s="139"/>
      <c r="H24" s="139"/>
      <c r="I24" s="42">
        <f>B23*B24</f>
        <v>0</v>
      </c>
      <c r="J24" s="5"/>
      <c r="K24" s="5"/>
      <c r="L24" s="5"/>
      <c r="M24" s="13"/>
      <c r="O24" s="136" t="s">
        <v>14</v>
      </c>
      <c r="P24" s="137"/>
      <c r="Q24" s="137"/>
      <c r="R24" s="137"/>
      <c r="S24" s="137"/>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0</v>
      </c>
      <c r="J27" s="5"/>
      <c r="K27" s="35" t="s">
        <v>16</v>
      </c>
      <c r="L27" s="36">
        <f>F19</f>
        <v>0</v>
      </c>
      <c r="M27" s="105" t="s">
        <v>17</v>
      </c>
      <c r="O27" s="136" t="s">
        <v>15</v>
      </c>
      <c r="P27" s="137"/>
      <c r="Q27" s="137"/>
      <c r="R27" s="137"/>
      <c r="S27" s="137"/>
      <c r="T27" s="88">
        <f>I27</f>
        <v>0</v>
      </c>
    </row>
    <row r="28" spans="1:20" ht="15.75" thickBot="1" x14ac:dyDescent="0.3">
      <c r="A28" s="171" t="s">
        <v>37</v>
      </c>
      <c r="B28" s="171"/>
      <c r="C28" s="171"/>
      <c r="D28" s="172"/>
      <c r="E28" s="85"/>
      <c r="F28" s="86"/>
      <c r="G28" s="86"/>
      <c r="H28" s="86"/>
      <c r="I28" s="5"/>
      <c r="J28" s="5"/>
      <c r="K28" s="37" t="s">
        <v>18</v>
      </c>
      <c r="L28" s="38">
        <f>I24</f>
        <v>0</v>
      </c>
      <c r="M28" s="39">
        <f>MAX(L27-L28,0)</f>
        <v>0</v>
      </c>
      <c r="O28" s="16"/>
      <c r="P28" s="5"/>
      <c r="Q28" s="5"/>
      <c r="R28" s="5"/>
      <c r="S28" s="5"/>
      <c r="T28" s="13"/>
    </row>
    <row r="29" spans="1:20" x14ac:dyDescent="0.25">
      <c r="A29" s="147" t="s">
        <v>22</v>
      </c>
      <c r="B29" s="148"/>
      <c r="E29" s="138" t="str">
        <f>"DA Incremental Cost @ DA MW ("&amp;$B23&amp;" MW)"</f>
        <v>DA Incremental Cost @ DA MW (0 MW)</v>
      </c>
      <c r="F29" s="139"/>
      <c r="G29" s="139"/>
      <c r="H29" s="139"/>
      <c r="I29" s="44">
        <f>F19</f>
        <v>0</v>
      </c>
      <c r="J29" s="5"/>
      <c r="K29" s="29"/>
      <c r="L29" s="5"/>
      <c r="M29" s="13"/>
      <c r="O29" s="136" t="str">
        <f>"DA Incremental Cost @ DA MW ("&amp;$B23&amp;" MW)"</f>
        <v>DA Incremental Cost @ DA MW (0 MW)</v>
      </c>
      <c r="P29" s="137"/>
      <c r="Q29" s="137"/>
      <c r="R29" s="137"/>
      <c r="S29" s="137"/>
      <c r="T29" s="89">
        <f>I29</f>
        <v>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-100</v>
      </c>
      <c r="D31" s="32"/>
      <c r="E31" s="138" t="s">
        <v>19</v>
      </c>
      <c r="F31" s="139"/>
      <c r="G31" s="139"/>
      <c r="H31" s="139"/>
      <c r="I31" s="40">
        <f>I24+I27-I29</f>
        <v>0</v>
      </c>
      <c r="J31" s="5"/>
      <c r="K31" s="29"/>
      <c r="L31" s="45"/>
      <c r="M31" s="13"/>
      <c r="O31" s="136" t="s">
        <v>19</v>
      </c>
      <c r="P31" s="137"/>
      <c r="Q31" s="137"/>
      <c r="R31" s="137"/>
      <c r="S31" s="137"/>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140" t="s">
        <v>20</v>
      </c>
      <c r="F35" s="141"/>
      <c r="G35" s="141"/>
      <c r="H35" s="141"/>
      <c r="I35" s="141"/>
      <c r="J35" s="141"/>
      <c r="K35" s="141"/>
      <c r="L35" s="141"/>
      <c r="M35" s="142"/>
      <c r="N35" s="5"/>
      <c r="O35" s="140" t="s">
        <v>20</v>
      </c>
      <c r="P35" s="141"/>
      <c r="Q35" s="141"/>
      <c r="R35" s="141"/>
      <c r="S35" s="141"/>
      <c r="T35" s="142"/>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138" t="s">
        <v>21</v>
      </c>
      <c r="F37" s="139"/>
      <c r="G37" s="139"/>
      <c r="H37" s="139"/>
      <c r="I37" s="29">
        <f>(B30-B23)*B31</f>
        <v>-5000</v>
      </c>
      <c r="J37" s="29"/>
      <c r="K37" s="29"/>
      <c r="L37" s="29"/>
      <c r="M37" s="13"/>
      <c r="N37" s="5"/>
      <c r="O37" s="136" t="s">
        <v>21</v>
      </c>
      <c r="P37" s="137"/>
      <c r="Q37" s="137"/>
      <c r="R37" s="137"/>
      <c r="S37" s="137"/>
      <c r="T37" s="30">
        <f>I37</f>
        <v>-5000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MAX(M44*-1,0)</f>
        <v>6000</v>
      </c>
      <c r="J39" s="29"/>
      <c r="K39" s="143" t="s">
        <v>30</v>
      </c>
      <c r="L39" s="144"/>
      <c r="M39" s="145"/>
      <c r="N39" s="5"/>
      <c r="O39" s="136" t="s">
        <v>23</v>
      </c>
      <c r="P39" s="137"/>
      <c r="Q39" s="137"/>
      <c r="R39" s="137"/>
      <c r="S39" s="137"/>
      <c r="T39" s="30">
        <f>I39</f>
        <v>6000</v>
      </c>
    </row>
    <row r="40" spans="1:20" x14ac:dyDescent="0.25">
      <c r="E40" s="92"/>
      <c r="F40" s="67"/>
      <c r="G40" s="67"/>
      <c r="H40" s="67"/>
      <c r="I40" s="76"/>
      <c r="J40" s="76"/>
      <c r="K40" s="128" t="s">
        <v>24</v>
      </c>
      <c r="L40" s="129"/>
      <c r="M40" s="56">
        <f>I24</f>
        <v>0</v>
      </c>
      <c r="N40" s="5"/>
      <c r="O40" s="75"/>
      <c r="P40" s="76"/>
      <c r="Q40" s="76"/>
      <c r="R40" s="76"/>
      <c r="S40" s="76"/>
      <c r="T40" s="77"/>
    </row>
    <row r="41" spans="1:20" ht="30" customHeight="1" x14ac:dyDescent="0.25">
      <c r="E41" s="130" t="str">
        <f>"Incremental Cost @ RT MW Used ("&amp;$B35&amp;" MW)"</f>
        <v>Incremental Cost @ RT MW Used (50 MW)</v>
      </c>
      <c r="F41" s="131"/>
      <c r="G41" s="131"/>
      <c r="H41" s="131"/>
      <c r="I41" s="8">
        <f>M43</f>
        <v>1000</v>
      </c>
      <c r="J41" s="8"/>
      <c r="K41" s="128" t="s">
        <v>17</v>
      </c>
      <c r="L41" s="129"/>
      <c r="M41" s="56">
        <f>I27</f>
        <v>0</v>
      </c>
      <c r="N41" s="5"/>
      <c r="O41" s="136" t="str">
        <f>"Incremental Cost @ Actual RT MW ("&amp;$B30&amp;" MW)"</f>
        <v>Incremental Cost @ Actual RT MW (50 MW)</v>
      </c>
      <c r="P41" s="137"/>
      <c r="Q41" s="137"/>
      <c r="R41" s="137"/>
      <c r="S41" s="137"/>
      <c r="T41" s="6">
        <f>T19</f>
        <v>1000</v>
      </c>
    </row>
    <row r="42" spans="1:20" x14ac:dyDescent="0.25">
      <c r="E42" s="93"/>
      <c r="F42" s="100"/>
      <c r="G42" s="100"/>
      <c r="H42" s="100"/>
      <c r="I42" s="48"/>
      <c r="J42" s="48"/>
      <c r="K42" s="132" t="s">
        <v>25</v>
      </c>
      <c r="L42" s="133"/>
      <c r="M42" s="30">
        <f>(B34-B23)*B31</f>
        <v>-5000</v>
      </c>
      <c r="N42" s="5"/>
      <c r="O42" s="47"/>
      <c r="P42" s="87"/>
      <c r="Q42" s="87"/>
      <c r="R42" s="87"/>
      <c r="S42" s="87"/>
      <c r="T42" s="90"/>
    </row>
    <row r="43" spans="1:20" ht="15.75" thickBot="1" x14ac:dyDescent="0.3">
      <c r="E43" s="134" t="s">
        <v>26</v>
      </c>
      <c r="F43" s="135"/>
      <c r="G43" s="135"/>
      <c r="H43" s="135"/>
      <c r="I43" s="50">
        <f>I24+I27+I37+I39-I41</f>
        <v>0</v>
      </c>
      <c r="J43" s="104"/>
      <c r="K43" s="136" t="s">
        <v>46</v>
      </c>
      <c r="L43" s="137"/>
      <c r="M43" s="30">
        <f>M19</f>
        <v>1000</v>
      </c>
      <c r="N43" s="5"/>
      <c r="O43" s="136" t="s">
        <v>26</v>
      </c>
      <c r="P43" s="137"/>
      <c r="Q43" s="137"/>
      <c r="R43" s="137"/>
      <c r="S43" s="137"/>
      <c r="T43" s="91">
        <f>T24+T27+T37+T39-T41</f>
        <v>0</v>
      </c>
    </row>
    <row r="44" spans="1:20" ht="30.75" customHeight="1" thickTop="1" thickBot="1" x14ac:dyDescent="0.3">
      <c r="E44" s="49"/>
      <c r="F44" s="8"/>
      <c r="G44" s="8"/>
      <c r="H44" s="8"/>
      <c r="I44" s="8"/>
      <c r="J44" s="8"/>
      <c r="K44" s="124" t="s">
        <v>72</v>
      </c>
      <c r="L44" s="125"/>
      <c r="M44" s="103">
        <f>M40+M41+M42-M43</f>
        <v>-6000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45</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80" t="s">
        <v>3</v>
      </c>
      <c r="B59" s="96" t="s">
        <v>33</v>
      </c>
      <c r="C59" s="96" t="s">
        <v>34</v>
      </c>
      <c r="D59" s="81" t="s">
        <v>4</v>
      </c>
      <c r="E59" s="80" t="s">
        <v>5</v>
      </c>
      <c r="F59" s="96" t="s">
        <v>6</v>
      </c>
      <c r="G59" s="97" t="s">
        <v>7</v>
      </c>
      <c r="H59" s="69" t="s">
        <v>38</v>
      </c>
      <c r="I59" s="65" t="s">
        <v>53</v>
      </c>
      <c r="J59" s="65" t="s">
        <v>6</v>
      </c>
      <c r="K59" s="66" t="s">
        <v>7</v>
      </c>
      <c r="L59" s="79"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0</v>
      </c>
      <c r="I60" s="15">
        <f>IF(AND(B$86&gt;B60,B$86&lt;=C60),B$86,0)</f>
        <v>0</v>
      </c>
      <c r="J60" s="9">
        <f>IF(B81&gt;0,D60,0)</f>
        <v>20</v>
      </c>
      <c r="K60" s="11">
        <f>IF(H60&gt;0,IF(H60=B60,D60,IF(AND(H60&gt;B60,H60&lt;=C60),D60+(H60-B60)*((D60-D60)/(C60-B60)),0)),0)</f>
        <v>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75</v>
      </c>
      <c r="I61" s="12">
        <f t="shared" ref="I61:I62" si="7">IF(AND(B$86&gt;B61,B$86&lt;=C61),B$86,0)</f>
        <v>75</v>
      </c>
      <c r="J61" s="5">
        <v>0</v>
      </c>
      <c r="K61" s="6">
        <f>IF(H61&gt;0,IF(H61=B61,D61,IF(AND(H61&gt;B61,H61&lt;=C61),D60+(H61-B61)*((D61-D60)/(C61-B61)),0)),0)</f>
        <v>25</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06" t="s">
        <v>3</v>
      </c>
      <c r="B65" s="96" t="s">
        <v>33</v>
      </c>
      <c r="C65" s="96" t="s">
        <v>34</v>
      </c>
      <c r="D65" s="96" t="s">
        <v>49</v>
      </c>
      <c r="E65" s="96" t="s">
        <v>47</v>
      </c>
      <c r="F65" s="97" t="s">
        <v>48</v>
      </c>
      <c r="H65" s="106" t="s">
        <v>3</v>
      </c>
      <c r="I65" s="96" t="s">
        <v>50</v>
      </c>
      <c r="J65" s="96" t="s">
        <v>51</v>
      </c>
      <c r="K65" s="96" t="s">
        <v>49</v>
      </c>
      <c r="L65" s="96" t="s">
        <v>47</v>
      </c>
      <c r="M65" s="97" t="s">
        <v>48</v>
      </c>
      <c r="O65" s="106" t="s">
        <v>3</v>
      </c>
      <c r="P65" s="96" t="s">
        <v>33</v>
      </c>
      <c r="Q65" s="96" t="s">
        <v>34</v>
      </c>
      <c r="R65" s="96" t="s">
        <v>49</v>
      </c>
      <c r="S65" s="96" t="s">
        <v>47</v>
      </c>
      <c r="T65" s="97"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50</v>
      </c>
      <c r="J67" s="5">
        <f>IF(AND(MAX(I$60:I$62)&gt;B61,MAX(I$60:I$62)&lt;C61),MAX(I$60:I$62),IF(MAX(I$60:I$62)&gt;=C61,C61,0))</f>
        <v>75</v>
      </c>
      <c r="K67" s="29">
        <f>IF(I67&lt;&gt;0,L66,0)</f>
        <v>20</v>
      </c>
      <c r="L67" s="29">
        <f t="shared" ref="L67:L69" si="9">IF(AND(MAX(I$60:I$62)&gt;B61,MAX(I$60:I$62)&lt;C61),K61,IF(MAX(I$60:I$62)&gt;=C61,D61,0))</f>
        <v>25</v>
      </c>
      <c r="M67" s="30">
        <f t="shared" ref="M67:M69" si="10">(J67-I67)*(K67+L67)/2</f>
        <v>562.5</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1562.5</v>
      </c>
      <c r="O70" s="24"/>
      <c r="P70" s="18"/>
      <c r="Q70" s="18"/>
      <c r="R70" s="21"/>
      <c r="S70" s="21"/>
      <c r="T70" s="31">
        <f>SUM(T66:T69)</f>
        <v>2250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0</v>
      </c>
      <c r="E74" s="152" t="s">
        <v>12</v>
      </c>
      <c r="F74" s="153"/>
      <c r="G74" s="153"/>
      <c r="H74" s="153"/>
      <c r="I74" s="99"/>
      <c r="J74" s="10"/>
      <c r="K74" s="10"/>
      <c r="L74" s="10"/>
      <c r="M74" s="26"/>
      <c r="O74" s="16" t="s">
        <v>12</v>
      </c>
      <c r="P74" s="29"/>
      <c r="Q74" s="5"/>
      <c r="R74" s="5"/>
      <c r="S74" s="5"/>
      <c r="T74" s="13"/>
    </row>
    <row r="75" spans="1:20" ht="15.75" thickBot="1" x14ac:dyDescent="0.3">
      <c r="A75" s="17" t="s">
        <v>13</v>
      </c>
      <c r="B75" s="19">
        <v>0</v>
      </c>
      <c r="E75" s="138" t="s">
        <v>14</v>
      </c>
      <c r="F75" s="139"/>
      <c r="G75" s="139"/>
      <c r="H75" s="139"/>
      <c r="I75" s="42">
        <f>B74*B75</f>
        <v>0</v>
      </c>
      <c r="J75" s="5"/>
      <c r="K75" s="5"/>
      <c r="L75" s="5"/>
      <c r="M75" s="13"/>
      <c r="O75" s="136" t="s">
        <v>14</v>
      </c>
      <c r="P75" s="137"/>
      <c r="Q75" s="137"/>
      <c r="R75" s="137"/>
      <c r="S75" s="137"/>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0</v>
      </c>
      <c r="J78" s="5"/>
      <c r="K78" s="35" t="s">
        <v>16</v>
      </c>
      <c r="L78" s="36">
        <f>F70</f>
        <v>0</v>
      </c>
      <c r="M78" s="105" t="s">
        <v>17</v>
      </c>
      <c r="O78" s="136" t="s">
        <v>15</v>
      </c>
      <c r="P78" s="137"/>
      <c r="Q78" s="137"/>
      <c r="R78" s="137"/>
      <c r="S78" s="137"/>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147" t="s">
        <v>22</v>
      </c>
      <c r="B80" s="148"/>
      <c r="E80" s="138" t="str">
        <f>"DA Incremental Cost @ DA MW ("&amp;$B74&amp;" MW)"</f>
        <v>DA Incremental Cost @ DA MW (0 MW)</v>
      </c>
      <c r="F80" s="139"/>
      <c r="G80" s="139"/>
      <c r="H80" s="139"/>
      <c r="I80" s="44">
        <f>F70</f>
        <v>0</v>
      </c>
      <c r="J80" s="5"/>
      <c r="K80" s="29"/>
      <c r="L80" s="5"/>
      <c r="M80" s="13"/>
      <c r="O80" s="136" t="str">
        <f>"DA Incremental Cost @ DA MW ("&amp;$B74&amp;" MW)"</f>
        <v>DA Incremental Cost @ DA MW (0 MW)</v>
      </c>
      <c r="P80" s="137"/>
      <c r="Q80" s="137"/>
      <c r="R80" s="137"/>
      <c r="S80" s="137"/>
      <c r="T80" s="89">
        <f>I80</f>
        <v>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-100</v>
      </c>
      <c r="D82" s="32"/>
      <c r="E82" s="138" t="s">
        <v>19</v>
      </c>
      <c r="F82" s="139"/>
      <c r="G82" s="139"/>
      <c r="H82" s="139"/>
      <c r="I82" s="40">
        <f>I75+I78-I80</f>
        <v>0</v>
      </c>
      <c r="J82" s="5"/>
      <c r="K82" s="29"/>
      <c r="L82" s="45"/>
      <c r="M82" s="13"/>
      <c r="O82" s="136" t="s">
        <v>19</v>
      </c>
      <c r="P82" s="137"/>
      <c r="Q82" s="137"/>
      <c r="R82" s="137"/>
      <c r="S82" s="137"/>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75</v>
      </c>
      <c r="E86" s="140" t="s">
        <v>20</v>
      </c>
      <c r="F86" s="141"/>
      <c r="G86" s="141"/>
      <c r="H86" s="141"/>
      <c r="I86" s="141"/>
      <c r="J86" s="141"/>
      <c r="K86" s="141"/>
      <c r="L86" s="141"/>
      <c r="M86" s="142"/>
      <c r="O86" s="160" t="s">
        <v>20</v>
      </c>
      <c r="P86" s="161"/>
      <c r="Q86" s="161"/>
      <c r="R86" s="161"/>
      <c r="S86" s="161"/>
      <c r="T86" s="162"/>
    </row>
    <row r="87" spans="1:20" x14ac:dyDescent="0.25">
      <c r="E87" s="85" t="s">
        <v>12</v>
      </c>
      <c r="F87" s="86"/>
      <c r="G87" s="86"/>
      <c r="H87" s="86"/>
      <c r="I87" s="5"/>
      <c r="J87" s="5"/>
      <c r="K87" s="5"/>
      <c r="L87" s="5"/>
      <c r="M87" s="13"/>
      <c r="O87" s="16" t="s">
        <v>12</v>
      </c>
      <c r="P87" s="5"/>
      <c r="Q87" s="5"/>
      <c r="R87" s="5"/>
      <c r="S87" s="5"/>
      <c r="T87" s="13"/>
    </row>
    <row r="88" spans="1:20" x14ac:dyDescent="0.25">
      <c r="E88" s="138" t="s">
        <v>21</v>
      </c>
      <c r="F88" s="139"/>
      <c r="G88" s="139"/>
      <c r="H88" s="139"/>
      <c r="I88" s="29">
        <f>(B81-B74)*B82</f>
        <v>-10000</v>
      </c>
      <c r="J88" s="29"/>
      <c r="K88" s="29"/>
      <c r="L88" s="29"/>
      <c r="M88" s="13"/>
      <c r="O88" s="136" t="s">
        <v>21</v>
      </c>
      <c r="P88" s="137"/>
      <c r="Q88" s="137"/>
      <c r="R88" s="137"/>
      <c r="S88" s="137"/>
      <c r="T88" s="30">
        <f>I88</f>
        <v>-10000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MAX(M95*-1,0)</f>
        <v>11562.5</v>
      </c>
      <c r="J90" s="29"/>
      <c r="K90" s="143" t="s">
        <v>30</v>
      </c>
      <c r="L90" s="144"/>
      <c r="M90" s="145"/>
      <c r="O90" s="136" t="s">
        <v>23</v>
      </c>
      <c r="P90" s="137"/>
      <c r="Q90" s="137"/>
      <c r="R90" s="137"/>
      <c r="S90" s="137"/>
      <c r="T90" s="30">
        <f>I90</f>
        <v>11562.5</v>
      </c>
    </row>
    <row r="91" spans="1:20" x14ac:dyDescent="0.25">
      <c r="E91" s="92"/>
      <c r="F91" s="67"/>
      <c r="G91" s="67"/>
      <c r="H91" s="67"/>
      <c r="I91" s="76"/>
      <c r="J91" s="76"/>
      <c r="K91" s="128" t="s">
        <v>24</v>
      </c>
      <c r="L91" s="129"/>
      <c r="M91" s="56">
        <f>I75</f>
        <v>0</v>
      </c>
      <c r="O91" s="75"/>
      <c r="P91" s="76"/>
      <c r="Q91" s="76"/>
      <c r="R91" s="76"/>
      <c r="S91" s="76"/>
      <c r="T91" s="77"/>
    </row>
    <row r="92" spans="1:20" x14ac:dyDescent="0.25">
      <c r="E92" s="130" t="str">
        <f>"Incremental Cost @ RT MW Used ("&amp;$B86&amp;" MW)"</f>
        <v>Incremental Cost @ RT MW Used (75 MW)</v>
      </c>
      <c r="F92" s="131"/>
      <c r="G92" s="131"/>
      <c r="H92" s="131"/>
      <c r="I92" s="8">
        <f>M94</f>
        <v>1562.5</v>
      </c>
      <c r="J92" s="8"/>
      <c r="K92" s="128" t="s">
        <v>17</v>
      </c>
      <c r="L92" s="129"/>
      <c r="M92" s="56">
        <f>I78</f>
        <v>0</v>
      </c>
      <c r="O92" s="136" t="str">
        <f>"Incremental Cost @ Actual RT MW ("&amp;$B81&amp;" MW)"</f>
        <v>Incremental Cost @ Actual RT MW (100 MW)</v>
      </c>
      <c r="P92" s="137"/>
      <c r="Q92" s="137"/>
      <c r="R92" s="137"/>
      <c r="S92" s="137"/>
      <c r="T92" s="6">
        <f>T70</f>
        <v>2250</v>
      </c>
    </row>
    <row r="93" spans="1:20" x14ac:dyDescent="0.25">
      <c r="E93" s="93"/>
      <c r="F93" s="100"/>
      <c r="G93" s="100"/>
      <c r="H93" s="100"/>
      <c r="I93" s="48"/>
      <c r="J93" s="48"/>
      <c r="K93" s="132" t="s">
        <v>25</v>
      </c>
      <c r="L93" s="133"/>
      <c r="M93" s="30">
        <f>(B85-B74)*B82</f>
        <v>-10000</v>
      </c>
      <c r="O93" s="47"/>
      <c r="P93" s="87"/>
      <c r="Q93" s="87"/>
      <c r="R93" s="87"/>
      <c r="S93" s="87"/>
      <c r="T93" s="90"/>
    </row>
    <row r="94" spans="1:20" ht="15.75" thickBot="1" x14ac:dyDescent="0.3">
      <c r="E94" s="134" t="s">
        <v>26</v>
      </c>
      <c r="F94" s="135"/>
      <c r="G94" s="135"/>
      <c r="H94" s="135"/>
      <c r="I94" s="50">
        <f>I75+I78+I88+I90-I92</f>
        <v>0</v>
      </c>
      <c r="J94" s="104"/>
      <c r="K94" s="136" t="s">
        <v>46</v>
      </c>
      <c r="L94" s="137"/>
      <c r="M94" s="30">
        <f>M70</f>
        <v>1562.5</v>
      </c>
      <c r="O94" s="136" t="s">
        <v>26</v>
      </c>
      <c r="P94" s="137"/>
      <c r="Q94" s="137"/>
      <c r="R94" s="137"/>
      <c r="S94" s="137"/>
      <c r="T94" s="91">
        <f>T75+T78+T88+T90-T92</f>
        <v>-687.5</v>
      </c>
    </row>
    <row r="95" spans="1:20" ht="29.25" customHeight="1" thickTop="1" thickBot="1" x14ac:dyDescent="0.3">
      <c r="E95" s="49"/>
      <c r="F95" s="8"/>
      <c r="G95" s="8"/>
      <c r="H95" s="8"/>
      <c r="I95" s="8"/>
      <c r="J95" s="8"/>
      <c r="K95" s="124" t="s">
        <v>72</v>
      </c>
      <c r="L95" s="125"/>
      <c r="M95" s="103">
        <f>M91+M92+M93-M94</f>
        <v>-11562.5</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78"/>
      <c r="E106" s="54"/>
      <c r="F106" s="54"/>
      <c r="G106" s="78"/>
      <c r="H106" s="53"/>
      <c r="I106" s="55"/>
      <c r="J106" s="53"/>
      <c r="K106" s="53"/>
      <c r="L106" s="53"/>
      <c r="M106" s="53"/>
      <c r="N106" s="53"/>
      <c r="O106" s="53"/>
      <c r="P106" s="53"/>
      <c r="Q106" s="53"/>
      <c r="R106" s="53"/>
      <c r="S106" s="53"/>
      <c r="T106" s="53"/>
    </row>
    <row r="107" spans="1:23" x14ac:dyDescent="0.25">
      <c r="A107" s="126" t="s">
        <v>54</v>
      </c>
      <c r="B107" s="126"/>
      <c r="C107" s="126"/>
      <c r="D107" s="126"/>
      <c r="E107" s="126"/>
      <c r="F107" s="126"/>
      <c r="G107" s="126"/>
      <c r="H107" s="126"/>
      <c r="I107" s="126"/>
      <c r="J107" s="126"/>
      <c r="K107" s="126"/>
      <c r="L107" s="126"/>
      <c r="M107" s="126"/>
      <c r="N107" s="126"/>
      <c r="O107" s="126"/>
      <c r="P107" s="126"/>
      <c r="Q107" s="126"/>
      <c r="R107" s="126"/>
      <c r="S107" s="126"/>
      <c r="T107" s="126"/>
    </row>
    <row r="108" spans="1:23" s="83" customFormat="1" ht="15.75" thickBot="1" x14ac:dyDescent="0.3">
      <c r="A108" s="127"/>
      <c r="B108" s="127"/>
      <c r="C108" s="127"/>
      <c r="D108" s="127"/>
      <c r="E108" s="127"/>
      <c r="F108" s="127"/>
      <c r="G108" s="127"/>
      <c r="H108" s="127"/>
      <c r="I108" s="127"/>
      <c r="J108" s="127"/>
      <c r="K108" s="127"/>
      <c r="L108" s="127"/>
      <c r="M108" s="127"/>
      <c r="N108" s="127"/>
      <c r="O108" s="127"/>
      <c r="P108" s="127"/>
      <c r="Q108" s="127"/>
      <c r="R108" s="127"/>
      <c r="S108" s="127"/>
      <c r="T108" s="127"/>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80" t="s">
        <v>3</v>
      </c>
      <c r="B110" s="96" t="s">
        <v>33</v>
      </c>
      <c r="C110" s="96" t="s">
        <v>34</v>
      </c>
      <c r="D110" s="81" t="s">
        <v>4</v>
      </c>
      <c r="E110" s="80" t="s">
        <v>5</v>
      </c>
      <c r="F110" s="96" t="s">
        <v>6</v>
      </c>
      <c r="G110" s="97" t="s">
        <v>7</v>
      </c>
      <c r="H110" s="69" t="s">
        <v>38</v>
      </c>
      <c r="I110" s="65" t="s">
        <v>8</v>
      </c>
      <c r="J110" s="65" t="s">
        <v>6</v>
      </c>
      <c r="K110" s="66" t="s">
        <v>7</v>
      </c>
      <c r="L110" s="79"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06" t="s">
        <v>3</v>
      </c>
      <c r="B116" s="96" t="s">
        <v>33</v>
      </c>
      <c r="C116" s="96" t="s">
        <v>34</v>
      </c>
      <c r="D116" s="96" t="s">
        <v>49</v>
      </c>
      <c r="E116" s="96" t="s">
        <v>47</v>
      </c>
      <c r="F116" s="97" t="s">
        <v>48</v>
      </c>
      <c r="H116" s="106" t="s">
        <v>3</v>
      </c>
      <c r="I116" s="96" t="s">
        <v>50</v>
      </c>
      <c r="J116" s="96" t="s">
        <v>51</v>
      </c>
      <c r="K116" s="96" t="s">
        <v>49</v>
      </c>
      <c r="L116" s="96" t="s">
        <v>47</v>
      </c>
      <c r="M116" s="97" t="s">
        <v>48</v>
      </c>
      <c r="O116" s="106" t="s">
        <v>3</v>
      </c>
      <c r="P116" s="96" t="s">
        <v>33</v>
      </c>
      <c r="Q116" s="96" t="s">
        <v>34</v>
      </c>
      <c r="R116" s="96" t="s">
        <v>49</v>
      </c>
      <c r="S116" s="96" t="s">
        <v>47</v>
      </c>
      <c r="T116" s="97"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0</v>
      </c>
      <c r="E126" s="138" t="s">
        <v>14</v>
      </c>
      <c r="F126" s="139"/>
      <c r="G126" s="139"/>
      <c r="H126" s="139"/>
      <c r="I126" s="42">
        <f>B125*B126</f>
        <v>0</v>
      </c>
      <c r="J126" s="5"/>
      <c r="K126" s="5"/>
      <c r="L126" s="5"/>
      <c r="M126" s="13"/>
      <c r="O126" s="136" t="s">
        <v>14</v>
      </c>
      <c r="P126" s="137"/>
      <c r="Q126" s="137"/>
      <c r="R126" s="137"/>
      <c r="S126" s="137"/>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0</v>
      </c>
      <c r="J129" s="5"/>
      <c r="K129" s="35" t="s">
        <v>16</v>
      </c>
      <c r="L129" s="36">
        <f>F121</f>
        <v>0</v>
      </c>
      <c r="M129" s="105" t="s">
        <v>17</v>
      </c>
      <c r="O129" s="136" t="s">
        <v>15</v>
      </c>
      <c r="P129" s="137"/>
      <c r="Q129" s="137"/>
      <c r="R129" s="137"/>
      <c r="S129" s="137"/>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147" t="s">
        <v>22</v>
      </c>
      <c r="B131" s="148"/>
      <c r="E131" s="138" t="str">
        <f>"DA Incremental Cost @ DA MW ("&amp;$B125&amp;" MW)"</f>
        <v>DA Incremental Cost @ DA MW (0 MW)</v>
      </c>
      <c r="F131" s="139"/>
      <c r="G131" s="139"/>
      <c r="H131" s="139"/>
      <c r="I131" s="44">
        <f>F121</f>
        <v>0</v>
      </c>
      <c r="J131" s="5"/>
      <c r="K131" s="29"/>
      <c r="L131" s="5"/>
      <c r="M131" s="13"/>
      <c r="O131" s="136" t="str">
        <f>"DA Incremental Cost @ DA MW ("&amp;$B125&amp;" MW)"</f>
        <v>DA Incremental Cost @ DA MW (0 MW)</v>
      </c>
      <c r="P131" s="137"/>
      <c r="Q131" s="137"/>
      <c r="R131" s="137"/>
      <c r="S131" s="137"/>
      <c r="T131" s="89">
        <f>I131</f>
        <v>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-100</v>
      </c>
      <c r="D133" s="32"/>
      <c r="E133" s="138" t="s">
        <v>19</v>
      </c>
      <c r="F133" s="139"/>
      <c r="G133" s="139"/>
      <c r="H133" s="139"/>
      <c r="I133" s="40">
        <f>I126+I129-I131</f>
        <v>0</v>
      </c>
      <c r="J133" s="5"/>
      <c r="K133" s="29"/>
      <c r="L133" s="45"/>
      <c r="M133" s="13"/>
      <c r="O133" s="136" t="s">
        <v>19</v>
      </c>
      <c r="P133" s="137"/>
      <c r="Q133" s="137"/>
      <c r="R133" s="137"/>
      <c r="S133" s="137"/>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50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140" t="s">
        <v>20</v>
      </c>
      <c r="F137" s="141"/>
      <c r="G137" s="141"/>
      <c r="H137" s="141"/>
      <c r="I137" s="141"/>
      <c r="J137" s="141"/>
      <c r="K137" s="141"/>
      <c r="L137" s="141"/>
      <c r="M137" s="142"/>
      <c r="O137" s="160" t="s">
        <v>20</v>
      </c>
      <c r="P137" s="161"/>
      <c r="Q137" s="161"/>
      <c r="R137" s="161"/>
      <c r="S137" s="161"/>
      <c r="T137" s="162"/>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138" t="s">
        <v>21</v>
      </c>
      <c r="F139" s="139"/>
      <c r="G139" s="139"/>
      <c r="H139" s="139"/>
      <c r="I139" s="29">
        <f>(B132-B125)*B133</f>
        <v>-10000</v>
      </c>
      <c r="J139" s="29"/>
      <c r="K139" s="29"/>
      <c r="L139" s="29"/>
      <c r="M139" s="13"/>
      <c r="O139" s="136" t="s">
        <v>21</v>
      </c>
      <c r="P139" s="137"/>
      <c r="Q139" s="137"/>
      <c r="R139" s="137"/>
      <c r="S139" s="137"/>
      <c r="T139" s="30">
        <f>I139</f>
        <v>-10000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MAX(M146*-1,0)</f>
        <v>6000</v>
      </c>
      <c r="J141" s="29"/>
      <c r="K141" s="143" t="s">
        <v>30</v>
      </c>
      <c r="L141" s="144"/>
      <c r="M141" s="145"/>
      <c r="O141" s="136" t="s">
        <v>23</v>
      </c>
      <c r="P141" s="137"/>
      <c r="Q141" s="137"/>
      <c r="R141" s="137"/>
      <c r="S141" s="137"/>
      <c r="T141" s="30">
        <f>I141</f>
        <v>6000</v>
      </c>
    </row>
    <row r="142" spans="1:20" x14ac:dyDescent="0.25">
      <c r="E142" s="92"/>
      <c r="F142" s="67"/>
      <c r="G142" s="67"/>
      <c r="H142" s="67"/>
      <c r="I142" s="76"/>
      <c r="J142" s="76"/>
      <c r="K142" s="128" t="s">
        <v>24</v>
      </c>
      <c r="L142" s="129"/>
      <c r="M142" s="56">
        <f>I126</f>
        <v>0</v>
      </c>
      <c r="O142" s="75"/>
      <c r="P142" s="76"/>
      <c r="Q142" s="76"/>
      <c r="R142" s="76"/>
      <c r="S142" s="76"/>
      <c r="T142" s="77"/>
    </row>
    <row r="143" spans="1:20" x14ac:dyDescent="0.25">
      <c r="E143" s="130" t="str">
        <f>"Incremental Cost @ RT MW Used ("&amp;$B137&amp;" MW)"</f>
        <v>Incremental Cost @ RT MW Used (50 MW)</v>
      </c>
      <c r="F143" s="131"/>
      <c r="G143" s="131"/>
      <c r="H143" s="131"/>
      <c r="I143" s="8">
        <f>M145</f>
        <v>1000</v>
      </c>
      <c r="J143" s="8"/>
      <c r="K143" s="128" t="s">
        <v>17</v>
      </c>
      <c r="L143" s="129"/>
      <c r="M143" s="56">
        <f>I129</f>
        <v>0</v>
      </c>
      <c r="O143" s="136" t="str">
        <f>"Incremental Cost @ Actual RT MW ("&amp;$B132&amp;" MW)"</f>
        <v>Incremental Cost @ Actual RT MW (100 MW)</v>
      </c>
      <c r="P143" s="137"/>
      <c r="Q143" s="137"/>
      <c r="R143" s="137"/>
      <c r="S143" s="137"/>
      <c r="T143" s="6">
        <f>T121</f>
        <v>2250</v>
      </c>
    </row>
    <row r="144" spans="1:20" x14ac:dyDescent="0.25">
      <c r="E144" s="93"/>
      <c r="F144" s="100"/>
      <c r="G144" s="100"/>
      <c r="H144" s="100"/>
      <c r="I144" s="48"/>
      <c r="J144" s="48"/>
      <c r="K144" s="132" t="s">
        <v>25</v>
      </c>
      <c r="L144" s="133"/>
      <c r="M144" s="30">
        <f>(B136-B125)*B133</f>
        <v>-5000</v>
      </c>
      <c r="O144" s="47"/>
      <c r="P144" s="87"/>
      <c r="Q144" s="87"/>
      <c r="R144" s="87"/>
      <c r="S144" s="87"/>
      <c r="T144" s="90"/>
    </row>
    <row r="145" spans="4:20" ht="15.75" thickBot="1" x14ac:dyDescent="0.3">
      <c r="E145" s="134" t="s">
        <v>26</v>
      </c>
      <c r="F145" s="135"/>
      <c r="G145" s="135"/>
      <c r="H145" s="135"/>
      <c r="I145" s="50">
        <f>I126+I129+I139+I141-I143</f>
        <v>-5000</v>
      </c>
      <c r="J145" s="104"/>
      <c r="K145" s="136" t="s">
        <v>46</v>
      </c>
      <c r="L145" s="137"/>
      <c r="M145" s="30">
        <f>M121</f>
        <v>1000</v>
      </c>
      <c r="O145" s="136" t="s">
        <v>26</v>
      </c>
      <c r="P145" s="137"/>
      <c r="Q145" s="137"/>
      <c r="R145" s="137"/>
      <c r="S145" s="137"/>
      <c r="T145" s="91">
        <f>T126+T129+T139+T141-T143</f>
        <v>-6250</v>
      </c>
    </row>
    <row r="146" spans="4:20" ht="30" customHeight="1" thickTop="1" thickBot="1" x14ac:dyDescent="0.3">
      <c r="E146" s="49"/>
      <c r="F146" s="8"/>
      <c r="G146" s="8"/>
      <c r="H146" s="8"/>
      <c r="I146" s="8"/>
      <c r="J146" s="8"/>
      <c r="K146" s="124" t="s">
        <v>72</v>
      </c>
      <c r="L146" s="125"/>
      <c r="M146" s="103">
        <f>M142+M143+M144-M145</f>
        <v>-6000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0">
    <mergeCell ref="K144:L144"/>
    <mergeCell ref="E145:H145"/>
    <mergeCell ref="K145:L145"/>
    <mergeCell ref="O145:S145"/>
    <mergeCell ref="K146:L1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A109:D109"/>
    <mergeCell ref="E109:G109"/>
    <mergeCell ref="H109:K109"/>
    <mergeCell ref="L109:N109"/>
    <mergeCell ref="A115:B115"/>
    <mergeCell ref="H115:M115"/>
    <mergeCell ref="K93:L93"/>
    <mergeCell ref="E94:H94"/>
    <mergeCell ref="K94:L94"/>
    <mergeCell ref="O94:S94"/>
    <mergeCell ref="K95:L95"/>
    <mergeCell ref="A107:T108"/>
    <mergeCell ref="E90:H90"/>
    <mergeCell ref="K90:M90"/>
    <mergeCell ref="O90:S90"/>
    <mergeCell ref="K91:L91"/>
    <mergeCell ref="E92:H92"/>
    <mergeCell ref="K92:L92"/>
    <mergeCell ref="O92:S92"/>
    <mergeCell ref="E82:H82"/>
    <mergeCell ref="O82:S82"/>
    <mergeCell ref="E86:M86"/>
    <mergeCell ref="O86:T86"/>
    <mergeCell ref="E88:H88"/>
    <mergeCell ref="O88:S88"/>
    <mergeCell ref="E74:H74"/>
    <mergeCell ref="E75:H75"/>
    <mergeCell ref="O75:S75"/>
    <mergeCell ref="E78:H78"/>
    <mergeCell ref="O78:S78"/>
    <mergeCell ref="A80:B80"/>
    <mergeCell ref="E80:H80"/>
    <mergeCell ref="O80:S80"/>
    <mergeCell ref="O64:T64"/>
    <mergeCell ref="E72:M72"/>
    <mergeCell ref="O72:T72"/>
    <mergeCell ref="A73:B73"/>
    <mergeCell ref="E73:M73"/>
    <mergeCell ref="O73:T73"/>
    <mergeCell ref="A58:D58"/>
    <mergeCell ref="E58:G58"/>
    <mergeCell ref="H58:K58"/>
    <mergeCell ref="L58:N58"/>
    <mergeCell ref="A64:F64"/>
    <mergeCell ref="H64:M64"/>
    <mergeCell ref="K42:L42"/>
    <mergeCell ref="E43:H43"/>
    <mergeCell ref="K43:L43"/>
    <mergeCell ref="O43:S43"/>
    <mergeCell ref="K44:L44"/>
    <mergeCell ref="A56:T57"/>
    <mergeCell ref="E39:H39"/>
    <mergeCell ref="K39:M39"/>
    <mergeCell ref="O39:S39"/>
    <mergeCell ref="K40:L40"/>
    <mergeCell ref="E41:H41"/>
    <mergeCell ref="K41:L41"/>
    <mergeCell ref="O41:S41"/>
    <mergeCell ref="E31:H31"/>
    <mergeCell ref="O31:S31"/>
    <mergeCell ref="E35:M35"/>
    <mergeCell ref="O35:T35"/>
    <mergeCell ref="E37:H37"/>
    <mergeCell ref="O37:S37"/>
    <mergeCell ref="E27:H27"/>
    <mergeCell ref="O27:S27"/>
    <mergeCell ref="A28:D28"/>
    <mergeCell ref="A29:B29"/>
    <mergeCell ref="E29:H29"/>
    <mergeCell ref="O29:S29"/>
    <mergeCell ref="E23:H23"/>
    <mergeCell ref="E24:H24"/>
    <mergeCell ref="O24:S24"/>
    <mergeCell ref="A13:F13"/>
    <mergeCell ref="H13:M13"/>
    <mergeCell ref="O13:T13"/>
    <mergeCell ref="A21:D21"/>
    <mergeCell ref="E21:M21"/>
    <mergeCell ref="O21:T21"/>
    <mergeCell ref="A1:T2"/>
    <mergeCell ref="A5:T6"/>
    <mergeCell ref="A7:D7"/>
    <mergeCell ref="E7:G7"/>
    <mergeCell ref="H7:K7"/>
    <mergeCell ref="L7:N7"/>
    <mergeCell ref="A22:B22"/>
    <mergeCell ref="E22:M22"/>
    <mergeCell ref="O22:T2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opLeftCell="A157" zoomScale="120" zoomScaleNormal="120" workbookViewId="0">
      <selection activeCell="K146" sqref="K146:L146"/>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1.710937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67</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63</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16" t="s">
        <v>3</v>
      </c>
      <c r="B8" s="117" t="s">
        <v>33</v>
      </c>
      <c r="C8" s="117" t="s">
        <v>34</v>
      </c>
      <c r="D8" s="118" t="s">
        <v>4</v>
      </c>
      <c r="E8" s="116" t="s">
        <v>5</v>
      </c>
      <c r="F8" s="117" t="s">
        <v>6</v>
      </c>
      <c r="G8" s="118"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20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100</v>
      </c>
      <c r="F11" s="21">
        <v>0</v>
      </c>
      <c r="G11" s="21">
        <f>IF(E11&gt;0,IF(E11=C11,D11,IF(AND(E11&gt;B11,E11&lt;C11),D10+(E11-B11)*((D11-D10)/(C11-B11)),IF(E11&gt;C11,D11,0))),0)</f>
        <v>30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120" t="s">
        <v>3</v>
      </c>
      <c r="B14" s="117" t="s">
        <v>33</v>
      </c>
      <c r="C14" s="117" t="s">
        <v>34</v>
      </c>
      <c r="D14" s="117" t="s">
        <v>36</v>
      </c>
      <c r="E14" s="117" t="s">
        <v>7</v>
      </c>
      <c r="F14" s="118" t="s">
        <v>48</v>
      </c>
      <c r="H14" s="120" t="s">
        <v>3</v>
      </c>
      <c r="I14" s="117" t="s">
        <v>33</v>
      </c>
      <c r="J14" s="117" t="s">
        <v>34</v>
      </c>
      <c r="K14" s="117" t="s">
        <v>36</v>
      </c>
      <c r="L14" s="117" t="s">
        <v>47</v>
      </c>
      <c r="M14" s="118" t="s">
        <v>48</v>
      </c>
      <c r="O14" s="75" t="s">
        <v>3</v>
      </c>
      <c r="P14" s="67" t="s">
        <v>33</v>
      </c>
      <c r="Q14" s="67" t="s">
        <v>34</v>
      </c>
      <c r="R14" s="67" t="s">
        <v>36</v>
      </c>
      <c r="S14" s="67" t="s">
        <v>7</v>
      </c>
      <c r="T14" s="107" t="s">
        <v>48</v>
      </c>
    </row>
    <row r="15" spans="1:20" x14ac:dyDescent="0.25">
      <c r="A15" s="4">
        <v>1</v>
      </c>
      <c r="B15" s="5">
        <v>0</v>
      </c>
      <c r="C15" s="5">
        <f>IF(AND(B23&gt;B9,B23&lt;C9),B23,IF(B23&gt;=C9,C9,0))</f>
        <v>50</v>
      </c>
      <c r="D15" s="29">
        <f>MIN(D9,F9)</f>
        <v>20</v>
      </c>
      <c r="E15" s="29">
        <f>IF(AND(B$23&gt;B9,B$23&lt;C9),G9,IF(B$23&gt;=C9,D9,0))</f>
        <v>20</v>
      </c>
      <c r="F15" s="30">
        <f>(C15-B15)*(D15+E15)/2</f>
        <v>1000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50</v>
      </c>
      <c r="C16" s="5">
        <f>IF(AND(B$23&gt;B10,B$23&lt;C10),B$23,IF(B$23&gt;=C10,C10,0))</f>
        <v>75</v>
      </c>
      <c r="D16" s="29">
        <f>IF(B16&lt;&gt;0,E15,0)</f>
        <v>20</v>
      </c>
      <c r="E16" s="29">
        <f>IF(AND(B$23&gt;B10,B$23&lt;C10),G10,IF(B$23&gt;=C10,D10,0))</f>
        <v>25</v>
      </c>
      <c r="F16" s="30">
        <f t="shared" ref="F16:F18" si="0">(C16-B16)*(D16+E16)/2</f>
        <v>562.5</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75</v>
      </c>
      <c r="C17" s="5">
        <f>IF(AND(B$23&gt;B11,B$23&lt;C11),B$23,IF(B$23&gt;=C11,C11,0))</f>
        <v>100</v>
      </c>
      <c r="D17" s="29">
        <f t="shared" ref="D17:D18" si="4">IF(B17&lt;&gt;0,E16,0)</f>
        <v>25</v>
      </c>
      <c r="E17" s="29">
        <f>IF(AND(B$23&gt;B11,B$23&lt;C11),G11,IF(B$23&gt;=C11,D11,0))</f>
        <v>30</v>
      </c>
      <c r="F17" s="30">
        <f t="shared" si="0"/>
        <v>687.5</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2250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100</v>
      </c>
      <c r="E23" s="152" t="s">
        <v>12</v>
      </c>
      <c r="F23" s="153"/>
      <c r="G23" s="153"/>
      <c r="H23" s="153"/>
      <c r="I23" s="99"/>
      <c r="J23" s="10"/>
      <c r="K23" s="10"/>
      <c r="L23" s="10"/>
      <c r="M23" s="26"/>
      <c r="O23" s="16" t="s">
        <v>12</v>
      </c>
      <c r="P23" s="29"/>
      <c r="Q23" s="5"/>
      <c r="R23" s="5"/>
      <c r="S23" s="5"/>
      <c r="T23" s="13"/>
    </row>
    <row r="24" spans="1:20" ht="15.75" thickBot="1" x14ac:dyDescent="0.3">
      <c r="A24" s="17" t="s">
        <v>13</v>
      </c>
      <c r="B24" s="19">
        <v>45</v>
      </c>
      <c r="E24" s="138" t="s">
        <v>14</v>
      </c>
      <c r="F24" s="139"/>
      <c r="G24" s="139"/>
      <c r="H24" s="139"/>
      <c r="I24" s="42">
        <f>B23*B24</f>
        <v>4500</v>
      </c>
      <c r="J24" s="5"/>
      <c r="K24" s="5"/>
      <c r="L24" s="5"/>
      <c r="M24" s="13"/>
      <c r="O24" s="136" t="s">
        <v>14</v>
      </c>
      <c r="P24" s="137"/>
      <c r="Q24" s="137"/>
      <c r="R24" s="137"/>
      <c r="S24" s="137"/>
      <c r="T24" s="56">
        <f>I24</f>
        <v>4500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0</v>
      </c>
      <c r="J27" s="5"/>
      <c r="K27" s="35" t="s">
        <v>16</v>
      </c>
      <c r="L27" s="36">
        <f>F19</f>
        <v>2250</v>
      </c>
      <c r="M27" s="105" t="s">
        <v>17</v>
      </c>
      <c r="O27" s="136" t="s">
        <v>15</v>
      </c>
      <c r="P27" s="137"/>
      <c r="Q27" s="137"/>
      <c r="R27" s="137"/>
      <c r="S27" s="137"/>
      <c r="T27" s="88">
        <f>I27</f>
        <v>0</v>
      </c>
    </row>
    <row r="28" spans="1:20" ht="15.75" thickBot="1" x14ac:dyDescent="0.3">
      <c r="A28" s="171" t="s">
        <v>37</v>
      </c>
      <c r="B28" s="171"/>
      <c r="C28" s="171"/>
      <c r="D28" s="172"/>
      <c r="E28" s="85"/>
      <c r="F28" s="86"/>
      <c r="G28" s="86"/>
      <c r="H28" s="86"/>
      <c r="I28" s="5"/>
      <c r="J28" s="5"/>
      <c r="K28" s="37" t="s">
        <v>18</v>
      </c>
      <c r="L28" s="38">
        <f>I24</f>
        <v>4500</v>
      </c>
      <c r="M28" s="39">
        <f>MAX(L27-L28,0)</f>
        <v>0</v>
      </c>
      <c r="O28" s="16"/>
      <c r="P28" s="5"/>
      <c r="Q28" s="5"/>
      <c r="R28" s="5"/>
      <c r="S28" s="5"/>
      <c r="T28" s="13"/>
    </row>
    <row r="29" spans="1:20" x14ac:dyDescent="0.25">
      <c r="A29" s="147" t="s">
        <v>22</v>
      </c>
      <c r="B29" s="148"/>
      <c r="E29" s="138" t="str">
        <f>"DA Incremental Cost @ DA MW ("&amp;$B23&amp;" MW)"</f>
        <v>DA Incremental Cost @ DA MW (100 MW)</v>
      </c>
      <c r="F29" s="139"/>
      <c r="G29" s="139"/>
      <c r="H29" s="139"/>
      <c r="I29" s="44">
        <f>F19</f>
        <v>2250</v>
      </c>
      <c r="J29" s="5"/>
      <c r="K29" s="29"/>
      <c r="L29" s="5"/>
      <c r="M29" s="13"/>
      <c r="O29" s="136" t="str">
        <f>"DA Incremental Cost @ DA MW ("&amp;$B23&amp;" MW)"</f>
        <v>DA Incremental Cost @ DA MW (100 MW)</v>
      </c>
      <c r="P29" s="137"/>
      <c r="Q29" s="137"/>
      <c r="R29" s="137"/>
      <c r="S29" s="137"/>
      <c r="T29" s="89">
        <f>I29</f>
        <v>2250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15</v>
      </c>
      <c r="D31" s="32"/>
      <c r="E31" s="138" t="s">
        <v>19</v>
      </c>
      <c r="F31" s="139"/>
      <c r="G31" s="139"/>
      <c r="H31" s="139"/>
      <c r="I31" s="40">
        <f>I24+I27-I29</f>
        <v>2250</v>
      </c>
      <c r="J31" s="5"/>
      <c r="K31" s="29"/>
      <c r="L31" s="45"/>
      <c r="M31" s="13"/>
      <c r="O31" s="136" t="s">
        <v>19</v>
      </c>
      <c r="P31" s="137"/>
      <c r="Q31" s="137"/>
      <c r="R31" s="137"/>
      <c r="S31" s="137"/>
      <c r="T31" s="31">
        <f>T24+T27-T29</f>
        <v>2250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140" t="s">
        <v>20</v>
      </c>
      <c r="F35" s="141"/>
      <c r="G35" s="141"/>
      <c r="H35" s="141"/>
      <c r="I35" s="141"/>
      <c r="J35" s="141"/>
      <c r="K35" s="141"/>
      <c r="L35" s="141"/>
      <c r="M35" s="142"/>
      <c r="N35" s="5"/>
      <c r="O35" s="140" t="s">
        <v>20</v>
      </c>
      <c r="P35" s="141"/>
      <c r="Q35" s="141"/>
      <c r="R35" s="141"/>
      <c r="S35" s="141"/>
      <c r="T35" s="142"/>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138" t="s">
        <v>21</v>
      </c>
      <c r="F37" s="139"/>
      <c r="G37" s="139"/>
      <c r="H37" s="139"/>
      <c r="I37" s="29">
        <f>(B30-B23)*B31</f>
        <v>-750</v>
      </c>
      <c r="J37" s="29"/>
      <c r="K37" s="29"/>
      <c r="L37" s="29"/>
      <c r="M37" s="13"/>
      <c r="N37" s="5"/>
      <c r="O37" s="136" t="s">
        <v>21</v>
      </c>
      <c r="P37" s="137"/>
      <c r="Q37" s="137"/>
      <c r="R37" s="137"/>
      <c r="S37" s="137"/>
      <c r="T37" s="30">
        <f>I37</f>
        <v>-750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MAX(M44*-1,0)</f>
        <v>0</v>
      </c>
      <c r="J39" s="29"/>
      <c r="K39" s="143" t="s">
        <v>30</v>
      </c>
      <c r="L39" s="144"/>
      <c r="M39" s="145"/>
      <c r="N39" s="5"/>
      <c r="O39" s="136" t="s">
        <v>23</v>
      </c>
      <c r="P39" s="137"/>
      <c r="Q39" s="137"/>
      <c r="R39" s="137"/>
      <c r="S39" s="137"/>
      <c r="T39" s="30">
        <f>I39</f>
        <v>0</v>
      </c>
    </row>
    <row r="40" spans="1:20" x14ac:dyDescent="0.25">
      <c r="E40" s="92"/>
      <c r="F40" s="67"/>
      <c r="G40" s="67"/>
      <c r="H40" s="67"/>
      <c r="I40" s="76"/>
      <c r="J40" s="76"/>
      <c r="K40" s="128" t="s">
        <v>24</v>
      </c>
      <c r="L40" s="129"/>
      <c r="M40" s="56">
        <f>I24</f>
        <v>4500</v>
      </c>
      <c r="N40" s="5"/>
      <c r="O40" s="75"/>
      <c r="P40" s="76"/>
      <c r="Q40" s="76"/>
      <c r="R40" s="76"/>
      <c r="S40" s="76"/>
      <c r="T40" s="77"/>
    </row>
    <row r="41" spans="1:20" ht="30" customHeight="1" x14ac:dyDescent="0.25">
      <c r="E41" s="130" t="str">
        <f>"Incremental Cost @ RT MW Used ("&amp;$B35&amp;" MW)"</f>
        <v>Incremental Cost @ RT MW Used (50 MW)</v>
      </c>
      <c r="F41" s="131"/>
      <c r="G41" s="131"/>
      <c r="H41" s="131"/>
      <c r="I41" s="8">
        <f>M43</f>
        <v>1000</v>
      </c>
      <c r="J41" s="8"/>
      <c r="K41" s="128" t="s">
        <v>17</v>
      </c>
      <c r="L41" s="129"/>
      <c r="M41" s="56">
        <f>I27</f>
        <v>0</v>
      </c>
      <c r="N41" s="5"/>
      <c r="O41" s="136" t="str">
        <f>"Incremental Cost @ Actual RT MW ("&amp;$B30&amp;" MW)"</f>
        <v>Incremental Cost @ Actual RT MW (50 MW)</v>
      </c>
      <c r="P41" s="137"/>
      <c r="Q41" s="137"/>
      <c r="R41" s="137"/>
      <c r="S41" s="137"/>
      <c r="T41" s="6">
        <f>T19</f>
        <v>1000</v>
      </c>
    </row>
    <row r="42" spans="1:20" x14ac:dyDescent="0.25">
      <c r="E42" s="93"/>
      <c r="F42" s="100"/>
      <c r="G42" s="100"/>
      <c r="H42" s="100"/>
      <c r="I42" s="48"/>
      <c r="J42" s="48"/>
      <c r="K42" s="132" t="s">
        <v>25</v>
      </c>
      <c r="L42" s="133"/>
      <c r="M42" s="30">
        <f>(B34-B23)*B31</f>
        <v>-750</v>
      </c>
      <c r="N42" s="5"/>
      <c r="O42" s="47"/>
      <c r="P42" s="87"/>
      <c r="Q42" s="87"/>
      <c r="R42" s="87"/>
      <c r="S42" s="87"/>
      <c r="T42" s="90"/>
    </row>
    <row r="43" spans="1:20" ht="15.75" thickBot="1" x14ac:dyDescent="0.3">
      <c r="E43" s="134" t="s">
        <v>26</v>
      </c>
      <c r="F43" s="135"/>
      <c r="G43" s="135"/>
      <c r="H43" s="135"/>
      <c r="I43" s="50">
        <f>I24+I27+I37+I39-I41</f>
        <v>2750</v>
      </c>
      <c r="J43" s="104"/>
      <c r="K43" s="136" t="s">
        <v>46</v>
      </c>
      <c r="L43" s="137"/>
      <c r="M43" s="30">
        <f>M19</f>
        <v>1000</v>
      </c>
      <c r="N43" s="5"/>
      <c r="O43" s="136" t="s">
        <v>26</v>
      </c>
      <c r="P43" s="137"/>
      <c r="Q43" s="137"/>
      <c r="R43" s="137"/>
      <c r="S43" s="137"/>
      <c r="T43" s="91">
        <f>T24+T27+T37+T39-T41</f>
        <v>2750</v>
      </c>
    </row>
    <row r="44" spans="1:20" ht="30.75" customHeight="1" thickTop="1" thickBot="1" x14ac:dyDescent="0.3">
      <c r="E44" s="49"/>
      <c r="F44" s="8"/>
      <c r="G44" s="8"/>
      <c r="H44" s="8"/>
      <c r="I44" s="8"/>
      <c r="J44" s="8"/>
      <c r="K44" s="124" t="s">
        <v>72</v>
      </c>
      <c r="L44" s="125"/>
      <c r="M44" s="103">
        <f>M40+M41+M42-M43</f>
        <v>2750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60</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120" t="s">
        <v>3</v>
      </c>
      <c r="B59" s="117" t="s">
        <v>33</v>
      </c>
      <c r="C59" s="117" t="s">
        <v>34</v>
      </c>
      <c r="D59" s="121" t="s">
        <v>4</v>
      </c>
      <c r="E59" s="120" t="s">
        <v>5</v>
      </c>
      <c r="F59" s="117" t="s">
        <v>6</v>
      </c>
      <c r="G59" s="118" t="s">
        <v>7</v>
      </c>
      <c r="H59" s="69" t="s">
        <v>38</v>
      </c>
      <c r="I59" s="65" t="s">
        <v>53</v>
      </c>
      <c r="J59" s="65" t="s">
        <v>6</v>
      </c>
      <c r="K59" s="66" t="s">
        <v>7</v>
      </c>
      <c r="L59" s="119" t="s">
        <v>5</v>
      </c>
      <c r="M59" s="65" t="s">
        <v>49</v>
      </c>
      <c r="N59" s="66" t="s">
        <v>47</v>
      </c>
    </row>
    <row r="60" spans="1:23" x14ac:dyDescent="0.25">
      <c r="A60" s="4">
        <v>1</v>
      </c>
      <c r="B60" s="5">
        <v>0</v>
      </c>
      <c r="C60" s="5">
        <v>50</v>
      </c>
      <c r="D60" s="6">
        <v>20</v>
      </c>
      <c r="E60" s="7">
        <f>IF(AND(B$74&gt;B60,B$74&lt;=C60),B$74,0)</f>
        <v>0</v>
      </c>
      <c r="F60" s="8">
        <f>IF(B74&gt;0,D60,0)</f>
        <v>20</v>
      </c>
      <c r="G60" s="8">
        <f>IF(E60&gt;0,IF(E60=B60,D60,IF(AND(E60&gt;B60,E60&lt;=C60),D60+(E60-B60)*((D60-D60)/(C60-B60)),0)),0)</f>
        <v>0</v>
      </c>
      <c r="H60" s="14">
        <f>IF(AND(MIN(B$81,B$84)&gt;B60,MIN(B$81,B$84)&lt;=C60),MIN(B$81,B$84),0)</f>
        <v>0</v>
      </c>
      <c r="I60" s="15">
        <f>IF(AND(B$86&gt;B60,B$86&lt;=C60),B$86,0)</f>
        <v>0</v>
      </c>
      <c r="J60" s="9">
        <f>IF(B81&gt;0,D60,0)</f>
        <v>20</v>
      </c>
      <c r="K60" s="11">
        <f>IF(H60&gt;0,IF(H60=B60,D60,IF(AND(H60&gt;B60,H60&lt;=C60),D60+(H60-B60)*((D60-D60)/(C60-B60)),0)),0)</f>
        <v>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75</v>
      </c>
      <c r="I61" s="12">
        <f t="shared" ref="I61:I62" si="7">IF(AND(B$86&gt;B61,B$86&lt;=C61),B$86,0)</f>
        <v>75</v>
      </c>
      <c r="J61" s="5">
        <v>0</v>
      </c>
      <c r="K61" s="6">
        <f>IF(H61&gt;0,IF(H61=B61,D61,IF(AND(H61&gt;B61,H61&lt;=C61),D60+(H61-B61)*((D61-D60)/(C61-B61)),0)),0)</f>
        <v>25</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100</v>
      </c>
      <c r="F62" s="21">
        <v>0</v>
      </c>
      <c r="G62" s="21">
        <f>IF(E62&gt;0,IF(E62=C62,D62,IF(AND(E62&gt;B62,E62&lt;C62),D61+(E62-B62)*((D62-D61)/(C62-B62)),IF(E62&gt;C62,D62,0))),0)</f>
        <v>30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16" t="s">
        <v>3</v>
      </c>
      <c r="B65" s="117" t="s">
        <v>33</v>
      </c>
      <c r="C65" s="117" t="s">
        <v>34</v>
      </c>
      <c r="D65" s="117" t="s">
        <v>49</v>
      </c>
      <c r="E65" s="117" t="s">
        <v>47</v>
      </c>
      <c r="F65" s="118" t="s">
        <v>48</v>
      </c>
      <c r="H65" s="116" t="s">
        <v>3</v>
      </c>
      <c r="I65" s="117" t="s">
        <v>50</v>
      </c>
      <c r="J65" s="117" t="s">
        <v>51</v>
      </c>
      <c r="K65" s="117" t="s">
        <v>49</v>
      </c>
      <c r="L65" s="117" t="s">
        <v>47</v>
      </c>
      <c r="M65" s="118" t="s">
        <v>48</v>
      </c>
      <c r="O65" s="116" t="s">
        <v>3</v>
      </c>
      <c r="P65" s="117" t="s">
        <v>33</v>
      </c>
      <c r="Q65" s="117" t="s">
        <v>34</v>
      </c>
      <c r="R65" s="117" t="s">
        <v>49</v>
      </c>
      <c r="S65" s="117" t="s">
        <v>47</v>
      </c>
      <c r="T65" s="118" t="s">
        <v>48</v>
      </c>
    </row>
    <row r="66" spans="1:20" x14ac:dyDescent="0.25">
      <c r="A66" s="4">
        <v>1</v>
      </c>
      <c r="B66" s="5">
        <v>0</v>
      </c>
      <c r="C66" s="5">
        <f>IF(AND(B74&gt;B60,B74&lt;C60),B74,IF(B74&gt;=C60,C60,0))</f>
        <v>50</v>
      </c>
      <c r="D66" s="29">
        <f>MIN(D60,F60)</f>
        <v>20</v>
      </c>
      <c r="E66" s="29">
        <f>IF(AND(B$74&gt;B60,B$74&lt;C60),G60,IF(B$74&gt;=C60,D60,0))</f>
        <v>20</v>
      </c>
      <c r="F66" s="30">
        <f>(C66-B66)*(D66+E66)/2</f>
        <v>1000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50</v>
      </c>
      <c r="C67" s="5">
        <f>IF(AND(B$74&gt;B61,B$74&lt;C61),B$74,IF(B$74&gt;=C61,C61,0))</f>
        <v>75</v>
      </c>
      <c r="D67" s="29">
        <f>IF(B67&lt;&gt;0,E66,0)</f>
        <v>20</v>
      </c>
      <c r="E67" s="29">
        <f>IF(AND(B$74&gt;B61,B$74&lt;C61),G61,IF(B$74&gt;=C61,D61,0))</f>
        <v>25</v>
      </c>
      <c r="F67" s="30">
        <f t="shared" ref="F67:F69" si="8">(C67-B67)*(D67+E67)/2</f>
        <v>562.5</v>
      </c>
      <c r="H67" s="4">
        <v>2</v>
      </c>
      <c r="I67" s="5">
        <f>IF(MAX(I$60:I$62)&gt;B61,C60,0)</f>
        <v>50</v>
      </c>
      <c r="J67" s="5">
        <f>IF(AND(MAX(I$60:I$62)&gt;B61,MAX(I$60:I$62)&lt;C61),MAX(I$60:I$62),IF(MAX(I$60:I$62)&gt;=C61,C61,0))</f>
        <v>75</v>
      </c>
      <c r="K67" s="29">
        <f>IF(I67&lt;&gt;0,L66,0)</f>
        <v>20</v>
      </c>
      <c r="L67" s="29">
        <f t="shared" ref="L67:L69" si="9">IF(AND(MAX(I$60:I$62)&gt;B61,MAX(I$60:I$62)&lt;C61),K61,IF(MAX(I$60:I$62)&gt;=C61,D61,0))</f>
        <v>25</v>
      </c>
      <c r="M67" s="30">
        <f t="shared" ref="M67:M69" si="10">(J67-I67)*(K67+L67)/2</f>
        <v>562.5</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75</v>
      </c>
      <c r="C68" s="5">
        <f>IF(AND(B$74&gt;B62,B$74&lt;C62),B$74,IF(B$74&gt;=C62,C62,0))</f>
        <v>100</v>
      </c>
      <c r="D68" s="29">
        <f t="shared" ref="D68:D69" si="14">IF(B68&lt;&gt;0,E67,0)</f>
        <v>25</v>
      </c>
      <c r="E68" s="29">
        <f t="shared" ref="E68:E69" si="15">IF(AND(B$74&gt;B62,B$74&lt;C62),G62,IF(B$74&gt;=C62,D62,0))</f>
        <v>30</v>
      </c>
      <c r="F68" s="30">
        <f t="shared" si="8"/>
        <v>687.5</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IF(B$74&gt;C62,C68,0)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2250</v>
      </c>
      <c r="H70" s="24"/>
      <c r="I70" s="18"/>
      <c r="J70" s="18"/>
      <c r="K70" s="21"/>
      <c r="L70" s="21"/>
      <c r="M70" s="31">
        <f>SUM(M66:M69)</f>
        <v>1562.5</v>
      </c>
      <c r="O70" s="24"/>
      <c r="P70" s="18"/>
      <c r="Q70" s="18"/>
      <c r="R70" s="21"/>
      <c r="S70" s="21"/>
      <c r="T70" s="31">
        <f>SUM(T66:T69)</f>
        <v>2250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100</v>
      </c>
      <c r="E74" s="152" t="s">
        <v>12</v>
      </c>
      <c r="F74" s="153"/>
      <c r="G74" s="153"/>
      <c r="H74" s="153"/>
      <c r="I74" s="99"/>
      <c r="J74" s="10"/>
      <c r="K74" s="10"/>
      <c r="L74" s="10"/>
      <c r="M74" s="26"/>
      <c r="O74" s="16" t="s">
        <v>12</v>
      </c>
      <c r="P74" s="29"/>
      <c r="Q74" s="5"/>
      <c r="R74" s="5"/>
      <c r="S74" s="5"/>
      <c r="T74" s="13"/>
    </row>
    <row r="75" spans="1:20" ht="15.75" thickBot="1" x14ac:dyDescent="0.3">
      <c r="A75" s="17" t="s">
        <v>13</v>
      </c>
      <c r="B75" s="19">
        <v>45</v>
      </c>
      <c r="E75" s="138" t="s">
        <v>14</v>
      </c>
      <c r="F75" s="139"/>
      <c r="G75" s="139"/>
      <c r="H75" s="139"/>
      <c r="I75" s="42">
        <f>B74*B75</f>
        <v>4500</v>
      </c>
      <c r="J75" s="5"/>
      <c r="K75" s="5"/>
      <c r="L75" s="5"/>
      <c r="M75" s="13"/>
      <c r="O75" s="136" t="s">
        <v>14</v>
      </c>
      <c r="P75" s="137"/>
      <c r="Q75" s="137"/>
      <c r="R75" s="137"/>
      <c r="S75" s="137"/>
      <c r="T75" s="56">
        <f>I75</f>
        <v>4500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0</v>
      </c>
      <c r="J78" s="5"/>
      <c r="K78" s="35" t="s">
        <v>16</v>
      </c>
      <c r="L78" s="36">
        <f>F70</f>
        <v>2250</v>
      </c>
      <c r="M78" s="105" t="s">
        <v>17</v>
      </c>
      <c r="O78" s="136" t="s">
        <v>15</v>
      </c>
      <c r="P78" s="137"/>
      <c r="Q78" s="137"/>
      <c r="R78" s="137"/>
      <c r="S78" s="137"/>
      <c r="T78" s="88">
        <f>I78</f>
        <v>0</v>
      </c>
    </row>
    <row r="79" spans="1:20" ht="15.75" thickBot="1" x14ac:dyDescent="0.3">
      <c r="A79" s="68" t="s">
        <v>37</v>
      </c>
      <c r="E79" s="85"/>
      <c r="F79" s="86"/>
      <c r="G79" s="86"/>
      <c r="H79" s="86"/>
      <c r="I79" s="5"/>
      <c r="J79" s="5"/>
      <c r="K79" s="37" t="s">
        <v>18</v>
      </c>
      <c r="L79" s="38">
        <f>I75</f>
        <v>4500</v>
      </c>
      <c r="M79" s="39">
        <f>MAX(L78-L79,0)</f>
        <v>0</v>
      </c>
      <c r="O79" s="16"/>
      <c r="P79" s="5"/>
      <c r="Q79" s="5"/>
      <c r="R79" s="5"/>
      <c r="S79" s="5"/>
      <c r="T79" s="13"/>
    </row>
    <row r="80" spans="1:20" x14ac:dyDescent="0.25">
      <c r="A80" s="147" t="s">
        <v>22</v>
      </c>
      <c r="B80" s="148"/>
      <c r="E80" s="138" t="str">
        <f>"DA Incremental Cost @ DA MW ("&amp;$B74&amp;" MW)"</f>
        <v>DA Incremental Cost @ DA MW (100 MW)</v>
      </c>
      <c r="F80" s="139"/>
      <c r="G80" s="139"/>
      <c r="H80" s="139"/>
      <c r="I80" s="44">
        <f>F70</f>
        <v>2250</v>
      </c>
      <c r="J80" s="5"/>
      <c r="K80" s="29"/>
      <c r="L80" s="5"/>
      <c r="M80" s="13"/>
      <c r="O80" s="136" t="str">
        <f>"DA Incremental Cost @ DA MW ("&amp;$B74&amp;" MW)"</f>
        <v>DA Incremental Cost @ DA MW (100 MW)</v>
      </c>
      <c r="P80" s="137"/>
      <c r="Q80" s="137"/>
      <c r="R80" s="137"/>
      <c r="S80" s="137"/>
      <c r="T80" s="89">
        <f>I80</f>
        <v>2250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15</v>
      </c>
      <c r="D82" s="32"/>
      <c r="E82" s="138" t="s">
        <v>19</v>
      </c>
      <c r="F82" s="139"/>
      <c r="G82" s="139"/>
      <c r="H82" s="139"/>
      <c r="I82" s="40">
        <f>I75+I78-I80</f>
        <v>2250</v>
      </c>
      <c r="J82" s="5"/>
      <c r="K82" s="29"/>
      <c r="L82" s="45"/>
      <c r="M82" s="13"/>
      <c r="O82" s="136" t="s">
        <v>19</v>
      </c>
      <c r="P82" s="137"/>
      <c r="Q82" s="137"/>
      <c r="R82" s="137"/>
      <c r="S82" s="137"/>
      <c r="T82" s="31">
        <f>T75+T78-T80</f>
        <v>2250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75</v>
      </c>
      <c r="E86" s="140" t="s">
        <v>20</v>
      </c>
      <c r="F86" s="141"/>
      <c r="G86" s="141"/>
      <c r="H86" s="141"/>
      <c r="I86" s="141"/>
      <c r="J86" s="141"/>
      <c r="K86" s="141"/>
      <c r="L86" s="141"/>
      <c r="M86" s="142"/>
      <c r="O86" s="160" t="s">
        <v>20</v>
      </c>
      <c r="P86" s="161"/>
      <c r="Q86" s="161"/>
      <c r="R86" s="161"/>
      <c r="S86" s="161"/>
      <c r="T86" s="162"/>
    </row>
    <row r="87" spans="1:20" x14ac:dyDescent="0.25">
      <c r="E87" s="85" t="s">
        <v>12</v>
      </c>
      <c r="F87" s="86"/>
      <c r="G87" s="86"/>
      <c r="H87" s="86"/>
      <c r="I87" s="5"/>
      <c r="J87" s="5"/>
      <c r="K87" s="5"/>
      <c r="L87" s="5"/>
      <c r="M87" s="13"/>
      <c r="O87" s="16" t="s">
        <v>12</v>
      </c>
      <c r="P87" s="5"/>
      <c r="Q87" s="5"/>
      <c r="R87" s="5"/>
      <c r="S87" s="5"/>
      <c r="T87" s="13"/>
    </row>
    <row r="88" spans="1:20" x14ac:dyDescent="0.25">
      <c r="E88" s="138" t="s">
        <v>21</v>
      </c>
      <c r="F88" s="139"/>
      <c r="G88" s="139"/>
      <c r="H88" s="139"/>
      <c r="I88" s="29">
        <f>(B81-B74)*B82</f>
        <v>0</v>
      </c>
      <c r="J88" s="29"/>
      <c r="K88" s="29"/>
      <c r="L88" s="29"/>
      <c r="M88" s="13"/>
      <c r="O88" s="136" t="s">
        <v>21</v>
      </c>
      <c r="P88" s="137"/>
      <c r="Q88" s="137"/>
      <c r="R88" s="137"/>
      <c r="S88" s="137"/>
      <c r="T88" s="30">
        <f>I88</f>
        <v>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MAX(M95*-1,0)</f>
        <v>0</v>
      </c>
      <c r="J90" s="29"/>
      <c r="K90" s="143" t="s">
        <v>30</v>
      </c>
      <c r="L90" s="144"/>
      <c r="M90" s="145"/>
      <c r="O90" s="136" t="s">
        <v>23</v>
      </c>
      <c r="P90" s="137"/>
      <c r="Q90" s="137"/>
      <c r="R90" s="137"/>
      <c r="S90" s="137"/>
      <c r="T90" s="30">
        <f>I90</f>
        <v>0</v>
      </c>
    </row>
    <row r="91" spans="1:20" x14ac:dyDescent="0.25">
      <c r="E91" s="92"/>
      <c r="F91" s="67"/>
      <c r="G91" s="67"/>
      <c r="H91" s="67"/>
      <c r="I91" s="76"/>
      <c r="J91" s="76"/>
      <c r="K91" s="128" t="s">
        <v>24</v>
      </c>
      <c r="L91" s="129"/>
      <c r="M91" s="56">
        <f>I75</f>
        <v>4500</v>
      </c>
      <c r="O91" s="75"/>
      <c r="P91" s="76"/>
      <c r="Q91" s="76"/>
      <c r="R91" s="76"/>
      <c r="S91" s="76"/>
      <c r="T91" s="77"/>
    </row>
    <row r="92" spans="1:20" x14ac:dyDescent="0.25">
      <c r="E92" s="130" t="str">
        <f>"Incremental Cost @ RT MW Used ("&amp;$B86&amp;" MW)"</f>
        <v>Incremental Cost @ RT MW Used (75 MW)</v>
      </c>
      <c r="F92" s="131"/>
      <c r="G92" s="131"/>
      <c r="H92" s="131"/>
      <c r="I92" s="8">
        <f>M94</f>
        <v>1562.5</v>
      </c>
      <c r="J92" s="8"/>
      <c r="K92" s="128" t="s">
        <v>17</v>
      </c>
      <c r="L92" s="129"/>
      <c r="M92" s="56">
        <f>I78</f>
        <v>0</v>
      </c>
      <c r="O92" s="136" t="str">
        <f>"Incremental Cost @ Actual RT MW ("&amp;$B81&amp;" MW)"</f>
        <v>Incremental Cost @ Actual RT MW (100 MW)</v>
      </c>
      <c r="P92" s="137"/>
      <c r="Q92" s="137"/>
      <c r="R92" s="137"/>
      <c r="S92" s="137"/>
      <c r="T92" s="6">
        <f>T70</f>
        <v>2250</v>
      </c>
    </row>
    <row r="93" spans="1:20" x14ac:dyDescent="0.25">
      <c r="E93" s="93"/>
      <c r="F93" s="100"/>
      <c r="G93" s="100"/>
      <c r="H93" s="100"/>
      <c r="I93" s="48"/>
      <c r="J93" s="48"/>
      <c r="K93" s="132" t="s">
        <v>25</v>
      </c>
      <c r="L93" s="133"/>
      <c r="M93" s="30">
        <f>(B85-B74)*B82</f>
        <v>0</v>
      </c>
      <c r="O93" s="47"/>
      <c r="P93" s="87"/>
      <c r="Q93" s="87"/>
      <c r="R93" s="87"/>
      <c r="S93" s="87"/>
      <c r="T93" s="90"/>
    </row>
    <row r="94" spans="1:20" ht="15.75" thickBot="1" x14ac:dyDescent="0.3">
      <c r="E94" s="134" t="s">
        <v>26</v>
      </c>
      <c r="F94" s="135"/>
      <c r="G94" s="135"/>
      <c r="H94" s="135"/>
      <c r="I94" s="50">
        <f>I75+I78+I88+I90-I92</f>
        <v>2937.5</v>
      </c>
      <c r="J94" s="104"/>
      <c r="K94" s="136" t="s">
        <v>46</v>
      </c>
      <c r="L94" s="137"/>
      <c r="M94" s="30">
        <f>M70</f>
        <v>1562.5</v>
      </c>
      <c r="O94" s="136" t="s">
        <v>26</v>
      </c>
      <c r="P94" s="137"/>
      <c r="Q94" s="137"/>
      <c r="R94" s="137"/>
      <c r="S94" s="137"/>
      <c r="T94" s="91">
        <f>T75+T78+T88+T90-T92</f>
        <v>2250</v>
      </c>
    </row>
    <row r="95" spans="1:20" ht="29.25" customHeight="1" thickTop="1" thickBot="1" x14ac:dyDescent="0.3">
      <c r="E95" s="49"/>
      <c r="F95" s="8"/>
      <c r="G95" s="8"/>
      <c r="H95" s="8"/>
      <c r="I95" s="8"/>
      <c r="J95" s="8"/>
      <c r="K95" s="124" t="s">
        <v>72</v>
      </c>
      <c r="L95" s="125"/>
      <c r="M95" s="103">
        <f>M91+M92+M93-M94</f>
        <v>2937.5</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22"/>
      <c r="E106" s="54"/>
      <c r="F106" s="54"/>
      <c r="G106" s="122"/>
      <c r="H106" s="53"/>
      <c r="I106" s="55"/>
      <c r="J106" s="53"/>
      <c r="K106" s="53"/>
      <c r="L106" s="53"/>
      <c r="M106" s="53"/>
      <c r="N106" s="53"/>
      <c r="O106" s="53"/>
      <c r="P106" s="53"/>
      <c r="Q106" s="53"/>
      <c r="R106" s="53"/>
      <c r="S106" s="53"/>
      <c r="T106" s="53"/>
    </row>
    <row r="107" spans="1:23" x14ac:dyDescent="0.25">
      <c r="A107" s="126" t="s">
        <v>52</v>
      </c>
      <c r="B107" s="126"/>
      <c r="C107" s="126"/>
      <c r="D107" s="126"/>
      <c r="E107" s="126"/>
      <c r="F107" s="126"/>
      <c r="G107" s="126"/>
      <c r="H107" s="126"/>
      <c r="I107" s="126"/>
      <c r="J107" s="126"/>
      <c r="K107" s="126"/>
      <c r="L107" s="126"/>
      <c r="M107" s="126"/>
      <c r="N107" s="126"/>
      <c r="O107" s="126"/>
      <c r="P107" s="126"/>
      <c r="Q107" s="126"/>
      <c r="R107" s="126"/>
      <c r="S107" s="126"/>
      <c r="T107" s="126"/>
    </row>
    <row r="108" spans="1:23" s="83" customFormat="1" ht="15.75" thickBot="1" x14ac:dyDescent="0.3">
      <c r="A108" s="127"/>
      <c r="B108" s="127"/>
      <c r="C108" s="127"/>
      <c r="D108" s="127"/>
      <c r="E108" s="127"/>
      <c r="F108" s="127"/>
      <c r="G108" s="127"/>
      <c r="H108" s="127"/>
      <c r="I108" s="127"/>
      <c r="J108" s="127"/>
      <c r="K108" s="127"/>
      <c r="L108" s="127"/>
      <c r="M108" s="127"/>
      <c r="N108" s="127"/>
      <c r="O108" s="127"/>
      <c r="P108" s="127"/>
      <c r="Q108" s="127"/>
      <c r="R108" s="127"/>
      <c r="S108" s="127"/>
      <c r="T108" s="127"/>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120" t="s">
        <v>3</v>
      </c>
      <c r="B110" s="117" t="s">
        <v>33</v>
      </c>
      <c r="C110" s="117" t="s">
        <v>34</v>
      </c>
      <c r="D110" s="121" t="s">
        <v>4</v>
      </c>
      <c r="E110" s="120" t="s">
        <v>5</v>
      </c>
      <c r="F110" s="117" t="s">
        <v>6</v>
      </c>
      <c r="G110" s="118" t="s">
        <v>7</v>
      </c>
      <c r="H110" s="69" t="s">
        <v>38</v>
      </c>
      <c r="I110" s="65" t="s">
        <v>8</v>
      </c>
      <c r="J110" s="65" t="s">
        <v>6</v>
      </c>
      <c r="K110" s="66" t="s">
        <v>7</v>
      </c>
      <c r="L110" s="119" t="s">
        <v>5</v>
      </c>
      <c r="M110" s="65" t="s">
        <v>49</v>
      </c>
      <c r="N110" s="66" t="s">
        <v>47</v>
      </c>
    </row>
    <row r="111" spans="1:23" x14ac:dyDescent="0.25">
      <c r="A111" s="4">
        <v>1</v>
      </c>
      <c r="B111" s="5">
        <v>0</v>
      </c>
      <c r="C111" s="5">
        <v>50</v>
      </c>
      <c r="D111" s="6">
        <v>20</v>
      </c>
      <c r="E111" s="7">
        <f>IF(AND(B$74&gt;B111,B$74&lt;=C111),B$74,0)</f>
        <v>0</v>
      </c>
      <c r="F111" s="8">
        <f>IF(B125&gt;0,D111,0)</f>
        <v>20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100</v>
      </c>
      <c r="F113" s="21">
        <v>0</v>
      </c>
      <c r="G113" s="21">
        <f>IF(E113&gt;0,IF(E113=C113,D113,IF(AND(E113&gt;B113,E113&lt;C113),D112+(E113-B113)*((D113-D112)/(C113-B113)),IF(E113&gt;C113,D113,0))),0)</f>
        <v>30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16" t="s">
        <v>3</v>
      </c>
      <c r="B116" s="117" t="s">
        <v>33</v>
      </c>
      <c r="C116" s="117" t="s">
        <v>34</v>
      </c>
      <c r="D116" s="117" t="s">
        <v>49</v>
      </c>
      <c r="E116" s="117" t="s">
        <v>47</v>
      </c>
      <c r="F116" s="118" t="s">
        <v>48</v>
      </c>
      <c r="H116" s="116" t="s">
        <v>3</v>
      </c>
      <c r="I116" s="117" t="s">
        <v>50</v>
      </c>
      <c r="J116" s="117" t="s">
        <v>51</v>
      </c>
      <c r="K116" s="117" t="s">
        <v>49</v>
      </c>
      <c r="L116" s="117" t="s">
        <v>47</v>
      </c>
      <c r="M116" s="118" t="s">
        <v>48</v>
      </c>
      <c r="O116" s="116" t="s">
        <v>3</v>
      </c>
      <c r="P116" s="117" t="s">
        <v>33</v>
      </c>
      <c r="Q116" s="117" t="s">
        <v>34</v>
      </c>
      <c r="R116" s="117" t="s">
        <v>49</v>
      </c>
      <c r="S116" s="117" t="s">
        <v>47</v>
      </c>
      <c r="T116" s="118" t="s">
        <v>48</v>
      </c>
    </row>
    <row r="117" spans="1:20" x14ac:dyDescent="0.25">
      <c r="A117" s="4">
        <v>1</v>
      </c>
      <c r="B117" s="5">
        <v>0</v>
      </c>
      <c r="C117" s="5">
        <f>IF(AND(B125&gt;B111,B125&lt;C111),B125,IF(B125&gt;=C111,C111,0))</f>
        <v>50</v>
      </c>
      <c r="D117" s="29">
        <f>MIN(D111,F111)</f>
        <v>20</v>
      </c>
      <c r="E117" s="29">
        <f>IF(AND(B$125&gt;B111,B$125&lt;C111),G111,IF(B$125&gt;=C111,D111,0))</f>
        <v>20</v>
      </c>
      <c r="F117" s="30">
        <f>(C117-B117)*(D117+E117)/2</f>
        <v>1000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50</v>
      </c>
      <c r="C118" s="5">
        <f>IF(AND(B$125&gt;B112,B$125&lt;C112),B$125,IF(B$125&gt;=C112,C112,0))</f>
        <v>75</v>
      </c>
      <c r="D118" s="29">
        <f>IF(B118&lt;&gt;0,E117,0)</f>
        <v>20</v>
      </c>
      <c r="E118" s="29">
        <f t="shared" ref="E118:E120" si="18">IF(AND(B$125&gt;B112,B$125&lt;C112),G112,IF(B$125&gt;=C112,D112,0))</f>
        <v>25</v>
      </c>
      <c r="F118" s="30">
        <f t="shared" ref="F118:F120" si="19">(C118-B118)*(D118+E118)/2</f>
        <v>562.5</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75</v>
      </c>
      <c r="C119" s="5">
        <f t="shared" ref="C119:C120" si="26">IF(AND(B$125&gt;B113,B$125&lt;C113),B$125,IF(B$125&gt;=C113,C113,0))</f>
        <v>100</v>
      </c>
      <c r="D119" s="29">
        <f t="shared" ref="D119:D120" si="27">IF(B119&lt;&gt;0,E118,0)</f>
        <v>25</v>
      </c>
      <c r="E119" s="29">
        <f t="shared" si="18"/>
        <v>30</v>
      </c>
      <c r="F119" s="30">
        <f t="shared" si="19"/>
        <v>687.5</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IF(B$125&gt;C113,C119,0)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2250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100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45</v>
      </c>
      <c r="E126" s="138" t="s">
        <v>14</v>
      </c>
      <c r="F126" s="139"/>
      <c r="G126" s="139"/>
      <c r="H126" s="139"/>
      <c r="I126" s="42">
        <f>B125*B126</f>
        <v>4500</v>
      </c>
      <c r="J126" s="5"/>
      <c r="K126" s="5"/>
      <c r="L126" s="5"/>
      <c r="M126" s="13"/>
      <c r="O126" s="136" t="s">
        <v>14</v>
      </c>
      <c r="P126" s="137"/>
      <c r="Q126" s="137"/>
      <c r="R126" s="137"/>
      <c r="S126" s="137"/>
      <c r="T126" s="56">
        <f>I126</f>
        <v>4500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0</v>
      </c>
      <c r="J129" s="5"/>
      <c r="K129" s="35" t="s">
        <v>16</v>
      </c>
      <c r="L129" s="36">
        <f>F121</f>
        <v>2250</v>
      </c>
      <c r="M129" s="105" t="s">
        <v>17</v>
      </c>
      <c r="O129" s="136" t="s">
        <v>15</v>
      </c>
      <c r="P129" s="137"/>
      <c r="Q129" s="137"/>
      <c r="R129" s="137"/>
      <c r="S129" s="137"/>
      <c r="T129" s="88">
        <f>I129</f>
        <v>0</v>
      </c>
    </row>
    <row r="130" spans="1:20" ht="15.75" thickBot="1" x14ac:dyDescent="0.3">
      <c r="A130" s="68" t="s">
        <v>37</v>
      </c>
      <c r="E130" s="85"/>
      <c r="F130" s="86"/>
      <c r="G130" s="86"/>
      <c r="H130" s="86"/>
      <c r="I130" s="5"/>
      <c r="J130" s="5"/>
      <c r="K130" s="37" t="s">
        <v>18</v>
      </c>
      <c r="L130" s="38">
        <f>I126</f>
        <v>4500</v>
      </c>
      <c r="M130" s="39">
        <f>MAX(L129-L130,0)</f>
        <v>0</v>
      </c>
      <c r="O130" s="16"/>
      <c r="P130" s="5"/>
      <c r="Q130" s="5"/>
      <c r="R130" s="5"/>
      <c r="S130" s="5"/>
      <c r="T130" s="13"/>
    </row>
    <row r="131" spans="1:20" x14ac:dyDescent="0.25">
      <c r="A131" s="147" t="s">
        <v>22</v>
      </c>
      <c r="B131" s="148"/>
      <c r="E131" s="138" t="str">
        <f>"DA Incremental Cost @ DA MW ("&amp;$B125&amp;" MW)"</f>
        <v>DA Incremental Cost @ DA MW (100 MW)</v>
      </c>
      <c r="F131" s="139"/>
      <c r="G131" s="139"/>
      <c r="H131" s="139"/>
      <c r="I131" s="44">
        <f>F121</f>
        <v>2250</v>
      </c>
      <c r="J131" s="5"/>
      <c r="K131" s="29"/>
      <c r="L131" s="5"/>
      <c r="M131" s="13"/>
      <c r="O131" s="136" t="str">
        <f>"DA Incremental Cost @ DA MW ("&amp;$B125&amp;" MW)"</f>
        <v>DA Incremental Cost @ DA MW (100 MW)</v>
      </c>
      <c r="P131" s="137"/>
      <c r="Q131" s="137"/>
      <c r="R131" s="137"/>
      <c r="S131" s="137"/>
      <c r="T131" s="89">
        <f>I131</f>
        <v>2250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15</v>
      </c>
      <c r="D133" s="32"/>
      <c r="E133" s="138" t="s">
        <v>19</v>
      </c>
      <c r="F133" s="139"/>
      <c r="G133" s="139"/>
      <c r="H133" s="139"/>
      <c r="I133" s="40">
        <f>I126+I129-I131</f>
        <v>2250</v>
      </c>
      <c r="J133" s="5"/>
      <c r="K133" s="29"/>
      <c r="L133" s="45"/>
      <c r="M133" s="13"/>
      <c r="O133" s="136" t="s">
        <v>19</v>
      </c>
      <c r="P133" s="137"/>
      <c r="Q133" s="137"/>
      <c r="R133" s="137"/>
      <c r="S133" s="137"/>
      <c r="T133" s="31">
        <f>T126+T129-T131</f>
        <v>2250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100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140" t="s">
        <v>20</v>
      </c>
      <c r="F137" s="141"/>
      <c r="G137" s="141"/>
      <c r="H137" s="141"/>
      <c r="I137" s="141"/>
      <c r="J137" s="141"/>
      <c r="K137" s="141"/>
      <c r="L137" s="141"/>
      <c r="M137" s="142"/>
      <c r="O137" s="160" t="s">
        <v>20</v>
      </c>
      <c r="P137" s="161"/>
      <c r="Q137" s="161"/>
      <c r="R137" s="161"/>
      <c r="S137" s="161"/>
      <c r="T137" s="162"/>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138" t="s">
        <v>21</v>
      </c>
      <c r="F139" s="139"/>
      <c r="G139" s="139"/>
      <c r="H139" s="139"/>
      <c r="I139" s="29">
        <f>(B132-B125)*B133</f>
        <v>0</v>
      </c>
      <c r="J139" s="29"/>
      <c r="K139" s="29"/>
      <c r="L139" s="29"/>
      <c r="M139" s="13"/>
      <c r="O139" s="136" t="s">
        <v>21</v>
      </c>
      <c r="P139" s="137"/>
      <c r="Q139" s="137"/>
      <c r="R139" s="137"/>
      <c r="S139" s="137"/>
      <c r="T139" s="30">
        <f>I139</f>
        <v>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MAX(M146*-1,0)</f>
        <v>0</v>
      </c>
      <c r="J141" s="29"/>
      <c r="K141" s="143" t="s">
        <v>30</v>
      </c>
      <c r="L141" s="144"/>
      <c r="M141" s="145"/>
      <c r="O141" s="136" t="s">
        <v>23</v>
      </c>
      <c r="P141" s="137"/>
      <c r="Q141" s="137"/>
      <c r="R141" s="137"/>
      <c r="S141" s="137"/>
      <c r="T141" s="30">
        <f>I141</f>
        <v>0</v>
      </c>
    </row>
    <row r="142" spans="1:20" x14ac:dyDescent="0.25">
      <c r="E142" s="92"/>
      <c r="F142" s="67"/>
      <c r="G142" s="67"/>
      <c r="H142" s="67"/>
      <c r="I142" s="76"/>
      <c r="J142" s="76"/>
      <c r="K142" s="128" t="s">
        <v>24</v>
      </c>
      <c r="L142" s="129"/>
      <c r="M142" s="56">
        <f>I126</f>
        <v>4500</v>
      </c>
      <c r="O142" s="75"/>
      <c r="P142" s="76"/>
      <c r="Q142" s="76"/>
      <c r="R142" s="76"/>
      <c r="S142" s="76"/>
      <c r="T142" s="77"/>
    </row>
    <row r="143" spans="1:20" x14ac:dyDescent="0.25">
      <c r="E143" s="130" t="str">
        <f>"Incremental Cost @ RT MW Used ("&amp;$B137&amp;" MW)"</f>
        <v>Incremental Cost @ RT MW Used (50 MW)</v>
      </c>
      <c r="F143" s="131"/>
      <c r="G143" s="131"/>
      <c r="H143" s="131"/>
      <c r="I143" s="8">
        <f>M145</f>
        <v>1000</v>
      </c>
      <c r="J143" s="8"/>
      <c r="K143" s="128" t="s">
        <v>17</v>
      </c>
      <c r="L143" s="129"/>
      <c r="M143" s="56">
        <f>I129</f>
        <v>0</v>
      </c>
      <c r="O143" s="136" t="str">
        <f>"Incremental Cost @ Actual RT MW ("&amp;$B132&amp;" MW)"</f>
        <v>Incremental Cost @ Actual RT MW (100 MW)</v>
      </c>
      <c r="P143" s="137"/>
      <c r="Q143" s="137"/>
      <c r="R143" s="137"/>
      <c r="S143" s="137"/>
      <c r="T143" s="6">
        <f>T121</f>
        <v>2250</v>
      </c>
    </row>
    <row r="144" spans="1:20" x14ac:dyDescent="0.25">
      <c r="E144" s="93"/>
      <c r="F144" s="100"/>
      <c r="G144" s="100"/>
      <c r="H144" s="100"/>
      <c r="I144" s="48"/>
      <c r="J144" s="48"/>
      <c r="K144" s="132" t="s">
        <v>25</v>
      </c>
      <c r="L144" s="133"/>
      <c r="M144" s="30">
        <f>(B136-B125)*B133</f>
        <v>0</v>
      </c>
      <c r="O144" s="47"/>
      <c r="P144" s="87"/>
      <c r="Q144" s="87"/>
      <c r="R144" s="87"/>
      <c r="S144" s="87"/>
      <c r="T144" s="90"/>
    </row>
    <row r="145" spans="4:20" ht="15.75" thickBot="1" x14ac:dyDescent="0.3">
      <c r="E145" s="134" t="s">
        <v>26</v>
      </c>
      <c r="F145" s="135"/>
      <c r="G145" s="135"/>
      <c r="H145" s="135"/>
      <c r="I145" s="50">
        <f>I126+I129+I139+I141-I143</f>
        <v>3500</v>
      </c>
      <c r="J145" s="104"/>
      <c r="K145" s="136" t="s">
        <v>46</v>
      </c>
      <c r="L145" s="137"/>
      <c r="M145" s="30">
        <f>M121</f>
        <v>1000</v>
      </c>
      <c r="O145" s="136" t="s">
        <v>26</v>
      </c>
      <c r="P145" s="137"/>
      <c r="Q145" s="137"/>
      <c r="R145" s="137"/>
      <c r="S145" s="137"/>
      <c r="T145" s="91">
        <f>T126+T129+T139+T141-T143</f>
        <v>2250</v>
      </c>
    </row>
    <row r="146" spans="4:20" ht="30" customHeight="1" thickTop="1" thickBot="1" x14ac:dyDescent="0.3">
      <c r="E146" s="49"/>
      <c r="F146" s="8"/>
      <c r="G146" s="8"/>
      <c r="H146" s="8"/>
      <c r="I146" s="8"/>
      <c r="J146" s="8"/>
      <c r="K146" s="124" t="s">
        <v>72</v>
      </c>
      <c r="L146" s="125"/>
      <c r="M146" s="103">
        <f>M142+M143+M144-M145</f>
        <v>3500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0">
    <mergeCell ref="K144:L144"/>
    <mergeCell ref="E145:H145"/>
    <mergeCell ref="K145:L145"/>
    <mergeCell ref="O145:S145"/>
    <mergeCell ref="K146:L1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A109:D109"/>
    <mergeCell ref="E109:G109"/>
    <mergeCell ref="H109:K109"/>
    <mergeCell ref="L109:N109"/>
    <mergeCell ref="A115:B115"/>
    <mergeCell ref="H115:M115"/>
    <mergeCell ref="K93:L93"/>
    <mergeCell ref="E94:H94"/>
    <mergeCell ref="K94:L94"/>
    <mergeCell ref="O94:S94"/>
    <mergeCell ref="K95:L95"/>
    <mergeCell ref="A107:T108"/>
    <mergeCell ref="E90:H90"/>
    <mergeCell ref="K90:M90"/>
    <mergeCell ref="O90:S90"/>
    <mergeCell ref="K91:L91"/>
    <mergeCell ref="E92:H92"/>
    <mergeCell ref="K92:L92"/>
    <mergeCell ref="O92:S92"/>
    <mergeCell ref="E82:H82"/>
    <mergeCell ref="O82:S82"/>
    <mergeCell ref="E86:M86"/>
    <mergeCell ref="O86:T86"/>
    <mergeCell ref="E88:H88"/>
    <mergeCell ref="O88:S88"/>
    <mergeCell ref="E74:H74"/>
    <mergeCell ref="E75:H75"/>
    <mergeCell ref="O75:S75"/>
    <mergeCell ref="E78:H78"/>
    <mergeCell ref="O78:S78"/>
    <mergeCell ref="A80:B80"/>
    <mergeCell ref="E80:H80"/>
    <mergeCell ref="O80:S80"/>
    <mergeCell ref="O64:T64"/>
    <mergeCell ref="E72:M72"/>
    <mergeCell ref="O72:T72"/>
    <mergeCell ref="A73:B73"/>
    <mergeCell ref="E73:M73"/>
    <mergeCell ref="O73:T73"/>
    <mergeCell ref="A58:D58"/>
    <mergeCell ref="E58:G58"/>
    <mergeCell ref="H58:K58"/>
    <mergeCell ref="L58:N58"/>
    <mergeCell ref="A64:F64"/>
    <mergeCell ref="H64:M64"/>
    <mergeCell ref="K42:L42"/>
    <mergeCell ref="E43:H43"/>
    <mergeCell ref="K43:L43"/>
    <mergeCell ref="O43:S43"/>
    <mergeCell ref="K44:L44"/>
    <mergeCell ref="A56:T57"/>
    <mergeCell ref="E39:H39"/>
    <mergeCell ref="K39:M39"/>
    <mergeCell ref="O39:S39"/>
    <mergeCell ref="K40:L40"/>
    <mergeCell ref="E41:H41"/>
    <mergeCell ref="K41:L41"/>
    <mergeCell ref="O41:S41"/>
    <mergeCell ref="E31:H31"/>
    <mergeCell ref="O31:S31"/>
    <mergeCell ref="E35:M35"/>
    <mergeCell ref="O35:T35"/>
    <mergeCell ref="E37:H37"/>
    <mergeCell ref="O37:S37"/>
    <mergeCell ref="E27:H27"/>
    <mergeCell ref="O27:S27"/>
    <mergeCell ref="A28:D28"/>
    <mergeCell ref="A29:B29"/>
    <mergeCell ref="E29:H29"/>
    <mergeCell ref="O29:S29"/>
    <mergeCell ref="E23:H23"/>
    <mergeCell ref="E24:H24"/>
    <mergeCell ref="O24:S24"/>
    <mergeCell ref="A13:F13"/>
    <mergeCell ref="H13:M13"/>
    <mergeCell ref="O13:T13"/>
    <mergeCell ref="A21:D21"/>
    <mergeCell ref="E21:M21"/>
    <mergeCell ref="O21:T21"/>
    <mergeCell ref="A1:T2"/>
    <mergeCell ref="A5:T6"/>
    <mergeCell ref="A7:D7"/>
    <mergeCell ref="E7:G7"/>
    <mergeCell ref="H7:K7"/>
    <mergeCell ref="L7:N7"/>
    <mergeCell ref="A22:B22"/>
    <mergeCell ref="E22:M22"/>
    <mergeCell ref="O22:T2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opLeftCell="A130" zoomScale="120" zoomScaleNormal="120" workbookViewId="0">
      <selection activeCell="K146" sqref="K146:L146"/>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68</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63</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16" t="s">
        <v>3</v>
      </c>
      <c r="B8" s="117" t="s">
        <v>33</v>
      </c>
      <c r="C8" s="117" t="s">
        <v>34</v>
      </c>
      <c r="D8" s="118" t="s">
        <v>4</v>
      </c>
      <c r="E8" s="116" t="s">
        <v>5</v>
      </c>
      <c r="F8" s="117" t="s">
        <v>6</v>
      </c>
      <c r="G8" s="118"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50</v>
      </c>
      <c r="F9" s="8">
        <f>IF(B23&gt;0,D9,0)</f>
        <v>20</v>
      </c>
      <c r="G9" s="8">
        <f>IF(E9&gt;0,IF(E9=B9,D9,IF(AND(E9&gt;B9,E9&lt;=C9),0+(E9-B9)*((D9-0)/(C9-B9)),0)),0)</f>
        <v>20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120" t="s">
        <v>3</v>
      </c>
      <c r="B14" s="117" t="s">
        <v>33</v>
      </c>
      <c r="C14" s="117" t="s">
        <v>34</v>
      </c>
      <c r="D14" s="117" t="s">
        <v>36</v>
      </c>
      <c r="E14" s="117" t="s">
        <v>7</v>
      </c>
      <c r="F14" s="118" t="s">
        <v>48</v>
      </c>
      <c r="H14" s="120" t="s">
        <v>3</v>
      </c>
      <c r="I14" s="117" t="s">
        <v>33</v>
      </c>
      <c r="J14" s="117" t="s">
        <v>34</v>
      </c>
      <c r="K14" s="117" t="s">
        <v>36</v>
      </c>
      <c r="L14" s="117" t="s">
        <v>47</v>
      </c>
      <c r="M14" s="118" t="s">
        <v>48</v>
      </c>
      <c r="O14" s="75" t="s">
        <v>3</v>
      </c>
      <c r="P14" s="67" t="s">
        <v>33</v>
      </c>
      <c r="Q14" s="67" t="s">
        <v>34</v>
      </c>
      <c r="R14" s="67" t="s">
        <v>36</v>
      </c>
      <c r="S14" s="67" t="s">
        <v>7</v>
      </c>
      <c r="T14" s="107" t="s">
        <v>48</v>
      </c>
    </row>
    <row r="15" spans="1:20" x14ac:dyDescent="0.25">
      <c r="A15" s="4">
        <v>1</v>
      </c>
      <c r="B15" s="5">
        <v>0</v>
      </c>
      <c r="C15" s="5">
        <f>IF(AND(B23&gt;B9,B23&lt;C9),B23,IF(B23&gt;=C9,C9,0))</f>
        <v>50</v>
      </c>
      <c r="D15" s="29">
        <f>MIN(D9,F9)</f>
        <v>20</v>
      </c>
      <c r="E15" s="29">
        <f>IF(AND(B$23&gt;B9,B$23&lt;C9),G9,IF(B$23&gt;=C9,D9,0))</f>
        <v>20</v>
      </c>
      <c r="F15" s="30">
        <f>(C15-B15)*(D15+E15)/2</f>
        <v>1000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1000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50</v>
      </c>
      <c r="E23" s="152" t="s">
        <v>12</v>
      </c>
      <c r="F23" s="153"/>
      <c r="G23" s="153"/>
      <c r="H23" s="153"/>
      <c r="I23" s="99"/>
      <c r="J23" s="10"/>
      <c r="K23" s="10"/>
      <c r="L23" s="10"/>
      <c r="M23" s="26"/>
      <c r="O23" s="16" t="s">
        <v>12</v>
      </c>
      <c r="P23" s="29"/>
      <c r="Q23" s="5"/>
      <c r="R23" s="5"/>
      <c r="S23" s="5"/>
      <c r="T23" s="13"/>
    </row>
    <row r="24" spans="1:20" ht="15.75" thickBot="1" x14ac:dyDescent="0.3">
      <c r="A24" s="17" t="s">
        <v>13</v>
      </c>
      <c r="B24" s="19">
        <v>15</v>
      </c>
      <c r="E24" s="138" t="s">
        <v>14</v>
      </c>
      <c r="F24" s="139"/>
      <c r="G24" s="139"/>
      <c r="H24" s="139"/>
      <c r="I24" s="42">
        <f>B23*B24</f>
        <v>750</v>
      </c>
      <c r="J24" s="5"/>
      <c r="K24" s="5"/>
      <c r="L24" s="5"/>
      <c r="M24" s="13"/>
      <c r="O24" s="136" t="s">
        <v>14</v>
      </c>
      <c r="P24" s="137"/>
      <c r="Q24" s="137"/>
      <c r="R24" s="137"/>
      <c r="S24" s="137"/>
      <c r="T24" s="56">
        <f>I24</f>
        <v>750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250</v>
      </c>
      <c r="J27" s="5"/>
      <c r="K27" s="35" t="s">
        <v>16</v>
      </c>
      <c r="L27" s="36">
        <f>F19</f>
        <v>1000</v>
      </c>
      <c r="M27" s="105" t="s">
        <v>17</v>
      </c>
      <c r="O27" s="136" t="s">
        <v>15</v>
      </c>
      <c r="P27" s="137"/>
      <c r="Q27" s="137"/>
      <c r="R27" s="137"/>
      <c r="S27" s="137"/>
      <c r="T27" s="88">
        <f>I27</f>
        <v>250</v>
      </c>
    </row>
    <row r="28" spans="1:20" ht="15.75" thickBot="1" x14ac:dyDescent="0.3">
      <c r="A28" s="171" t="s">
        <v>37</v>
      </c>
      <c r="B28" s="171"/>
      <c r="C28" s="171"/>
      <c r="D28" s="172"/>
      <c r="E28" s="85"/>
      <c r="F28" s="86"/>
      <c r="G28" s="86"/>
      <c r="H28" s="86"/>
      <c r="I28" s="5"/>
      <c r="J28" s="5"/>
      <c r="K28" s="37" t="s">
        <v>18</v>
      </c>
      <c r="L28" s="38">
        <f>I24</f>
        <v>750</v>
      </c>
      <c r="M28" s="39">
        <f>MAX(L27-L28,0)</f>
        <v>250</v>
      </c>
      <c r="O28" s="16"/>
      <c r="P28" s="5"/>
      <c r="Q28" s="5"/>
      <c r="R28" s="5"/>
      <c r="S28" s="5"/>
      <c r="T28" s="13"/>
    </row>
    <row r="29" spans="1:20" x14ac:dyDescent="0.25">
      <c r="A29" s="147" t="s">
        <v>22</v>
      </c>
      <c r="B29" s="148"/>
      <c r="E29" s="138" t="str">
        <f>"DA Incremental Cost @ DA MW ("&amp;$B23&amp;" MW)"</f>
        <v>DA Incremental Cost @ DA MW (50 MW)</v>
      </c>
      <c r="F29" s="139"/>
      <c r="G29" s="139"/>
      <c r="H29" s="139"/>
      <c r="I29" s="44">
        <f>F19</f>
        <v>1000</v>
      </c>
      <c r="J29" s="5"/>
      <c r="K29" s="29"/>
      <c r="L29" s="5"/>
      <c r="M29" s="13"/>
      <c r="O29" s="136" t="str">
        <f>"DA Incremental Cost @ DA MW ("&amp;$B23&amp;" MW)"</f>
        <v>DA Incremental Cost @ DA MW (50 MW)</v>
      </c>
      <c r="P29" s="137"/>
      <c r="Q29" s="137"/>
      <c r="R29" s="137"/>
      <c r="S29" s="137"/>
      <c r="T29" s="89">
        <f>I29</f>
        <v>1000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-100</v>
      </c>
      <c r="D31" s="32"/>
      <c r="E31" s="138" t="s">
        <v>19</v>
      </c>
      <c r="F31" s="139"/>
      <c r="G31" s="139"/>
      <c r="H31" s="139"/>
      <c r="I31" s="40">
        <f>I24+I27-I29</f>
        <v>0</v>
      </c>
      <c r="J31" s="5"/>
      <c r="K31" s="29"/>
      <c r="L31" s="45"/>
      <c r="M31" s="13"/>
      <c r="O31" s="136" t="s">
        <v>19</v>
      </c>
      <c r="P31" s="137"/>
      <c r="Q31" s="137"/>
      <c r="R31" s="137"/>
      <c r="S31" s="137"/>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140" t="s">
        <v>20</v>
      </c>
      <c r="F35" s="141"/>
      <c r="G35" s="141"/>
      <c r="H35" s="141"/>
      <c r="I35" s="141"/>
      <c r="J35" s="141"/>
      <c r="K35" s="141"/>
      <c r="L35" s="141"/>
      <c r="M35" s="142"/>
      <c r="N35" s="5"/>
      <c r="O35" s="140" t="s">
        <v>20</v>
      </c>
      <c r="P35" s="141"/>
      <c r="Q35" s="141"/>
      <c r="R35" s="141"/>
      <c r="S35" s="141"/>
      <c r="T35" s="142"/>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138" t="s">
        <v>21</v>
      </c>
      <c r="F37" s="139"/>
      <c r="G37" s="139"/>
      <c r="H37" s="139"/>
      <c r="I37" s="29">
        <f>(B30-B23)*B31</f>
        <v>0</v>
      </c>
      <c r="J37" s="29"/>
      <c r="K37" s="29"/>
      <c r="L37" s="29"/>
      <c r="M37" s="13"/>
      <c r="N37" s="5"/>
      <c r="O37" s="136" t="s">
        <v>21</v>
      </c>
      <c r="P37" s="137"/>
      <c r="Q37" s="137"/>
      <c r="R37" s="137"/>
      <c r="S37" s="137"/>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MAX(M44*-1,0)</f>
        <v>0</v>
      </c>
      <c r="J39" s="29"/>
      <c r="K39" s="143" t="s">
        <v>30</v>
      </c>
      <c r="L39" s="144"/>
      <c r="M39" s="145"/>
      <c r="N39" s="5"/>
      <c r="O39" s="136" t="s">
        <v>23</v>
      </c>
      <c r="P39" s="137"/>
      <c r="Q39" s="137"/>
      <c r="R39" s="137"/>
      <c r="S39" s="137"/>
      <c r="T39" s="30">
        <f>I39</f>
        <v>0</v>
      </c>
    </row>
    <row r="40" spans="1:20" x14ac:dyDescent="0.25">
      <c r="E40" s="92"/>
      <c r="F40" s="67"/>
      <c r="G40" s="67"/>
      <c r="H40" s="67"/>
      <c r="I40" s="76"/>
      <c r="J40" s="76"/>
      <c r="K40" s="128" t="s">
        <v>24</v>
      </c>
      <c r="L40" s="129"/>
      <c r="M40" s="56">
        <f>I24</f>
        <v>750</v>
      </c>
      <c r="N40" s="5"/>
      <c r="O40" s="75"/>
      <c r="P40" s="76"/>
      <c r="Q40" s="76"/>
      <c r="R40" s="76"/>
      <c r="S40" s="76"/>
      <c r="T40" s="77"/>
    </row>
    <row r="41" spans="1:20" ht="30" customHeight="1" x14ac:dyDescent="0.25">
      <c r="E41" s="130" t="str">
        <f>"Incremental Cost @ RT MW Used ("&amp;$B35&amp;" MW)"</f>
        <v>Incremental Cost @ RT MW Used (50 MW)</v>
      </c>
      <c r="F41" s="131"/>
      <c r="G41" s="131"/>
      <c r="H41" s="131"/>
      <c r="I41" s="8">
        <f>M43</f>
        <v>1000</v>
      </c>
      <c r="J41" s="8"/>
      <c r="K41" s="128" t="s">
        <v>17</v>
      </c>
      <c r="L41" s="129"/>
      <c r="M41" s="56">
        <f>I27</f>
        <v>250</v>
      </c>
      <c r="N41" s="5"/>
      <c r="O41" s="136" t="str">
        <f>"Incremental Cost @ Actual RT MW ("&amp;$B30&amp;" MW)"</f>
        <v>Incremental Cost @ Actual RT MW (50 MW)</v>
      </c>
      <c r="P41" s="137"/>
      <c r="Q41" s="137"/>
      <c r="R41" s="137"/>
      <c r="S41" s="137"/>
      <c r="T41" s="6">
        <f>T19</f>
        <v>1000</v>
      </c>
    </row>
    <row r="42" spans="1:20" x14ac:dyDescent="0.25">
      <c r="E42" s="93"/>
      <c r="F42" s="100"/>
      <c r="G42" s="100"/>
      <c r="H42" s="100"/>
      <c r="I42" s="48"/>
      <c r="J42" s="48"/>
      <c r="K42" s="132" t="s">
        <v>25</v>
      </c>
      <c r="L42" s="133"/>
      <c r="M42" s="30">
        <f>(B34-B23)*B31</f>
        <v>0</v>
      </c>
      <c r="N42" s="5"/>
      <c r="O42" s="47"/>
      <c r="P42" s="87"/>
      <c r="Q42" s="87"/>
      <c r="R42" s="87"/>
      <c r="S42" s="87"/>
      <c r="T42" s="90"/>
    </row>
    <row r="43" spans="1:20" ht="15.75" thickBot="1" x14ac:dyDescent="0.3">
      <c r="E43" s="134" t="s">
        <v>26</v>
      </c>
      <c r="F43" s="135"/>
      <c r="G43" s="135"/>
      <c r="H43" s="135"/>
      <c r="I43" s="50">
        <f>I24+I27+I37+I39-I41</f>
        <v>0</v>
      </c>
      <c r="J43" s="104"/>
      <c r="K43" s="136" t="s">
        <v>46</v>
      </c>
      <c r="L43" s="137"/>
      <c r="M43" s="30">
        <f>M19</f>
        <v>1000</v>
      </c>
      <c r="N43" s="5"/>
      <c r="O43" s="136" t="s">
        <v>26</v>
      </c>
      <c r="P43" s="137"/>
      <c r="Q43" s="137"/>
      <c r="R43" s="137"/>
      <c r="S43" s="137"/>
      <c r="T43" s="91">
        <f>T24+T27+T37+T39-T41</f>
        <v>0</v>
      </c>
    </row>
    <row r="44" spans="1:20" ht="30.75" customHeight="1" thickTop="1" thickBot="1" x14ac:dyDescent="0.3">
      <c r="E44" s="49"/>
      <c r="F44" s="8"/>
      <c r="G44" s="8"/>
      <c r="H44" s="8"/>
      <c r="I44" s="8"/>
      <c r="J44" s="8"/>
      <c r="K44" s="124" t="s">
        <v>72</v>
      </c>
      <c r="L44" s="125"/>
      <c r="M44" s="103">
        <f>M40+M41+M42-M43</f>
        <v>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45</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120" t="s">
        <v>3</v>
      </c>
      <c r="B59" s="117" t="s">
        <v>33</v>
      </c>
      <c r="C59" s="117" t="s">
        <v>34</v>
      </c>
      <c r="D59" s="121" t="s">
        <v>4</v>
      </c>
      <c r="E59" s="120" t="s">
        <v>5</v>
      </c>
      <c r="F59" s="117" t="s">
        <v>6</v>
      </c>
      <c r="G59" s="118" t="s">
        <v>7</v>
      </c>
      <c r="H59" s="69" t="s">
        <v>38</v>
      </c>
      <c r="I59" s="65" t="s">
        <v>53</v>
      </c>
      <c r="J59" s="65" t="s">
        <v>6</v>
      </c>
      <c r="K59" s="66" t="s">
        <v>7</v>
      </c>
      <c r="L59" s="119" t="s">
        <v>5</v>
      </c>
      <c r="M59" s="65" t="s">
        <v>49</v>
      </c>
      <c r="N59" s="66" t="s">
        <v>47</v>
      </c>
    </row>
    <row r="60" spans="1:23" x14ac:dyDescent="0.25">
      <c r="A60" s="4">
        <v>1</v>
      </c>
      <c r="B60" s="5">
        <v>0</v>
      </c>
      <c r="C60" s="5">
        <v>50</v>
      </c>
      <c r="D60" s="6">
        <v>20</v>
      </c>
      <c r="E60" s="7">
        <f>IF(AND(B$74&gt;B60,B$74&lt;=C60),B$74,0)</f>
        <v>50</v>
      </c>
      <c r="F60" s="8">
        <f>IF(B74&gt;0,D60,0)</f>
        <v>20</v>
      </c>
      <c r="G60" s="8">
        <f>IF(E60&gt;0,IF(E60=B60,D60,IF(AND(E60&gt;B60,E60&lt;=C60),D60+(E60-B60)*((D60-D60)/(C60-B60)),0)),0)</f>
        <v>20</v>
      </c>
      <c r="H60" s="14">
        <f>IF(AND(MIN(B$81,B$84)&gt;B60,MIN(B$81,B$84)&lt;=C60),MIN(B$81,B$84),0)</f>
        <v>50</v>
      </c>
      <c r="I60" s="15">
        <f>IF(AND(B$86&gt;B60,B$86&lt;=C60),B$86,0)</f>
        <v>50</v>
      </c>
      <c r="J60" s="9">
        <f>IF(B81&gt;0,D60,0)</f>
        <v>20</v>
      </c>
      <c r="K60" s="11">
        <f>IF(H60&gt;0,IF(H60=B60,D60,IF(AND(H60&gt;B60,H60&lt;=C60),D60+(H60-B60)*((D60-D60)/(C60-B60)),0)),0)</f>
        <v>20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16" t="s">
        <v>3</v>
      </c>
      <c r="B65" s="117" t="s">
        <v>33</v>
      </c>
      <c r="C65" s="117" t="s">
        <v>34</v>
      </c>
      <c r="D65" s="117" t="s">
        <v>49</v>
      </c>
      <c r="E65" s="117" t="s">
        <v>47</v>
      </c>
      <c r="F65" s="118" t="s">
        <v>48</v>
      </c>
      <c r="H65" s="116" t="s">
        <v>3</v>
      </c>
      <c r="I65" s="117" t="s">
        <v>50</v>
      </c>
      <c r="J65" s="117" t="s">
        <v>51</v>
      </c>
      <c r="K65" s="117" t="s">
        <v>49</v>
      </c>
      <c r="L65" s="117" t="s">
        <v>47</v>
      </c>
      <c r="M65" s="118" t="s">
        <v>48</v>
      </c>
      <c r="O65" s="116" t="s">
        <v>3</v>
      </c>
      <c r="P65" s="117" t="s">
        <v>33</v>
      </c>
      <c r="Q65" s="117" t="s">
        <v>34</v>
      </c>
      <c r="R65" s="117" t="s">
        <v>49</v>
      </c>
      <c r="S65" s="117" t="s">
        <v>47</v>
      </c>
      <c r="T65" s="118" t="s">
        <v>48</v>
      </c>
    </row>
    <row r="66" spans="1:20" x14ac:dyDescent="0.25">
      <c r="A66" s="4">
        <v>1</v>
      </c>
      <c r="B66" s="5">
        <v>0</v>
      </c>
      <c r="C66" s="5">
        <f>IF(AND(B74&gt;B60,B74&lt;C60),B74,IF(B74&gt;=C60,C60,0))</f>
        <v>50</v>
      </c>
      <c r="D66" s="29">
        <f>MIN(D60,F60)</f>
        <v>20</v>
      </c>
      <c r="E66" s="29">
        <f>IF(AND(B$74&gt;B60,B$74&lt;C60),G60,IF(B$74&gt;=C60,D60,0))</f>
        <v>20</v>
      </c>
      <c r="F66" s="30">
        <f>(C66-B66)*(D66+E66)/2</f>
        <v>1000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1000</v>
      </c>
      <c r="H70" s="24"/>
      <c r="I70" s="18"/>
      <c r="J70" s="18"/>
      <c r="K70" s="21"/>
      <c r="L70" s="21"/>
      <c r="M70" s="31">
        <f>SUM(M66:M69)</f>
        <v>1000</v>
      </c>
      <c r="O70" s="24"/>
      <c r="P70" s="18"/>
      <c r="Q70" s="18"/>
      <c r="R70" s="21"/>
      <c r="S70" s="21"/>
      <c r="T70" s="31">
        <f>SUM(T66:T69)</f>
        <v>2250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50</v>
      </c>
      <c r="E74" s="152" t="s">
        <v>12</v>
      </c>
      <c r="F74" s="153"/>
      <c r="G74" s="153"/>
      <c r="H74" s="153"/>
      <c r="I74" s="99"/>
      <c r="J74" s="10"/>
      <c r="K74" s="10"/>
      <c r="L74" s="10"/>
      <c r="M74" s="26"/>
      <c r="O74" s="16" t="s">
        <v>12</v>
      </c>
      <c r="P74" s="29"/>
      <c r="Q74" s="5"/>
      <c r="R74" s="5"/>
      <c r="S74" s="5"/>
      <c r="T74" s="13"/>
    </row>
    <row r="75" spans="1:20" ht="15.75" thickBot="1" x14ac:dyDescent="0.3">
      <c r="A75" s="17" t="s">
        <v>13</v>
      </c>
      <c r="B75" s="19">
        <v>15</v>
      </c>
      <c r="E75" s="138" t="s">
        <v>14</v>
      </c>
      <c r="F75" s="139"/>
      <c r="G75" s="139"/>
      <c r="H75" s="139"/>
      <c r="I75" s="42">
        <f>B74*B75</f>
        <v>750</v>
      </c>
      <c r="J75" s="5"/>
      <c r="K75" s="5"/>
      <c r="L75" s="5"/>
      <c r="M75" s="13"/>
      <c r="O75" s="136" t="s">
        <v>14</v>
      </c>
      <c r="P75" s="137"/>
      <c r="Q75" s="137"/>
      <c r="R75" s="137"/>
      <c r="S75" s="137"/>
      <c r="T75" s="56">
        <f>I75</f>
        <v>750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250</v>
      </c>
      <c r="J78" s="5"/>
      <c r="K78" s="35" t="s">
        <v>16</v>
      </c>
      <c r="L78" s="36">
        <f>F70</f>
        <v>1000</v>
      </c>
      <c r="M78" s="105" t="s">
        <v>17</v>
      </c>
      <c r="O78" s="136" t="s">
        <v>15</v>
      </c>
      <c r="P78" s="137"/>
      <c r="Q78" s="137"/>
      <c r="R78" s="137"/>
      <c r="S78" s="137"/>
      <c r="T78" s="88">
        <f>I78</f>
        <v>250</v>
      </c>
    </row>
    <row r="79" spans="1:20" ht="15.75" thickBot="1" x14ac:dyDescent="0.3">
      <c r="A79" s="68" t="s">
        <v>37</v>
      </c>
      <c r="E79" s="85"/>
      <c r="F79" s="86"/>
      <c r="G79" s="86"/>
      <c r="H79" s="86"/>
      <c r="I79" s="5"/>
      <c r="J79" s="5"/>
      <c r="K79" s="37" t="s">
        <v>18</v>
      </c>
      <c r="L79" s="38">
        <f>I75</f>
        <v>750</v>
      </c>
      <c r="M79" s="39">
        <f>MAX(L78-L79,0)</f>
        <v>250</v>
      </c>
      <c r="O79" s="16"/>
      <c r="P79" s="5"/>
      <c r="Q79" s="5"/>
      <c r="R79" s="5"/>
      <c r="S79" s="5"/>
      <c r="T79" s="13"/>
    </row>
    <row r="80" spans="1:20" x14ac:dyDescent="0.25">
      <c r="A80" s="147" t="s">
        <v>22</v>
      </c>
      <c r="B80" s="148"/>
      <c r="E80" s="138" t="str">
        <f>"DA Incremental Cost @ DA MW ("&amp;$B74&amp;" MW)"</f>
        <v>DA Incremental Cost @ DA MW (50 MW)</v>
      </c>
      <c r="F80" s="139"/>
      <c r="G80" s="139"/>
      <c r="H80" s="139"/>
      <c r="I80" s="44">
        <f>F70</f>
        <v>1000</v>
      </c>
      <c r="J80" s="5"/>
      <c r="K80" s="29"/>
      <c r="L80" s="5"/>
      <c r="M80" s="13"/>
      <c r="O80" s="136" t="str">
        <f>"DA Incremental Cost @ DA MW ("&amp;$B74&amp;" MW)"</f>
        <v>DA Incremental Cost @ DA MW (50 MW)</v>
      </c>
      <c r="P80" s="137"/>
      <c r="Q80" s="137"/>
      <c r="R80" s="137"/>
      <c r="S80" s="137"/>
      <c r="T80" s="89">
        <f>I80</f>
        <v>1000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-100</v>
      </c>
      <c r="D82" s="32"/>
      <c r="E82" s="138" t="s">
        <v>19</v>
      </c>
      <c r="F82" s="139"/>
      <c r="G82" s="139"/>
      <c r="H82" s="139"/>
      <c r="I82" s="40">
        <f>I75+I78-I80</f>
        <v>0</v>
      </c>
      <c r="J82" s="5"/>
      <c r="K82" s="29"/>
      <c r="L82" s="45"/>
      <c r="M82" s="13"/>
      <c r="O82" s="136" t="s">
        <v>19</v>
      </c>
      <c r="P82" s="137"/>
      <c r="Q82" s="137"/>
      <c r="R82" s="137"/>
      <c r="S82" s="137"/>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50</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50</v>
      </c>
      <c r="E86" s="140" t="s">
        <v>20</v>
      </c>
      <c r="F86" s="141"/>
      <c r="G86" s="141"/>
      <c r="H86" s="141"/>
      <c r="I86" s="141"/>
      <c r="J86" s="141"/>
      <c r="K86" s="141"/>
      <c r="L86" s="141"/>
      <c r="M86" s="142"/>
      <c r="O86" s="160" t="s">
        <v>20</v>
      </c>
      <c r="P86" s="161"/>
      <c r="Q86" s="161"/>
      <c r="R86" s="161"/>
      <c r="S86" s="161"/>
      <c r="T86" s="162"/>
    </row>
    <row r="87" spans="1:20" x14ac:dyDescent="0.25">
      <c r="E87" s="85" t="s">
        <v>12</v>
      </c>
      <c r="F87" s="86"/>
      <c r="G87" s="86"/>
      <c r="H87" s="86"/>
      <c r="I87" s="5"/>
      <c r="J87" s="5"/>
      <c r="K87" s="5"/>
      <c r="L87" s="5"/>
      <c r="M87" s="13"/>
      <c r="O87" s="16" t="s">
        <v>12</v>
      </c>
      <c r="P87" s="5"/>
      <c r="Q87" s="5"/>
      <c r="R87" s="5"/>
      <c r="S87" s="5"/>
      <c r="T87" s="13"/>
    </row>
    <row r="88" spans="1:20" x14ac:dyDescent="0.25">
      <c r="E88" s="138" t="s">
        <v>21</v>
      </c>
      <c r="F88" s="139"/>
      <c r="G88" s="139"/>
      <c r="H88" s="139"/>
      <c r="I88" s="29">
        <f>(B81-B74)*B82</f>
        <v>-5000</v>
      </c>
      <c r="J88" s="29"/>
      <c r="K88" s="29"/>
      <c r="L88" s="29"/>
      <c r="M88" s="13"/>
      <c r="O88" s="136" t="s">
        <v>21</v>
      </c>
      <c r="P88" s="137"/>
      <c r="Q88" s="137"/>
      <c r="R88" s="137"/>
      <c r="S88" s="137"/>
      <c r="T88" s="30">
        <f>I88</f>
        <v>-5000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MAX(M95*-1,0)</f>
        <v>5000</v>
      </c>
      <c r="J90" s="29"/>
      <c r="K90" s="143" t="s">
        <v>30</v>
      </c>
      <c r="L90" s="144"/>
      <c r="M90" s="145"/>
      <c r="O90" s="136" t="s">
        <v>23</v>
      </c>
      <c r="P90" s="137"/>
      <c r="Q90" s="137"/>
      <c r="R90" s="137"/>
      <c r="S90" s="137"/>
      <c r="T90" s="30">
        <f>I90</f>
        <v>5000</v>
      </c>
    </row>
    <row r="91" spans="1:20" x14ac:dyDescent="0.25">
      <c r="E91" s="92"/>
      <c r="F91" s="67"/>
      <c r="G91" s="67"/>
      <c r="H91" s="67"/>
      <c r="I91" s="76"/>
      <c r="J91" s="76"/>
      <c r="K91" s="128" t="s">
        <v>24</v>
      </c>
      <c r="L91" s="129"/>
      <c r="M91" s="56">
        <f>I75</f>
        <v>750</v>
      </c>
      <c r="O91" s="75"/>
      <c r="P91" s="76"/>
      <c r="Q91" s="76"/>
      <c r="R91" s="76"/>
      <c r="S91" s="76"/>
      <c r="T91" s="77"/>
    </row>
    <row r="92" spans="1:20" x14ac:dyDescent="0.25">
      <c r="E92" s="130" t="str">
        <f>"Incremental Cost @ RT MW Used ("&amp;$B86&amp;" MW)"</f>
        <v>Incremental Cost @ RT MW Used (50 MW)</v>
      </c>
      <c r="F92" s="131"/>
      <c r="G92" s="131"/>
      <c r="H92" s="131"/>
      <c r="I92" s="8">
        <f>M94</f>
        <v>1000</v>
      </c>
      <c r="J92" s="8"/>
      <c r="K92" s="128" t="s">
        <v>17</v>
      </c>
      <c r="L92" s="129"/>
      <c r="M92" s="56">
        <f>I78</f>
        <v>250</v>
      </c>
      <c r="O92" s="136" t="str">
        <f>"Incremental Cost @ Actual RT MW ("&amp;$B81&amp;" MW)"</f>
        <v>Incremental Cost @ Actual RT MW (100 MW)</v>
      </c>
      <c r="P92" s="137"/>
      <c r="Q92" s="137"/>
      <c r="R92" s="137"/>
      <c r="S92" s="137"/>
      <c r="T92" s="6">
        <f>T70</f>
        <v>2250</v>
      </c>
    </row>
    <row r="93" spans="1:20" x14ac:dyDescent="0.25">
      <c r="E93" s="93"/>
      <c r="F93" s="100"/>
      <c r="G93" s="100"/>
      <c r="H93" s="100"/>
      <c r="I93" s="48"/>
      <c r="J93" s="48"/>
      <c r="K93" s="132" t="s">
        <v>25</v>
      </c>
      <c r="L93" s="133"/>
      <c r="M93" s="30">
        <f>(B85-B74)*B82</f>
        <v>-5000</v>
      </c>
      <c r="O93" s="47"/>
      <c r="P93" s="87"/>
      <c r="Q93" s="87"/>
      <c r="R93" s="87"/>
      <c r="S93" s="87"/>
      <c r="T93" s="90"/>
    </row>
    <row r="94" spans="1:20" ht="15.75" thickBot="1" x14ac:dyDescent="0.3">
      <c r="E94" s="134" t="s">
        <v>26</v>
      </c>
      <c r="F94" s="135"/>
      <c r="G94" s="135"/>
      <c r="H94" s="135"/>
      <c r="I94" s="50">
        <f>I75+I78+I88+I90-I92</f>
        <v>0</v>
      </c>
      <c r="J94" s="104"/>
      <c r="K94" s="136" t="s">
        <v>46</v>
      </c>
      <c r="L94" s="137"/>
      <c r="M94" s="30">
        <f>M70</f>
        <v>1000</v>
      </c>
      <c r="O94" s="136" t="s">
        <v>26</v>
      </c>
      <c r="P94" s="137"/>
      <c r="Q94" s="137"/>
      <c r="R94" s="137"/>
      <c r="S94" s="137"/>
      <c r="T94" s="91">
        <f>T75+T78+T88+T90-T92</f>
        <v>-1250</v>
      </c>
    </row>
    <row r="95" spans="1:20" ht="29.25" customHeight="1" thickTop="1" thickBot="1" x14ac:dyDescent="0.3">
      <c r="E95" s="49"/>
      <c r="F95" s="8"/>
      <c r="G95" s="8"/>
      <c r="H95" s="8"/>
      <c r="I95" s="8"/>
      <c r="J95" s="8"/>
      <c r="K95" s="124" t="s">
        <v>72</v>
      </c>
      <c r="L95" s="125"/>
      <c r="M95" s="103">
        <f>M91+M92+M93-M94</f>
        <v>-5000</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22"/>
      <c r="E106" s="54"/>
      <c r="F106" s="54"/>
      <c r="G106" s="122"/>
      <c r="H106" s="53"/>
      <c r="I106" s="55"/>
      <c r="J106" s="53"/>
      <c r="K106" s="53"/>
      <c r="L106" s="53"/>
      <c r="M106" s="53"/>
      <c r="N106" s="53"/>
      <c r="O106" s="53"/>
      <c r="P106" s="53"/>
      <c r="Q106" s="53"/>
      <c r="R106" s="53"/>
      <c r="S106" s="53"/>
      <c r="T106" s="53"/>
    </row>
    <row r="107" spans="1:23" x14ac:dyDescent="0.25">
      <c r="A107" s="126" t="s">
        <v>54</v>
      </c>
      <c r="B107" s="126"/>
      <c r="C107" s="126"/>
      <c r="D107" s="126"/>
      <c r="E107" s="126"/>
      <c r="F107" s="126"/>
      <c r="G107" s="126"/>
      <c r="H107" s="126"/>
      <c r="I107" s="126"/>
      <c r="J107" s="126"/>
      <c r="K107" s="126"/>
      <c r="L107" s="126"/>
      <c r="M107" s="126"/>
      <c r="N107" s="126"/>
      <c r="O107" s="126"/>
      <c r="P107" s="126"/>
      <c r="Q107" s="126"/>
      <c r="R107" s="126"/>
      <c r="S107" s="126"/>
      <c r="T107" s="126"/>
    </row>
    <row r="108" spans="1:23" s="83" customFormat="1" ht="15.75" thickBot="1" x14ac:dyDescent="0.3">
      <c r="A108" s="127"/>
      <c r="B108" s="127"/>
      <c r="C108" s="127"/>
      <c r="D108" s="127"/>
      <c r="E108" s="127"/>
      <c r="F108" s="127"/>
      <c r="G108" s="127"/>
      <c r="H108" s="127"/>
      <c r="I108" s="127"/>
      <c r="J108" s="127"/>
      <c r="K108" s="127"/>
      <c r="L108" s="127"/>
      <c r="M108" s="127"/>
      <c r="N108" s="127"/>
      <c r="O108" s="127"/>
      <c r="P108" s="127"/>
      <c r="Q108" s="127"/>
      <c r="R108" s="127"/>
      <c r="S108" s="127"/>
      <c r="T108" s="127"/>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120" t="s">
        <v>3</v>
      </c>
      <c r="B110" s="117" t="s">
        <v>33</v>
      </c>
      <c r="C110" s="117" t="s">
        <v>34</v>
      </c>
      <c r="D110" s="121" t="s">
        <v>4</v>
      </c>
      <c r="E110" s="120" t="s">
        <v>5</v>
      </c>
      <c r="F110" s="117" t="s">
        <v>6</v>
      </c>
      <c r="G110" s="118" t="s">
        <v>7</v>
      </c>
      <c r="H110" s="69" t="s">
        <v>38</v>
      </c>
      <c r="I110" s="65" t="s">
        <v>8</v>
      </c>
      <c r="J110" s="65" t="s">
        <v>6</v>
      </c>
      <c r="K110" s="66" t="s">
        <v>7</v>
      </c>
      <c r="L110" s="119" t="s">
        <v>5</v>
      </c>
      <c r="M110" s="65" t="s">
        <v>49</v>
      </c>
      <c r="N110" s="66" t="s">
        <v>47</v>
      </c>
    </row>
    <row r="111" spans="1:23" x14ac:dyDescent="0.25">
      <c r="A111" s="4">
        <v>1</v>
      </c>
      <c r="B111" s="5">
        <v>0</v>
      </c>
      <c r="C111" s="5">
        <v>50</v>
      </c>
      <c r="D111" s="6">
        <v>20</v>
      </c>
      <c r="E111" s="7">
        <f>IF(AND(B$74&gt;B111,B$74&lt;=C111),B$74,0)</f>
        <v>50</v>
      </c>
      <c r="F111" s="8">
        <f>IF(B125&gt;0,D111,0)</f>
        <v>20</v>
      </c>
      <c r="G111" s="8">
        <f>IF(E111&gt;0,IF(E111=B111,D111,IF(AND(E111&gt;B111,E111&lt;=C111),D111+(E111-B111)*((D111-D111)/(C111-B111)),0)),0)</f>
        <v>20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16" t="s">
        <v>3</v>
      </c>
      <c r="B116" s="117" t="s">
        <v>33</v>
      </c>
      <c r="C116" s="117" t="s">
        <v>34</v>
      </c>
      <c r="D116" s="117" t="s">
        <v>49</v>
      </c>
      <c r="E116" s="117" t="s">
        <v>47</v>
      </c>
      <c r="F116" s="118" t="s">
        <v>48</v>
      </c>
      <c r="H116" s="116" t="s">
        <v>3</v>
      </c>
      <c r="I116" s="117" t="s">
        <v>50</v>
      </c>
      <c r="J116" s="117" t="s">
        <v>51</v>
      </c>
      <c r="K116" s="117" t="s">
        <v>49</v>
      </c>
      <c r="L116" s="117" t="s">
        <v>47</v>
      </c>
      <c r="M116" s="118" t="s">
        <v>48</v>
      </c>
      <c r="O116" s="116" t="s">
        <v>3</v>
      </c>
      <c r="P116" s="117" t="s">
        <v>33</v>
      </c>
      <c r="Q116" s="117" t="s">
        <v>34</v>
      </c>
      <c r="R116" s="117" t="s">
        <v>49</v>
      </c>
      <c r="S116" s="117" t="s">
        <v>47</v>
      </c>
      <c r="T116" s="118" t="s">
        <v>48</v>
      </c>
    </row>
    <row r="117" spans="1:20" x14ac:dyDescent="0.25">
      <c r="A117" s="4">
        <v>1</v>
      </c>
      <c r="B117" s="5">
        <v>0</v>
      </c>
      <c r="C117" s="5">
        <f>IF(AND(B125&gt;B111,B125&lt;C111),B125,IF(B125&gt;=C111,C111,0))</f>
        <v>50</v>
      </c>
      <c r="D117" s="29">
        <f>MIN(D111,F111)</f>
        <v>20</v>
      </c>
      <c r="E117" s="29">
        <f>IF(AND(B$125&gt;B111,B$125&lt;C111),G111,IF(B$125&gt;=C111,D111,0))</f>
        <v>20</v>
      </c>
      <c r="F117" s="30">
        <f>(C117-B117)*(D117+E117)/2</f>
        <v>1000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IF(B$125&gt;C113,C119,0)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1000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50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15</v>
      </c>
      <c r="E126" s="138" t="s">
        <v>14</v>
      </c>
      <c r="F126" s="139"/>
      <c r="G126" s="139"/>
      <c r="H126" s="139"/>
      <c r="I126" s="42">
        <f>B125*B126</f>
        <v>750</v>
      </c>
      <c r="J126" s="5"/>
      <c r="K126" s="5"/>
      <c r="L126" s="5"/>
      <c r="M126" s="13"/>
      <c r="O126" s="136" t="s">
        <v>14</v>
      </c>
      <c r="P126" s="137"/>
      <c r="Q126" s="137"/>
      <c r="R126" s="137"/>
      <c r="S126" s="137"/>
      <c r="T126" s="56">
        <f>I126</f>
        <v>750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250</v>
      </c>
      <c r="J129" s="5"/>
      <c r="K129" s="35" t="s">
        <v>16</v>
      </c>
      <c r="L129" s="36">
        <f>F121</f>
        <v>1000</v>
      </c>
      <c r="M129" s="105" t="s">
        <v>17</v>
      </c>
      <c r="O129" s="136" t="s">
        <v>15</v>
      </c>
      <c r="P129" s="137"/>
      <c r="Q129" s="137"/>
      <c r="R129" s="137"/>
      <c r="S129" s="137"/>
      <c r="T129" s="88">
        <f>I129</f>
        <v>250</v>
      </c>
    </row>
    <row r="130" spans="1:20" ht="15.75" thickBot="1" x14ac:dyDescent="0.3">
      <c r="A130" s="68" t="s">
        <v>37</v>
      </c>
      <c r="E130" s="85"/>
      <c r="F130" s="86"/>
      <c r="G130" s="86"/>
      <c r="H130" s="86"/>
      <c r="I130" s="5"/>
      <c r="J130" s="5"/>
      <c r="K130" s="37" t="s">
        <v>18</v>
      </c>
      <c r="L130" s="38">
        <f>I126</f>
        <v>750</v>
      </c>
      <c r="M130" s="39">
        <f>MAX(L129-L130,0)</f>
        <v>250</v>
      </c>
      <c r="O130" s="16"/>
      <c r="P130" s="5"/>
      <c r="Q130" s="5"/>
      <c r="R130" s="5"/>
      <c r="S130" s="5"/>
      <c r="T130" s="13"/>
    </row>
    <row r="131" spans="1:20" x14ac:dyDescent="0.25">
      <c r="A131" s="147" t="s">
        <v>22</v>
      </c>
      <c r="B131" s="148"/>
      <c r="E131" s="138" t="str">
        <f>"DA Incremental Cost @ DA MW ("&amp;$B125&amp;" MW)"</f>
        <v>DA Incremental Cost @ DA MW (50 MW)</v>
      </c>
      <c r="F131" s="139"/>
      <c r="G131" s="139"/>
      <c r="H131" s="139"/>
      <c r="I131" s="44">
        <f>F121</f>
        <v>1000</v>
      </c>
      <c r="J131" s="5"/>
      <c r="K131" s="29"/>
      <c r="L131" s="5"/>
      <c r="M131" s="13"/>
      <c r="O131" s="136" t="str">
        <f>"DA Incremental Cost @ DA MW ("&amp;$B125&amp;" MW)"</f>
        <v>DA Incremental Cost @ DA MW (50 MW)</v>
      </c>
      <c r="P131" s="137"/>
      <c r="Q131" s="137"/>
      <c r="R131" s="137"/>
      <c r="S131" s="137"/>
      <c r="T131" s="89">
        <f>I131</f>
        <v>1000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-100</v>
      </c>
      <c r="D133" s="32"/>
      <c r="E133" s="138" t="s">
        <v>19</v>
      </c>
      <c r="F133" s="139"/>
      <c r="G133" s="139"/>
      <c r="H133" s="139"/>
      <c r="I133" s="40">
        <f>I126+I129-I131</f>
        <v>0</v>
      </c>
      <c r="J133" s="5"/>
      <c r="K133" s="29"/>
      <c r="L133" s="45"/>
      <c r="M133" s="13"/>
      <c r="O133" s="136" t="s">
        <v>19</v>
      </c>
      <c r="P133" s="137"/>
      <c r="Q133" s="137"/>
      <c r="R133" s="137"/>
      <c r="S133" s="137"/>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50</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50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140" t="s">
        <v>20</v>
      </c>
      <c r="F137" s="141"/>
      <c r="G137" s="141"/>
      <c r="H137" s="141"/>
      <c r="I137" s="141"/>
      <c r="J137" s="141"/>
      <c r="K137" s="141"/>
      <c r="L137" s="141"/>
      <c r="M137" s="142"/>
      <c r="O137" s="160" t="s">
        <v>20</v>
      </c>
      <c r="P137" s="161"/>
      <c r="Q137" s="161"/>
      <c r="R137" s="161"/>
      <c r="S137" s="161"/>
      <c r="T137" s="162"/>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138" t="s">
        <v>21</v>
      </c>
      <c r="F139" s="139"/>
      <c r="G139" s="139"/>
      <c r="H139" s="139"/>
      <c r="I139" s="29">
        <f>(B132-B125)*B133</f>
        <v>-5000</v>
      </c>
      <c r="J139" s="29"/>
      <c r="K139" s="29"/>
      <c r="L139" s="29"/>
      <c r="M139" s="13"/>
      <c r="O139" s="136" t="s">
        <v>21</v>
      </c>
      <c r="P139" s="137"/>
      <c r="Q139" s="137"/>
      <c r="R139" s="137"/>
      <c r="S139" s="137"/>
      <c r="T139" s="30">
        <f>I139</f>
        <v>-5000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MAX(M146*-1,0)</f>
        <v>0</v>
      </c>
      <c r="J141" s="29"/>
      <c r="K141" s="143" t="s">
        <v>30</v>
      </c>
      <c r="L141" s="144"/>
      <c r="M141" s="145"/>
      <c r="O141" s="136" t="s">
        <v>23</v>
      </c>
      <c r="P141" s="137"/>
      <c r="Q141" s="137"/>
      <c r="R141" s="137"/>
      <c r="S141" s="137"/>
      <c r="T141" s="30">
        <f>I141</f>
        <v>0</v>
      </c>
    </row>
    <row r="142" spans="1:20" x14ac:dyDescent="0.25">
      <c r="E142" s="92"/>
      <c r="F142" s="67"/>
      <c r="G142" s="67"/>
      <c r="H142" s="67"/>
      <c r="I142" s="76"/>
      <c r="J142" s="76"/>
      <c r="K142" s="128" t="s">
        <v>24</v>
      </c>
      <c r="L142" s="129"/>
      <c r="M142" s="56">
        <f>I126</f>
        <v>750</v>
      </c>
      <c r="O142" s="75"/>
      <c r="P142" s="76"/>
      <c r="Q142" s="76"/>
      <c r="R142" s="76"/>
      <c r="S142" s="76"/>
      <c r="T142" s="77"/>
    </row>
    <row r="143" spans="1:20" x14ac:dyDescent="0.25">
      <c r="E143" s="130" t="str">
        <f>"Incremental Cost @ RT MW Used ("&amp;$B137&amp;" MW)"</f>
        <v>Incremental Cost @ RT MW Used (50 MW)</v>
      </c>
      <c r="F143" s="131"/>
      <c r="G143" s="131"/>
      <c r="H143" s="131"/>
      <c r="I143" s="8">
        <f>M145</f>
        <v>1000</v>
      </c>
      <c r="J143" s="8"/>
      <c r="K143" s="128" t="s">
        <v>17</v>
      </c>
      <c r="L143" s="129"/>
      <c r="M143" s="56">
        <f>I129</f>
        <v>250</v>
      </c>
      <c r="O143" s="136" t="str">
        <f>"Incremental Cost @ Actual RT MW ("&amp;$B132&amp;" MW)"</f>
        <v>Incremental Cost @ Actual RT MW (100 MW)</v>
      </c>
      <c r="P143" s="137"/>
      <c r="Q143" s="137"/>
      <c r="R143" s="137"/>
      <c r="S143" s="137"/>
      <c r="T143" s="6">
        <f>T121</f>
        <v>2250</v>
      </c>
    </row>
    <row r="144" spans="1:20" x14ac:dyDescent="0.25">
      <c r="E144" s="93"/>
      <c r="F144" s="100"/>
      <c r="G144" s="100"/>
      <c r="H144" s="100"/>
      <c r="I144" s="48"/>
      <c r="J144" s="48"/>
      <c r="K144" s="132" t="s">
        <v>25</v>
      </c>
      <c r="L144" s="133"/>
      <c r="M144" s="30">
        <f>(B136-B125)*B133</f>
        <v>0</v>
      </c>
      <c r="O144" s="47"/>
      <c r="P144" s="87"/>
      <c r="Q144" s="87"/>
      <c r="R144" s="87"/>
      <c r="S144" s="87"/>
      <c r="T144" s="90"/>
    </row>
    <row r="145" spans="4:20" ht="15.75" thickBot="1" x14ac:dyDescent="0.3">
      <c r="E145" s="134" t="s">
        <v>26</v>
      </c>
      <c r="F145" s="135"/>
      <c r="G145" s="135"/>
      <c r="H145" s="135"/>
      <c r="I145" s="50">
        <f>I126+I129+I139+I141-I143</f>
        <v>-5000</v>
      </c>
      <c r="J145" s="104"/>
      <c r="K145" s="136" t="s">
        <v>46</v>
      </c>
      <c r="L145" s="137"/>
      <c r="M145" s="30">
        <f>M121</f>
        <v>1000</v>
      </c>
      <c r="O145" s="136" t="s">
        <v>26</v>
      </c>
      <c r="P145" s="137"/>
      <c r="Q145" s="137"/>
      <c r="R145" s="137"/>
      <c r="S145" s="137"/>
      <c r="T145" s="91">
        <f>T126+T129+T139+T141-T143</f>
        <v>-6250</v>
      </c>
    </row>
    <row r="146" spans="4:20" ht="30" customHeight="1" thickTop="1" thickBot="1" x14ac:dyDescent="0.3">
      <c r="E146" s="49"/>
      <c r="F146" s="8"/>
      <c r="G146" s="8"/>
      <c r="H146" s="8"/>
      <c r="I146" s="8"/>
      <c r="J146" s="8"/>
      <c r="K146" s="124" t="s">
        <v>72</v>
      </c>
      <c r="L146" s="125"/>
      <c r="M146" s="103">
        <f>M142+M143+M144-M145</f>
        <v>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0">
    <mergeCell ref="K144:L144"/>
    <mergeCell ref="E145:H145"/>
    <mergeCell ref="K145:L145"/>
    <mergeCell ref="O145:S145"/>
    <mergeCell ref="K146:L1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A109:D109"/>
    <mergeCell ref="E109:G109"/>
    <mergeCell ref="H109:K109"/>
    <mergeCell ref="L109:N109"/>
    <mergeCell ref="A115:B115"/>
    <mergeCell ref="H115:M115"/>
    <mergeCell ref="K93:L93"/>
    <mergeCell ref="E94:H94"/>
    <mergeCell ref="K94:L94"/>
    <mergeCell ref="O94:S94"/>
    <mergeCell ref="K95:L95"/>
    <mergeCell ref="A107:T108"/>
    <mergeCell ref="E90:H90"/>
    <mergeCell ref="K90:M90"/>
    <mergeCell ref="O90:S90"/>
    <mergeCell ref="K91:L91"/>
    <mergeCell ref="E92:H92"/>
    <mergeCell ref="K92:L92"/>
    <mergeCell ref="O92:S92"/>
    <mergeCell ref="E82:H82"/>
    <mergeCell ref="O82:S82"/>
    <mergeCell ref="E86:M86"/>
    <mergeCell ref="O86:T86"/>
    <mergeCell ref="E88:H88"/>
    <mergeCell ref="O88:S88"/>
    <mergeCell ref="E74:H74"/>
    <mergeCell ref="E75:H75"/>
    <mergeCell ref="O75:S75"/>
    <mergeCell ref="E78:H78"/>
    <mergeCell ref="O78:S78"/>
    <mergeCell ref="A80:B80"/>
    <mergeCell ref="E80:H80"/>
    <mergeCell ref="O80:S80"/>
    <mergeCell ref="O64:T64"/>
    <mergeCell ref="E72:M72"/>
    <mergeCell ref="O72:T72"/>
    <mergeCell ref="A73:B73"/>
    <mergeCell ref="E73:M73"/>
    <mergeCell ref="O73:T73"/>
    <mergeCell ref="A58:D58"/>
    <mergeCell ref="E58:G58"/>
    <mergeCell ref="H58:K58"/>
    <mergeCell ref="L58:N58"/>
    <mergeCell ref="A64:F64"/>
    <mergeCell ref="H64:M64"/>
    <mergeCell ref="K42:L42"/>
    <mergeCell ref="E43:H43"/>
    <mergeCell ref="K43:L43"/>
    <mergeCell ref="O43:S43"/>
    <mergeCell ref="K44:L44"/>
    <mergeCell ref="A56:T57"/>
    <mergeCell ref="E39:H39"/>
    <mergeCell ref="K39:M39"/>
    <mergeCell ref="O39:S39"/>
    <mergeCell ref="K40:L40"/>
    <mergeCell ref="E41:H41"/>
    <mergeCell ref="K41:L41"/>
    <mergeCell ref="O41:S41"/>
    <mergeCell ref="E31:H31"/>
    <mergeCell ref="O31:S31"/>
    <mergeCell ref="E35:M35"/>
    <mergeCell ref="O35:T35"/>
    <mergeCell ref="E37:H37"/>
    <mergeCell ref="O37:S37"/>
    <mergeCell ref="E27:H27"/>
    <mergeCell ref="O27:S27"/>
    <mergeCell ref="A28:D28"/>
    <mergeCell ref="A29:B29"/>
    <mergeCell ref="E29:H29"/>
    <mergeCell ref="O29:S29"/>
    <mergeCell ref="E23:H23"/>
    <mergeCell ref="E24:H24"/>
    <mergeCell ref="O24:S24"/>
    <mergeCell ref="A13:F13"/>
    <mergeCell ref="H13:M13"/>
    <mergeCell ref="O13:T13"/>
    <mergeCell ref="A21:D21"/>
    <mergeCell ref="E21:M21"/>
    <mergeCell ref="O21:T21"/>
    <mergeCell ref="A1:T2"/>
    <mergeCell ref="A5:T6"/>
    <mergeCell ref="A7:D7"/>
    <mergeCell ref="E7:G7"/>
    <mergeCell ref="H7:K7"/>
    <mergeCell ref="L7:N7"/>
    <mergeCell ref="A22:B22"/>
    <mergeCell ref="E22:M22"/>
    <mergeCell ref="O22:T2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opLeftCell="A154" zoomScale="120" zoomScaleNormal="120" workbookViewId="0">
      <selection activeCell="K146" sqref="K146:L146"/>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69</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63</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12" t="s">
        <v>3</v>
      </c>
      <c r="B8" s="113" t="s">
        <v>33</v>
      </c>
      <c r="C8" s="113" t="s">
        <v>34</v>
      </c>
      <c r="D8" s="114" t="s">
        <v>4</v>
      </c>
      <c r="E8" s="112" t="s">
        <v>5</v>
      </c>
      <c r="F8" s="113" t="s">
        <v>6</v>
      </c>
      <c r="G8" s="114"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45</v>
      </c>
      <c r="I9" s="15">
        <f>IF(AND(B$35&gt;B9,B$35&lt;=C9),B$35,0)</f>
        <v>45</v>
      </c>
      <c r="J9" s="9">
        <f>IF(B30&gt;0,D9,0)</f>
        <v>20</v>
      </c>
      <c r="K9" s="9">
        <f>IF(H9&gt;0,IF(H9=B9,D9,IF(AND(H9&gt;B9,H9&lt;=C9),D9+(H9-B9)*((D9-D9)/(C9-B9)),0)),0)</f>
        <v>20</v>
      </c>
      <c r="L9" s="14">
        <f>IF(AND(B30&gt;B9,B30&lt;=C9),B30,0)</f>
        <v>45</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109" t="s">
        <v>3</v>
      </c>
      <c r="B14" s="113" t="s">
        <v>33</v>
      </c>
      <c r="C14" s="113" t="s">
        <v>34</v>
      </c>
      <c r="D14" s="113" t="s">
        <v>36</v>
      </c>
      <c r="E14" s="113" t="s">
        <v>7</v>
      </c>
      <c r="F14" s="114" t="s">
        <v>48</v>
      </c>
      <c r="H14" s="109" t="s">
        <v>3</v>
      </c>
      <c r="I14" s="113" t="s">
        <v>33</v>
      </c>
      <c r="J14" s="113" t="s">
        <v>34</v>
      </c>
      <c r="K14" s="113" t="s">
        <v>36</v>
      </c>
      <c r="L14" s="113" t="s">
        <v>47</v>
      </c>
      <c r="M14" s="114" t="s">
        <v>48</v>
      </c>
      <c r="O14" s="75"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45</v>
      </c>
      <c r="K15" s="29">
        <f>MIN(D9,J9)</f>
        <v>20</v>
      </c>
      <c r="L15" s="29">
        <f>IF(AND(MAX(I$9:I$11)&gt;B9,MAX(I$9:I$11)&lt;C9),K9,IF(MAX(I$9:I$11)&gt;=C9,D9,0))</f>
        <v>20</v>
      </c>
      <c r="M15" s="30">
        <f>(J15-I15)*(K15+L15)/2</f>
        <v>900</v>
      </c>
      <c r="O15" s="75">
        <v>1</v>
      </c>
      <c r="P15" s="5">
        <v>0</v>
      </c>
      <c r="Q15" s="5">
        <f>IF(AND(B$30&gt;B9,B$30&lt;C9),B$30,IF(B$30&gt;=C9,C9,0))</f>
        <v>45</v>
      </c>
      <c r="R15" s="29">
        <f>MIN(D9,M9)</f>
        <v>20</v>
      </c>
      <c r="S15" s="29">
        <f>IF(AND(B$30&gt;B9,B$30&lt;C9),N9,IF(B$30&gt;=C9,D9,0))</f>
        <v>20</v>
      </c>
      <c r="T15" s="30">
        <f>(Q15-P15)*(R15+S15)/2</f>
        <v>900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900</v>
      </c>
      <c r="O19" s="24"/>
      <c r="P19" s="18"/>
      <c r="Q19" s="18"/>
      <c r="R19" s="21"/>
      <c r="S19" s="21"/>
      <c r="T19" s="31">
        <f>SUM(T15:T18)</f>
        <v>900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0</v>
      </c>
      <c r="E23" s="152" t="s">
        <v>12</v>
      </c>
      <c r="F23" s="153"/>
      <c r="G23" s="153"/>
      <c r="H23" s="153"/>
      <c r="I23" s="99"/>
      <c r="J23" s="10"/>
      <c r="K23" s="10"/>
      <c r="L23" s="10"/>
      <c r="M23" s="26"/>
      <c r="O23" s="16" t="s">
        <v>12</v>
      </c>
      <c r="P23" s="29"/>
      <c r="Q23" s="5"/>
      <c r="R23" s="5"/>
      <c r="S23" s="5"/>
      <c r="T23" s="13"/>
    </row>
    <row r="24" spans="1:20" ht="15.75" thickBot="1" x14ac:dyDescent="0.3">
      <c r="A24" s="17" t="s">
        <v>13</v>
      </c>
      <c r="B24" s="19">
        <v>0</v>
      </c>
      <c r="E24" s="138" t="s">
        <v>14</v>
      </c>
      <c r="F24" s="139"/>
      <c r="G24" s="139"/>
      <c r="H24" s="139"/>
      <c r="I24" s="42">
        <f>B23*B24</f>
        <v>0</v>
      </c>
      <c r="J24" s="5"/>
      <c r="K24" s="5"/>
      <c r="L24" s="5"/>
      <c r="M24" s="13"/>
      <c r="O24" s="136" t="s">
        <v>14</v>
      </c>
      <c r="P24" s="137"/>
      <c r="Q24" s="137"/>
      <c r="R24" s="137"/>
      <c r="S24" s="137"/>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0</v>
      </c>
      <c r="J27" s="5"/>
      <c r="K27" s="35" t="s">
        <v>16</v>
      </c>
      <c r="L27" s="36">
        <f>F19</f>
        <v>0</v>
      </c>
      <c r="M27" s="105" t="s">
        <v>17</v>
      </c>
      <c r="O27" s="136" t="s">
        <v>15</v>
      </c>
      <c r="P27" s="137"/>
      <c r="Q27" s="137"/>
      <c r="R27" s="137"/>
      <c r="S27" s="137"/>
      <c r="T27" s="88">
        <f>I27</f>
        <v>0</v>
      </c>
    </row>
    <row r="28" spans="1:20" ht="15.75" thickBot="1" x14ac:dyDescent="0.3">
      <c r="A28" s="171" t="s">
        <v>37</v>
      </c>
      <c r="B28" s="171"/>
      <c r="C28" s="171"/>
      <c r="D28" s="172"/>
      <c r="E28" s="85"/>
      <c r="F28" s="86"/>
      <c r="G28" s="86"/>
      <c r="H28" s="86"/>
      <c r="I28" s="5"/>
      <c r="J28" s="5"/>
      <c r="K28" s="37" t="s">
        <v>18</v>
      </c>
      <c r="L28" s="38">
        <f>I24</f>
        <v>0</v>
      </c>
      <c r="M28" s="39">
        <f>MAX(L27-L28,0)</f>
        <v>0</v>
      </c>
      <c r="O28" s="16"/>
      <c r="P28" s="5"/>
      <c r="Q28" s="5"/>
      <c r="R28" s="5"/>
      <c r="S28" s="5"/>
      <c r="T28" s="13"/>
    </row>
    <row r="29" spans="1:20" x14ac:dyDescent="0.25">
      <c r="A29" s="147" t="s">
        <v>22</v>
      </c>
      <c r="B29" s="148"/>
      <c r="E29" s="138" t="str">
        <f>"DA Incremental Cost @ DA MW ("&amp;$B23&amp;" MW)"</f>
        <v>DA Incremental Cost @ DA MW (0 MW)</v>
      </c>
      <c r="F29" s="139"/>
      <c r="G29" s="139"/>
      <c r="H29" s="139"/>
      <c r="I29" s="44">
        <f>F19</f>
        <v>0</v>
      </c>
      <c r="J29" s="5"/>
      <c r="K29" s="29"/>
      <c r="L29" s="5"/>
      <c r="M29" s="13"/>
      <c r="O29" s="136" t="str">
        <f>"DA Incremental Cost @ DA MW ("&amp;$B23&amp;" MW)"</f>
        <v>DA Incremental Cost @ DA MW (0 MW)</v>
      </c>
      <c r="P29" s="137"/>
      <c r="Q29" s="137"/>
      <c r="R29" s="137"/>
      <c r="S29" s="137"/>
      <c r="T29" s="89">
        <f>I29</f>
        <v>0</v>
      </c>
    </row>
    <row r="30" spans="1:20" x14ac:dyDescent="0.25">
      <c r="A30" s="16" t="s">
        <v>43</v>
      </c>
      <c r="B30" s="13">
        <v>45</v>
      </c>
      <c r="E30" s="85"/>
      <c r="F30" s="86"/>
      <c r="G30" s="86"/>
      <c r="H30" s="86"/>
      <c r="I30" s="5"/>
      <c r="J30" s="5"/>
      <c r="K30" s="5"/>
      <c r="L30" s="29"/>
      <c r="M30" s="13"/>
      <c r="O30" s="16"/>
      <c r="P30" s="5"/>
      <c r="Q30" s="5"/>
      <c r="R30" s="5"/>
      <c r="S30" s="5"/>
      <c r="T30" s="13"/>
    </row>
    <row r="31" spans="1:20" ht="15.75" thickBot="1" x14ac:dyDescent="0.3">
      <c r="A31" s="16" t="s">
        <v>13</v>
      </c>
      <c r="B31" s="6">
        <v>0</v>
      </c>
      <c r="D31" s="32"/>
      <c r="E31" s="138" t="s">
        <v>19</v>
      </c>
      <c r="F31" s="139"/>
      <c r="G31" s="139"/>
      <c r="H31" s="139"/>
      <c r="I31" s="40">
        <f>I24+I27-I29</f>
        <v>0</v>
      </c>
      <c r="J31" s="5"/>
      <c r="K31" s="29"/>
      <c r="L31" s="45"/>
      <c r="M31" s="13"/>
      <c r="O31" s="136" t="s">
        <v>19</v>
      </c>
      <c r="P31" s="137"/>
      <c r="Q31" s="137"/>
      <c r="R31" s="137"/>
      <c r="S31" s="137"/>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45</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45</v>
      </c>
      <c r="E35" s="140" t="s">
        <v>20</v>
      </c>
      <c r="F35" s="141"/>
      <c r="G35" s="141"/>
      <c r="H35" s="141"/>
      <c r="I35" s="141"/>
      <c r="J35" s="141"/>
      <c r="K35" s="141"/>
      <c r="L35" s="141"/>
      <c r="M35" s="142"/>
      <c r="N35" s="5"/>
      <c r="O35" s="140" t="s">
        <v>20</v>
      </c>
      <c r="P35" s="141"/>
      <c r="Q35" s="141"/>
      <c r="R35" s="141"/>
      <c r="S35" s="141"/>
      <c r="T35" s="142"/>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138" t="s">
        <v>21</v>
      </c>
      <c r="F37" s="139"/>
      <c r="G37" s="139"/>
      <c r="H37" s="139"/>
      <c r="I37" s="29">
        <f>(B30-B23)*B31</f>
        <v>0</v>
      </c>
      <c r="J37" s="29"/>
      <c r="K37" s="29"/>
      <c r="L37" s="29"/>
      <c r="M37" s="13"/>
      <c r="N37" s="5"/>
      <c r="O37" s="136" t="s">
        <v>21</v>
      </c>
      <c r="P37" s="137"/>
      <c r="Q37" s="137"/>
      <c r="R37" s="137"/>
      <c r="S37" s="137"/>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MAX(M44*-1,0)</f>
        <v>900</v>
      </c>
      <c r="J39" s="29"/>
      <c r="K39" s="143" t="s">
        <v>30</v>
      </c>
      <c r="L39" s="144"/>
      <c r="M39" s="145"/>
      <c r="N39" s="5"/>
      <c r="O39" s="136" t="s">
        <v>23</v>
      </c>
      <c r="P39" s="137"/>
      <c r="Q39" s="137"/>
      <c r="R39" s="137"/>
      <c r="S39" s="137"/>
      <c r="T39" s="30">
        <f>I39</f>
        <v>900</v>
      </c>
    </row>
    <row r="40" spans="1:20" x14ac:dyDescent="0.25">
      <c r="E40" s="92"/>
      <c r="F40" s="67"/>
      <c r="G40" s="67"/>
      <c r="H40" s="67"/>
      <c r="I40" s="76"/>
      <c r="J40" s="76"/>
      <c r="K40" s="128" t="s">
        <v>24</v>
      </c>
      <c r="L40" s="129"/>
      <c r="M40" s="56">
        <f>I24</f>
        <v>0</v>
      </c>
      <c r="N40" s="5"/>
      <c r="O40" s="75"/>
      <c r="P40" s="76"/>
      <c r="Q40" s="76"/>
      <c r="R40" s="76"/>
      <c r="S40" s="76"/>
      <c r="T40" s="77"/>
    </row>
    <row r="41" spans="1:20" ht="30" customHeight="1" x14ac:dyDescent="0.25">
      <c r="E41" s="130" t="str">
        <f>"Incremental Cost @ RT MW Used ("&amp;$B35&amp;" MW)"</f>
        <v>Incremental Cost @ RT MW Used (45 MW)</v>
      </c>
      <c r="F41" s="131"/>
      <c r="G41" s="131"/>
      <c r="H41" s="131"/>
      <c r="I41" s="8">
        <f>M43</f>
        <v>900</v>
      </c>
      <c r="J41" s="8"/>
      <c r="K41" s="128" t="s">
        <v>17</v>
      </c>
      <c r="L41" s="129"/>
      <c r="M41" s="56">
        <f>I27</f>
        <v>0</v>
      </c>
      <c r="N41" s="5"/>
      <c r="O41" s="136" t="str">
        <f>"Incremental Cost @ Actual RT MW ("&amp;$B30&amp;" MW)"</f>
        <v>Incremental Cost @ Actual RT MW (45 MW)</v>
      </c>
      <c r="P41" s="137"/>
      <c r="Q41" s="137"/>
      <c r="R41" s="137"/>
      <c r="S41" s="137"/>
      <c r="T41" s="6">
        <f>T19</f>
        <v>900</v>
      </c>
    </row>
    <row r="42" spans="1:20" x14ac:dyDescent="0.25">
      <c r="E42" s="93"/>
      <c r="F42" s="100"/>
      <c r="G42" s="100"/>
      <c r="H42" s="100"/>
      <c r="I42" s="48"/>
      <c r="J42" s="48"/>
      <c r="K42" s="132" t="s">
        <v>25</v>
      </c>
      <c r="L42" s="133"/>
      <c r="M42" s="30">
        <f>(B34-B23)*B31</f>
        <v>0</v>
      </c>
      <c r="N42" s="5"/>
      <c r="O42" s="47"/>
      <c r="P42" s="87"/>
      <c r="Q42" s="87"/>
      <c r="R42" s="87"/>
      <c r="S42" s="87"/>
      <c r="T42" s="90"/>
    </row>
    <row r="43" spans="1:20" ht="15.75" thickBot="1" x14ac:dyDescent="0.3">
      <c r="E43" s="134" t="s">
        <v>26</v>
      </c>
      <c r="F43" s="135"/>
      <c r="G43" s="135"/>
      <c r="H43" s="135"/>
      <c r="I43" s="50">
        <f>I24+I27+I37+I39-I41</f>
        <v>0</v>
      </c>
      <c r="J43" s="104"/>
      <c r="K43" s="136" t="s">
        <v>46</v>
      </c>
      <c r="L43" s="137"/>
      <c r="M43" s="30">
        <f>M19</f>
        <v>900</v>
      </c>
      <c r="N43" s="5"/>
      <c r="O43" s="136" t="s">
        <v>26</v>
      </c>
      <c r="P43" s="137"/>
      <c r="Q43" s="137"/>
      <c r="R43" s="137"/>
      <c r="S43" s="137"/>
      <c r="T43" s="91">
        <f>T24+T27+T37+T39-T41</f>
        <v>0</v>
      </c>
    </row>
    <row r="44" spans="1:20" ht="30.75" customHeight="1" thickTop="1" thickBot="1" x14ac:dyDescent="0.3">
      <c r="E44" s="49"/>
      <c r="F44" s="8"/>
      <c r="G44" s="8"/>
      <c r="H44" s="8"/>
      <c r="I44" s="8"/>
      <c r="J44" s="8"/>
      <c r="K44" s="124" t="s">
        <v>72</v>
      </c>
      <c r="L44" s="125"/>
      <c r="M44" s="103">
        <f>M40+M41+M42-M43</f>
        <v>-900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58</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109" t="s">
        <v>3</v>
      </c>
      <c r="B59" s="113" t="s">
        <v>33</v>
      </c>
      <c r="C59" s="113" t="s">
        <v>34</v>
      </c>
      <c r="D59" s="110" t="s">
        <v>4</v>
      </c>
      <c r="E59" s="109" t="s">
        <v>5</v>
      </c>
      <c r="F59" s="113" t="s">
        <v>6</v>
      </c>
      <c r="G59" s="114" t="s">
        <v>7</v>
      </c>
      <c r="H59" s="69" t="s">
        <v>38</v>
      </c>
      <c r="I59" s="65" t="s">
        <v>53</v>
      </c>
      <c r="J59" s="65" t="s">
        <v>6</v>
      </c>
      <c r="K59" s="66" t="s">
        <v>7</v>
      </c>
      <c r="L59" s="111"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45</v>
      </c>
      <c r="I60" s="15">
        <f>IF(AND(B$86&gt;B60,B$86&lt;=C60),B$86,0)</f>
        <v>45</v>
      </c>
      <c r="J60" s="9">
        <f>IF(B81&gt;0,D60,0)</f>
        <v>20</v>
      </c>
      <c r="K60" s="11">
        <f>IF(H60&gt;0,IF(H60=B60,D60,IF(AND(H60&gt;B60,H60&lt;=C60),D60+(H60-B60)*((D60-D60)/(C60-B60)),0)),0)</f>
        <v>20</v>
      </c>
      <c r="L60" s="14">
        <f>IF(AND(B81&gt;B60,B81&lt;=C60),B81,0)</f>
        <v>45</v>
      </c>
      <c r="M60" s="9">
        <f>IF(B81&gt;0,D60,0)</f>
        <v>20</v>
      </c>
      <c r="N60" s="11">
        <f>IF(L60&gt;0,IF(L60=B60,D60,IF(AND(L60&gt;B60,L60&lt;=C60),D60+(L60-B60)*((D60-D60)/(C60-B60)),0)),0)</f>
        <v>20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0</v>
      </c>
      <c r="M62" s="21">
        <v>0</v>
      </c>
      <c r="N62" s="19">
        <f>IF(L62&gt;0,IF(L62=B62,D62,IF(AND(L62&gt;B62,L62&lt;=C62),D62+(L62-B62)*((D62-D62)/(C62-B62)),0)),0)</f>
        <v>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12" t="s">
        <v>3</v>
      </c>
      <c r="B65" s="113" t="s">
        <v>33</v>
      </c>
      <c r="C65" s="113" t="s">
        <v>34</v>
      </c>
      <c r="D65" s="113" t="s">
        <v>49</v>
      </c>
      <c r="E65" s="113" t="s">
        <v>47</v>
      </c>
      <c r="F65" s="114" t="s">
        <v>48</v>
      </c>
      <c r="H65" s="112" t="s">
        <v>3</v>
      </c>
      <c r="I65" s="113" t="s">
        <v>50</v>
      </c>
      <c r="J65" s="113" t="s">
        <v>51</v>
      </c>
      <c r="K65" s="113" t="s">
        <v>49</v>
      </c>
      <c r="L65" s="113" t="s">
        <v>47</v>
      </c>
      <c r="M65" s="114" t="s">
        <v>48</v>
      </c>
      <c r="O65" s="112" t="s">
        <v>3</v>
      </c>
      <c r="P65" s="113" t="s">
        <v>33</v>
      </c>
      <c r="Q65" s="113" t="s">
        <v>34</v>
      </c>
      <c r="R65" s="113" t="s">
        <v>49</v>
      </c>
      <c r="S65" s="113" t="s">
        <v>47</v>
      </c>
      <c r="T65" s="114"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45</v>
      </c>
      <c r="K66" s="29">
        <f>MIN(D60,J60)</f>
        <v>20</v>
      </c>
      <c r="L66" s="29">
        <f>IF(AND(MAX(I$60:I$62)&gt;B60,MAX(I$60:I$62)&lt;C60),K60,IF(MAX(I$60:I$62)&gt;=C60,D60,0))</f>
        <v>20</v>
      </c>
      <c r="M66" s="30">
        <f>(J66-I66)*(K66+L66)/2</f>
        <v>900</v>
      </c>
      <c r="O66" s="4">
        <v>1</v>
      </c>
      <c r="P66" s="5">
        <v>0</v>
      </c>
      <c r="Q66" s="5">
        <f>IF(AND(B$81&gt;B60,B$81&lt;C60),B$81,IF(B$81&gt;=C60,C60,0))</f>
        <v>45</v>
      </c>
      <c r="R66" s="29">
        <f>MIN(D60,M60)</f>
        <v>20</v>
      </c>
      <c r="S66" s="29">
        <f>IF(AND(B$81&gt;B60,B$81&lt;C60),N60,IF(B$81&gt;=C60,D60,0))</f>
        <v>20</v>
      </c>
      <c r="T66" s="30">
        <f>(Q66-P66)*(R66+S66)/2</f>
        <v>900</v>
      </c>
    </row>
    <row r="67" spans="1:20" x14ac:dyDescent="0.25">
      <c r="A67" s="4">
        <v>2</v>
      </c>
      <c r="B67" s="5">
        <f>IF(B$23&gt;B61,C66,0)</f>
        <v>0</v>
      </c>
      <c r="C67" s="5">
        <f>IF(AND(B$74&gt;B61,B$74&lt;C61),B$74,IF(B$74&gt;=C61,C61,0))</f>
        <v>0</v>
      </c>
      <c r="D67" s="29">
        <f>IF(B67&lt;&gt;0,E66,0)</f>
        <v>0</v>
      </c>
      <c r="E67" s="29">
        <f>IF(AND(B$74&gt;B61,B$74&lt;C61),G61,IF(B$74&gt;=C61,D61,0))</f>
        <v>0</v>
      </c>
      <c r="F67" s="30">
        <f t="shared" ref="F67:F69" si="8">(C67-B67)*(D67+E67)/2</f>
        <v>0</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0</v>
      </c>
      <c r="Q67" s="5">
        <f t="shared" ref="Q67:Q69" si="11">IF(AND(B$81&gt;B61,B$81&lt;C61),B$81,IF(B$81&gt;=C61,C61,0))</f>
        <v>0</v>
      </c>
      <c r="R67" s="29">
        <f>IF(P67&lt;&gt;0,S66,0)</f>
        <v>0</v>
      </c>
      <c r="S67" s="29">
        <f t="shared" ref="S67:S69" si="12">IF(AND(B$81&gt;B61,B$81&lt;C61),N61,IF(B$81&gt;=C61,D61,0))</f>
        <v>0</v>
      </c>
      <c r="T67" s="30">
        <f t="shared" ref="T67:T69" si="13">(Q67-P67)*(R67+S67)/2</f>
        <v>0</v>
      </c>
    </row>
    <row r="68" spans="1:20" x14ac:dyDescent="0.25">
      <c r="A68" s="4">
        <v>3</v>
      </c>
      <c r="B68" s="5">
        <f>IF(B$23&gt;B62,C67,0)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0</v>
      </c>
      <c r="Q68" s="5">
        <f t="shared" si="11"/>
        <v>0</v>
      </c>
      <c r="R68" s="29">
        <f>IF(P68&lt;&gt;0,S67,0)</f>
        <v>0</v>
      </c>
      <c r="S68" s="29">
        <f t="shared" si="12"/>
        <v>0</v>
      </c>
      <c r="T68" s="30">
        <f t="shared" si="13"/>
        <v>0</v>
      </c>
    </row>
    <row r="69" spans="1:20" x14ac:dyDescent="0.25">
      <c r="A69" s="4">
        <v>4</v>
      </c>
      <c r="B69" s="5">
        <f>IF(B$23&gt;B63,C68,0)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900</v>
      </c>
      <c r="O70" s="24"/>
      <c r="P70" s="18"/>
      <c r="Q70" s="18"/>
      <c r="R70" s="21"/>
      <c r="S70" s="21"/>
      <c r="T70" s="31">
        <f>SUM(T66:T69)</f>
        <v>900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0</v>
      </c>
      <c r="E74" s="152" t="s">
        <v>12</v>
      </c>
      <c r="F74" s="153"/>
      <c r="G74" s="153"/>
      <c r="H74" s="153"/>
      <c r="I74" s="99"/>
      <c r="J74" s="10"/>
      <c r="K74" s="10"/>
      <c r="L74" s="10"/>
      <c r="M74" s="26"/>
      <c r="O74" s="16" t="s">
        <v>12</v>
      </c>
      <c r="P74" s="29"/>
      <c r="Q74" s="5"/>
      <c r="R74" s="5"/>
      <c r="S74" s="5"/>
      <c r="T74" s="13"/>
    </row>
    <row r="75" spans="1:20" ht="15.75" thickBot="1" x14ac:dyDescent="0.3">
      <c r="A75" s="17" t="s">
        <v>13</v>
      </c>
      <c r="B75" s="19">
        <v>0</v>
      </c>
      <c r="E75" s="138" t="s">
        <v>14</v>
      </c>
      <c r="F75" s="139"/>
      <c r="G75" s="139"/>
      <c r="H75" s="139"/>
      <c r="I75" s="42">
        <f>B74*B75</f>
        <v>0</v>
      </c>
      <c r="J75" s="5"/>
      <c r="K75" s="5"/>
      <c r="L75" s="5"/>
      <c r="M75" s="13"/>
      <c r="O75" s="136" t="s">
        <v>14</v>
      </c>
      <c r="P75" s="137"/>
      <c r="Q75" s="137"/>
      <c r="R75" s="137"/>
      <c r="S75" s="137"/>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0</v>
      </c>
      <c r="J78" s="5"/>
      <c r="K78" s="35" t="s">
        <v>16</v>
      </c>
      <c r="L78" s="36">
        <f>F70</f>
        <v>0</v>
      </c>
      <c r="M78" s="105" t="s">
        <v>17</v>
      </c>
      <c r="O78" s="136" t="s">
        <v>15</v>
      </c>
      <c r="P78" s="137"/>
      <c r="Q78" s="137"/>
      <c r="R78" s="137"/>
      <c r="S78" s="137"/>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147" t="s">
        <v>22</v>
      </c>
      <c r="B80" s="148"/>
      <c r="E80" s="138" t="str">
        <f>"DA Incremental Cost @ DA MW ("&amp;$B74&amp;" MW)"</f>
        <v>DA Incremental Cost @ DA MW (0 MW)</v>
      </c>
      <c r="F80" s="139"/>
      <c r="G80" s="139"/>
      <c r="H80" s="139"/>
      <c r="I80" s="44">
        <f>F70</f>
        <v>0</v>
      </c>
      <c r="J80" s="5"/>
      <c r="K80" s="29"/>
      <c r="L80" s="5"/>
      <c r="M80" s="13"/>
      <c r="O80" s="136" t="str">
        <f>"DA Incremental Cost @ DA MW ("&amp;$B74&amp;" MW)"</f>
        <v>DA Incremental Cost @ DA MW (0 MW)</v>
      </c>
      <c r="P80" s="137"/>
      <c r="Q80" s="137"/>
      <c r="R80" s="137"/>
      <c r="S80" s="137"/>
      <c r="T80" s="89">
        <f>I80</f>
        <v>0</v>
      </c>
    </row>
    <row r="81" spans="1:20" x14ac:dyDescent="0.25">
      <c r="A81" s="16" t="s">
        <v>43</v>
      </c>
      <c r="B81" s="13">
        <v>45</v>
      </c>
      <c r="E81" s="85"/>
      <c r="F81" s="86"/>
      <c r="G81" s="86"/>
      <c r="H81" s="86"/>
      <c r="I81" s="5"/>
      <c r="J81" s="5"/>
      <c r="K81" s="5"/>
      <c r="L81" s="29"/>
      <c r="M81" s="13"/>
      <c r="O81" s="16"/>
      <c r="P81" s="5"/>
      <c r="Q81" s="5"/>
      <c r="R81" s="5"/>
      <c r="S81" s="5"/>
      <c r="T81" s="13"/>
    </row>
    <row r="82" spans="1:20" ht="15.75" thickBot="1" x14ac:dyDescent="0.3">
      <c r="A82" s="16" t="s">
        <v>13</v>
      </c>
      <c r="B82" s="6">
        <v>0</v>
      </c>
      <c r="D82" s="32"/>
      <c r="E82" s="138" t="s">
        <v>19</v>
      </c>
      <c r="F82" s="139"/>
      <c r="G82" s="139"/>
      <c r="H82" s="139"/>
      <c r="I82" s="40">
        <f>I75+I78-I80</f>
        <v>0</v>
      </c>
      <c r="J82" s="5"/>
      <c r="K82" s="29"/>
      <c r="L82" s="45"/>
      <c r="M82" s="13"/>
      <c r="O82" s="136" t="s">
        <v>19</v>
      </c>
      <c r="P82" s="137"/>
      <c r="Q82" s="137"/>
      <c r="R82" s="137"/>
      <c r="S82" s="137"/>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50</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45</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45</v>
      </c>
      <c r="E86" s="140" t="s">
        <v>20</v>
      </c>
      <c r="F86" s="141"/>
      <c r="G86" s="141"/>
      <c r="H86" s="141"/>
      <c r="I86" s="141"/>
      <c r="J86" s="141"/>
      <c r="K86" s="141"/>
      <c r="L86" s="141"/>
      <c r="M86" s="142"/>
      <c r="O86" s="160" t="s">
        <v>20</v>
      </c>
      <c r="P86" s="161"/>
      <c r="Q86" s="161"/>
      <c r="R86" s="161"/>
      <c r="S86" s="161"/>
      <c r="T86" s="162"/>
    </row>
    <row r="87" spans="1:20" x14ac:dyDescent="0.25">
      <c r="E87" s="85" t="s">
        <v>12</v>
      </c>
      <c r="F87" s="86"/>
      <c r="G87" s="86"/>
      <c r="H87" s="86"/>
      <c r="I87" s="5"/>
      <c r="J87" s="5"/>
      <c r="K87" s="5"/>
      <c r="L87" s="5"/>
      <c r="M87" s="13"/>
      <c r="O87" s="16" t="s">
        <v>12</v>
      </c>
      <c r="P87" s="5"/>
      <c r="Q87" s="5"/>
      <c r="R87" s="5"/>
      <c r="S87" s="5"/>
      <c r="T87" s="13"/>
    </row>
    <row r="88" spans="1:20" x14ac:dyDescent="0.25">
      <c r="E88" s="138" t="s">
        <v>21</v>
      </c>
      <c r="F88" s="139"/>
      <c r="G88" s="139"/>
      <c r="H88" s="139"/>
      <c r="I88" s="29">
        <f>(B81-B74)*B82</f>
        <v>0</v>
      </c>
      <c r="J88" s="29"/>
      <c r="K88" s="29"/>
      <c r="L88" s="29"/>
      <c r="M88" s="13"/>
      <c r="O88" s="136" t="s">
        <v>21</v>
      </c>
      <c r="P88" s="137"/>
      <c r="Q88" s="137"/>
      <c r="R88" s="137"/>
      <c r="S88" s="137"/>
      <c r="T88" s="30">
        <f>I88</f>
        <v>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MAX(M95*-1,0)</f>
        <v>900</v>
      </c>
      <c r="J90" s="29"/>
      <c r="K90" s="143" t="s">
        <v>30</v>
      </c>
      <c r="L90" s="144"/>
      <c r="M90" s="145"/>
      <c r="O90" s="136" t="s">
        <v>23</v>
      </c>
      <c r="P90" s="137"/>
      <c r="Q90" s="137"/>
      <c r="R90" s="137"/>
      <c r="S90" s="137"/>
      <c r="T90" s="30">
        <f>I90</f>
        <v>900</v>
      </c>
    </row>
    <row r="91" spans="1:20" x14ac:dyDescent="0.25">
      <c r="E91" s="92"/>
      <c r="F91" s="67"/>
      <c r="G91" s="67"/>
      <c r="H91" s="67"/>
      <c r="I91" s="76"/>
      <c r="J91" s="76"/>
      <c r="K91" s="128" t="s">
        <v>24</v>
      </c>
      <c r="L91" s="129"/>
      <c r="M91" s="56">
        <f>I75</f>
        <v>0</v>
      </c>
      <c r="O91" s="75"/>
      <c r="P91" s="76"/>
      <c r="Q91" s="76"/>
      <c r="R91" s="76"/>
      <c r="S91" s="76"/>
      <c r="T91" s="77"/>
    </row>
    <row r="92" spans="1:20" x14ac:dyDescent="0.25">
      <c r="E92" s="130" t="str">
        <f>"Incremental Cost @ RT MW Used ("&amp;$B86&amp;" MW)"</f>
        <v>Incremental Cost @ RT MW Used (45 MW)</v>
      </c>
      <c r="F92" s="131"/>
      <c r="G92" s="131"/>
      <c r="H92" s="131"/>
      <c r="I92" s="8">
        <f>M94</f>
        <v>900</v>
      </c>
      <c r="J92" s="8"/>
      <c r="K92" s="128" t="s">
        <v>17</v>
      </c>
      <c r="L92" s="129"/>
      <c r="M92" s="56">
        <f>I78</f>
        <v>0</v>
      </c>
      <c r="O92" s="136" t="str">
        <f>"Incremental Cost @ Actual RT MW ("&amp;$B81&amp;" MW)"</f>
        <v>Incremental Cost @ Actual RT MW (45 MW)</v>
      </c>
      <c r="P92" s="137"/>
      <c r="Q92" s="137"/>
      <c r="R92" s="137"/>
      <c r="S92" s="137"/>
      <c r="T92" s="6">
        <f>T70</f>
        <v>900</v>
      </c>
    </row>
    <row r="93" spans="1:20" x14ac:dyDescent="0.25">
      <c r="E93" s="93"/>
      <c r="F93" s="100"/>
      <c r="G93" s="100"/>
      <c r="H93" s="100"/>
      <c r="I93" s="48"/>
      <c r="J93" s="48"/>
      <c r="K93" s="132" t="s">
        <v>25</v>
      </c>
      <c r="L93" s="133"/>
      <c r="M93" s="30">
        <f>(B85-B74)*B82</f>
        <v>0</v>
      </c>
      <c r="O93" s="47"/>
      <c r="P93" s="87"/>
      <c r="Q93" s="87"/>
      <c r="R93" s="87"/>
      <c r="S93" s="87"/>
      <c r="T93" s="90"/>
    </row>
    <row r="94" spans="1:20" ht="15.75" thickBot="1" x14ac:dyDescent="0.3">
      <c r="E94" s="134" t="s">
        <v>26</v>
      </c>
      <c r="F94" s="135"/>
      <c r="G94" s="135"/>
      <c r="H94" s="135"/>
      <c r="I94" s="50">
        <f>I75+I78+I88+I90-I92</f>
        <v>0</v>
      </c>
      <c r="J94" s="104"/>
      <c r="K94" s="136" t="s">
        <v>46</v>
      </c>
      <c r="L94" s="137"/>
      <c r="M94" s="30">
        <f>M70</f>
        <v>900</v>
      </c>
      <c r="O94" s="136" t="s">
        <v>26</v>
      </c>
      <c r="P94" s="137"/>
      <c r="Q94" s="137"/>
      <c r="R94" s="137"/>
      <c r="S94" s="137"/>
      <c r="T94" s="91">
        <f>T75+T78+T88+T90-T92</f>
        <v>0</v>
      </c>
    </row>
    <row r="95" spans="1:20" ht="29.25" customHeight="1" thickTop="1" thickBot="1" x14ac:dyDescent="0.3">
      <c r="E95" s="49"/>
      <c r="F95" s="8"/>
      <c r="G95" s="8"/>
      <c r="H95" s="8"/>
      <c r="I95" s="8"/>
      <c r="J95" s="8"/>
      <c r="K95" s="124" t="s">
        <v>72</v>
      </c>
      <c r="L95" s="125"/>
      <c r="M95" s="103">
        <f>M91+M92+M93-M94</f>
        <v>-900</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15"/>
      <c r="E106" s="54"/>
      <c r="F106" s="54"/>
      <c r="G106" s="115"/>
      <c r="H106" s="53"/>
      <c r="I106" s="55"/>
      <c r="J106" s="53"/>
      <c r="K106" s="53"/>
      <c r="L106" s="53"/>
      <c r="M106" s="53"/>
      <c r="N106" s="53"/>
      <c r="O106" s="53"/>
      <c r="P106" s="53"/>
      <c r="Q106" s="53"/>
      <c r="R106" s="53"/>
      <c r="S106" s="53"/>
      <c r="T106" s="53"/>
    </row>
    <row r="107" spans="1:23" x14ac:dyDescent="0.25">
      <c r="A107" s="126" t="s">
        <v>55</v>
      </c>
      <c r="B107" s="126"/>
      <c r="C107" s="126"/>
      <c r="D107" s="126"/>
      <c r="E107" s="126"/>
      <c r="F107" s="126"/>
      <c r="G107" s="126"/>
      <c r="H107" s="126"/>
      <c r="I107" s="126"/>
      <c r="J107" s="126"/>
      <c r="K107" s="126"/>
      <c r="L107" s="126"/>
      <c r="M107" s="126"/>
      <c r="N107" s="126"/>
      <c r="O107" s="126"/>
      <c r="P107" s="126"/>
      <c r="Q107" s="126"/>
      <c r="R107" s="126"/>
      <c r="S107" s="126"/>
      <c r="T107" s="126"/>
    </row>
    <row r="108" spans="1:23" s="83" customFormat="1" ht="15.75" thickBot="1" x14ac:dyDescent="0.3">
      <c r="A108" s="127"/>
      <c r="B108" s="127"/>
      <c r="C108" s="127"/>
      <c r="D108" s="127"/>
      <c r="E108" s="127"/>
      <c r="F108" s="127"/>
      <c r="G108" s="127"/>
      <c r="H108" s="127"/>
      <c r="I108" s="127"/>
      <c r="J108" s="127"/>
      <c r="K108" s="127"/>
      <c r="L108" s="127"/>
      <c r="M108" s="127"/>
      <c r="N108" s="127"/>
      <c r="O108" s="127"/>
      <c r="P108" s="127"/>
      <c r="Q108" s="127"/>
      <c r="R108" s="127"/>
      <c r="S108" s="127"/>
      <c r="T108" s="127"/>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109" t="s">
        <v>3</v>
      </c>
      <c r="B110" s="113" t="s">
        <v>33</v>
      </c>
      <c r="C110" s="113" t="s">
        <v>34</v>
      </c>
      <c r="D110" s="110" t="s">
        <v>4</v>
      </c>
      <c r="E110" s="109" t="s">
        <v>5</v>
      </c>
      <c r="F110" s="113" t="s">
        <v>6</v>
      </c>
      <c r="G110" s="114" t="s">
        <v>7</v>
      </c>
      <c r="H110" s="69" t="s">
        <v>38</v>
      </c>
      <c r="I110" s="65" t="s">
        <v>8</v>
      </c>
      <c r="J110" s="65" t="s">
        <v>6</v>
      </c>
      <c r="K110" s="66" t="s">
        <v>7</v>
      </c>
      <c r="L110" s="111"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45</v>
      </c>
      <c r="I111" s="15">
        <f>IF(AND(B$137&gt;B111,B$137&lt;=C111),B$137,0)</f>
        <v>45</v>
      </c>
      <c r="J111" s="9">
        <f>IF(B132&gt;0,D111,0)</f>
        <v>20</v>
      </c>
      <c r="K111" s="11">
        <f>IF(H111&gt;0,IF(H111=B111,D111,IF(AND(H111&gt;B111,H111&lt;=C111),D111+(H111-B111)*((D111-D111)/(C111-B111)),0)),0)</f>
        <v>20</v>
      </c>
      <c r="L111" s="14">
        <f>IF(AND(B132&gt;B111,B132&lt;=C111),B132,0)</f>
        <v>45</v>
      </c>
      <c r="M111" s="9">
        <f>IF(B132&gt;0,D111,0)</f>
        <v>20</v>
      </c>
      <c r="N111" s="11">
        <f>IF(L111&gt;0,IF(L111=B111,D111,IF(AND(L111&gt;B111,L111&lt;=C111),D111+(L111-B111)*((D111-D111)/(C111-B111)),0)),0)</f>
        <v>20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0</v>
      </c>
      <c r="M113" s="21">
        <v>0</v>
      </c>
      <c r="N113" s="19">
        <f>IF(L113&gt;0,IF(L113=B113,D113,IF(AND(L113&gt;B113,L113&lt;=C113),D113+(L113-B113)*((D113-D113)/(C113-B113)),0)),0)</f>
        <v>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12" t="s">
        <v>3</v>
      </c>
      <c r="B116" s="113" t="s">
        <v>33</v>
      </c>
      <c r="C116" s="113" t="s">
        <v>34</v>
      </c>
      <c r="D116" s="113" t="s">
        <v>49</v>
      </c>
      <c r="E116" s="113" t="s">
        <v>47</v>
      </c>
      <c r="F116" s="114" t="s">
        <v>48</v>
      </c>
      <c r="H116" s="112" t="s">
        <v>3</v>
      </c>
      <c r="I116" s="113" t="s">
        <v>50</v>
      </c>
      <c r="J116" s="113" t="s">
        <v>51</v>
      </c>
      <c r="K116" s="113" t="s">
        <v>49</v>
      </c>
      <c r="L116" s="113" t="s">
        <v>47</v>
      </c>
      <c r="M116" s="114" t="s">
        <v>48</v>
      </c>
      <c r="O116" s="112" t="s">
        <v>3</v>
      </c>
      <c r="P116" s="113" t="s">
        <v>33</v>
      </c>
      <c r="Q116" s="113" t="s">
        <v>34</v>
      </c>
      <c r="R116" s="113" t="s">
        <v>49</v>
      </c>
      <c r="S116" s="113" t="s">
        <v>47</v>
      </c>
      <c r="T116" s="114"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45</v>
      </c>
      <c r="K117" s="29">
        <f>MIN(D111,J111)</f>
        <v>20</v>
      </c>
      <c r="L117" s="29">
        <f>IF(AND(MAX(I$111:I$113)&gt;B111,MAX(I$111:I$113)&lt;C111),K111,IF(MAX(I$111:I$113)&gt;=C111,D111,0))</f>
        <v>20</v>
      </c>
      <c r="M117" s="30">
        <f>(J117-I117)*(K117+L117)/2</f>
        <v>900</v>
      </c>
      <c r="O117" s="4">
        <v>1</v>
      </c>
      <c r="P117" s="5">
        <v>0</v>
      </c>
      <c r="Q117" s="5">
        <f>IF(AND(B$132&gt;B111,B$132&lt;C111),B$132,IF(B$132&gt;=C111,C111,0))</f>
        <v>45</v>
      </c>
      <c r="R117" s="29">
        <f>MIN(D111,M111)</f>
        <v>20</v>
      </c>
      <c r="S117" s="29">
        <f>IF(AND(B$132&gt;B111,B$132&lt;C111),N111,IF(B$132&gt;=C111,D111,0))</f>
        <v>20</v>
      </c>
      <c r="T117" s="30">
        <f>(Q117-P117)*(R117+S117)/2</f>
        <v>900</v>
      </c>
    </row>
    <row r="118" spans="1:20" x14ac:dyDescent="0.25">
      <c r="A118" s="4">
        <v>2</v>
      </c>
      <c r="B118" s="5">
        <f>IF(B$23&gt;B112,C117,0)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0</v>
      </c>
      <c r="Q118" s="5">
        <f t="shared" ref="Q118:Q120" si="23">IF(AND(B$132&gt;B112,B$132&lt;C112),B$132,IF(B$132&gt;=C112,C112,0))</f>
        <v>0</v>
      </c>
      <c r="R118" s="29">
        <f>IF(P118&lt;&gt;0,S117,0)</f>
        <v>0</v>
      </c>
      <c r="S118" s="29">
        <f t="shared" ref="S118:S119" si="24">IF(AND(B$132&gt;B112,B$132&lt;C112),N112,IF(B$132&gt;=C112,D112,0))</f>
        <v>0</v>
      </c>
      <c r="T118" s="30">
        <f t="shared" ref="T118:T120" si="25">(Q118-P118)*(R118+S118)/2</f>
        <v>0</v>
      </c>
    </row>
    <row r="119" spans="1:20" x14ac:dyDescent="0.25">
      <c r="A119" s="4">
        <v>3</v>
      </c>
      <c r="B119" s="5">
        <f>IF(B$23&gt;B113,C118,0)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0</v>
      </c>
      <c r="Q119" s="5">
        <f t="shared" si="23"/>
        <v>0</v>
      </c>
      <c r="R119" s="29">
        <f>IF(P119&lt;&gt;0,S118,0)</f>
        <v>0</v>
      </c>
      <c r="S119" s="29">
        <f t="shared" si="24"/>
        <v>0</v>
      </c>
      <c r="T119" s="30">
        <f t="shared" si="25"/>
        <v>0</v>
      </c>
    </row>
    <row r="120" spans="1:20" x14ac:dyDescent="0.25">
      <c r="A120" s="4">
        <v>4</v>
      </c>
      <c r="B120" s="5">
        <f>IF(B$23&gt;B114,C119,0)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900</v>
      </c>
      <c r="O121" s="24"/>
      <c r="P121" s="18"/>
      <c r="Q121" s="18"/>
      <c r="R121" s="21"/>
      <c r="S121" s="21"/>
      <c r="T121" s="31">
        <f>SUM(T117:T120)</f>
        <v>900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0</v>
      </c>
      <c r="E126" s="138" t="s">
        <v>14</v>
      </c>
      <c r="F126" s="139"/>
      <c r="G126" s="139"/>
      <c r="H126" s="139"/>
      <c r="I126" s="42">
        <f>B125*B126</f>
        <v>0</v>
      </c>
      <c r="J126" s="5"/>
      <c r="K126" s="5"/>
      <c r="L126" s="5"/>
      <c r="M126" s="13"/>
      <c r="O126" s="136" t="s">
        <v>14</v>
      </c>
      <c r="P126" s="137"/>
      <c r="Q126" s="137"/>
      <c r="R126" s="137"/>
      <c r="S126" s="137"/>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0</v>
      </c>
      <c r="J129" s="5"/>
      <c r="K129" s="35" t="s">
        <v>16</v>
      </c>
      <c r="L129" s="36">
        <f>F121</f>
        <v>0</v>
      </c>
      <c r="M129" s="105" t="s">
        <v>17</v>
      </c>
      <c r="O129" s="136" t="s">
        <v>15</v>
      </c>
      <c r="P129" s="137"/>
      <c r="Q129" s="137"/>
      <c r="R129" s="137"/>
      <c r="S129" s="137"/>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147" t="s">
        <v>22</v>
      </c>
      <c r="B131" s="148"/>
      <c r="E131" s="138" t="str">
        <f>"DA Incremental Cost @ DA MW ("&amp;$B125&amp;" MW)"</f>
        <v>DA Incremental Cost @ DA MW (0 MW)</v>
      </c>
      <c r="F131" s="139"/>
      <c r="G131" s="139"/>
      <c r="H131" s="139"/>
      <c r="I131" s="44">
        <f>F121</f>
        <v>0</v>
      </c>
      <c r="J131" s="5"/>
      <c r="K131" s="29"/>
      <c r="L131" s="5"/>
      <c r="M131" s="13"/>
      <c r="O131" s="136" t="str">
        <f>"DA Incremental Cost @ DA MW ("&amp;$B125&amp;" MW)"</f>
        <v>DA Incremental Cost @ DA MW (0 MW)</v>
      </c>
      <c r="P131" s="137"/>
      <c r="Q131" s="137"/>
      <c r="R131" s="137"/>
      <c r="S131" s="137"/>
      <c r="T131" s="89">
        <f>I131</f>
        <v>0</v>
      </c>
    </row>
    <row r="132" spans="1:20" x14ac:dyDescent="0.25">
      <c r="A132" s="16" t="s">
        <v>43</v>
      </c>
      <c r="B132" s="13">
        <v>45</v>
      </c>
      <c r="E132" s="85"/>
      <c r="F132" s="86"/>
      <c r="G132" s="86"/>
      <c r="H132" s="86"/>
      <c r="I132" s="5"/>
      <c r="J132" s="5"/>
      <c r="K132" s="5"/>
      <c r="L132" s="29"/>
      <c r="M132" s="13"/>
      <c r="O132" s="16"/>
      <c r="P132" s="5"/>
      <c r="Q132" s="5"/>
      <c r="R132" s="5"/>
      <c r="S132" s="5"/>
      <c r="T132" s="13"/>
    </row>
    <row r="133" spans="1:20" ht="15.75" thickBot="1" x14ac:dyDescent="0.3">
      <c r="A133" s="16" t="s">
        <v>13</v>
      </c>
      <c r="B133" s="6">
        <v>0</v>
      </c>
      <c r="D133" s="32"/>
      <c r="E133" s="138" t="s">
        <v>19</v>
      </c>
      <c r="F133" s="139"/>
      <c r="G133" s="139"/>
      <c r="H133" s="139"/>
      <c r="I133" s="40">
        <f>I126+I129-I131</f>
        <v>0</v>
      </c>
      <c r="J133" s="5"/>
      <c r="K133" s="29"/>
      <c r="L133" s="45"/>
      <c r="M133" s="13"/>
      <c r="O133" s="136" t="s">
        <v>19</v>
      </c>
      <c r="P133" s="137"/>
      <c r="Q133" s="137"/>
      <c r="R133" s="137"/>
      <c r="S133" s="137"/>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50</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45</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45</v>
      </c>
      <c r="E137" s="140" t="s">
        <v>20</v>
      </c>
      <c r="F137" s="141"/>
      <c r="G137" s="141"/>
      <c r="H137" s="141"/>
      <c r="I137" s="141"/>
      <c r="J137" s="141"/>
      <c r="K137" s="141"/>
      <c r="L137" s="141"/>
      <c r="M137" s="142"/>
      <c r="O137" s="160" t="s">
        <v>20</v>
      </c>
      <c r="P137" s="161"/>
      <c r="Q137" s="161"/>
      <c r="R137" s="161"/>
      <c r="S137" s="161"/>
      <c r="T137" s="162"/>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138" t="s">
        <v>21</v>
      </c>
      <c r="F139" s="139"/>
      <c r="G139" s="139"/>
      <c r="H139" s="139"/>
      <c r="I139" s="29">
        <f>(B132-B125)*B133</f>
        <v>0</v>
      </c>
      <c r="J139" s="29"/>
      <c r="K139" s="29"/>
      <c r="L139" s="29"/>
      <c r="M139" s="13"/>
      <c r="O139" s="136" t="s">
        <v>21</v>
      </c>
      <c r="P139" s="137"/>
      <c r="Q139" s="137"/>
      <c r="R139" s="137"/>
      <c r="S139" s="137"/>
      <c r="T139" s="30">
        <f>I139</f>
        <v>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MAX(M146*-1,0)</f>
        <v>900</v>
      </c>
      <c r="J141" s="29"/>
      <c r="K141" s="143" t="s">
        <v>30</v>
      </c>
      <c r="L141" s="144"/>
      <c r="M141" s="145"/>
      <c r="O141" s="136" t="s">
        <v>23</v>
      </c>
      <c r="P141" s="137"/>
      <c r="Q141" s="137"/>
      <c r="R141" s="137"/>
      <c r="S141" s="137"/>
      <c r="T141" s="30">
        <f>I141</f>
        <v>900</v>
      </c>
    </row>
    <row r="142" spans="1:20" x14ac:dyDescent="0.25">
      <c r="E142" s="92"/>
      <c r="F142" s="67"/>
      <c r="G142" s="67"/>
      <c r="H142" s="67"/>
      <c r="I142" s="76"/>
      <c r="J142" s="76"/>
      <c r="K142" s="128" t="s">
        <v>24</v>
      </c>
      <c r="L142" s="129"/>
      <c r="M142" s="56">
        <f>I126</f>
        <v>0</v>
      </c>
      <c r="O142" s="75"/>
      <c r="P142" s="76"/>
      <c r="Q142" s="76"/>
      <c r="R142" s="76"/>
      <c r="S142" s="76"/>
      <c r="T142" s="77"/>
    </row>
    <row r="143" spans="1:20" x14ac:dyDescent="0.25">
      <c r="E143" s="130" t="str">
        <f>"Incremental Cost @ RT MW Used ("&amp;$B137&amp;" MW)"</f>
        <v>Incremental Cost @ RT MW Used (45 MW)</v>
      </c>
      <c r="F143" s="131"/>
      <c r="G143" s="131"/>
      <c r="H143" s="131"/>
      <c r="I143" s="8">
        <f>M145</f>
        <v>900</v>
      </c>
      <c r="J143" s="8"/>
      <c r="K143" s="128" t="s">
        <v>17</v>
      </c>
      <c r="L143" s="129"/>
      <c r="M143" s="56">
        <f>I129</f>
        <v>0</v>
      </c>
      <c r="O143" s="136" t="str">
        <f>"Incremental Cost @ Actual RT MW ("&amp;$B132&amp;" MW)"</f>
        <v>Incremental Cost @ Actual RT MW (45 MW)</v>
      </c>
      <c r="P143" s="137"/>
      <c r="Q143" s="137"/>
      <c r="R143" s="137"/>
      <c r="S143" s="137"/>
      <c r="T143" s="6">
        <f>T121</f>
        <v>900</v>
      </c>
    </row>
    <row r="144" spans="1:20" x14ac:dyDescent="0.25">
      <c r="E144" s="93"/>
      <c r="F144" s="100"/>
      <c r="G144" s="100"/>
      <c r="H144" s="100"/>
      <c r="I144" s="48"/>
      <c r="J144" s="48"/>
      <c r="K144" s="132" t="s">
        <v>25</v>
      </c>
      <c r="L144" s="133"/>
      <c r="M144" s="30">
        <f>(B136-B125)*B133</f>
        <v>0</v>
      </c>
      <c r="O144" s="47"/>
      <c r="P144" s="87"/>
      <c r="Q144" s="87"/>
      <c r="R144" s="87"/>
      <c r="S144" s="87"/>
      <c r="T144" s="90"/>
    </row>
    <row r="145" spans="4:20" ht="15.75" thickBot="1" x14ac:dyDescent="0.3">
      <c r="E145" s="134" t="s">
        <v>26</v>
      </c>
      <c r="F145" s="135"/>
      <c r="G145" s="135"/>
      <c r="H145" s="135"/>
      <c r="I145" s="50">
        <f>I126+I129+I139+I141-I143</f>
        <v>0</v>
      </c>
      <c r="J145" s="104"/>
      <c r="K145" s="136" t="s">
        <v>46</v>
      </c>
      <c r="L145" s="137"/>
      <c r="M145" s="30">
        <f>M121</f>
        <v>900</v>
      </c>
      <c r="O145" s="136" t="s">
        <v>26</v>
      </c>
      <c r="P145" s="137"/>
      <c r="Q145" s="137"/>
      <c r="R145" s="137"/>
      <c r="S145" s="137"/>
      <c r="T145" s="91">
        <f>T126+T129+T139+T141-T143</f>
        <v>0</v>
      </c>
    </row>
    <row r="146" spans="4:20" ht="30" customHeight="1" thickTop="1" thickBot="1" x14ac:dyDescent="0.3">
      <c r="E146" s="49"/>
      <c r="F146" s="8"/>
      <c r="G146" s="8"/>
      <c r="H146" s="8"/>
      <c r="I146" s="8"/>
      <c r="J146" s="8"/>
      <c r="K146" s="124" t="s">
        <v>72</v>
      </c>
      <c r="L146" s="125"/>
      <c r="M146" s="103">
        <f>M142+M143+M144-M145</f>
        <v>-900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0">
    <mergeCell ref="A1:T2"/>
    <mergeCell ref="A5:T6"/>
    <mergeCell ref="A7:D7"/>
    <mergeCell ref="E7:G7"/>
    <mergeCell ref="H7:K7"/>
    <mergeCell ref="L7:N7"/>
    <mergeCell ref="A22:B22"/>
    <mergeCell ref="E22:M22"/>
    <mergeCell ref="O22:T22"/>
    <mergeCell ref="E23:H23"/>
    <mergeCell ref="E24:H24"/>
    <mergeCell ref="O24:S24"/>
    <mergeCell ref="A13:F13"/>
    <mergeCell ref="H13:M13"/>
    <mergeCell ref="O13:T13"/>
    <mergeCell ref="A21:D21"/>
    <mergeCell ref="E21:M21"/>
    <mergeCell ref="O21:T21"/>
    <mergeCell ref="E31:H31"/>
    <mergeCell ref="O31:S31"/>
    <mergeCell ref="E35:M35"/>
    <mergeCell ref="O35:T35"/>
    <mergeCell ref="E37:H37"/>
    <mergeCell ref="O37:S37"/>
    <mergeCell ref="E27:H27"/>
    <mergeCell ref="O27:S27"/>
    <mergeCell ref="A28:D28"/>
    <mergeCell ref="A29:B29"/>
    <mergeCell ref="E29:H29"/>
    <mergeCell ref="O29:S29"/>
    <mergeCell ref="O43:S43"/>
    <mergeCell ref="K44:L44"/>
    <mergeCell ref="A56:T57"/>
    <mergeCell ref="E39:H39"/>
    <mergeCell ref="K39:M39"/>
    <mergeCell ref="O39:S39"/>
    <mergeCell ref="K40:L40"/>
    <mergeCell ref="E41:H41"/>
    <mergeCell ref="K41:L41"/>
    <mergeCell ref="O41:S41"/>
    <mergeCell ref="A58:D58"/>
    <mergeCell ref="E58:G58"/>
    <mergeCell ref="H58:K58"/>
    <mergeCell ref="L58:N58"/>
    <mergeCell ref="A64:F64"/>
    <mergeCell ref="H64:M64"/>
    <mergeCell ref="K42:L42"/>
    <mergeCell ref="E43:H43"/>
    <mergeCell ref="K43:L43"/>
    <mergeCell ref="A80:B80"/>
    <mergeCell ref="E80:H80"/>
    <mergeCell ref="O80:S80"/>
    <mergeCell ref="O64:T64"/>
    <mergeCell ref="E72:M72"/>
    <mergeCell ref="O72:T72"/>
    <mergeCell ref="A73:B73"/>
    <mergeCell ref="E73:M73"/>
    <mergeCell ref="O73:T73"/>
    <mergeCell ref="E82:H82"/>
    <mergeCell ref="O82:S82"/>
    <mergeCell ref="E86:M86"/>
    <mergeCell ref="O86:T86"/>
    <mergeCell ref="E88:H88"/>
    <mergeCell ref="O88:S88"/>
    <mergeCell ref="E74:H74"/>
    <mergeCell ref="E75:H75"/>
    <mergeCell ref="O75:S75"/>
    <mergeCell ref="E78:H78"/>
    <mergeCell ref="O78:S78"/>
    <mergeCell ref="O94:S94"/>
    <mergeCell ref="K95:L95"/>
    <mergeCell ref="A107:T108"/>
    <mergeCell ref="E90:H90"/>
    <mergeCell ref="K90:M90"/>
    <mergeCell ref="O90:S90"/>
    <mergeCell ref="K91:L91"/>
    <mergeCell ref="E92:H92"/>
    <mergeCell ref="K92:L92"/>
    <mergeCell ref="O92:S92"/>
    <mergeCell ref="A109:D109"/>
    <mergeCell ref="E109:G109"/>
    <mergeCell ref="H109:K109"/>
    <mergeCell ref="L109:N109"/>
    <mergeCell ref="A115:B115"/>
    <mergeCell ref="H115:M115"/>
    <mergeCell ref="K93:L93"/>
    <mergeCell ref="E94:H94"/>
    <mergeCell ref="K94:L94"/>
    <mergeCell ref="A131:B131"/>
    <mergeCell ref="E131:H131"/>
    <mergeCell ref="O131:S131"/>
    <mergeCell ref="O115:T115"/>
    <mergeCell ref="E123:M123"/>
    <mergeCell ref="O123:T123"/>
    <mergeCell ref="A124:B124"/>
    <mergeCell ref="E124:M124"/>
    <mergeCell ref="O124:T124"/>
    <mergeCell ref="E133:H133"/>
    <mergeCell ref="O133:S133"/>
    <mergeCell ref="E137:M137"/>
    <mergeCell ref="O137:T137"/>
    <mergeCell ref="E139:H139"/>
    <mergeCell ref="O139:S139"/>
    <mergeCell ref="E125:H125"/>
    <mergeCell ref="E126:H126"/>
    <mergeCell ref="O126:S126"/>
    <mergeCell ref="E129:H129"/>
    <mergeCell ref="O129:S129"/>
    <mergeCell ref="K144:L144"/>
    <mergeCell ref="E145:H145"/>
    <mergeCell ref="K145:L145"/>
    <mergeCell ref="O145:S145"/>
    <mergeCell ref="K146:L146"/>
    <mergeCell ref="E141:H141"/>
    <mergeCell ref="K141:M141"/>
    <mergeCell ref="O141:S141"/>
    <mergeCell ref="K142:L142"/>
    <mergeCell ref="E143:H143"/>
    <mergeCell ref="K143:L143"/>
    <mergeCell ref="O143:S14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opLeftCell="A154" zoomScale="120" zoomScaleNormal="120" workbookViewId="0">
      <selection activeCell="K146" sqref="K146:L146"/>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70</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63</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16" t="s">
        <v>3</v>
      </c>
      <c r="B8" s="117" t="s">
        <v>33</v>
      </c>
      <c r="C8" s="117" t="s">
        <v>34</v>
      </c>
      <c r="D8" s="118" t="s">
        <v>4</v>
      </c>
      <c r="E8" s="116" t="s">
        <v>5</v>
      </c>
      <c r="F8" s="117" t="s">
        <v>6</v>
      </c>
      <c r="G8" s="118"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20</v>
      </c>
      <c r="G9" s="8">
        <f>IF(E9&gt;0,IF(E9=B9,D9,IF(AND(E9&gt;B9,E9&lt;=C9),0+(E9-B9)*((D9-0)/(C9-B9)),0)),0)</f>
        <v>0</v>
      </c>
      <c r="H9" s="14">
        <f>IF(AND(MIN(B$30,B$33)&gt;B9,MIN(B$30,B$33)&lt;=C9),MIN(B$30,B$33),0)</f>
        <v>0</v>
      </c>
      <c r="I9" s="15">
        <f>IF(AND(B$35&gt;B9,B$35&lt;=C9),B$35,0)</f>
        <v>0</v>
      </c>
      <c r="J9" s="9">
        <f>IF(B30&gt;0,D9,0)</f>
        <v>20</v>
      </c>
      <c r="K9" s="9">
        <f>IF(H9&gt;0,IF(H9=B9,D9,IF(AND(H9&gt;B9,H9&lt;=C9),D9+(H9-B9)*((D9-D9)/(C9-B9)),0)),0)</f>
        <v>0</v>
      </c>
      <c r="L9" s="14">
        <f>IF(AND(B30&gt;B9,B30&lt;=C9),B30,0)</f>
        <v>0</v>
      </c>
      <c r="M9" s="9">
        <f>IF(B30&gt;0,D9,0)</f>
        <v>20</v>
      </c>
      <c r="N9" s="11">
        <f>IF(L9&gt;0,IF(L9=B9,D9,IF(AND(L9&gt;B9,L9&lt;=C9),D9+(L9-B9)*((D9-D9)/(C9-B9)),0)),0)</f>
        <v>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100</v>
      </c>
      <c r="F11" s="21">
        <v>0</v>
      </c>
      <c r="G11" s="21">
        <f>IF(E11&gt;0,IF(E11=C11,D11,IF(AND(E11&gt;B11,E11&lt;C11),D10+(E11-B11)*((D11-D10)/(C11-B11)),IF(E11&gt;C11,D11,0))),0)</f>
        <v>30</v>
      </c>
      <c r="H11" s="24">
        <f>IF(AND(MIN(B$30,B$33)&gt;B11,MIN(B$30,B$33)&lt;=C11),MIN(B$30,B$33),0)</f>
        <v>100</v>
      </c>
      <c r="I11" s="22">
        <f>IF(AND(B$35&gt;B11,B$35&lt;=C11),B$35,0)</f>
        <v>100</v>
      </c>
      <c r="J11" s="21">
        <v>0</v>
      </c>
      <c r="K11" s="21">
        <f>IF(AND(I11&gt;0,H11&lt;&gt;I11),MAX(K9:K10),IF(H11&gt;0,IF(H11=B11,D11,IF(AND(H11&gt;B11,H11&lt;=C11),D10+(H11-B11)*((D11-D10)/(C11-B11)),0)),0))</f>
        <v>30</v>
      </c>
      <c r="L11" s="24">
        <f>IF(OR(AND(B30&gt;B11,B30&lt;=C11),B30&gt;C11),B30,0)</f>
        <v>100</v>
      </c>
      <c r="M11" s="21">
        <v>0</v>
      </c>
      <c r="N11" s="19">
        <f>IF(L11&gt;0,IF(L11=B11,D11,IF(AND(L11&gt;B11,L11&lt;=C11),D10+(L11-B11)*((D11-D10)/(C11-B11)),D11)),0)</f>
        <v>30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120" t="s">
        <v>3</v>
      </c>
      <c r="B14" s="117" t="s">
        <v>33</v>
      </c>
      <c r="C14" s="117" t="s">
        <v>34</v>
      </c>
      <c r="D14" s="117" t="s">
        <v>36</v>
      </c>
      <c r="E14" s="117" t="s">
        <v>7</v>
      </c>
      <c r="F14" s="118" t="s">
        <v>48</v>
      </c>
      <c r="H14" s="120" t="s">
        <v>3</v>
      </c>
      <c r="I14" s="117" t="s">
        <v>33</v>
      </c>
      <c r="J14" s="117" t="s">
        <v>34</v>
      </c>
      <c r="K14" s="117" t="s">
        <v>36</v>
      </c>
      <c r="L14" s="117" t="s">
        <v>47</v>
      </c>
      <c r="M14" s="118" t="s">
        <v>48</v>
      </c>
      <c r="O14" s="75" t="s">
        <v>3</v>
      </c>
      <c r="P14" s="67" t="s">
        <v>33</v>
      </c>
      <c r="Q14" s="67" t="s">
        <v>34</v>
      </c>
      <c r="R14" s="67" t="s">
        <v>36</v>
      </c>
      <c r="S14" s="67" t="s">
        <v>7</v>
      </c>
      <c r="T14" s="107" t="s">
        <v>48</v>
      </c>
    </row>
    <row r="15" spans="1:20" x14ac:dyDescent="0.25">
      <c r="A15" s="4">
        <v>1</v>
      </c>
      <c r="B15" s="5">
        <v>0</v>
      </c>
      <c r="C15" s="5">
        <f>IF(AND(B23&gt;B9,B23&lt;C9),B23,IF(B23&gt;=C9,C9,0))</f>
        <v>50</v>
      </c>
      <c r="D15" s="29">
        <f>MIN(D9,F9)</f>
        <v>20</v>
      </c>
      <c r="E15" s="29">
        <f>IF(AND(B$23&gt;B9,B$23&lt;C9),G9,IF(B$23&gt;=C9,D9,0))</f>
        <v>20</v>
      </c>
      <c r="F15" s="30">
        <f>(C15-B15)*(D15+E15)/2</f>
        <v>1000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50</v>
      </c>
      <c r="C16" s="5">
        <f>IF(AND(B$23&gt;B10,B$23&lt;C10),B$23,IF(B$23&gt;=C10,C10,0))</f>
        <v>75</v>
      </c>
      <c r="D16" s="29">
        <f>IF(B16&lt;&gt;0,E15,0)</f>
        <v>20</v>
      </c>
      <c r="E16" s="29">
        <f>IF(AND(B$23&gt;B10,B$23&lt;C10),G10,IF(B$23&gt;=C10,D10,0))</f>
        <v>25</v>
      </c>
      <c r="F16" s="30">
        <f t="shared" ref="F16:F18" si="0">(C16-B16)*(D16+E16)/2</f>
        <v>562.5</v>
      </c>
      <c r="H16" s="4">
        <v>2</v>
      </c>
      <c r="I16" s="5">
        <f>IF(MAX(I$9:I$11)&gt;B10,C9,0)</f>
        <v>50</v>
      </c>
      <c r="J16" s="5">
        <f>IF(AND(MAX(I$9:I$11)&gt;B10,MAX(I$9:I$11)&lt;C10),MAX(I$9:I$11),IF(MAX(I$9:I$11)&gt;=C10,C10,0))</f>
        <v>75</v>
      </c>
      <c r="K16" s="29">
        <f>IF(I16&lt;&gt;0,L15,0)</f>
        <v>20</v>
      </c>
      <c r="L16" s="29">
        <f t="shared" ref="L16:L18" si="1">IF(AND(MAX(I$9:I$11)&gt;B10,MAX(I$9:I$11)&lt;C10),K10,IF(MAX(I$9:I$11)&gt;=C10,D10,0))</f>
        <v>25</v>
      </c>
      <c r="M16" s="30">
        <f t="shared" ref="M16:M18" si="2">(J16-I16)*(K16+L16)/2</f>
        <v>562.5</v>
      </c>
      <c r="O16" s="75">
        <v>2</v>
      </c>
      <c r="P16" s="5">
        <f>IF(B$30&gt;B10,Q15,0)</f>
        <v>50</v>
      </c>
      <c r="Q16" s="5">
        <f>IF(AND(B$30&gt;B10,B$30&lt;C10),B$30,IF(B$30&gt;=C10,C10,0))</f>
        <v>75</v>
      </c>
      <c r="R16" s="29">
        <f>IF(P16&lt;&gt;0,S15,0)</f>
        <v>20</v>
      </c>
      <c r="S16" s="29">
        <f>IF(AND(B$30&gt;B10,B$30&lt;C10),N10,IF(B$30&gt;=C10,D10,0))</f>
        <v>25</v>
      </c>
      <c r="T16" s="30">
        <f t="shared" ref="T16:T18" si="3">(Q16-P16)*(R16+S16)/2</f>
        <v>562.5</v>
      </c>
    </row>
    <row r="17" spans="1:20" x14ac:dyDescent="0.25">
      <c r="A17" s="4">
        <v>3</v>
      </c>
      <c r="B17" s="5">
        <f>IF(B$23&gt;B11,C16,0)</f>
        <v>75</v>
      </c>
      <c r="C17" s="5">
        <f>IF(AND(B$23&gt;B11,B$23&lt;C11),B$23,IF(B$23&gt;=C11,C11,0))</f>
        <v>100</v>
      </c>
      <c r="D17" s="29">
        <f t="shared" ref="D17:D18" si="4">IF(B17&lt;&gt;0,E16,0)</f>
        <v>25</v>
      </c>
      <c r="E17" s="29">
        <f>IF(AND(B$23&gt;B11,B$23&lt;C11),G11,IF(B$23&gt;=C11,D11,0))</f>
        <v>30</v>
      </c>
      <c r="F17" s="30">
        <f t="shared" si="0"/>
        <v>687.5</v>
      </c>
      <c r="H17" s="4">
        <v>3</v>
      </c>
      <c r="I17" s="5">
        <f>IF(MAX(I$9:I$11)&gt;B11,C10,0)</f>
        <v>75</v>
      </c>
      <c r="J17" s="5">
        <f t="shared" ref="J17:J18" si="5">IF(AND(MAX(I$9:I$11)&gt;B11,MAX(I$9:I$11)&lt;C11),MAX(I$9:I$11),IF(MAX(I$9:I$11)&gt;=C11,C11,0))</f>
        <v>100</v>
      </c>
      <c r="K17" s="29">
        <f>IF(I17&lt;&gt;0,L16,0)</f>
        <v>25</v>
      </c>
      <c r="L17" s="29">
        <f t="shared" si="1"/>
        <v>30</v>
      </c>
      <c r="M17" s="30">
        <f t="shared" si="2"/>
        <v>687.5</v>
      </c>
      <c r="O17" s="75">
        <v>3</v>
      </c>
      <c r="P17" s="5">
        <f>IF(B$30&gt;B11,Q16,0)</f>
        <v>75</v>
      </c>
      <c r="Q17" s="5">
        <f>IF(AND(B$30&gt;B11,B$30&lt;C11),B$30,IF(B$30&gt;=C11,C11,0))</f>
        <v>100</v>
      </c>
      <c r="R17" s="29">
        <f>IF(P17&lt;&gt;0,S16,0)</f>
        <v>25</v>
      </c>
      <c r="S17" s="29">
        <f>IF(AND(B$30&gt;B11,B$30&lt;C11),N11,IF(B$30&gt;=C11,D11,0))</f>
        <v>30</v>
      </c>
      <c r="T17" s="30">
        <f t="shared" si="3"/>
        <v>687.5</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2250</v>
      </c>
      <c r="H19" s="24"/>
      <c r="I19" s="18"/>
      <c r="J19" s="18"/>
      <c r="K19" s="21"/>
      <c r="L19" s="21"/>
      <c r="M19" s="31">
        <f>SUM(M15:M18)</f>
        <v>2250</v>
      </c>
      <c r="O19" s="24"/>
      <c r="P19" s="18"/>
      <c r="Q19" s="18"/>
      <c r="R19" s="21"/>
      <c r="S19" s="21"/>
      <c r="T19" s="31">
        <f>SUM(T15:T18)</f>
        <v>2250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100</v>
      </c>
      <c r="E23" s="152" t="s">
        <v>12</v>
      </c>
      <c r="F23" s="153"/>
      <c r="G23" s="153"/>
      <c r="H23" s="153"/>
      <c r="I23" s="99"/>
      <c r="J23" s="10"/>
      <c r="K23" s="10"/>
      <c r="L23" s="10"/>
      <c r="M23" s="26"/>
      <c r="O23" s="16" t="s">
        <v>12</v>
      </c>
      <c r="P23" s="29"/>
      <c r="Q23" s="5"/>
      <c r="R23" s="5"/>
      <c r="S23" s="5"/>
      <c r="T23" s="13"/>
    </row>
    <row r="24" spans="1:20" ht="15.75" thickBot="1" x14ac:dyDescent="0.3">
      <c r="A24" s="17" t="s">
        <v>13</v>
      </c>
      <c r="B24" s="19">
        <v>45</v>
      </c>
      <c r="E24" s="138" t="s">
        <v>14</v>
      </c>
      <c r="F24" s="139"/>
      <c r="G24" s="139"/>
      <c r="H24" s="139"/>
      <c r="I24" s="42">
        <f>B23*B24</f>
        <v>4500</v>
      </c>
      <c r="J24" s="5"/>
      <c r="K24" s="5"/>
      <c r="L24" s="5"/>
      <c r="M24" s="13"/>
      <c r="O24" s="136" t="s">
        <v>14</v>
      </c>
      <c r="P24" s="137"/>
      <c r="Q24" s="137"/>
      <c r="R24" s="137"/>
      <c r="S24" s="137"/>
      <c r="T24" s="56">
        <f>I24</f>
        <v>4500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0</v>
      </c>
      <c r="J27" s="5"/>
      <c r="K27" s="35" t="s">
        <v>16</v>
      </c>
      <c r="L27" s="36">
        <f>F19</f>
        <v>2250</v>
      </c>
      <c r="M27" s="105" t="s">
        <v>17</v>
      </c>
      <c r="O27" s="136" t="s">
        <v>15</v>
      </c>
      <c r="P27" s="137"/>
      <c r="Q27" s="137"/>
      <c r="R27" s="137"/>
      <c r="S27" s="137"/>
      <c r="T27" s="88">
        <f>I27</f>
        <v>0</v>
      </c>
    </row>
    <row r="28" spans="1:20" ht="15.75" thickBot="1" x14ac:dyDescent="0.3">
      <c r="A28" s="171" t="s">
        <v>37</v>
      </c>
      <c r="B28" s="171"/>
      <c r="C28" s="171"/>
      <c r="D28" s="172"/>
      <c r="E28" s="85"/>
      <c r="F28" s="86"/>
      <c r="G28" s="86"/>
      <c r="H28" s="86"/>
      <c r="I28" s="5"/>
      <c r="J28" s="5"/>
      <c r="K28" s="37" t="s">
        <v>18</v>
      </c>
      <c r="L28" s="38">
        <f>I24</f>
        <v>4500</v>
      </c>
      <c r="M28" s="39">
        <f>MAX(L27-L28,0)</f>
        <v>0</v>
      </c>
      <c r="O28" s="16"/>
      <c r="P28" s="5"/>
      <c r="Q28" s="5"/>
      <c r="R28" s="5"/>
      <c r="S28" s="5"/>
      <c r="T28" s="13"/>
    </row>
    <row r="29" spans="1:20" x14ac:dyDescent="0.25">
      <c r="A29" s="147" t="s">
        <v>22</v>
      </c>
      <c r="B29" s="148"/>
      <c r="E29" s="138" t="str">
        <f>"DA Incremental Cost @ DA MW ("&amp;$B23&amp;" MW)"</f>
        <v>DA Incremental Cost @ DA MW (100 MW)</v>
      </c>
      <c r="F29" s="139"/>
      <c r="G29" s="139"/>
      <c r="H29" s="139"/>
      <c r="I29" s="44">
        <f>F19</f>
        <v>2250</v>
      </c>
      <c r="J29" s="5"/>
      <c r="K29" s="29"/>
      <c r="L29" s="5"/>
      <c r="M29" s="13"/>
      <c r="O29" s="136" t="str">
        <f>"DA Incremental Cost @ DA MW ("&amp;$B23&amp;" MW)"</f>
        <v>DA Incremental Cost @ DA MW (100 MW)</v>
      </c>
      <c r="P29" s="137"/>
      <c r="Q29" s="137"/>
      <c r="R29" s="137"/>
      <c r="S29" s="137"/>
      <c r="T29" s="89">
        <f>I29</f>
        <v>2250</v>
      </c>
    </row>
    <row r="30" spans="1:20" x14ac:dyDescent="0.25">
      <c r="A30" s="16" t="s">
        <v>43</v>
      </c>
      <c r="B30" s="13">
        <v>100</v>
      </c>
      <c r="E30" s="85"/>
      <c r="F30" s="86"/>
      <c r="G30" s="86"/>
      <c r="H30" s="86"/>
      <c r="I30" s="5"/>
      <c r="J30" s="5"/>
      <c r="K30" s="5"/>
      <c r="L30" s="29"/>
      <c r="M30" s="13"/>
      <c r="O30" s="16"/>
      <c r="P30" s="5"/>
      <c r="Q30" s="5"/>
      <c r="R30" s="5"/>
      <c r="S30" s="5"/>
      <c r="T30" s="13"/>
    </row>
    <row r="31" spans="1:20" ht="15.75" thickBot="1" x14ac:dyDescent="0.3">
      <c r="A31" s="16" t="s">
        <v>13</v>
      </c>
      <c r="B31" s="6">
        <v>200</v>
      </c>
      <c r="D31" s="32"/>
      <c r="E31" s="138" t="s">
        <v>19</v>
      </c>
      <c r="F31" s="139"/>
      <c r="G31" s="139"/>
      <c r="H31" s="139"/>
      <c r="I31" s="40">
        <f>I24+I27-I29</f>
        <v>2250</v>
      </c>
      <c r="J31" s="5"/>
      <c r="K31" s="29"/>
      <c r="L31" s="45"/>
      <c r="M31" s="13"/>
      <c r="O31" s="136" t="s">
        <v>19</v>
      </c>
      <c r="P31" s="137"/>
      <c r="Q31" s="137"/>
      <c r="R31" s="137"/>
      <c r="S31" s="137"/>
      <c r="T31" s="31">
        <f>T24+T27-T29</f>
        <v>2250</v>
      </c>
    </row>
    <row r="32" spans="1:20" ht="15.75" thickTop="1" x14ac:dyDescent="0.25">
      <c r="A32" s="16" t="s">
        <v>27</v>
      </c>
      <c r="B32" s="13">
        <v>100</v>
      </c>
      <c r="E32" s="16"/>
      <c r="F32" s="5"/>
      <c r="G32" s="5"/>
      <c r="H32" s="8"/>
      <c r="I32" s="5"/>
      <c r="J32" s="5"/>
      <c r="K32" s="5"/>
      <c r="L32" s="5"/>
      <c r="M32" s="13"/>
      <c r="O32" s="16"/>
      <c r="P32" s="5"/>
      <c r="Q32" s="5"/>
      <c r="R32" s="5"/>
      <c r="S32" s="5"/>
      <c r="T32" s="13"/>
    </row>
    <row r="33" spans="1:20" ht="15.75" thickBot="1" x14ac:dyDescent="0.3">
      <c r="A33" s="16" t="s">
        <v>29</v>
      </c>
      <c r="B33" s="13">
        <v>100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100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100</v>
      </c>
      <c r="E35" s="140" t="s">
        <v>20</v>
      </c>
      <c r="F35" s="141"/>
      <c r="G35" s="141"/>
      <c r="H35" s="141"/>
      <c r="I35" s="141"/>
      <c r="J35" s="141"/>
      <c r="K35" s="141"/>
      <c r="L35" s="141"/>
      <c r="M35" s="142"/>
      <c r="N35" s="5"/>
      <c r="O35" s="140" t="s">
        <v>20</v>
      </c>
      <c r="P35" s="141"/>
      <c r="Q35" s="141"/>
      <c r="R35" s="141"/>
      <c r="S35" s="141"/>
      <c r="T35" s="142"/>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138" t="s">
        <v>21</v>
      </c>
      <c r="F37" s="139"/>
      <c r="G37" s="139"/>
      <c r="H37" s="139"/>
      <c r="I37" s="29">
        <f>(B30-B23)*B31</f>
        <v>0</v>
      </c>
      <c r="J37" s="29"/>
      <c r="K37" s="29"/>
      <c r="L37" s="29"/>
      <c r="M37" s="13"/>
      <c r="N37" s="5"/>
      <c r="O37" s="136" t="s">
        <v>21</v>
      </c>
      <c r="P37" s="137"/>
      <c r="Q37" s="137"/>
      <c r="R37" s="137"/>
      <c r="S37" s="137"/>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MAX(M44*-1,0)</f>
        <v>0</v>
      </c>
      <c r="J39" s="29"/>
      <c r="K39" s="143" t="s">
        <v>30</v>
      </c>
      <c r="L39" s="144"/>
      <c r="M39" s="145"/>
      <c r="N39" s="5"/>
      <c r="O39" s="136" t="s">
        <v>23</v>
      </c>
      <c r="P39" s="137"/>
      <c r="Q39" s="137"/>
      <c r="R39" s="137"/>
      <c r="S39" s="137"/>
      <c r="T39" s="30">
        <f>I39</f>
        <v>0</v>
      </c>
    </row>
    <row r="40" spans="1:20" x14ac:dyDescent="0.25">
      <c r="E40" s="92"/>
      <c r="F40" s="67"/>
      <c r="G40" s="67"/>
      <c r="H40" s="67"/>
      <c r="I40" s="76"/>
      <c r="J40" s="76"/>
      <c r="K40" s="128" t="s">
        <v>24</v>
      </c>
      <c r="L40" s="129"/>
      <c r="M40" s="56">
        <f>I24</f>
        <v>4500</v>
      </c>
      <c r="N40" s="5"/>
      <c r="O40" s="75"/>
      <c r="P40" s="76"/>
      <c r="Q40" s="76"/>
      <c r="R40" s="76"/>
      <c r="S40" s="76"/>
      <c r="T40" s="77"/>
    </row>
    <row r="41" spans="1:20" ht="30" customHeight="1" x14ac:dyDescent="0.25">
      <c r="E41" s="130" t="str">
        <f>"Incremental Cost @ RT MW Used ("&amp;$B35&amp;" MW)"</f>
        <v>Incremental Cost @ RT MW Used (100 MW)</v>
      </c>
      <c r="F41" s="131"/>
      <c r="G41" s="131"/>
      <c r="H41" s="131"/>
      <c r="I41" s="8">
        <f>M43</f>
        <v>2250</v>
      </c>
      <c r="J41" s="8"/>
      <c r="K41" s="128" t="s">
        <v>17</v>
      </c>
      <c r="L41" s="129"/>
      <c r="M41" s="56">
        <f>I27</f>
        <v>0</v>
      </c>
      <c r="N41" s="5"/>
      <c r="O41" s="136" t="str">
        <f>"Incremental Cost @ Actual RT MW ("&amp;$B30&amp;" MW)"</f>
        <v>Incremental Cost @ Actual RT MW (100 MW)</v>
      </c>
      <c r="P41" s="137"/>
      <c r="Q41" s="137"/>
      <c r="R41" s="137"/>
      <c r="S41" s="137"/>
      <c r="T41" s="6">
        <f>T19</f>
        <v>2250</v>
      </c>
    </row>
    <row r="42" spans="1:20" x14ac:dyDescent="0.25">
      <c r="E42" s="93"/>
      <c r="F42" s="100"/>
      <c r="G42" s="100"/>
      <c r="H42" s="100"/>
      <c r="I42" s="48"/>
      <c r="J42" s="48"/>
      <c r="K42" s="132" t="s">
        <v>25</v>
      </c>
      <c r="L42" s="133"/>
      <c r="M42" s="30">
        <f>(B34-B23)*B31</f>
        <v>0</v>
      </c>
      <c r="N42" s="5"/>
      <c r="O42" s="47"/>
      <c r="P42" s="87"/>
      <c r="Q42" s="87"/>
      <c r="R42" s="87"/>
      <c r="S42" s="87"/>
      <c r="T42" s="90"/>
    </row>
    <row r="43" spans="1:20" ht="15.75" thickBot="1" x14ac:dyDescent="0.3">
      <c r="E43" s="134" t="s">
        <v>26</v>
      </c>
      <c r="F43" s="135"/>
      <c r="G43" s="135"/>
      <c r="H43" s="135"/>
      <c r="I43" s="50">
        <f>I24+I27+I37+I39-I41</f>
        <v>2250</v>
      </c>
      <c r="J43" s="104"/>
      <c r="K43" s="136" t="s">
        <v>46</v>
      </c>
      <c r="L43" s="137"/>
      <c r="M43" s="30">
        <f>M19</f>
        <v>2250</v>
      </c>
      <c r="N43" s="5"/>
      <c r="O43" s="136" t="s">
        <v>26</v>
      </c>
      <c r="P43" s="137"/>
      <c r="Q43" s="137"/>
      <c r="R43" s="137"/>
      <c r="S43" s="137"/>
      <c r="T43" s="91">
        <f>T24+T27+T37+T39-T41</f>
        <v>2250</v>
      </c>
    </row>
    <row r="44" spans="1:20" ht="30.75" customHeight="1" thickTop="1" thickBot="1" x14ac:dyDescent="0.3">
      <c r="E44" s="49"/>
      <c r="F44" s="8"/>
      <c r="G44" s="8"/>
      <c r="H44" s="8"/>
      <c r="I44" s="8"/>
      <c r="J44" s="8"/>
      <c r="K44" s="124" t="s">
        <v>72</v>
      </c>
      <c r="L44" s="125"/>
      <c r="M44" s="103">
        <f>M40+M41+M42-M43</f>
        <v>2250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61</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120" t="s">
        <v>3</v>
      </c>
      <c r="B59" s="117" t="s">
        <v>33</v>
      </c>
      <c r="C59" s="117" t="s">
        <v>34</v>
      </c>
      <c r="D59" s="121" t="s">
        <v>4</v>
      </c>
      <c r="E59" s="120" t="s">
        <v>5</v>
      </c>
      <c r="F59" s="117" t="s">
        <v>6</v>
      </c>
      <c r="G59" s="118" t="s">
        <v>7</v>
      </c>
      <c r="H59" s="69" t="s">
        <v>38</v>
      </c>
      <c r="I59" s="65" t="s">
        <v>53</v>
      </c>
      <c r="J59" s="65" t="s">
        <v>6</v>
      </c>
      <c r="K59" s="66" t="s">
        <v>7</v>
      </c>
      <c r="L59" s="119" t="s">
        <v>5</v>
      </c>
      <c r="M59" s="65" t="s">
        <v>49</v>
      </c>
      <c r="N59" s="66" t="s">
        <v>47</v>
      </c>
    </row>
    <row r="60" spans="1:23" x14ac:dyDescent="0.25">
      <c r="A60" s="4">
        <v>1</v>
      </c>
      <c r="B60" s="5">
        <v>0</v>
      </c>
      <c r="C60" s="5">
        <v>50</v>
      </c>
      <c r="D60" s="6">
        <v>20</v>
      </c>
      <c r="E60" s="7">
        <f>IF(AND(B$74&gt;B60,B$74&lt;=C60),B$74,0)</f>
        <v>0</v>
      </c>
      <c r="F60" s="8">
        <f>IF(B74&gt;0,D60,0)</f>
        <v>20</v>
      </c>
      <c r="G60" s="8">
        <f>IF(E60&gt;0,IF(E60=B60,D60,IF(AND(E60&gt;B60,E60&lt;=C60),D60+(E60-B60)*((D60-D60)/(C60-B60)),0)),0)</f>
        <v>0</v>
      </c>
      <c r="H60" s="14">
        <f>IF(AND(MIN(B$81,B$84)&gt;B60,MIN(B$81,B$84)&lt;=C60),MIN(B$81,B$84),0)</f>
        <v>50</v>
      </c>
      <c r="I60" s="15">
        <f>IF(AND(B$86&gt;B60,B$86&lt;=C60),B$86,0)</f>
        <v>50</v>
      </c>
      <c r="J60" s="9">
        <f>IF(B81&gt;0,D60,0)</f>
        <v>20</v>
      </c>
      <c r="K60" s="11">
        <f>IF(H60&gt;0,IF(H60=B60,D60,IF(AND(H60&gt;B60,H60&lt;=C60),D60+(H60-B60)*((D60-D60)/(C60-B60)),0)),0)</f>
        <v>20</v>
      </c>
      <c r="L60" s="14">
        <f>IF(AND(B81&gt;B60,B81&lt;=C60),B81,0)</f>
        <v>50</v>
      </c>
      <c r="M60" s="9">
        <f>IF(B81&gt;0,D60,0)</f>
        <v>20</v>
      </c>
      <c r="N60" s="11">
        <f>IF(L60&gt;0,IF(L60=B60,D60,IF(AND(L60&gt;B60,L60&lt;=C60),D60+(L60-B60)*((D60-D60)/(C60-B60)),0)),0)</f>
        <v>20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100</v>
      </c>
      <c r="F62" s="21">
        <v>0</v>
      </c>
      <c r="G62" s="21">
        <f>IF(E62&gt;0,IF(E62=C62,D62,IF(AND(E62&gt;B62,E62&lt;C62),D61+(E62-B62)*((D62-D61)/(C62-B62)),IF(E62&gt;C62,D62,0))),0)</f>
        <v>30</v>
      </c>
      <c r="H62" s="24">
        <f t="shared" si="6"/>
        <v>0</v>
      </c>
      <c r="I62" s="22">
        <f t="shared" si="7"/>
        <v>0</v>
      </c>
      <c r="J62" s="18">
        <v>0</v>
      </c>
      <c r="K62" s="19">
        <f>IF(AND(I62&gt;0,H62&lt;&gt;I62),MAX(K60:K61),IF(H62&gt;0,IF(H62=B62,D62,IF(AND(H62&gt;B62,H62&lt;=C62),D61+(H62-B62)*((D62-D61)/(C62-B62)),0)),0))</f>
        <v>0</v>
      </c>
      <c r="L62" s="24">
        <f>IF(AND(B81&gt;B62,B81&lt;=C62),B81,0)</f>
        <v>0</v>
      </c>
      <c r="M62" s="21">
        <v>0</v>
      </c>
      <c r="N62" s="19">
        <f>IF(L62&gt;0,IF(L62=B62,D62,IF(AND(L62&gt;B62,L62&lt;=C62),D62+(L62-B62)*((D62-D62)/(C62-B62)),0)),0)</f>
        <v>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16" t="s">
        <v>3</v>
      </c>
      <c r="B65" s="117" t="s">
        <v>33</v>
      </c>
      <c r="C65" s="117" t="s">
        <v>34</v>
      </c>
      <c r="D65" s="117" t="s">
        <v>49</v>
      </c>
      <c r="E65" s="117" t="s">
        <v>47</v>
      </c>
      <c r="F65" s="118" t="s">
        <v>48</v>
      </c>
      <c r="H65" s="116" t="s">
        <v>3</v>
      </c>
      <c r="I65" s="117" t="s">
        <v>50</v>
      </c>
      <c r="J65" s="117" t="s">
        <v>51</v>
      </c>
      <c r="K65" s="117" t="s">
        <v>49</v>
      </c>
      <c r="L65" s="117" t="s">
        <v>47</v>
      </c>
      <c r="M65" s="118" t="s">
        <v>48</v>
      </c>
      <c r="O65" s="116" t="s">
        <v>3</v>
      </c>
      <c r="P65" s="117" t="s">
        <v>33</v>
      </c>
      <c r="Q65" s="117" t="s">
        <v>34</v>
      </c>
      <c r="R65" s="117" t="s">
        <v>49</v>
      </c>
      <c r="S65" s="117" t="s">
        <v>47</v>
      </c>
      <c r="T65" s="118" t="s">
        <v>48</v>
      </c>
    </row>
    <row r="66" spans="1:20" x14ac:dyDescent="0.25">
      <c r="A66" s="4">
        <v>1</v>
      </c>
      <c r="B66" s="5">
        <v>0</v>
      </c>
      <c r="C66" s="5">
        <f>IF(AND(B74&gt;B60,B74&lt;C60),B74,IF(B74&gt;=C60,C60,0))</f>
        <v>50</v>
      </c>
      <c r="D66" s="29">
        <f>MIN(D60,F60)</f>
        <v>20</v>
      </c>
      <c r="E66" s="29">
        <f>IF(AND(B$74&gt;B60,B$74&lt;C60),G60,IF(B$74&gt;=C60,D60,0))</f>
        <v>20</v>
      </c>
      <c r="F66" s="30">
        <f>(C66-B66)*(D66+E66)/2</f>
        <v>1000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IF(B$23&gt;B61,C66,0)</f>
        <v>50</v>
      </c>
      <c r="C67" s="5">
        <f>IF(AND(B$74&gt;B61,B$74&lt;C61),B$74,IF(B$74&gt;=C61,C61,0))</f>
        <v>75</v>
      </c>
      <c r="D67" s="29">
        <f>IF(B67&lt;&gt;0,E66,0)</f>
        <v>20</v>
      </c>
      <c r="E67" s="29">
        <f>IF(AND(B$74&gt;B61,B$74&lt;C61),G61,IF(B$74&gt;=C61,D61,0))</f>
        <v>25</v>
      </c>
      <c r="F67" s="30">
        <f t="shared" ref="F67:F69" si="8">(C67-B67)*(D67+E67)/2</f>
        <v>562.5</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0</v>
      </c>
      <c r="Q67" s="5">
        <f t="shared" ref="Q67:Q69" si="11">IF(AND(B$81&gt;B61,B$81&lt;C61),B$81,IF(B$81&gt;=C61,C61,0))</f>
        <v>0</v>
      </c>
      <c r="R67" s="29">
        <f>IF(P67&lt;&gt;0,S66,0)</f>
        <v>0</v>
      </c>
      <c r="S67" s="29">
        <f t="shared" ref="S67:S69" si="12">IF(AND(B$81&gt;B61,B$81&lt;C61),N61,IF(B$81&gt;=C61,D61,0))</f>
        <v>0</v>
      </c>
      <c r="T67" s="30">
        <f t="shared" ref="T67:T69" si="13">(Q67-P67)*(R67+S67)/2</f>
        <v>0</v>
      </c>
    </row>
    <row r="68" spans="1:20" x14ac:dyDescent="0.25">
      <c r="A68" s="4">
        <v>3</v>
      </c>
      <c r="B68" s="5">
        <f>IF(B$23&gt;B62,C67,0)</f>
        <v>75</v>
      </c>
      <c r="C68" s="5">
        <f>IF(AND(B$74&gt;B62,B$74&lt;C62),B$74,IF(B$74&gt;=C62,C62,0))</f>
        <v>100</v>
      </c>
      <c r="D68" s="29">
        <f t="shared" ref="D68:D69" si="14">IF(B68&lt;&gt;0,E67,0)</f>
        <v>25</v>
      </c>
      <c r="E68" s="29">
        <f t="shared" ref="E68:E69" si="15">IF(AND(B$74&gt;B62,B$74&lt;C62),G62,IF(B$74&gt;=C62,D62,0))</f>
        <v>30</v>
      </c>
      <c r="F68" s="30">
        <f t="shared" si="8"/>
        <v>687.5</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0</v>
      </c>
      <c r="Q68" s="5">
        <f t="shared" si="11"/>
        <v>0</v>
      </c>
      <c r="R68" s="29">
        <f>IF(P68&lt;&gt;0,S67,0)</f>
        <v>0</v>
      </c>
      <c r="S68" s="29">
        <f t="shared" si="12"/>
        <v>0</v>
      </c>
      <c r="T68" s="30">
        <f t="shared" si="13"/>
        <v>0</v>
      </c>
    </row>
    <row r="69" spans="1:20" x14ac:dyDescent="0.25">
      <c r="A69" s="4">
        <v>4</v>
      </c>
      <c r="B69" s="5">
        <f>IF(B$23&gt;C62,C68,0)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2250</v>
      </c>
      <c r="H70" s="24"/>
      <c r="I70" s="18"/>
      <c r="J70" s="18"/>
      <c r="K70" s="21"/>
      <c r="L70" s="21"/>
      <c r="M70" s="31">
        <f>SUM(M66:M69)</f>
        <v>1000</v>
      </c>
      <c r="O70" s="24"/>
      <c r="P70" s="18"/>
      <c r="Q70" s="18"/>
      <c r="R70" s="21"/>
      <c r="S70" s="21"/>
      <c r="T70" s="31">
        <f>SUM(T66:T69)</f>
        <v>1000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100</v>
      </c>
      <c r="E74" s="152" t="s">
        <v>12</v>
      </c>
      <c r="F74" s="153"/>
      <c r="G74" s="153"/>
      <c r="H74" s="153"/>
      <c r="I74" s="99"/>
      <c r="J74" s="10"/>
      <c r="K74" s="10"/>
      <c r="L74" s="10"/>
      <c r="M74" s="26"/>
      <c r="O74" s="16" t="s">
        <v>12</v>
      </c>
      <c r="P74" s="29"/>
      <c r="Q74" s="5"/>
      <c r="R74" s="5"/>
      <c r="S74" s="5"/>
      <c r="T74" s="13"/>
    </row>
    <row r="75" spans="1:20" ht="15.75" thickBot="1" x14ac:dyDescent="0.3">
      <c r="A75" s="17" t="s">
        <v>13</v>
      </c>
      <c r="B75" s="19">
        <v>45</v>
      </c>
      <c r="E75" s="138" t="s">
        <v>14</v>
      </c>
      <c r="F75" s="139"/>
      <c r="G75" s="139"/>
      <c r="H75" s="139"/>
      <c r="I75" s="42">
        <f>B74*B75</f>
        <v>4500</v>
      </c>
      <c r="J75" s="5"/>
      <c r="K75" s="5"/>
      <c r="L75" s="5"/>
      <c r="M75" s="13"/>
      <c r="O75" s="136" t="s">
        <v>14</v>
      </c>
      <c r="P75" s="137"/>
      <c r="Q75" s="137"/>
      <c r="R75" s="137"/>
      <c r="S75" s="137"/>
      <c r="T75" s="56">
        <f>I75</f>
        <v>4500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0</v>
      </c>
      <c r="J78" s="5"/>
      <c r="K78" s="35" t="s">
        <v>16</v>
      </c>
      <c r="L78" s="36">
        <f>F70</f>
        <v>2250</v>
      </c>
      <c r="M78" s="105" t="s">
        <v>17</v>
      </c>
      <c r="O78" s="136" t="s">
        <v>15</v>
      </c>
      <c r="P78" s="137"/>
      <c r="Q78" s="137"/>
      <c r="R78" s="137"/>
      <c r="S78" s="137"/>
      <c r="T78" s="88">
        <f>I78</f>
        <v>0</v>
      </c>
    </row>
    <row r="79" spans="1:20" ht="15.75" thickBot="1" x14ac:dyDescent="0.3">
      <c r="A79" s="68" t="s">
        <v>37</v>
      </c>
      <c r="E79" s="85"/>
      <c r="F79" s="86"/>
      <c r="G79" s="86"/>
      <c r="H79" s="86"/>
      <c r="I79" s="5"/>
      <c r="J79" s="5"/>
      <c r="K79" s="37" t="s">
        <v>18</v>
      </c>
      <c r="L79" s="38">
        <f>I75</f>
        <v>4500</v>
      </c>
      <c r="M79" s="39">
        <f>MAX(L78-L79,0)</f>
        <v>0</v>
      </c>
      <c r="O79" s="16"/>
      <c r="P79" s="5"/>
      <c r="Q79" s="5"/>
      <c r="R79" s="5"/>
      <c r="S79" s="5"/>
      <c r="T79" s="13"/>
    </row>
    <row r="80" spans="1:20" x14ac:dyDescent="0.25">
      <c r="A80" s="147" t="s">
        <v>22</v>
      </c>
      <c r="B80" s="148"/>
      <c r="E80" s="138" t="str">
        <f>"DA Incremental Cost @ DA MW ("&amp;$B74&amp;" MW)"</f>
        <v>DA Incremental Cost @ DA MW (100 MW)</v>
      </c>
      <c r="F80" s="139"/>
      <c r="G80" s="139"/>
      <c r="H80" s="139"/>
      <c r="I80" s="44">
        <f>F70</f>
        <v>2250</v>
      </c>
      <c r="J80" s="5"/>
      <c r="K80" s="29"/>
      <c r="L80" s="5"/>
      <c r="M80" s="13"/>
      <c r="O80" s="136" t="str">
        <f>"DA Incremental Cost @ DA MW ("&amp;$B74&amp;" MW)"</f>
        <v>DA Incremental Cost @ DA MW (100 MW)</v>
      </c>
      <c r="P80" s="137"/>
      <c r="Q80" s="137"/>
      <c r="R80" s="137"/>
      <c r="S80" s="137"/>
      <c r="T80" s="89">
        <f>I80</f>
        <v>2250</v>
      </c>
    </row>
    <row r="81" spans="1:20" x14ac:dyDescent="0.25">
      <c r="A81" s="16" t="s">
        <v>43</v>
      </c>
      <c r="B81" s="13">
        <v>50</v>
      </c>
      <c r="E81" s="85"/>
      <c r="F81" s="86"/>
      <c r="G81" s="86"/>
      <c r="H81" s="86"/>
      <c r="I81" s="5"/>
      <c r="J81" s="5"/>
      <c r="K81" s="5"/>
      <c r="L81" s="29"/>
      <c r="M81" s="13"/>
      <c r="O81" s="16"/>
      <c r="P81" s="5"/>
      <c r="Q81" s="5"/>
      <c r="R81" s="5"/>
      <c r="S81" s="5"/>
      <c r="T81" s="13"/>
    </row>
    <row r="82" spans="1:20" ht="15.75" thickBot="1" x14ac:dyDescent="0.3">
      <c r="A82" s="16" t="s">
        <v>13</v>
      </c>
      <c r="B82" s="6">
        <v>200</v>
      </c>
      <c r="D82" s="32"/>
      <c r="E82" s="138" t="s">
        <v>19</v>
      </c>
      <c r="F82" s="139"/>
      <c r="G82" s="139"/>
      <c r="H82" s="139"/>
      <c r="I82" s="40">
        <f>I75+I78-I80</f>
        <v>2250</v>
      </c>
      <c r="J82" s="5"/>
      <c r="K82" s="29"/>
      <c r="L82" s="45"/>
      <c r="M82" s="13"/>
      <c r="O82" s="136" t="s">
        <v>19</v>
      </c>
      <c r="P82" s="137"/>
      <c r="Q82" s="137"/>
      <c r="R82" s="137"/>
      <c r="S82" s="137"/>
      <c r="T82" s="31">
        <f>T75+T78-T80</f>
        <v>2250</v>
      </c>
    </row>
    <row r="83" spans="1:20" ht="15.75" thickTop="1" x14ac:dyDescent="0.25">
      <c r="A83" s="16" t="s">
        <v>27</v>
      </c>
      <c r="B83" s="13">
        <v>100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75</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50</v>
      </c>
      <c r="E86" s="140" t="s">
        <v>20</v>
      </c>
      <c r="F86" s="141"/>
      <c r="G86" s="141"/>
      <c r="H86" s="141"/>
      <c r="I86" s="141"/>
      <c r="J86" s="141"/>
      <c r="K86" s="141"/>
      <c r="L86" s="141"/>
      <c r="M86" s="142"/>
      <c r="O86" s="160" t="s">
        <v>20</v>
      </c>
      <c r="P86" s="161"/>
      <c r="Q86" s="161"/>
      <c r="R86" s="161"/>
      <c r="S86" s="161"/>
      <c r="T86" s="162"/>
    </row>
    <row r="87" spans="1:20" x14ac:dyDescent="0.25">
      <c r="E87" s="85" t="s">
        <v>12</v>
      </c>
      <c r="F87" s="86"/>
      <c r="G87" s="86"/>
      <c r="H87" s="86"/>
      <c r="I87" s="5"/>
      <c r="J87" s="5"/>
      <c r="K87" s="5"/>
      <c r="L87" s="5"/>
      <c r="M87" s="13"/>
      <c r="O87" s="16" t="s">
        <v>12</v>
      </c>
      <c r="P87" s="5"/>
      <c r="Q87" s="5"/>
      <c r="R87" s="5"/>
      <c r="S87" s="5"/>
      <c r="T87" s="13"/>
    </row>
    <row r="88" spans="1:20" x14ac:dyDescent="0.25">
      <c r="E88" s="138" t="s">
        <v>21</v>
      </c>
      <c r="F88" s="139"/>
      <c r="G88" s="139"/>
      <c r="H88" s="139"/>
      <c r="I88" s="29">
        <f>(B81-B74)*B82</f>
        <v>-10000</v>
      </c>
      <c r="J88" s="29"/>
      <c r="K88" s="29"/>
      <c r="L88" s="29"/>
      <c r="M88" s="13"/>
      <c r="O88" s="136" t="s">
        <v>21</v>
      </c>
      <c r="P88" s="137"/>
      <c r="Q88" s="137"/>
      <c r="R88" s="137"/>
      <c r="S88" s="137"/>
      <c r="T88" s="30">
        <f>I88</f>
        <v>-10000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MAX(M95*-1,0)</f>
        <v>1500</v>
      </c>
      <c r="J90" s="29"/>
      <c r="K90" s="143" t="s">
        <v>30</v>
      </c>
      <c r="L90" s="144"/>
      <c r="M90" s="145"/>
      <c r="O90" s="136" t="s">
        <v>23</v>
      </c>
      <c r="P90" s="137"/>
      <c r="Q90" s="137"/>
      <c r="R90" s="137"/>
      <c r="S90" s="137"/>
      <c r="T90" s="30">
        <f>I90</f>
        <v>1500</v>
      </c>
    </row>
    <row r="91" spans="1:20" x14ac:dyDescent="0.25">
      <c r="E91" s="92"/>
      <c r="F91" s="67"/>
      <c r="G91" s="67"/>
      <c r="H91" s="67"/>
      <c r="I91" s="76"/>
      <c r="J91" s="76"/>
      <c r="K91" s="128" t="s">
        <v>24</v>
      </c>
      <c r="L91" s="129"/>
      <c r="M91" s="56">
        <f>I75</f>
        <v>4500</v>
      </c>
      <c r="O91" s="75"/>
      <c r="P91" s="76"/>
      <c r="Q91" s="76"/>
      <c r="R91" s="76"/>
      <c r="S91" s="76"/>
      <c r="T91" s="77"/>
    </row>
    <row r="92" spans="1:20" x14ac:dyDescent="0.25">
      <c r="E92" s="130" t="str">
        <f>"Incremental Cost @ RT MW Used ("&amp;$B86&amp;" MW)"</f>
        <v>Incremental Cost @ RT MW Used (50 MW)</v>
      </c>
      <c r="F92" s="131"/>
      <c r="G92" s="131"/>
      <c r="H92" s="131"/>
      <c r="I92" s="8">
        <f>M94</f>
        <v>1000</v>
      </c>
      <c r="J92" s="8"/>
      <c r="K92" s="128" t="s">
        <v>17</v>
      </c>
      <c r="L92" s="129"/>
      <c r="M92" s="56">
        <f>I78</f>
        <v>0</v>
      </c>
      <c r="O92" s="136" t="str">
        <f>"Incremental Cost @ Actual RT MW ("&amp;$B81&amp;" MW)"</f>
        <v>Incremental Cost @ Actual RT MW (50 MW)</v>
      </c>
      <c r="P92" s="137"/>
      <c r="Q92" s="137"/>
      <c r="R92" s="137"/>
      <c r="S92" s="137"/>
      <c r="T92" s="6">
        <f>T70</f>
        <v>1000</v>
      </c>
    </row>
    <row r="93" spans="1:20" x14ac:dyDescent="0.25">
      <c r="E93" s="93"/>
      <c r="F93" s="100"/>
      <c r="G93" s="100"/>
      <c r="H93" s="100"/>
      <c r="I93" s="48"/>
      <c r="J93" s="48"/>
      <c r="K93" s="132" t="s">
        <v>25</v>
      </c>
      <c r="L93" s="133"/>
      <c r="M93" s="30">
        <f>(B85-B74)*B82</f>
        <v>-5000</v>
      </c>
      <c r="O93" s="47"/>
      <c r="P93" s="87"/>
      <c r="Q93" s="87"/>
      <c r="R93" s="87"/>
      <c r="S93" s="87"/>
      <c r="T93" s="90"/>
    </row>
    <row r="94" spans="1:20" ht="15.75" thickBot="1" x14ac:dyDescent="0.3">
      <c r="E94" s="134" t="s">
        <v>26</v>
      </c>
      <c r="F94" s="135"/>
      <c r="G94" s="135"/>
      <c r="H94" s="135"/>
      <c r="I94" s="50">
        <f>I75+I78+I88+I90-I92</f>
        <v>-5000</v>
      </c>
      <c r="J94" s="104"/>
      <c r="K94" s="136" t="s">
        <v>46</v>
      </c>
      <c r="L94" s="137"/>
      <c r="M94" s="30">
        <f>M70</f>
        <v>1000</v>
      </c>
      <c r="O94" s="136" t="s">
        <v>26</v>
      </c>
      <c r="P94" s="137"/>
      <c r="Q94" s="137"/>
      <c r="R94" s="137"/>
      <c r="S94" s="137"/>
      <c r="T94" s="91">
        <f>T75+T78+T88+T90-T92</f>
        <v>-5000</v>
      </c>
    </row>
    <row r="95" spans="1:20" ht="29.25" customHeight="1" thickTop="1" thickBot="1" x14ac:dyDescent="0.3">
      <c r="E95" s="49"/>
      <c r="F95" s="8"/>
      <c r="G95" s="8"/>
      <c r="H95" s="8"/>
      <c r="I95" s="8"/>
      <c r="J95" s="8"/>
      <c r="K95" s="124" t="s">
        <v>72</v>
      </c>
      <c r="L95" s="125"/>
      <c r="M95" s="103">
        <f>M91+M92+M93-M94</f>
        <v>-1500</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3.5" customHeight="1" x14ac:dyDescent="0.25">
      <c r="A106" s="108"/>
      <c r="B106" s="53"/>
      <c r="C106" s="53"/>
      <c r="D106" s="122"/>
      <c r="E106" s="54"/>
      <c r="F106" s="54"/>
      <c r="G106" s="122"/>
      <c r="H106" s="53"/>
      <c r="I106" s="55"/>
      <c r="J106" s="53"/>
      <c r="K106" s="53"/>
      <c r="L106" s="53"/>
      <c r="M106" s="53"/>
      <c r="N106" s="53"/>
      <c r="O106" s="53"/>
      <c r="P106" s="53"/>
      <c r="Q106" s="53"/>
      <c r="R106" s="53"/>
      <c r="S106" s="53"/>
      <c r="T106" s="53"/>
    </row>
    <row r="107" spans="1:23" ht="21.75" customHeight="1" x14ac:dyDescent="0.25">
      <c r="A107" s="169" t="s">
        <v>62</v>
      </c>
      <c r="B107" s="169"/>
      <c r="C107" s="169"/>
      <c r="D107" s="169"/>
      <c r="E107" s="169"/>
      <c r="F107" s="169"/>
      <c r="G107" s="169"/>
      <c r="H107" s="169"/>
      <c r="I107" s="169"/>
      <c r="J107" s="169"/>
      <c r="K107" s="169"/>
      <c r="L107" s="169"/>
      <c r="M107" s="169"/>
      <c r="N107" s="169"/>
      <c r="O107" s="169"/>
      <c r="P107" s="169"/>
      <c r="Q107" s="169"/>
      <c r="R107" s="169"/>
      <c r="S107" s="169"/>
      <c r="T107" s="169"/>
    </row>
    <row r="108" spans="1:23" s="83" customFormat="1" ht="18" customHeight="1" thickBot="1" x14ac:dyDescent="0.3">
      <c r="A108" s="182"/>
      <c r="B108" s="182"/>
      <c r="C108" s="182"/>
      <c r="D108" s="182"/>
      <c r="E108" s="182"/>
      <c r="F108" s="182"/>
      <c r="G108" s="182"/>
      <c r="H108" s="182"/>
      <c r="I108" s="182"/>
      <c r="J108" s="182"/>
      <c r="K108" s="182"/>
      <c r="L108" s="182"/>
      <c r="M108" s="182"/>
      <c r="N108" s="182"/>
      <c r="O108" s="182"/>
      <c r="P108" s="182"/>
      <c r="Q108" s="182"/>
      <c r="R108" s="182"/>
      <c r="S108" s="182"/>
      <c r="T108" s="182"/>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120" t="s">
        <v>3</v>
      </c>
      <c r="B110" s="117" t="s">
        <v>33</v>
      </c>
      <c r="C110" s="117" t="s">
        <v>34</v>
      </c>
      <c r="D110" s="121" t="s">
        <v>4</v>
      </c>
      <c r="E110" s="120" t="s">
        <v>5</v>
      </c>
      <c r="F110" s="117" t="s">
        <v>6</v>
      </c>
      <c r="G110" s="118" t="s">
        <v>7</v>
      </c>
      <c r="H110" s="69" t="s">
        <v>38</v>
      </c>
      <c r="I110" s="65" t="s">
        <v>8</v>
      </c>
      <c r="J110" s="65" t="s">
        <v>6</v>
      </c>
      <c r="K110" s="66" t="s">
        <v>7</v>
      </c>
      <c r="L110" s="119" t="s">
        <v>5</v>
      </c>
      <c r="M110" s="65" t="s">
        <v>49</v>
      </c>
      <c r="N110" s="66" t="s">
        <v>47</v>
      </c>
    </row>
    <row r="111" spans="1:23" x14ac:dyDescent="0.25">
      <c r="A111" s="4">
        <v>1</v>
      </c>
      <c r="B111" s="5">
        <v>0</v>
      </c>
      <c r="C111" s="5">
        <v>50</v>
      </c>
      <c r="D111" s="6">
        <v>20</v>
      </c>
      <c r="E111" s="7">
        <f>IF(AND(B$74&gt;B111,B$74&lt;=C111),B$74,0)</f>
        <v>0</v>
      </c>
      <c r="F111" s="8">
        <f>IF(B125&gt;0,D111,0)</f>
        <v>20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50</v>
      </c>
      <c r="M111" s="9">
        <f>IF(B132&gt;0,D111,0)</f>
        <v>20</v>
      </c>
      <c r="N111" s="11">
        <f>IF(L111&gt;0,IF(L111=B111,D111,IF(AND(L111&gt;B111,L111&lt;=C111),D111+(L111-B111)*((D111-D111)/(C111-B111)),0)),0)</f>
        <v>20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100</v>
      </c>
      <c r="F113" s="21">
        <v>0</v>
      </c>
      <c r="G113" s="21">
        <f>IF(E113&gt;0,IF(E113=C113,D113,IF(AND(E113&gt;B113,E113&lt;C113),D112+(E113-B113)*((D113-D112)/(C113-B113)),IF(E113&gt;C113,D113,0))),0)</f>
        <v>30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0</v>
      </c>
      <c r="M113" s="21">
        <v>0</v>
      </c>
      <c r="N113" s="19">
        <f>IF(L113&gt;0,IF(L113=B113,D113,IF(AND(L113&gt;B113,L113&lt;=C113),D113+(L113-B113)*((D113-D113)/(C113-B113)),0)),0)</f>
        <v>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16" t="s">
        <v>3</v>
      </c>
      <c r="B116" s="117" t="s">
        <v>33</v>
      </c>
      <c r="C116" s="117" t="s">
        <v>34</v>
      </c>
      <c r="D116" s="117" t="s">
        <v>49</v>
      </c>
      <c r="E116" s="117" t="s">
        <v>47</v>
      </c>
      <c r="F116" s="118" t="s">
        <v>48</v>
      </c>
      <c r="H116" s="116" t="s">
        <v>3</v>
      </c>
      <c r="I116" s="117" t="s">
        <v>50</v>
      </c>
      <c r="J116" s="117" t="s">
        <v>51</v>
      </c>
      <c r="K116" s="117" t="s">
        <v>49</v>
      </c>
      <c r="L116" s="117" t="s">
        <v>47</v>
      </c>
      <c r="M116" s="118" t="s">
        <v>48</v>
      </c>
      <c r="O116" s="116" t="s">
        <v>3</v>
      </c>
      <c r="P116" s="117" t="s">
        <v>33</v>
      </c>
      <c r="Q116" s="117" t="s">
        <v>34</v>
      </c>
      <c r="R116" s="117" t="s">
        <v>49</v>
      </c>
      <c r="S116" s="117" t="s">
        <v>47</v>
      </c>
      <c r="T116" s="118" t="s">
        <v>48</v>
      </c>
    </row>
    <row r="117" spans="1:20" x14ac:dyDescent="0.25">
      <c r="A117" s="4">
        <v>1</v>
      </c>
      <c r="B117" s="5">
        <v>0</v>
      </c>
      <c r="C117" s="5">
        <f>IF(AND(B125&gt;B111,B125&lt;C111),B125,IF(B125&gt;=C111,C111,0))</f>
        <v>50</v>
      </c>
      <c r="D117" s="29">
        <f>MIN(D111,F111)</f>
        <v>20</v>
      </c>
      <c r="E117" s="29">
        <f>IF(AND(B$125&gt;B111,B$125&lt;C111),G111,IF(B$125&gt;=C111,D111,0))</f>
        <v>20</v>
      </c>
      <c r="F117" s="30">
        <f>(C117-B117)*(D117+E117)/2</f>
        <v>1000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IF(B$23&gt;B112,C117,0)</f>
        <v>50</v>
      </c>
      <c r="C118" s="5">
        <f>IF(AND(B$125&gt;B112,B$125&lt;C112),B$125,IF(B$125&gt;=C112,C112,0))</f>
        <v>75</v>
      </c>
      <c r="D118" s="29">
        <f>IF(B118&lt;&gt;0,E117,0)</f>
        <v>20</v>
      </c>
      <c r="E118" s="29">
        <f t="shared" ref="E118:E120" si="18">IF(AND(B$125&gt;B112,B$125&lt;C112),G112,IF(B$125&gt;=C112,D112,0))</f>
        <v>25</v>
      </c>
      <c r="F118" s="30">
        <f t="shared" ref="F118:F120" si="19">(C118-B118)*(D118+E118)/2</f>
        <v>562.5</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0</v>
      </c>
      <c r="Q118" s="5">
        <f t="shared" ref="Q118:Q120" si="23">IF(AND(B$132&gt;B112,B$132&lt;C112),B$132,IF(B$132&gt;=C112,C112,0))</f>
        <v>0</v>
      </c>
      <c r="R118" s="29">
        <f>IF(P118&lt;&gt;0,S117,0)</f>
        <v>0</v>
      </c>
      <c r="S118" s="29">
        <f t="shared" ref="S118:S119" si="24">IF(AND(B$132&gt;B112,B$132&lt;C112),N112,IF(B$132&gt;=C112,D112,0))</f>
        <v>0</v>
      </c>
      <c r="T118" s="30">
        <f t="shared" ref="T118:T120" si="25">(Q118-P118)*(R118+S118)/2</f>
        <v>0</v>
      </c>
    </row>
    <row r="119" spans="1:20" x14ac:dyDescent="0.25">
      <c r="A119" s="4">
        <v>3</v>
      </c>
      <c r="B119" s="5">
        <f>IF(B$23&gt;B113,C118,0)</f>
        <v>75</v>
      </c>
      <c r="C119" s="5">
        <f t="shared" ref="C119:C120" si="26">IF(AND(B$125&gt;B113,B$125&lt;C113),B$125,IF(B$125&gt;=C113,C113,0))</f>
        <v>100</v>
      </c>
      <c r="D119" s="29">
        <f t="shared" ref="D119:D120" si="27">IF(B119&lt;&gt;0,E118,0)</f>
        <v>25</v>
      </c>
      <c r="E119" s="29">
        <f t="shared" si="18"/>
        <v>30</v>
      </c>
      <c r="F119" s="30">
        <f t="shared" si="19"/>
        <v>687.5</v>
      </c>
      <c r="H119" s="4">
        <v>3</v>
      </c>
      <c r="I119" s="5">
        <f t="shared" ref="I119" si="28">IF(MAX(I$111:I$113)&gt;B113,C112,0)</f>
        <v>0</v>
      </c>
      <c r="J119" s="5">
        <f t="shared" si="20"/>
        <v>0</v>
      </c>
      <c r="K119" s="29">
        <f>IF(I119&lt;&gt;0,L118,0)</f>
        <v>0</v>
      </c>
      <c r="L119" s="29">
        <f t="shared" si="21"/>
        <v>0</v>
      </c>
      <c r="M119" s="30">
        <f t="shared" si="22"/>
        <v>0</v>
      </c>
      <c r="O119" s="4">
        <v>3</v>
      </c>
      <c r="P119" s="5">
        <f>IF(B$132&gt;B113,Q118,0)</f>
        <v>0</v>
      </c>
      <c r="Q119" s="5">
        <f t="shared" si="23"/>
        <v>0</v>
      </c>
      <c r="R119" s="29">
        <f>IF(P119&lt;&gt;0,S118,0)</f>
        <v>0</v>
      </c>
      <c r="S119" s="29">
        <f t="shared" si="24"/>
        <v>0</v>
      </c>
      <c r="T119" s="30">
        <f t="shared" si="25"/>
        <v>0</v>
      </c>
    </row>
    <row r="120" spans="1:20" x14ac:dyDescent="0.25">
      <c r="A120" s="4">
        <v>4</v>
      </c>
      <c r="B120" s="5">
        <f>IF(B$23&gt;C113,C119,0)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2250</v>
      </c>
      <c r="H121" s="24"/>
      <c r="I121" s="18"/>
      <c r="J121" s="18"/>
      <c r="K121" s="21"/>
      <c r="L121" s="21"/>
      <c r="M121" s="31">
        <f>SUM(M117:M120)</f>
        <v>1000</v>
      </c>
      <c r="O121" s="24"/>
      <c r="P121" s="18"/>
      <c r="Q121" s="18"/>
      <c r="R121" s="21"/>
      <c r="S121" s="21"/>
      <c r="T121" s="31">
        <f>SUM(T117:T120)</f>
        <v>1000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100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45</v>
      </c>
      <c r="E126" s="138" t="s">
        <v>14</v>
      </c>
      <c r="F126" s="139"/>
      <c r="G126" s="139"/>
      <c r="H126" s="139"/>
      <c r="I126" s="42">
        <f>B125*B126</f>
        <v>4500</v>
      </c>
      <c r="J126" s="5"/>
      <c r="K126" s="5"/>
      <c r="L126" s="5"/>
      <c r="M126" s="13"/>
      <c r="O126" s="136" t="s">
        <v>14</v>
      </c>
      <c r="P126" s="137"/>
      <c r="Q126" s="137"/>
      <c r="R126" s="137"/>
      <c r="S126" s="137"/>
      <c r="T126" s="56">
        <f>I126</f>
        <v>4500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0</v>
      </c>
      <c r="J129" s="5"/>
      <c r="K129" s="35" t="s">
        <v>16</v>
      </c>
      <c r="L129" s="36">
        <f>F121</f>
        <v>2250</v>
      </c>
      <c r="M129" s="105" t="s">
        <v>17</v>
      </c>
      <c r="O129" s="136" t="s">
        <v>15</v>
      </c>
      <c r="P129" s="137"/>
      <c r="Q129" s="137"/>
      <c r="R129" s="137"/>
      <c r="S129" s="137"/>
      <c r="T129" s="88">
        <f>I129</f>
        <v>0</v>
      </c>
    </row>
    <row r="130" spans="1:20" ht="15.75" thickBot="1" x14ac:dyDescent="0.3">
      <c r="A130" s="68" t="s">
        <v>37</v>
      </c>
      <c r="E130" s="85"/>
      <c r="F130" s="86"/>
      <c r="G130" s="86"/>
      <c r="H130" s="86"/>
      <c r="I130" s="5"/>
      <c r="J130" s="5"/>
      <c r="K130" s="37" t="s">
        <v>18</v>
      </c>
      <c r="L130" s="38">
        <f>I126</f>
        <v>4500</v>
      </c>
      <c r="M130" s="39">
        <f>MAX(L129-L130,0)</f>
        <v>0</v>
      </c>
      <c r="O130" s="16"/>
      <c r="P130" s="5"/>
      <c r="Q130" s="5"/>
      <c r="R130" s="5"/>
      <c r="S130" s="5"/>
      <c r="T130" s="13"/>
    </row>
    <row r="131" spans="1:20" x14ac:dyDescent="0.25">
      <c r="A131" s="147" t="s">
        <v>22</v>
      </c>
      <c r="B131" s="148"/>
      <c r="E131" s="138" t="str">
        <f>"DA Incremental Cost @ DA MW ("&amp;$B125&amp;" MW)"</f>
        <v>DA Incremental Cost @ DA MW (100 MW)</v>
      </c>
      <c r="F131" s="139"/>
      <c r="G131" s="139"/>
      <c r="H131" s="139"/>
      <c r="I131" s="44">
        <f>F121</f>
        <v>2250</v>
      </c>
      <c r="J131" s="5"/>
      <c r="K131" s="29"/>
      <c r="L131" s="5"/>
      <c r="M131" s="13"/>
      <c r="O131" s="136" t="str">
        <f>"DA Incremental Cost @ DA MW ("&amp;$B125&amp;" MW)"</f>
        <v>DA Incremental Cost @ DA MW (100 MW)</v>
      </c>
      <c r="P131" s="137"/>
      <c r="Q131" s="137"/>
      <c r="R131" s="137"/>
      <c r="S131" s="137"/>
      <c r="T131" s="89">
        <f>I131</f>
        <v>2250</v>
      </c>
    </row>
    <row r="132" spans="1:20" x14ac:dyDescent="0.25">
      <c r="A132" s="16" t="s">
        <v>43</v>
      </c>
      <c r="B132" s="13">
        <v>50</v>
      </c>
      <c r="E132" s="85"/>
      <c r="F132" s="86"/>
      <c r="G132" s="86"/>
      <c r="H132" s="86"/>
      <c r="I132" s="5"/>
      <c r="J132" s="5"/>
      <c r="K132" s="5"/>
      <c r="L132" s="29"/>
      <c r="M132" s="13"/>
      <c r="O132" s="16"/>
      <c r="P132" s="5"/>
      <c r="Q132" s="5"/>
      <c r="R132" s="5"/>
      <c r="S132" s="5"/>
      <c r="T132" s="13"/>
    </row>
    <row r="133" spans="1:20" ht="15.75" thickBot="1" x14ac:dyDescent="0.3">
      <c r="A133" s="16" t="s">
        <v>13</v>
      </c>
      <c r="B133" s="6">
        <v>200</v>
      </c>
      <c r="D133" s="32"/>
      <c r="E133" s="138" t="s">
        <v>19</v>
      </c>
      <c r="F133" s="139"/>
      <c r="G133" s="139"/>
      <c r="H133" s="139"/>
      <c r="I133" s="40">
        <f>I126+I129-I131</f>
        <v>2250</v>
      </c>
      <c r="J133" s="5"/>
      <c r="K133" s="29"/>
      <c r="L133" s="45"/>
      <c r="M133" s="13"/>
      <c r="O133" s="136" t="s">
        <v>19</v>
      </c>
      <c r="P133" s="137"/>
      <c r="Q133" s="137"/>
      <c r="R133" s="137"/>
      <c r="S133" s="137"/>
      <c r="T133" s="31">
        <f>T126+T129-T131</f>
        <v>2250</v>
      </c>
    </row>
    <row r="134" spans="1:20" ht="15.75" thickTop="1" x14ac:dyDescent="0.25">
      <c r="A134" s="16" t="s">
        <v>27</v>
      </c>
      <c r="B134" s="13">
        <v>100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100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140" t="s">
        <v>20</v>
      </c>
      <c r="F137" s="141"/>
      <c r="G137" s="141"/>
      <c r="H137" s="141"/>
      <c r="I137" s="141"/>
      <c r="J137" s="141"/>
      <c r="K137" s="141"/>
      <c r="L137" s="141"/>
      <c r="M137" s="142"/>
      <c r="O137" s="160" t="s">
        <v>20</v>
      </c>
      <c r="P137" s="161"/>
      <c r="Q137" s="161"/>
      <c r="R137" s="161"/>
      <c r="S137" s="161"/>
      <c r="T137" s="162"/>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138" t="s">
        <v>21</v>
      </c>
      <c r="F139" s="139"/>
      <c r="G139" s="139"/>
      <c r="H139" s="139"/>
      <c r="I139" s="29">
        <f>(B132-B125)*B133</f>
        <v>-10000</v>
      </c>
      <c r="J139" s="29"/>
      <c r="K139" s="29"/>
      <c r="L139" s="29"/>
      <c r="M139" s="13"/>
      <c r="O139" s="136" t="s">
        <v>21</v>
      </c>
      <c r="P139" s="137"/>
      <c r="Q139" s="137"/>
      <c r="R139" s="137"/>
      <c r="S139" s="137"/>
      <c r="T139" s="30">
        <f>I139</f>
        <v>-10000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MAX(M146*-1,0)</f>
        <v>0</v>
      </c>
      <c r="J141" s="29"/>
      <c r="K141" s="143" t="s">
        <v>30</v>
      </c>
      <c r="L141" s="144"/>
      <c r="M141" s="145"/>
      <c r="O141" s="136" t="s">
        <v>23</v>
      </c>
      <c r="P141" s="137"/>
      <c r="Q141" s="137"/>
      <c r="R141" s="137"/>
      <c r="S141" s="137"/>
      <c r="T141" s="30">
        <f>I141</f>
        <v>0</v>
      </c>
    </row>
    <row r="142" spans="1:20" x14ac:dyDescent="0.25">
      <c r="E142" s="92"/>
      <c r="F142" s="67"/>
      <c r="G142" s="67"/>
      <c r="H142" s="67"/>
      <c r="I142" s="76"/>
      <c r="J142" s="76"/>
      <c r="K142" s="128" t="s">
        <v>24</v>
      </c>
      <c r="L142" s="129"/>
      <c r="M142" s="56">
        <f>I126</f>
        <v>4500</v>
      </c>
      <c r="O142" s="75"/>
      <c r="P142" s="76"/>
      <c r="Q142" s="76"/>
      <c r="R142" s="76"/>
      <c r="S142" s="76"/>
      <c r="T142" s="77"/>
    </row>
    <row r="143" spans="1:20" x14ac:dyDescent="0.25">
      <c r="E143" s="130" t="str">
        <f>"Incremental Cost @ RT MW Used ("&amp;$B137&amp;" MW)"</f>
        <v>Incremental Cost @ RT MW Used (50 MW)</v>
      </c>
      <c r="F143" s="131"/>
      <c r="G143" s="131"/>
      <c r="H143" s="131"/>
      <c r="I143" s="8">
        <f>M145</f>
        <v>1000</v>
      </c>
      <c r="J143" s="8"/>
      <c r="K143" s="128" t="s">
        <v>17</v>
      </c>
      <c r="L143" s="129"/>
      <c r="M143" s="56">
        <f>I129</f>
        <v>0</v>
      </c>
      <c r="O143" s="136" t="str">
        <f>"Incremental Cost @ Actual RT MW ("&amp;$B132&amp;" MW)"</f>
        <v>Incremental Cost @ Actual RT MW (50 MW)</v>
      </c>
      <c r="P143" s="137"/>
      <c r="Q143" s="137"/>
      <c r="R143" s="137"/>
      <c r="S143" s="137"/>
      <c r="T143" s="6">
        <f>T121</f>
        <v>1000</v>
      </c>
    </row>
    <row r="144" spans="1:20" x14ac:dyDescent="0.25">
      <c r="E144" s="93"/>
      <c r="F144" s="100"/>
      <c r="G144" s="100"/>
      <c r="H144" s="100"/>
      <c r="I144" s="48"/>
      <c r="J144" s="48"/>
      <c r="K144" s="132" t="s">
        <v>25</v>
      </c>
      <c r="L144" s="133"/>
      <c r="M144" s="30">
        <f>(B136-B125)*B133</f>
        <v>0</v>
      </c>
      <c r="O144" s="47"/>
      <c r="P144" s="87"/>
      <c r="Q144" s="87"/>
      <c r="R144" s="87"/>
      <c r="S144" s="87"/>
      <c r="T144" s="90"/>
    </row>
    <row r="145" spans="4:20" ht="15.75" thickBot="1" x14ac:dyDescent="0.3">
      <c r="E145" s="134" t="s">
        <v>26</v>
      </c>
      <c r="F145" s="135"/>
      <c r="G145" s="135"/>
      <c r="H145" s="135"/>
      <c r="I145" s="50">
        <f>I126+I129+I139+I141-I143</f>
        <v>-6500</v>
      </c>
      <c r="J145" s="104"/>
      <c r="K145" s="136" t="s">
        <v>46</v>
      </c>
      <c r="L145" s="137"/>
      <c r="M145" s="30">
        <f>M121</f>
        <v>1000</v>
      </c>
      <c r="O145" s="136" t="s">
        <v>26</v>
      </c>
      <c r="P145" s="137"/>
      <c r="Q145" s="137"/>
      <c r="R145" s="137"/>
      <c r="S145" s="137"/>
      <c r="T145" s="91">
        <f>T126+T129+T139+T141-T143</f>
        <v>-6500</v>
      </c>
    </row>
    <row r="146" spans="4:20" ht="30" customHeight="1" thickTop="1" thickBot="1" x14ac:dyDescent="0.3">
      <c r="E146" s="49"/>
      <c r="F146" s="8"/>
      <c r="G146" s="8"/>
      <c r="H146" s="8"/>
      <c r="I146" s="8"/>
      <c r="J146" s="8"/>
      <c r="K146" s="124" t="s">
        <v>72</v>
      </c>
      <c r="L146" s="125"/>
      <c r="M146" s="103">
        <f>M142+M143+M144-M145</f>
        <v>3500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0">
    <mergeCell ref="K144:L144"/>
    <mergeCell ref="E145:H145"/>
    <mergeCell ref="K145:L145"/>
    <mergeCell ref="O145:S145"/>
    <mergeCell ref="K146:L1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A109:D109"/>
    <mergeCell ref="E109:G109"/>
    <mergeCell ref="H109:K109"/>
    <mergeCell ref="L109:N109"/>
    <mergeCell ref="A115:B115"/>
    <mergeCell ref="H115:M115"/>
    <mergeCell ref="K93:L93"/>
    <mergeCell ref="E94:H94"/>
    <mergeCell ref="K94:L94"/>
    <mergeCell ref="O94:S94"/>
    <mergeCell ref="K95:L95"/>
    <mergeCell ref="A107:T108"/>
    <mergeCell ref="E90:H90"/>
    <mergeCell ref="K90:M90"/>
    <mergeCell ref="O90:S90"/>
    <mergeCell ref="K91:L91"/>
    <mergeCell ref="E92:H92"/>
    <mergeCell ref="K92:L92"/>
    <mergeCell ref="O92:S92"/>
    <mergeCell ref="E82:H82"/>
    <mergeCell ref="O82:S82"/>
    <mergeCell ref="E86:M86"/>
    <mergeCell ref="O86:T86"/>
    <mergeCell ref="E88:H88"/>
    <mergeCell ref="O88:S88"/>
    <mergeCell ref="E74:H74"/>
    <mergeCell ref="E75:H75"/>
    <mergeCell ref="O75:S75"/>
    <mergeCell ref="E78:H78"/>
    <mergeCell ref="O78:S78"/>
    <mergeCell ref="A80:B80"/>
    <mergeCell ref="E80:H80"/>
    <mergeCell ref="O80:S80"/>
    <mergeCell ref="O64:T64"/>
    <mergeCell ref="E72:M72"/>
    <mergeCell ref="O72:T72"/>
    <mergeCell ref="A73:B73"/>
    <mergeCell ref="E73:M73"/>
    <mergeCell ref="O73:T73"/>
    <mergeCell ref="A58:D58"/>
    <mergeCell ref="E58:G58"/>
    <mergeCell ref="H58:K58"/>
    <mergeCell ref="L58:N58"/>
    <mergeCell ref="A64:F64"/>
    <mergeCell ref="H64:M64"/>
    <mergeCell ref="K42:L42"/>
    <mergeCell ref="E43:H43"/>
    <mergeCell ref="K43:L43"/>
    <mergeCell ref="O43:S43"/>
    <mergeCell ref="K44:L44"/>
    <mergeCell ref="A56:T57"/>
    <mergeCell ref="E39:H39"/>
    <mergeCell ref="K39:M39"/>
    <mergeCell ref="O39:S39"/>
    <mergeCell ref="K40:L40"/>
    <mergeCell ref="E41:H41"/>
    <mergeCell ref="K41:L41"/>
    <mergeCell ref="O41:S41"/>
    <mergeCell ref="E31:H31"/>
    <mergeCell ref="O31:S31"/>
    <mergeCell ref="E35:M35"/>
    <mergeCell ref="O35:T35"/>
    <mergeCell ref="E37:H37"/>
    <mergeCell ref="O37:S37"/>
    <mergeCell ref="E27:H27"/>
    <mergeCell ref="O27:S27"/>
    <mergeCell ref="A28:D28"/>
    <mergeCell ref="A29:B29"/>
    <mergeCell ref="E29:H29"/>
    <mergeCell ref="O29:S29"/>
    <mergeCell ref="E23:H23"/>
    <mergeCell ref="E24:H24"/>
    <mergeCell ref="O24:S24"/>
    <mergeCell ref="A13:F13"/>
    <mergeCell ref="H13:M13"/>
    <mergeCell ref="O13:T13"/>
    <mergeCell ref="A21:D21"/>
    <mergeCell ref="E21:M21"/>
    <mergeCell ref="O21:T21"/>
    <mergeCell ref="A1:T2"/>
    <mergeCell ref="A5:T6"/>
    <mergeCell ref="A7:D7"/>
    <mergeCell ref="E7:G7"/>
    <mergeCell ref="H7:K7"/>
    <mergeCell ref="L7:N7"/>
    <mergeCell ref="A22:B22"/>
    <mergeCell ref="E22:M22"/>
    <mergeCell ref="O22:T2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tabSelected="1" topLeftCell="A148" zoomScale="120" zoomScaleNormal="120" workbookViewId="0">
      <selection activeCell="G174" sqref="G174"/>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s>
  <sheetData>
    <row r="1" spans="1:20" s="82" customFormat="1" ht="18.75" customHeight="1" x14ac:dyDescent="0.25">
      <c r="A1" s="146" t="s">
        <v>71</v>
      </c>
      <c r="B1" s="146"/>
      <c r="C1" s="146"/>
      <c r="D1" s="146"/>
      <c r="E1" s="146"/>
      <c r="F1" s="146"/>
      <c r="G1" s="146"/>
      <c r="H1" s="146"/>
      <c r="I1" s="146"/>
      <c r="J1" s="146"/>
      <c r="K1" s="146"/>
      <c r="L1" s="146"/>
      <c r="M1" s="146"/>
      <c r="N1" s="146"/>
      <c r="O1" s="146"/>
      <c r="P1" s="146"/>
      <c r="Q1" s="146"/>
      <c r="R1" s="146"/>
      <c r="S1" s="146"/>
      <c r="T1" s="146"/>
    </row>
    <row r="2" spans="1:20" ht="15" customHeight="1" x14ac:dyDescent="0.25">
      <c r="A2" s="146"/>
      <c r="B2" s="146"/>
      <c r="C2" s="146"/>
      <c r="D2" s="146"/>
      <c r="E2" s="146"/>
      <c r="F2" s="146"/>
      <c r="G2" s="146"/>
      <c r="H2" s="146"/>
      <c r="I2" s="146"/>
      <c r="J2" s="146"/>
      <c r="K2" s="146"/>
      <c r="L2" s="146"/>
      <c r="M2" s="146"/>
      <c r="N2" s="146"/>
      <c r="O2" s="146"/>
      <c r="P2" s="146"/>
      <c r="Q2" s="146"/>
      <c r="R2" s="146"/>
      <c r="S2" s="146"/>
      <c r="T2" s="146"/>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170" t="s">
        <v>63</v>
      </c>
      <c r="B5" s="170"/>
      <c r="C5" s="170"/>
      <c r="D5" s="170"/>
      <c r="E5" s="170"/>
      <c r="F5" s="170"/>
      <c r="G5" s="170"/>
      <c r="H5" s="170"/>
      <c r="I5" s="170"/>
      <c r="J5" s="170"/>
      <c r="K5" s="170"/>
      <c r="L5" s="170"/>
      <c r="M5" s="170"/>
      <c r="N5" s="170"/>
      <c r="O5" s="170"/>
      <c r="P5" s="170"/>
      <c r="Q5" s="170"/>
      <c r="R5" s="170"/>
      <c r="S5" s="170"/>
      <c r="T5" s="170"/>
    </row>
    <row r="6" spans="1:20" s="83" customFormat="1" ht="15.75" thickBot="1" x14ac:dyDescent="0.3">
      <c r="A6" s="170"/>
      <c r="B6" s="170"/>
      <c r="C6" s="170"/>
      <c r="D6" s="170"/>
      <c r="E6" s="170"/>
      <c r="F6" s="170"/>
      <c r="G6" s="170"/>
      <c r="H6" s="170"/>
      <c r="I6" s="170"/>
      <c r="J6" s="170"/>
      <c r="K6" s="170"/>
      <c r="L6" s="170"/>
      <c r="M6" s="170"/>
      <c r="N6" s="170"/>
      <c r="O6" s="170"/>
      <c r="P6" s="170"/>
      <c r="Q6" s="170"/>
      <c r="R6" s="170"/>
      <c r="S6" s="170"/>
      <c r="T6" s="170"/>
    </row>
    <row r="7" spans="1:20" ht="15.75" thickBot="1" x14ac:dyDescent="0.3">
      <c r="A7" s="140" t="s">
        <v>0</v>
      </c>
      <c r="B7" s="141"/>
      <c r="C7" s="141"/>
      <c r="D7" s="142"/>
      <c r="E7" s="154" t="s">
        <v>1</v>
      </c>
      <c r="F7" s="155"/>
      <c r="G7" s="156"/>
      <c r="H7" s="140" t="s">
        <v>2</v>
      </c>
      <c r="I7" s="141"/>
      <c r="J7" s="141"/>
      <c r="K7" s="142"/>
      <c r="L7" s="140" t="s">
        <v>32</v>
      </c>
      <c r="M7" s="141"/>
      <c r="N7" s="142"/>
    </row>
    <row r="8" spans="1:20" ht="45" customHeight="1" thickBot="1" x14ac:dyDescent="0.3">
      <c r="A8" s="112" t="s">
        <v>3</v>
      </c>
      <c r="B8" s="113" t="s">
        <v>33</v>
      </c>
      <c r="C8" s="113" t="s">
        <v>34</v>
      </c>
      <c r="D8" s="114" t="s">
        <v>4</v>
      </c>
      <c r="E8" s="112" t="s">
        <v>5</v>
      </c>
      <c r="F8" s="113" t="s">
        <v>6</v>
      </c>
      <c r="G8" s="114"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154" t="s">
        <v>39</v>
      </c>
      <c r="B13" s="155"/>
      <c r="C13" s="155"/>
      <c r="D13" s="155"/>
      <c r="E13" s="155"/>
      <c r="F13" s="156"/>
      <c r="H13" s="173" t="s">
        <v>40</v>
      </c>
      <c r="I13" s="174"/>
      <c r="J13" s="174"/>
      <c r="K13" s="174"/>
      <c r="L13" s="174"/>
      <c r="M13" s="175"/>
      <c r="O13" s="173" t="s">
        <v>41</v>
      </c>
      <c r="P13" s="174"/>
      <c r="Q13" s="174"/>
      <c r="R13" s="174"/>
      <c r="S13" s="174"/>
      <c r="T13" s="175"/>
    </row>
    <row r="14" spans="1:20" ht="30.75" thickBot="1" x14ac:dyDescent="0.3">
      <c r="A14" s="109" t="s">
        <v>3</v>
      </c>
      <c r="B14" s="113" t="s">
        <v>33</v>
      </c>
      <c r="C14" s="113" t="s">
        <v>34</v>
      </c>
      <c r="D14" s="113" t="s">
        <v>36</v>
      </c>
      <c r="E14" s="113" t="s">
        <v>7</v>
      </c>
      <c r="F14" s="114" t="s">
        <v>48</v>
      </c>
      <c r="H14" s="109" t="s">
        <v>3</v>
      </c>
      <c r="I14" s="113" t="s">
        <v>33</v>
      </c>
      <c r="J14" s="113" t="s">
        <v>34</v>
      </c>
      <c r="K14" s="113" t="s">
        <v>36</v>
      </c>
      <c r="L14" s="113" t="s">
        <v>47</v>
      </c>
      <c r="M14" s="114" t="s">
        <v>48</v>
      </c>
      <c r="O14" s="75"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171" t="s">
        <v>37</v>
      </c>
      <c r="B21" s="171"/>
      <c r="C21" s="171"/>
      <c r="D21" s="172"/>
      <c r="E21" s="149" t="s">
        <v>44</v>
      </c>
      <c r="F21" s="150"/>
      <c r="G21" s="150"/>
      <c r="H21" s="150"/>
      <c r="I21" s="150"/>
      <c r="J21" s="150"/>
      <c r="K21" s="150"/>
      <c r="L21" s="150"/>
      <c r="M21" s="151"/>
      <c r="O21" s="166" t="s">
        <v>42</v>
      </c>
      <c r="P21" s="167"/>
      <c r="Q21" s="167"/>
      <c r="R21" s="167"/>
      <c r="S21" s="167"/>
      <c r="T21" s="168"/>
    </row>
    <row r="22" spans="1:20" ht="15.75" thickBot="1" x14ac:dyDescent="0.3">
      <c r="A22" s="147" t="s">
        <v>10</v>
      </c>
      <c r="B22" s="148"/>
      <c r="E22" s="140" t="s">
        <v>11</v>
      </c>
      <c r="F22" s="141"/>
      <c r="G22" s="141"/>
      <c r="H22" s="141"/>
      <c r="I22" s="141"/>
      <c r="J22" s="141"/>
      <c r="K22" s="141"/>
      <c r="L22" s="141"/>
      <c r="M22" s="142"/>
      <c r="O22" s="176" t="s">
        <v>11</v>
      </c>
      <c r="P22" s="177"/>
      <c r="Q22" s="177"/>
      <c r="R22" s="177"/>
      <c r="S22" s="177"/>
      <c r="T22" s="178"/>
    </row>
    <row r="23" spans="1:20" x14ac:dyDescent="0.25">
      <c r="A23" s="4" t="s">
        <v>5</v>
      </c>
      <c r="B23" s="13">
        <v>0</v>
      </c>
      <c r="E23" s="152" t="s">
        <v>12</v>
      </c>
      <c r="F23" s="153"/>
      <c r="G23" s="153"/>
      <c r="H23" s="153"/>
      <c r="I23" s="99"/>
      <c r="J23" s="10"/>
      <c r="K23" s="10"/>
      <c r="L23" s="10"/>
      <c r="M23" s="26"/>
      <c r="O23" s="16" t="s">
        <v>12</v>
      </c>
      <c r="P23" s="29"/>
      <c r="Q23" s="5"/>
      <c r="R23" s="5"/>
      <c r="S23" s="5"/>
      <c r="T23" s="13"/>
    </row>
    <row r="24" spans="1:20" ht="15.75" thickBot="1" x14ac:dyDescent="0.3">
      <c r="A24" s="17" t="s">
        <v>13</v>
      </c>
      <c r="B24" s="19">
        <v>0</v>
      </c>
      <c r="E24" s="138" t="s">
        <v>14</v>
      </c>
      <c r="F24" s="139"/>
      <c r="G24" s="139"/>
      <c r="H24" s="139"/>
      <c r="I24" s="42">
        <f>B23*B24</f>
        <v>0</v>
      </c>
      <c r="J24" s="5"/>
      <c r="K24" s="5"/>
      <c r="L24" s="5"/>
      <c r="M24" s="13"/>
      <c r="O24" s="136" t="s">
        <v>14</v>
      </c>
      <c r="P24" s="137"/>
      <c r="Q24" s="137"/>
      <c r="R24" s="137"/>
      <c r="S24" s="137"/>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138" t="s">
        <v>15</v>
      </c>
      <c r="F27" s="139"/>
      <c r="G27" s="139"/>
      <c r="H27" s="139"/>
      <c r="I27" s="43">
        <f>M28</f>
        <v>0</v>
      </c>
      <c r="J27" s="5"/>
      <c r="K27" s="35" t="s">
        <v>16</v>
      </c>
      <c r="L27" s="36">
        <f>F19</f>
        <v>0</v>
      </c>
      <c r="M27" s="105" t="s">
        <v>17</v>
      </c>
      <c r="O27" s="136" t="s">
        <v>15</v>
      </c>
      <c r="P27" s="137"/>
      <c r="Q27" s="137"/>
      <c r="R27" s="137"/>
      <c r="S27" s="137"/>
      <c r="T27" s="88">
        <f>I27</f>
        <v>0</v>
      </c>
    </row>
    <row r="28" spans="1:20" ht="15.75" thickBot="1" x14ac:dyDescent="0.3">
      <c r="A28" s="171" t="s">
        <v>37</v>
      </c>
      <c r="B28" s="171"/>
      <c r="C28" s="171"/>
      <c r="D28" s="172"/>
      <c r="E28" s="85"/>
      <c r="F28" s="86"/>
      <c r="G28" s="86"/>
      <c r="H28" s="86"/>
      <c r="I28" s="5"/>
      <c r="J28" s="5"/>
      <c r="K28" s="37" t="s">
        <v>18</v>
      </c>
      <c r="L28" s="38">
        <f>I24</f>
        <v>0</v>
      </c>
      <c r="M28" s="39">
        <f>MAX(L27-L28,0)</f>
        <v>0</v>
      </c>
      <c r="O28" s="16"/>
      <c r="P28" s="5"/>
      <c r="Q28" s="5"/>
      <c r="R28" s="5"/>
      <c r="S28" s="5"/>
      <c r="T28" s="13"/>
    </row>
    <row r="29" spans="1:20" x14ac:dyDescent="0.25">
      <c r="A29" s="147" t="s">
        <v>22</v>
      </c>
      <c r="B29" s="148"/>
      <c r="E29" s="138" t="str">
        <f>"DA Incremental Cost @ DA MW ("&amp;$B23&amp;" MW)"</f>
        <v>DA Incremental Cost @ DA MW (0 MW)</v>
      </c>
      <c r="F29" s="139"/>
      <c r="G29" s="139"/>
      <c r="H29" s="139"/>
      <c r="I29" s="44">
        <f>F19</f>
        <v>0</v>
      </c>
      <c r="J29" s="5"/>
      <c r="K29" s="29"/>
      <c r="L29" s="5"/>
      <c r="M29" s="13"/>
      <c r="O29" s="136" t="str">
        <f>"DA Incremental Cost @ DA MW ("&amp;$B23&amp;" MW)"</f>
        <v>DA Incremental Cost @ DA MW (0 MW)</v>
      </c>
      <c r="P29" s="137"/>
      <c r="Q29" s="137"/>
      <c r="R29" s="137"/>
      <c r="S29" s="137"/>
      <c r="T29" s="89">
        <f>I29</f>
        <v>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50</v>
      </c>
      <c r="D31" s="32"/>
      <c r="E31" s="138" t="s">
        <v>19</v>
      </c>
      <c r="F31" s="139"/>
      <c r="G31" s="139"/>
      <c r="H31" s="139"/>
      <c r="I31" s="40">
        <f>I24+I27-I29</f>
        <v>0</v>
      </c>
      <c r="J31" s="5"/>
      <c r="K31" s="29"/>
      <c r="L31" s="45"/>
      <c r="M31" s="13"/>
      <c r="O31" s="136" t="s">
        <v>19</v>
      </c>
      <c r="P31" s="137"/>
      <c r="Q31" s="137"/>
      <c r="R31" s="137"/>
      <c r="S31" s="137"/>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140" t="s">
        <v>20</v>
      </c>
      <c r="F35" s="141"/>
      <c r="G35" s="141"/>
      <c r="H35" s="141"/>
      <c r="I35" s="141"/>
      <c r="J35" s="141"/>
      <c r="K35" s="141"/>
      <c r="L35" s="141"/>
      <c r="M35" s="142"/>
      <c r="N35" s="5"/>
      <c r="O35" s="140" t="s">
        <v>20</v>
      </c>
      <c r="P35" s="141"/>
      <c r="Q35" s="141"/>
      <c r="R35" s="141"/>
      <c r="S35" s="141"/>
      <c r="T35" s="142"/>
    </row>
    <row r="36" spans="1:20" x14ac:dyDescent="0.25">
      <c r="A36" s="14" t="s">
        <v>56</v>
      </c>
      <c r="B36" s="26">
        <v>1000</v>
      </c>
      <c r="E36" s="85" t="s">
        <v>12</v>
      </c>
      <c r="F36" s="86"/>
      <c r="G36" s="86"/>
      <c r="H36" s="86"/>
      <c r="I36" s="5"/>
      <c r="J36" s="5"/>
      <c r="K36" s="5"/>
      <c r="L36" s="5"/>
      <c r="M36" s="13"/>
      <c r="N36" s="5"/>
      <c r="O36" s="16" t="s">
        <v>12</v>
      </c>
      <c r="P36" s="5"/>
      <c r="Q36" s="5"/>
      <c r="R36" s="5"/>
      <c r="S36" s="5"/>
      <c r="T36" s="13"/>
    </row>
    <row r="37" spans="1:20" ht="15.75" thickBot="1" x14ac:dyDescent="0.3">
      <c r="A37" s="24" t="s">
        <v>57</v>
      </c>
      <c r="B37" s="23">
        <v>100</v>
      </c>
      <c r="E37" s="138" t="s">
        <v>21</v>
      </c>
      <c r="F37" s="139"/>
      <c r="G37" s="139"/>
      <c r="H37" s="139"/>
      <c r="I37" s="29">
        <f>(B30-B23)*B31</f>
        <v>2500</v>
      </c>
      <c r="J37" s="29"/>
      <c r="K37" s="29"/>
      <c r="L37" s="29"/>
      <c r="M37" s="13"/>
      <c r="N37" s="5"/>
      <c r="O37" s="136" t="s">
        <v>21</v>
      </c>
      <c r="P37" s="137"/>
      <c r="Q37" s="137"/>
      <c r="R37" s="137"/>
      <c r="S37" s="137"/>
      <c r="T37" s="30">
        <f>I37</f>
        <v>2500</v>
      </c>
    </row>
    <row r="38" spans="1:20" ht="15.75" thickBot="1" x14ac:dyDescent="0.3">
      <c r="E38" s="85"/>
      <c r="F38" s="86"/>
      <c r="G38" s="86"/>
      <c r="H38" s="86"/>
      <c r="I38" s="5"/>
      <c r="J38" s="5"/>
      <c r="K38" s="5"/>
      <c r="L38" s="5"/>
      <c r="M38" s="30"/>
      <c r="N38" s="5"/>
      <c r="O38" s="16"/>
      <c r="P38" s="5"/>
      <c r="Q38" s="5"/>
      <c r="R38" s="5"/>
      <c r="S38" s="5"/>
      <c r="T38" s="13"/>
    </row>
    <row r="39" spans="1:20" x14ac:dyDescent="0.25">
      <c r="E39" s="138" t="s">
        <v>23</v>
      </c>
      <c r="F39" s="139"/>
      <c r="G39" s="139"/>
      <c r="H39" s="139"/>
      <c r="I39" s="29">
        <f>MAX(M46*-1,0)</f>
        <v>0</v>
      </c>
      <c r="J39" s="29"/>
      <c r="K39" s="143" t="s">
        <v>30</v>
      </c>
      <c r="L39" s="144"/>
      <c r="M39" s="145"/>
      <c r="N39" s="5"/>
      <c r="O39" s="136" t="s">
        <v>23</v>
      </c>
      <c r="P39" s="137"/>
      <c r="Q39" s="137"/>
      <c r="R39" s="137"/>
      <c r="S39" s="137"/>
      <c r="T39" s="30">
        <f>I39</f>
        <v>0</v>
      </c>
    </row>
    <row r="40" spans="1:20" x14ac:dyDescent="0.25">
      <c r="E40" s="92"/>
      <c r="F40" s="67"/>
      <c r="G40" s="67"/>
      <c r="H40" s="67"/>
      <c r="I40" s="76"/>
      <c r="J40" s="76"/>
      <c r="K40" s="128" t="s">
        <v>24</v>
      </c>
      <c r="L40" s="129"/>
      <c r="M40" s="56">
        <f>I24</f>
        <v>0</v>
      </c>
      <c r="N40" s="5"/>
      <c r="O40" s="75"/>
      <c r="P40" s="76"/>
      <c r="Q40" s="76"/>
      <c r="R40" s="76"/>
      <c r="S40" s="76"/>
      <c r="T40" s="77"/>
    </row>
    <row r="41" spans="1:20" ht="30" customHeight="1" x14ac:dyDescent="0.25">
      <c r="E41" s="130" t="str">
        <f>"Incremental Cost @ RT MW Used ("&amp;$B35&amp;" MW)
plus Startup and No-Load"</f>
        <v>Incremental Cost @ RT MW Used (50 MW)
plus Startup and No-Load</v>
      </c>
      <c r="F41" s="131"/>
      <c r="G41" s="131"/>
      <c r="H41" s="131"/>
      <c r="I41" s="8">
        <f>M43+M44+M45</f>
        <v>2100</v>
      </c>
      <c r="J41" s="8"/>
      <c r="K41" s="128" t="s">
        <v>17</v>
      </c>
      <c r="L41" s="129"/>
      <c r="M41" s="56">
        <f>I27</f>
        <v>0</v>
      </c>
      <c r="N41" s="5"/>
      <c r="O41" s="138" t="str">
        <f>"Incremental Cost @ Actual RT MW ("&amp;$B30&amp;" MW)
plus Startup and No-Load"</f>
        <v>Incremental Cost @ Actual RT MW (50 MW)
plus Startup and No-Load</v>
      </c>
      <c r="P41" s="139"/>
      <c r="Q41" s="139"/>
      <c r="R41" s="139"/>
      <c r="S41" s="139"/>
      <c r="T41" s="6">
        <f>T19+B36+B37</f>
        <v>2100</v>
      </c>
    </row>
    <row r="42" spans="1:20" x14ac:dyDescent="0.25">
      <c r="E42" s="93"/>
      <c r="F42" s="100"/>
      <c r="G42" s="100"/>
      <c r="H42" s="100"/>
      <c r="I42" s="48"/>
      <c r="J42" s="48"/>
      <c r="K42" s="132" t="s">
        <v>25</v>
      </c>
      <c r="L42" s="133"/>
      <c r="M42" s="30">
        <f>(B34-B23)*B31</f>
        <v>2500</v>
      </c>
      <c r="N42" s="5"/>
      <c r="O42" s="47"/>
      <c r="P42" s="87"/>
      <c r="Q42" s="87"/>
      <c r="R42" s="87"/>
      <c r="S42" s="87"/>
      <c r="T42" s="90"/>
    </row>
    <row r="43" spans="1:20" ht="15.75" thickBot="1" x14ac:dyDescent="0.3">
      <c r="E43" s="134" t="s">
        <v>26</v>
      </c>
      <c r="F43" s="135"/>
      <c r="G43" s="135"/>
      <c r="H43" s="135"/>
      <c r="I43" s="50">
        <f>I24+I27+I37+I39-I41</f>
        <v>400</v>
      </c>
      <c r="J43" s="104"/>
      <c r="K43" s="136" t="s">
        <v>46</v>
      </c>
      <c r="L43" s="137"/>
      <c r="M43" s="30">
        <f>M19</f>
        <v>1000</v>
      </c>
      <c r="N43" s="5"/>
      <c r="O43" s="136" t="s">
        <v>26</v>
      </c>
      <c r="P43" s="137"/>
      <c r="Q43" s="137"/>
      <c r="R43" s="137"/>
      <c r="S43" s="137"/>
      <c r="T43" s="91">
        <f>T24+T27+T37+T39-T41</f>
        <v>400</v>
      </c>
    </row>
    <row r="44" spans="1:20" ht="16.5" thickTop="1" thickBot="1" x14ac:dyDescent="0.3">
      <c r="E44" s="49"/>
      <c r="F44" s="8"/>
      <c r="G44" s="8"/>
      <c r="H44" s="8"/>
      <c r="I44" s="8"/>
      <c r="J44" s="8"/>
      <c r="K44" s="136" t="s">
        <v>57</v>
      </c>
      <c r="L44" s="137"/>
      <c r="M44" s="123">
        <f>B37</f>
        <v>100</v>
      </c>
      <c r="N44" s="5"/>
      <c r="O44" s="51"/>
      <c r="P44" s="21"/>
      <c r="Q44" s="18"/>
      <c r="R44" s="18"/>
      <c r="S44" s="18"/>
      <c r="T44" s="23"/>
    </row>
    <row r="45" spans="1:20" x14ac:dyDescent="0.25">
      <c r="D45" s="33"/>
      <c r="E45" s="49"/>
      <c r="F45" s="8"/>
      <c r="G45" s="8"/>
      <c r="H45" s="8"/>
      <c r="I45" s="8"/>
      <c r="J45" s="8"/>
      <c r="K45" s="183" t="s">
        <v>56</v>
      </c>
      <c r="L45" s="184"/>
      <c r="M45" s="30">
        <f>B36</f>
        <v>1000</v>
      </c>
      <c r="N45" s="5"/>
      <c r="O45" s="8"/>
      <c r="P45" s="8"/>
      <c r="Q45" s="5"/>
      <c r="R45" s="5"/>
      <c r="S45" s="5"/>
      <c r="T45" s="5"/>
    </row>
    <row r="46" spans="1:20" ht="30" customHeight="1" thickBot="1" x14ac:dyDescent="0.3">
      <c r="D46" s="33"/>
      <c r="E46" s="49"/>
      <c r="F46" s="8"/>
      <c r="G46" s="76"/>
      <c r="H46" s="5"/>
      <c r="I46" s="29"/>
      <c r="J46" s="5"/>
      <c r="K46" s="124" t="s">
        <v>72</v>
      </c>
      <c r="L46" s="125"/>
      <c r="M46" s="103">
        <f>M42-M43-M44-M45</f>
        <v>400</v>
      </c>
    </row>
    <row r="47" spans="1:20" ht="16.5" thickTop="1" thickBot="1" x14ac:dyDescent="0.3">
      <c r="D47" s="33"/>
      <c r="E47" s="51"/>
      <c r="F47" s="21"/>
      <c r="G47" s="52"/>
      <c r="H47" s="18"/>
      <c r="I47" s="46"/>
      <c r="J47" s="18"/>
      <c r="K47" s="24"/>
      <c r="L47" s="18"/>
      <c r="M47" s="23"/>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169" t="s">
        <v>58</v>
      </c>
      <c r="B56" s="169"/>
      <c r="C56" s="169"/>
      <c r="D56" s="169"/>
      <c r="E56" s="169"/>
      <c r="F56" s="169"/>
      <c r="G56" s="169"/>
      <c r="H56" s="169"/>
      <c r="I56" s="169"/>
      <c r="J56" s="169"/>
      <c r="K56" s="169"/>
      <c r="L56" s="169"/>
      <c r="M56" s="169"/>
      <c r="N56" s="169"/>
      <c r="O56" s="169"/>
      <c r="P56" s="169"/>
      <c r="Q56" s="169"/>
      <c r="R56" s="169"/>
      <c r="S56" s="169"/>
      <c r="T56" s="169"/>
      <c r="U56" s="95"/>
      <c r="V56" s="95"/>
      <c r="W56" s="95"/>
    </row>
    <row r="57" spans="1:23" s="83" customFormat="1" ht="24" customHeight="1" thickBot="1" x14ac:dyDescent="0.3">
      <c r="A57" s="169"/>
      <c r="B57" s="169"/>
      <c r="C57" s="169"/>
      <c r="D57" s="169"/>
      <c r="E57" s="169"/>
      <c r="F57" s="169"/>
      <c r="G57" s="169"/>
      <c r="H57" s="169"/>
      <c r="I57" s="169"/>
      <c r="J57" s="169"/>
      <c r="K57" s="169"/>
      <c r="L57" s="169"/>
      <c r="M57" s="169"/>
      <c r="N57" s="169"/>
      <c r="O57" s="169"/>
      <c r="P57" s="169"/>
      <c r="Q57" s="169"/>
      <c r="R57" s="169"/>
      <c r="S57" s="169"/>
      <c r="T57" s="169"/>
      <c r="U57" s="95"/>
      <c r="V57" s="95"/>
      <c r="W57" s="95"/>
    </row>
    <row r="58" spans="1:23" ht="15.75" thickBot="1" x14ac:dyDescent="0.3">
      <c r="A58" s="179" t="s">
        <v>0</v>
      </c>
      <c r="B58" s="180"/>
      <c r="C58" s="180"/>
      <c r="D58" s="181"/>
      <c r="E58" s="154" t="s">
        <v>1</v>
      </c>
      <c r="F58" s="155"/>
      <c r="G58" s="156"/>
      <c r="H58" s="140" t="s">
        <v>2</v>
      </c>
      <c r="I58" s="141"/>
      <c r="J58" s="141"/>
      <c r="K58" s="142"/>
      <c r="L58" s="140" t="s">
        <v>32</v>
      </c>
      <c r="M58" s="141"/>
      <c r="N58" s="142"/>
    </row>
    <row r="59" spans="1:23" ht="64.5" customHeight="1" thickBot="1" x14ac:dyDescent="0.3">
      <c r="A59" s="109" t="s">
        <v>3</v>
      </c>
      <c r="B59" s="113" t="s">
        <v>33</v>
      </c>
      <c r="C59" s="113" t="s">
        <v>34</v>
      </c>
      <c r="D59" s="110" t="s">
        <v>4</v>
      </c>
      <c r="E59" s="109" t="s">
        <v>5</v>
      </c>
      <c r="F59" s="113" t="s">
        <v>6</v>
      </c>
      <c r="G59" s="114" t="s">
        <v>7</v>
      </c>
      <c r="H59" s="69" t="s">
        <v>38</v>
      </c>
      <c r="I59" s="65" t="s">
        <v>53</v>
      </c>
      <c r="J59" s="65" t="s">
        <v>6</v>
      </c>
      <c r="K59" s="66" t="s">
        <v>7</v>
      </c>
      <c r="L59" s="111"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25</v>
      </c>
      <c r="I60" s="15">
        <f>IF(AND(B$86&gt;B60,B$86&lt;=C60),B$86,0)</f>
        <v>25</v>
      </c>
      <c r="J60" s="9">
        <f>IF(B81&gt;0,D60,0)</f>
        <v>20</v>
      </c>
      <c r="K60" s="11">
        <f>IF(H60&gt;0,IF(H60=B60,D60,IF(AND(H60&gt;B60,H60&lt;=C60),D60+(H60-B60)*((D60-D60)/(C60-B60)),0)),0)</f>
        <v>20</v>
      </c>
      <c r="L60" s="14">
        <f>IF(AND(B81&gt;B60,B81&lt;=C60),B81,0)</f>
        <v>25</v>
      </c>
      <c r="M60" s="9">
        <f>IF(B81&gt;0,D60,0)</f>
        <v>20</v>
      </c>
      <c r="N60" s="11">
        <f>IF(L60&gt;0,IF(L60=B60,D60,IF(AND(L60&gt;B60,L60&lt;=C60),D60+(L60-B60)*((D60-D60)/(C60-B60)),0)),0)</f>
        <v>20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0</v>
      </c>
      <c r="M62" s="21">
        <v>0</v>
      </c>
      <c r="N62" s="19">
        <f>IF(L62&gt;0,IF(L62=B62,D62,IF(AND(L62&gt;B62,L62&lt;=C62),D62+(L62-B62)*((D62-D62)/(C62-B62)),0)),0)</f>
        <v>0</v>
      </c>
    </row>
    <row r="63" spans="1:23" ht="15.75" thickBot="1" x14ac:dyDescent="0.3">
      <c r="J63" s="25"/>
    </row>
    <row r="64" spans="1:23" ht="15.75" thickBot="1" x14ac:dyDescent="0.3">
      <c r="A64" s="140" t="s">
        <v>39</v>
      </c>
      <c r="B64" s="141"/>
      <c r="C64" s="141"/>
      <c r="D64" s="141"/>
      <c r="E64" s="141"/>
      <c r="F64" s="142"/>
      <c r="H64" s="163" t="s">
        <v>40</v>
      </c>
      <c r="I64" s="164"/>
      <c r="J64" s="164"/>
      <c r="K64" s="164"/>
      <c r="L64" s="164"/>
      <c r="M64" s="165"/>
      <c r="O64" s="163" t="s">
        <v>41</v>
      </c>
      <c r="P64" s="164"/>
      <c r="Q64" s="164"/>
      <c r="R64" s="164"/>
      <c r="S64" s="164"/>
      <c r="T64" s="165"/>
    </row>
    <row r="65" spans="1:20" ht="30.75" thickBot="1" x14ac:dyDescent="0.3">
      <c r="A65" s="112" t="s">
        <v>3</v>
      </c>
      <c r="B65" s="113" t="s">
        <v>33</v>
      </c>
      <c r="C65" s="113" t="s">
        <v>34</v>
      </c>
      <c r="D65" s="113" t="s">
        <v>49</v>
      </c>
      <c r="E65" s="113" t="s">
        <v>47</v>
      </c>
      <c r="F65" s="114" t="s">
        <v>48</v>
      </c>
      <c r="H65" s="112" t="s">
        <v>3</v>
      </c>
      <c r="I65" s="113" t="s">
        <v>50</v>
      </c>
      <c r="J65" s="113" t="s">
        <v>51</v>
      </c>
      <c r="K65" s="113" t="s">
        <v>49</v>
      </c>
      <c r="L65" s="113" t="s">
        <v>47</v>
      </c>
      <c r="M65" s="114" t="s">
        <v>48</v>
      </c>
      <c r="O65" s="112" t="s">
        <v>3</v>
      </c>
      <c r="P65" s="113" t="s">
        <v>33</v>
      </c>
      <c r="Q65" s="113" t="s">
        <v>34</v>
      </c>
      <c r="R65" s="113" t="s">
        <v>49</v>
      </c>
      <c r="S65" s="113" t="s">
        <v>47</v>
      </c>
      <c r="T65" s="114"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25</v>
      </c>
      <c r="K66" s="29">
        <f>MIN(D60,J60)</f>
        <v>20</v>
      </c>
      <c r="L66" s="29">
        <f>IF(AND(MAX(I$60:I$62)&gt;B60,MAX(I$60:I$62)&lt;C60),K60,IF(MAX(I$60:I$62)&gt;=C60,D60,0))</f>
        <v>20</v>
      </c>
      <c r="M66" s="30">
        <f>(J66-I66)*(K66+L66)/2</f>
        <v>500</v>
      </c>
      <c r="O66" s="4">
        <v>1</v>
      </c>
      <c r="P66" s="5">
        <v>0</v>
      </c>
      <c r="Q66" s="5">
        <f>IF(AND(B$81&gt;B60,B$81&lt;C60),B$81,IF(B$81&gt;=C60,C60,0))</f>
        <v>25</v>
      </c>
      <c r="R66" s="29">
        <f>MIN(D60,M60)</f>
        <v>20</v>
      </c>
      <c r="S66" s="29">
        <f>IF(AND(B$81&gt;B60,B$81&lt;C60),N60,IF(B$81&gt;=C60,D60,0))</f>
        <v>20</v>
      </c>
      <c r="T66" s="30">
        <f>(Q66-P66)*(R66+S66)/2</f>
        <v>500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0</v>
      </c>
      <c r="Q67" s="5">
        <f t="shared" ref="Q67:Q69" si="11">IF(AND(B$81&gt;B61,B$81&lt;C61),B$81,IF(B$81&gt;=C61,C61,0))</f>
        <v>0</v>
      </c>
      <c r="R67" s="29">
        <f>IF(P67&lt;&gt;0,S66,0)</f>
        <v>0</v>
      </c>
      <c r="S67" s="29">
        <f t="shared" ref="S67:S69" si="12">IF(AND(B$81&gt;B61,B$81&lt;C61),N61,IF(B$81&gt;=C61,D61,0))</f>
        <v>0</v>
      </c>
      <c r="T67" s="30">
        <f t="shared" ref="T67:T69" si="13">(Q67-P67)*(R67+S67)/2</f>
        <v>0</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0</v>
      </c>
      <c r="Q68" s="5">
        <f t="shared" si="11"/>
        <v>0</v>
      </c>
      <c r="R68" s="29">
        <f>IF(P68&lt;&gt;0,S67,0)</f>
        <v>0</v>
      </c>
      <c r="S68" s="29">
        <f t="shared" si="12"/>
        <v>0</v>
      </c>
      <c r="T68" s="30">
        <f t="shared" si="13"/>
        <v>0</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500</v>
      </c>
      <c r="O70" s="24"/>
      <c r="P70" s="18"/>
      <c r="Q70" s="18"/>
      <c r="R70" s="21"/>
      <c r="S70" s="21"/>
      <c r="T70" s="31">
        <f>SUM(T66:T69)</f>
        <v>500</v>
      </c>
    </row>
    <row r="71" spans="1:20" ht="15.75" thickBot="1" x14ac:dyDescent="0.3"/>
    <row r="72" spans="1:20" ht="15.75" customHeight="1" thickBot="1" x14ac:dyDescent="0.3">
      <c r="A72" s="68" t="s">
        <v>37</v>
      </c>
      <c r="E72" s="149" t="s">
        <v>44</v>
      </c>
      <c r="F72" s="150"/>
      <c r="G72" s="150"/>
      <c r="H72" s="150"/>
      <c r="I72" s="150"/>
      <c r="J72" s="150"/>
      <c r="K72" s="150"/>
      <c r="L72" s="150"/>
      <c r="M72" s="151"/>
      <c r="O72" s="166" t="s">
        <v>42</v>
      </c>
      <c r="P72" s="167"/>
      <c r="Q72" s="167"/>
      <c r="R72" s="167"/>
      <c r="S72" s="167"/>
      <c r="T72" s="168"/>
    </row>
    <row r="73" spans="1:20" ht="15.75" thickBot="1" x14ac:dyDescent="0.3">
      <c r="A73" s="147" t="s">
        <v>10</v>
      </c>
      <c r="B73" s="148"/>
      <c r="E73" s="140" t="s">
        <v>11</v>
      </c>
      <c r="F73" s="141"/>
      <c r="G73" s="141"/>
      <c r="H73" s="141"/>
      <c r="I73" s="141"/>
      <c r="J73" s="141"/>
      <c r="K73" s="141"/>
      <c r="L73" s="141"/>
      <c r="M73" s="142"/>
      <c r="O73" s="157" t="s">
        <v>11</v>
      </c>
      <c r="P73" s="158"/>
      <c r="Q73" s="158"/>
      <c r="R73" s="158"/>
      <c r="S73" s="158"/>
      <c r="T73" s="159"/>
    </row>
    <row r="74" spans="1:20" x14ac:dyDescent="0.25">
      <c r="A74" s="4" t="s">
        <v>5</v>
      </c>
      <c r="B74" s="13">
        <v>0</v>
      </c>
      <c r="E74" s="152" t="s">
        <v>12</v>
      </c>
      <c r="F74" s="153"/>
      <c r="G74" s="153"/>
      <c r="H74" s="153"/>
      <c r="I74" s="99"/>
      <c r="J74" s="10"/>
      <c r="K74" s="10"/>
      <c r="L74" s="10"/>
      <c r="M74" s="26"/>
      <c r="O74" s="16" t="s">
        <v>12</v>
      </c>
      <c r="P74" s="29"/>
      <c r="Q74" s="5"/>
      <c r="R74" s="5"/>
      <c r="S74" s="5"/>
      <c r="T74" s="13"/>
    </row>
    <row r="75" spans="1:20" ht="15.75" thickBot="1" x14ac:dyDescent="0.3">
      <c r="A75" s="17" t="s">
        <v>13</v>
      </c>
      <c r="B75" s="19">
        <v>0</v>
      </c>
      <c r="E75" s="138" t="s">
        <v>14</v>
      </c>
      <c r="F75" s="139"/>
      <c r="G75" s="139"/>
      <c r="H75" s="139"/>
      <c r="I75" s="42">
        <f>B74*B75</f>
        <v>0</v>
      </c>
      <c r="J75" s="5"/>
      <c r="K75" s="5"/>
      <c r="L75" s="5"/>
      <c r="M75" s="13"/>
      <c r="O75" s="136" t="s">
        <v>14</v>
      </c>
      <c r="P75" s="137"/>
      <c r="Q75" s="137"/>
      <c r="R75" s="137"/>
      <c r="S75" s="137"/>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138" t="s">
        <v>15</v>
      </c>
      <c r="F78" s="139"/>
      <c r="G78" s="139"/>
      <c r="H78" s="139"/>
      <c r="I78" s="43">
        <f>M79</f>
        <v>0</v>
      </c>
      <c r="J78" s="5"/>
      <c r="K78" s="35" t="s">
        <v>16</v>
      </c>
      <c r="L78" s="36">
        <f>F70</f>
        <v>0</v>
      </c>
      <c r="M78" s="105" t="s">
        <v>17</v>
      </c>
      <c r="O78" s="136" t="s">
        <v>15</v>
      </c>
      <c r="P78" s="137"/>
      <c r="Q78" s="137"/>
      <c r="R78" s="137"/>
      <c r="S78" s="137"/>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147" t="s">
        <v>22</v>
      </c>
      <c r="B80" s="148"/>
      <c r="E80" s="138" t="str">
        <f>"DA Incremental Cost @ DA MW ("&amp;$B74&amp;" MW)"</f>
        <v>DA Incremental Cost @ DA MW (0 MW)</v>
      </c>
      <c r="F80" s="139"/>
      <c r="G80" s="139"/>
      <c r="H80" s="139"/>
      <c r="I80" s="44">
        <f>F70</f>
        <v>0</v>
      </c>
      <c r="J80" s="5"/>
      <c r="K80" s="29"/>
      <c r="L80" s="5"/>
      <c r="M80" s="13"/>
      <c r="O80" s="136" t="str">
        <f>"DA Incremental Cost @ DA MW ("&amp;$B74&amp;" MW)"</f>
        <v>DA Incremental Cost @ DA MW (0 MW)</v>
      </c>
      <c r="P80" s="137"/>
      <c r="Q80" s="137"/>
      <c r="R80" s="137"/>
      <c r="S80" s="137"/>
      <c r="T80" s="89">
        <f>I80</f>
        <v>0</v>
      </c>
    </row>
    <row r="81" spans="1:20" x14ac:dyDescent="0.25">
      <c r="A81" s="16" t="s">
        <v>43</v>
      </c>
      <c r="B81" s="13">
        <v>25</v>
      </c>
      <c r="E81" s="85"/>
      <c r="F81" s="86"/>
      <c r="G81" s="86"/>
      <c r="H81" s="86"/>
      <c r="I81" s="5"/>
      <c r="J81" s="5"/>
      <c r="K81" s="5"/>
      <c r="L81" s="29"/>
      <c r="M81" s="13"/>
      <c r="O81" s="16"/>
      <c r="P81" s="5"/>
      <c r="Q81" s="5"/>
      <c r="R81" s="5"/>
      <c r="S81" s="5"/>
      <c r="T81" s="13"/>
    </row>
    <row r="82" spans="1:20" ht="15.75" thickBot="1" x14ac:dyDescent="0.3">
      <c r="A82" s="16" t="s">
        <v>13</v>
      </c>
      <c r="B82" s="6">
        <v>50</v>
      </c>
      <c r="D82" s="32"/>
      <c r="E82" s="138" t="s">
        <v>19</v>
      </c>
      <c r="F82" s="139"/>
      <c r="G82" s="139"/>
      <c r="H82" s="139"/>
      <c r="I82" s="40">
        <f>I75+I78-I80</f>
        <v>0</v>
      </c>
      <c r="J82" s="5"/>
      <c r="K82" s="29"/>
      <c r="L82" s="45"/>
      <c r="M82" s="13"/>
      <c r="O82" s="136" t="s">
        <v>19</v>
      </c>
      <c r="P82" s="137"/>
      <c r="Q82" s="137"/>
      <c r="R82" s="137"/>
      <c r="S82" s="137"/>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50</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25</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25</v>
      </c>
      <c r="E86" s="140" t="s">
        <v>20</v>
      </c>
      <c r="F86" s="141"/>
      <c r="G86" s="141"/>
      <c r="H86" s="141"/>
      <c r="I86" s="141"/>
      <c r="J86" s="141"/>
      <c r="K86" s="141"/>
      <c r="L86" s="141"/>
      <c r="M86" s="142"/>
      <c r="O86" s="160" t="s">
        <v>20</v>
      </c>
      <c r="P86" s="161"/>
      <c r="Q86" s="161"/>
      <c r="R86" s="161"/>
      <c r="S86" s="161"/>
      <c r="T86" s="162"/>
    </row>
    <row r="87" spans="1:20" x14ac:dyDescent="0.25">
      <c r="A87" s="14" t="s">
        <v>56</v>
      </c>
      <c r="B87" s="26">
        <v>1000</v>
      </c>
      <c r="E87" s="85" t="s">
        <v>12</v>
      </c>
      <c r="F87" s="86"/>
      <c r="G87" s="86"/>
      <c r="H87" s="86"/>
      <c r="I87" s="5"/>
      <c r="J87" s="5"/>
      <c r="K87" s="5"/>
      <c r="L87" s="5"/>
      <c r="M87" s="13"/>
      <c r="O87" s="16" t="s">
        <v>12</v>
      </c>
      <c r="P87" s="5"/>
      <c r="Q87" s="5"/>
      <c r="R87" s="5"/>
      <c r="S87" s="5"/>
      <c r="T87" s="13"/>
    </row>
    <row r="88" spans="1:20" ht="15.75" thickBot="1" x14ac:dyDescent="0.3">
      <c r="A88" s="24" t="s">
        <v>57</v>
      </c>
      <c r="B88" s="23">
        <v>100</v>
      </c>
      <c r="E88" s="138" t="s">
        <v>21</v>
      </c>
      <c r="F88" s="139"/>
      <c r="G88" s="139"/>
      <c r="H88" s="139"/>
      <c r="I88" s="29">
        <f>(B81-B74)*B82</f>
        <v>1250</v>
      </c>
      <c r="J88" s="29"/>
      <c r="K88" s="29"/>
      <c r="L88" s="29"/>
      <c r="M88" s="13"/>
      <c r="O88" s="136" t="s">
        <v>21</v>
      </c>
      <c r="P88" s="137"/>
      <c r="Q88" s="137"/>
      <c r="R88" s="137"/>
      <c r="S88" s="137"/>
      <c r="T88" s="30">
        <f>I88</f>
        <v>1250</v>
      </c>
    </row>
    <row r="89" spans="1:20" ht="15.75" thickBot="1" x14ac:dyDescent="0.3">
      <c r="E89" s="85"/>
      <c r="F89" s="86"/>
      <c r="G89" s="86"/>
      <c r="H89" s="86"/>
      <c r="I89" s="5"/>
      <c r="J89" s="5"/>
      <c r="K89" s="5"/>
      <c r="L89" s="5"/>
      <c r="M89" s="30"/>
      <c r="O89" s="16"/>
      <c r="P89" s="5"/>
      <c r="Q89" s="5"/>
      <c r="R89" s="5"/>
      <c r="S89" s="5"/>
      <c r="T89" s="13"/>
    </row>
    <row r="90" spans="1:20" x14ac:dyDescent="0.25">
      <c r="E90" s="138" t="s">
        <v>23</v>
      </c>
      <c r="F90" s="139"/>
      <c r="G90" s="139"/>
      <c r="H90" s="139"/>
      <c r="I90" s="29">
        <f>MAX(M97*-1,0)</f>
        <v>350</v>
      </c>
      <c r="J90" s="29"/>
      <c r="K90" s="143" t="s">
        <v>30</v>
      </c>
      <c r="L90" s="144"/>
      <c r="M90" s="145"/>
      <c r="O90" s="136" t="s">
        <v>23</v>
      </c>
      <c r="P90" s="137"/>
      <c r="Q90" s="137"/>
      <c r="R90" s="137"/>
      <c r="S90" s="137"/>
      <c r="T90" s="30">
        <f>I90</f>
        <v>350</v>
      </c>
    </row>
    <row r="91" spans="1:20" x14ac:dyDescent="0.25">
      <c r="E91" s="92"/>
      <c r="F91" s="67"/>
      <c r="G91" s="67"/>
      <c r="H91" s="67"/>
      <c r="I91" s="76"/>
      <c r="J91" s="76"/>
      <c r="K91" s="128" t="s">
        <v>24</v>
      </c>
      <c r="L91" s="129"/>
      <c r="M91" s="56">
        <f>I75</f>
        <v>0</v>
      </c>
      <c r="O91" s="75"/>
      <c r="P91" s="76"/>
      <c r="Q91" s="76"/>
      <c r="R91" s="76"/>
      <c r="S91" s="76"/>
      <c r="T91" s="77"/>
    </row>
    <row r="92" spans="1:20" ht="37.5" customHeight="1" x14ac:dyDescent="0.25">
      <c r="E92" s="130" t="str">
        <f>"Incremental Cost @ RT MW Used ("&amp;$B86&amp;" MW)
plus Startup and No-Load"</f>
        <v>Incremental Cost @ RT MW Used (25 MW)
plus Startup and No-Load</v>
      </c>
      <c r="F92" s="131"/>
      <c r="G92" s="131"/>
      <c r="H92" s="131"/>
      <c r="I92" s="8">
        <f>M94+M95+M96</f>
        <v>1600</v>
      </c>
      <c r="J92" s="8"/>
      <c r="K92" s="128" t="s">
        <v>17</v>
      </c>
      <c r="L92" s="129"/>
      <c r="M92" s="56">
        <f>I78</f>
        <v>0</v>
      </c>
      <c r="O92" s="138" t="str">
        <f>"Incremental Cost @ Actual RT MW ("&amp;$B81&amp;" MW)
plus Startup and No-Load"</f>
        <v>Incremental Cost @ Actual RT MW (25 MW)
plus Startup and No-Load</v>
      </c>
      <c r="P92" s="139"/>
      <c r="Q92" s="139"/>
      <c r="R92" s="139"/>
      <c r="S92" s="139"/>
      <c r="T92" s="6">
        <f>T70+B87+B88</f>
        <v>1600</v>
      </c>
    </row>
    <row r="93" spans="1:20" x14ac:dyDescent="0.25">
      <c r="E93" s="93"/>
      <c r="F93" s="100"/>
      <c r="G93" s="100"/>
      <c r="H93" s="100"/>
      <c r="I93" s="48"/>
      <c r="J93" s="48"/>
      <c r="K93" s="132" t="s">
        <v>25</v>
      </c>
      <c r="L93" s="133"/>
      <c r="M93" s="30">
        <f>(B85-B74)*B82</f>
        <v>1250</v>
      </c>
      <c r="O93" s="47"/>
      <c r="P93" s="87"/>
      <c r="Q93" s="87"/>
      <c r="R93" s="87"/>
      <c r="S93" s="87"/>
      <c r="T93" s="90"/>
    </row>
    <row r="94" spans="1:20" ht="15.75" customHeight="1" thickBot="1" x14ac:dyDescent="0.3">
      <c r="E94" s="134" t="s">
        <v>26</v>
      </c>
      <c r="F94" s="135"/>
      <c r="G94" s="135"/>
      <c r="H94" s="135"/>
      <c r="I94" s="50">
        <f>I75+I78+I88+I90-I92</f>
        <v>0</v>
      </c>
      <c r="J94" s="104"/>
      <c r="K94" s="136" t="s">
        <v>46</v>
      </c>
      <c r="L94" s="137"/>
      <c r="M94" s="30">
        <f>M70</f>
        <v>500</v>
      </c>
      <c r="O94" s="136" t="s">
        <v>26</v>
      </c>
      <c r="P94" s="137"/>
      <c r="Q94" s="137"/>
      <c r="R94" s="137"/>
      <c r="S94" s="137"/>
      <c r="T94" s="91">
        <f>T75+T78+T88+T90-T92</f>
        <v>0</v>
      </c>
    </row>
    <row r="95" spans="1:20" ht="29.25" customHeight="1" thickTop="1" thickBot="1" x14ac:dyDescent="0.3">
      <c r="E95" s="49"/>
      <c r="F95" s="8"/>
      <c r="G95" s="8"/>
      <c r="H95" s="8"/>
      <c r="I95" s="8"/>
      <c r="J95" s="8"/>
      <c r="K95" s="136" t="s">
        <v>57</v>
      </c>
      <c r="L95" s="137"/>
      <c r="M95" s="123">
        <f>B88</f>
        <v>100</v>
      </c>
      <c r="O95" s="51"/>
      <c r="P95" s="21"/>
      <c r="Q95" s="18"/>
      <c r="R95" s="18"/>
      <c r="S95" s="18"/>
      <c r="T95" s="23"/>
    </row>
    <row r="96" spans="1:20" x14ac:dyDescent="0.25">
      <c r="D96" s="33"/>
      <c r="E96" s="49"/>
      <c r="F96" s="8"/>
      <c r="G96" s="8"/>
      <c r="H96" s="8"/>
      <c r="I96" s="8"/>
      <c r="J96" s="8"/>
      <c r="K96" s="183" t="s">
        <v>56</v>
      </c>
      <c r="L96" s="184"/>
      <c r="M96" s="30">
        <f>B87</f>
        <v>1000</v>
      </c>
    </row>
    <row r="97" spans="1:23" ht="28.5" customHeight="1" thickBot="1" x14ac:dyDescent="0.3">
      <c r="D97" s="33"/>
      <c r="E97" s="49"/>
      <c r="F97" s="8"/>
      <c r="G97" s="76"/>
      <c r="H97" s="5"/>
      <c r="I97" s="29"/>
      <c r="J97" s="5"/>
      <c r="K97" s="124" t="s">
        <v>72</v>
      </c>
      <c r="L97" s="125"/>
      <c r="M97" s="103">
        <f>M93-M94-M95-M96</f>
        <v>-350</v>
      </c>
    </row>
    <row r="98" spans="1:23" ht="13.5" customHeight="1" thickTop="1" thickBot="1" x14ac:dyDescent="0.3">
      <c r="D98" s="33"/>
      <c r="E98" s="51"/>
      <c r="F98" s="21"/>
      <c r="G98" s="52"/>
      <c r="H98" s="18"/>
      <c r="I98" s="46"/>
      <c r="J98" s="18"/>
      <c r="K98" s="24"/>
      <c r="L98" s="18"/>
      <c r="M98" s="23"/>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15"/>
      <c r="E106" s="54"/>
      <c r="F106" s="54"/>
      <c r="G106" s="115"/>
      <c r="H106" s="53"/>
      <c r="I106" s="55"/>
      <c r="J106" s="53"/>
      <c r="K106" s="53"/>
      <c r="L106" s="53"/>
      <c r="M106" s="53"/>
      <c r="N106" s="53"/>
      <c r="O106" s="53"/>
      <c r="P106" s="53"/>
      <c r="Q106" s="53"/>
      <c r="R106" s="53"/>
      <c r="S106" s="53"/>
      <c r="T106" s="53"/>
    </row>
    <row r="107" spans="1:23" x14ac:dyDescent="0.25">
      <c r="A107" s="126" t="s">
        <v>59</v>
      </c>
      <c r="B107" s="126"/>
      <c r="C107" s="126"/>
      <c r="D107" s="126"/>
      <c r="E107" s="126"/>
      <c r="F107" s="126"/>
      <c r="G107" s="126"/>
      <c r="H107" s="126"/>
      <c r="I107" s="126"/>
      <c r="J107" s="126"/>
      <c r="K107" s="126"/>
      <c r="L107" s="126"/>
      <c r="M107" s="126"/>
      <c r="N107" s="126"/>
      <c r="O107" s="126"/>
      <c r="P107" s="126"/>
      <c r="Q107" s="126"/>
      <c r="R107" s="126"/>
      <c r="S107" s="126"/>
      <c r="T107" s="126"/>
    </row>
    <row r="108" spans="1:23" s="83" customFormat="1" ht="15.75" thickBot="1" x14ac:dyDescent="0.3">
      <c r="A108" s="127"/>
      <c r="B108" s="127"/>
      <c r="C108" s="127"/>
      <c r="D108" s="127"/>
      <c r="E108" s="127"/>
      <c r="F108" s="127"/>
      <c r="G108" s="127"/>
      <c r="H108" s="127"/>
      <c r="I108" s="127"/>
      <c r="J108" s="127"/>
      <c r="K108" s="127"/>
      <c r="L108" s="127"/>
      <c r="M108" s="127"/>
      <c r="N108" s="127"/>
      <c r="O108" s="127"/>
      <c r="P108" s="127"/>
      <c r="Q108" s="127"/>
      <c r="R108" s="127"/>
      <c r="S108" s="127"/>
      <c r="T108" s="127"/>
      <c r="U108" s="95"/>
      <c r="V108" s="95"/>
      <c r="W108" s="95"/>
    </row>
    <row r="109" spans="1:23" ht="15.75" thickBot="1" x14ac:dyDescent="0.3">
      <c r="A109" s="179" t="s">
        <v>0</v>
      </c>
      <c r="B109" s="180"/>
      <c r="C109" s="180"/>
      <c r="D109" s="181"/>
      <c r="E109" s="154" t="s">
        <v>1</v>
      </c>
      <c r="F109" s="155"/>
      <c r="G109" s="156"/>
      <c r="H109" s="140" t="s">
        <v>2</v>
      </c>
      <c r="I109" s="141"/>
      <c r="J109" s="141"/>
      <c r="K109" s="142"/>
      <c r="L109" s="140" t="s">
        <v>32</v>
      </c>
      <c r="M109" s="141"/>
      <c r="N109" s="142"/>
    </row>
    <row r="110" spans="1:23" ht="60.75" customHeight="1" thickBot="1" x14ac:dyDescent="0.3">
      <c r="A110" s="109" t="s">
        <v>3</v>
      </c>
      <c r="B110" s="113" t="s">
        <v>33</v>
      </c>
      <c r="C110" s="113" t="s">
        <v>34</v>
      </c>
      <c r="D110" s="110" t="s">
        <v>4</v>
      </c>
      <c r="E110" s="109" t="s">
        <v>5</v>
      </c>
      <c r="F110" s="113" t="s">
        <v>6</v>
      </c>
      <c r="G110" s="114" t="s">
        <v>7</v>
      </c>
      <c r="H110" s="69" t="s">
        <v>38</v>
      </c>
      <c r="I110" s="65" t="s">
        <v>8</v>
      </c>
      <c r="J110" s="65" t="s">
        <v>6</v>
      </c>
      <c r="K110" s="66" t="s">
        <v>7</v>
      </c>
      <c r="L110" s="111"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25</v>
      </c>
      <c r="I111" s="15">
        <f>IF(AND(B$137&gt;B111,B$137&lt;=C111),B$137,0)</f>
        <v>25</v>
      </c>
      <c r="J111" s="9">
        <f>IF(B132&gt;0,D111,0)</f>
        <v>20</v>
      </c>
      <c r="K111" s="11">
        <f>IF(H111&gt;0,IF(H111=B111,D111,IF(AND(H111&gt;B111,H111&lt;=C111),D111+(H111-B111)*((D111-D111)/(C111-B111)),0)),0)</f>
        <v>20</v>
      </c>
      <c r="L111" s="14">
        <f>IF(AND(B132&gt;B111,B132&lt;=C111),B132,0)</f>
        <v>25</v>
      </c>
      <c r="M111" s="9">
        <f>IF(B132&gt;0,D111,0)</f>
        <v>20</v>
      </c>
      <c r="N111" s="11">
        <f>IF(L111&gt;0,IF(L111=B111,D111,IF(AND(L111&gt;B111,L111&lt;=C111),D111+(L111-B111)*((D111-D111)/(C111-B111)),0)),0)</f>
        <v>20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0</v>
      </c>
      <c r="M113" s="21">
        <v>0</v>
      </c>
      <c r="N113" s="19">
        <f>IF(L113&gt;0,IF(L113=B113,D113,IF(AND(L113&gt;B113,L113&lt;=C113),D113+(L113-B113)*((D113-D113)/(C113-B113)),0)),0)</f>
        <v>0</v>
      </c>
    </row>
    <row r="114" spans="1:20" ht="15.75" thickBot="1" x14ac:dyDescent="0.3">
      <c r="J114" s="25"/>
    </row>
    <row r="115" spans="1:20" ht="15.75" thickBot="1" x14ac:dyDescent="0.3">
      <c r="A115" s="154" t="s">
        <v>1</v>
      </c>
      <c r="B115" s="155"/>
      <c r="C115" s="10"/>
      <c r="D115" s="10"/>
      <c r="E115" s="10"/>
      <c r="F115" s="26"/>
      <c r="H115" s="154" t="s">
        <v>9</v>
      </c>
      <c r="I115" s="155"/>
      <c r="J115" s="155"/>
      <c r="K115" s="155"/>
      <c r="L115" s="155"/>
      <c r="M115" s="156"/>
      <c r="O115" s="154" t="s">
        <v>31</v>
      </c>
      <c r="P115" s="155"/>
      <c r="Q115" s="155"/>
      <c r="R115" s="155"/>
      <c r="S115" s="155"/>
      <c r="T115" s="156"/>
    </row>
    <row r="116" spans="1:20" ht="30.75" thickBot="1" x14ac:dyDescent="0.3">
      <c r="A116" s="112" t="s">
        <v>3</v>
      </c>
      <c r="B116" s="113" t="s">
        <v>33</v>
      </c>
      <c r="C116" s="113" t="s">
        <v>34</v>
      </c>
      <c r="D116" s="113" t="s">
        <v>49</v>
      </c>
      <c r="E116" s="113" t="s">
        <v>47</v>
      </c>
      <c r="F116" s="114" t="s">
        <v>48</v>
      </c>
      <c r="H116" s="112" t="s">
        <v>3</v>
      </c>
      <c r="I116" s="113" t="s">
        <v>50</v>
      </c>
      <c r="J116" s="113" t="s">
        <v>51</v>
      </c>
      <c r="K116" s="113" t="s">
        <v>49</v>
      </c>
      <c r="L116" s="113" t="s">
        <v>47</v>
      </c>
      <c r="M116" s="114" t="s">
        <v>48</v>
      </c>
      <c r="O116" s="112" t="s">
        <v>3</v>
      </c>
      <c r="P116" s="113" t="s">
        <v>33</v>
      </c>
      <c r="Q116" s="113" t="s">
        <v>34</v>
      </c>
      <c r="R116" s="113" t="s">
        <v>49</v>
      </c>
      <c r="S116" s="113" t="s">
        <v>47</v>
      </c>
      <c r="T116" s="114"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25</v>
      </c>
      <c r="K117" s="29">
        <f>MIN(D111,J111)</f>
        <v>20</v>
      </c>
      <c r="L117" s="29">
        <f>IF(AND(MAX(I$111:I$113)&gt;B111,MAX(I$111:I$113)&lt;C111),K111,IF(MAX(I$111:I$113)&gt;=C111,D111,0))</f>
        <v>20</v>
      </c>
      <c r="M117" s="30">
        <f>(J117-I117)*(K117+L117)/2</f>
        <v>500</v>
      </c>
      <c r="O117" s="4">
        <v>1</v>
      </c>
      <c r="P117" s="5">
        <v>0</v>
      </c>
      <c r="Q117" s="5">
        <f>IF(AND(B$132&gt;B111,B$132&lt;C111),B$132,IF(B$132&gt;=C111,C111,0))</f>
        <v>25</v>
      </c>
      <c r="R117" s="29">
        <f>MIN(D111,M111)</f>
        <v>20</v>
      </c>
      <c r="S117" s="29">
        <f>IF(AND(B$132&gt;B111,B$132&lt;C111),N111,IF(B$132&gt;=C111,D111,0))</f>
        <v>20</v>
      </c>
      <c r="T117" s="30">
        <f>(Q117-P117)*(R117+S117)/2</f>
        <v>500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0</v>
      </c>
      <c r="Q118" s="5">
        <f t="shared" ref="Q118:Q120" si="23">IF(AND(B$132&gt;B112,B$132&lt;C112),B$132,IF(B$132&gt;=C112,C112,0))</f>
        <v>0</v>
      </c>
      <c r="R118" s="29">
        <f>IF(P118&lt;&gt;0,S117,0)</f>
        <v>0</v>
      </c>
      <c r="S118" s="29">
        <f t="shared" ref="S118:S119" si="24">IF(AND(B$132&gt;B112,B$132&lt;C112),N112,IF(B$132&gt;=C112,D112,0))</f>
        <v>0</v>
      </c>
      <c r="T118" s="30">
        <f t="shared" ref="T118:T120" si="25">(Q118-P118)*(R118+S118)/2</f>
        <v>0</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0</v>
      </c>
      <c r="Q119" s="5">
        <f t="shared" si="23"/>
        <v>0</v>
      </c>
      <c r="R119" s="29">
        <f>IF(P119&lt;&gt;0,S118,0)</f>
        <v>0</v>
      </c>
      <c r="S119" s="29">
        <f t="shared" si="24"/>
        <v>0</v>
      </c>
      <c r="T119" s="30">
        <f t="shared" si="25"/>
        <v>0</v>
      </c>
    </row>
    <row r="120" spans="1:20" x14ac:dyDescent="0.25">
      <c r="A120" s="4">
        <v>4</v>
      </c>
      <c r="B120" s="5">
        <f>IF(B$125&gt;B114,C119,0)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500</v>
      </c>
      <c r="O121" s="24"/>
      <c r="P121" s="18"/>
      <c r="Q121" s="18"/>
      <c r="R121" s="21"/>
      <c r="S121" s="21"/>
      <c r="T121" s="31">
        <f>SUM(T117:T120)</f>
        <v>500</v>
      </c>
    </row>
    <row r="122" spans="1:20" ht="15.75" thickBot="1" x14ac:dyDescent="0.3"/>
    <row r="123" spans="1:20" ht="15.75" customHeight="1" thickBot="1" x14ac:dyDescent="0.3">
      <c r="A123" s="68" t="s">
        <v>37</v>
      </c>
      <c r="E123" s="149" t="s">
        <v>44</v>
      </c>
      <c r="F123" s="150"/>
      <c r="G123" s="150"/>
      <c r="H123" s="150"/>
      <c r="I123" s="150"/>
      <c r="J123" s="150"/>
      <c r="K123" s="150"/>
      <c r="L123" s="150"/>
      <c r="M123" s="151"/>
      <c r="O123" s="166" t="s">
        <v>42</v>
      </c>
      <c r="P123" s="167"/>
      <c r="Q123" s="167"/>
      <c r="R123" s="167"/>
      <c r="S123" s="167"/>
      <c r="T123" s="168"/>
    </row>
    <row r="124" spans="1:20" ht="15.75" thickBot="1" x14ac:dyDescent="0.3">
      <c r="A124" s="147" t="s">
        <v>10</v>
      </c>
      <c r="B124" s="148"/>
      <c r="E124" s="140" t="s">
        <v>11</v>
      </c>
      <c r="F124" s="141"/>
      <c r="G124" s="141"/>
      <c r="H124" s="141"/>
      <c r="I124" s="141"/>
      <c r="J124" s="141"/>
      <c r="K124" s="141"/>
      <c r="L124" s="141"/>
      <c r="M124" s="142"/>
      <c r="O124" s="157" t="s">
        <v>11</v>
      </c>
      <c r="P124" s="158"/>
      <c r="Q124" s="158"/>
      <c r="R124" s="158"/>
      <c r="S124" s="158"/>
      <c r="T124" s="159"/>
    </row>
    <row r="125" spans="1:20" x14ac:dyDescent="0.25">
      <c r="A125" s="4" t="s">
        <v>5</v>
      </c>
      <c r="B125" s="13">
        <v>0</v>
      </c>
      <c r="E125" s="152" t="s">
        <v>12</v>
      </c>
      <c r="F125" s="153"/>
      <c r="G125" s="153"/>
      <c r="H125" s="153"/>
      <c r="I125" s="99"/>
      <c r="J125" s="10"/>
      <c r="K125" s="10"/>
      <c r="L125" s="10"/>
      <c r="M125" s="26"/>
      <c r="O125" s="16" t="s">
        <v>12</v>
      </c>
      <c r="P125" s="29"/>
      <c r="Q125" s="5"/>
      <c r="R125" s="5"/>
      <c r="S125" s="5"/>
      <c r="T125" s="13"/>
    </row>
    <row r="126" spans="1:20" ht="15.75" thickBot="1" x14ac:dyDescent="0.3">
      <c r="A126" s="17" t="s">
        <v>13</v>
      </c>
      <c r="B126" s="19">
        <v>0</v>
      </c>
      <c r="E126" s="138" t="s">
        <v>14</v>
      </c>
      <c r="F126" s="139"/>
      <c r="G126" s="139"/>
      <c r="H126" s="139"/>
      <c r="I126" s="42">
        <f>B125*B126</f>
        <v>0</v>
      </c>
      <c r="J126" s="5"/>
      <c r="K126" s="5"/>
      <c r="L126" s="5"/>
      <c r="M126" s="13"/>
      <c r="O126" s="136" t="s">
        <v>14</v>
      </c>
      <c r="P126" s="137"/>
      <c r="Q126" s="137"/>
      <c r="R126" s="137"/>
      <c r="S126" s="137"/>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138" t="s">
        <v>15</v>
      </c>
      <c r="F129" s="139"/>
      <c r="G129" s="139"/>
      <c r="H129" s="139"/>
      <c r="I129" s="43">
        <f>M130</f>
        <v>0</v>
      </c>
      <c r="J129" s="5"/>
      <c r="K129" s="35" t="s">
        <v>16</v>
      </c>
      <c r="L129" s="36">
        <f>F121</f>
        <v>0</v>
      </c>
      <c r="M129" s="105" t="s">
        <v>17</v>
      </c>
      <c r="O129" s="136" t="s">
        <v>15</v>
      </c>
      <c r="P129" s="137"/>
      <c r="Q129" s="137"/>
      <c r="R129" s="137"/>
      <c r="S129" s="137"/>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147" t="s">
        <v>22</v>
      </c>
      <c r="B131" s="148"/>
      <c r="E131" s="138" t="str">
        <f>"DA Incremental Cost @ DA MW ("&amp;$B125&amp;" MW)"</f>
        <v>DA Incremental Cost @ DA MW (0 MW)</v>
      </c>
      <c r="F131" s="139"/>
      <c r="G131" s="139"/>
      <c r="H131" s="139"/>
      <c r="I131" s="44">
        <f>F121</f>
        <v>0</v>
      </c>
      <c r="J131" s="5"/>
      <c r="K131" s="29"/>
      <c r="L131" s="5"/>
      <c r="M131" s="13"/>
      <c r="O131" s="136" t="str">
        <f>"DA Incremental Cost @ DA MW ("&amp;$B125&amp;" MW)"</f>
        <v>DA Incremental Cost @ DA MW (0 MW)</v>
      </c>
      <c r="P131" s="137"/>
      <c r="Q131" s="137"/>
      <c r="R131" s="137"/>
      <c r="S131" s="137"/>
      <c r="T131" s="89">
        <f>I131</f>
        <v>0</v>
      </c>
    </row>
    <row r="132" spans="1:20" x14ac:dyDescent="0.25">
      <c r="A132" s="16" t="s">
        <v>43</v>
      </c>
      <c r="B132" s="13">
        <v>25</v>
      </c>
      <c r="E132" s="85"/>
      <c r="F132" s="86"/>
      <c r="G132" s="86"/>
      <c r="H132" s="86"/>
      <c r="I132" s="5"/>
      <c r="J132" s="5"/>
      <c r="K132" s="5"/>
      <c r="L132" s="29"/>
      <c r="M132" s="13"/>
      <c r="O132" s="16"/>
      <c r="P132" s="5"/>
      <c r="Q132" s="5"/>
      <c r="R132" s="5"/>
      <c r="S132" s="5"/>
      <c r="T132" s="13"/>
    </row>
    <row r="133" spans="1:20" ht="15.75" thickBot="1" x14ac:dyDescent="0.3">
      <c r="A133" s="16" t="s">
        <v>13</v>
      </c>
      <c r="B133" s="6">
        <v>50</v>
      </c>
      <c r="D133" s="32"/>
      <c r="E133" s="138" t="s">
        <v>19</v>
      </c>
      <c r="F133" s="139"/>
      <c r="G133" s="139"/>
      <c r="H133" s="139"/>
      <c r="I133" s="40">
        <f>I126+I129-I131</f>
        <v>0</v>
      </c>
      <c r="J133" s="5"/>
      <c r="K133" s="29"/>
      <c r="L133" s="45"/>
      <c r="M133" s="13"/>
      <c r="O133" s="136" t="s">
        <v>19</v>
      </c>
      <c r="P133" s="137"/>
      <c r="Q133" s="137"/>
      <c r="R133" s="137"/>
      <c r="S133" s="137"/>
      <c r="T133" s="31">
        <f>T126+T129-T131</f>
        <v>0</v>
      </c>
    </row>
    <row r="134" spans="1:20" ht="15.75" thickTop="1" x14ac:dyDescent="0.25">
      <c r="A134" s="16" t="s">
        <v>27</v>
      </c>
      <c r="B134" s="13">
        <v>45</v>
      </c>
      <c r="E134" s="16"/>
      <c r="F134" s="5"/>
      <c r="G134" s="5"/>
      <c r="H134" s="8"/>
      <c r="I134" s="5"/>
      <c r="J134" s="5"/>
      <c r="K134" s="5"/>
      <c r="L134" s="5"/>
      <c r="M134" s="13"/>
      <c r="O134" s="16"/>
      <c r="P134" s="5"/>
      <c r="Q134" s="5"/>
      <c r="R134" s="5"/>
      <c r="S134" s="5"/>
      <c r="T134" s="13"/>
    </row>
    <row r="135" spans="1:20" ht="15.75" thickBot="1" x14ac:dyDescent="0.3">
      <c r="A135" s="16" t="s">
        <v>29</v>
      </c>
      <c r="B135" s="13">
        <v>50</v>
      </c>
      <c r="E135" s="24"/>
      <c r="F135" s="46"/>
      <c r="G135" s="18"/>
      <c r="H135" s="46"/>
      <c r="I135" s="18"/>
      <c r="J135" s="18"/>
      <c r="K135" s="18"/>
      <c r="L135" s="18"/>
      <c r="M135" s="23"/>
      <c r="O135" s="16"/>
      <c r="P135" s="29"/>
      <c r="Q135" s="5"/>
      <c r="R135" s="5"/>
      <c r="S135" s="5"/>
      <c r="T135" s="13"/>
    </row>
    <row r="136" spans="1:20" ht="15.75" thickBot="1" x14ac:dyDescent="0.3">
      <c r="A136" s="16" t="s">
        <v>28</v>
      </c>
      <c r="B136" s="13">
        <v>25</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25</v>
      </c>
      <c r="E137" s="140" t="s">
        <v>20</v>
      </c>
      <c r="F137" s="141"/>
      <c r="G137" s="141"/>
      <c r="H137" s="141"/>
      <c r="I137" s="141"/>
      <c r="J137" s="141"/>
      <c r="K137" s="141"/>
      <c r="L137" s="141"/>
      <c r="M137" s="142"/>
      <c r="O137" s="160" t="s">
        <v>20</v>
      </c>
      <c r="P137" s="161"/>
      <c r="Q137" s="161"/>
      <c r="R137" s="161"/>
      <c r="S137" s="161"/>
      <c r="T137" s="162"/>
    </row>
    <row r="138" spans="1:20" x14ac:dyDescent="0.25">
      <c r="A138" s="14" t="s">
        <v>56</v>
      </c>
      <c r="B138" s="26">
        <v>1000</v>
      </c>
      <c r="E138" s="85" t="s">
        <v>12</v>
      </c>
      <c r="F138" s="86"/>
      <c r="G138" s="86"/>
      <c r="H138" s="86"/>
      <c r="I138" s="5"/>
      <c r="J138" s="5"/>
      <c r="K138" s="5"/>
      <c r="L138" s="5"/>
      <c r="M138" s="13"/>
      <c r="O138" s="16" t="s">
        <v>12</v>
      </c>
      <c r="P138" s="5"/>
      <c r="Q138" s="5"/>
      <c r="R138" s="5"/>
      <c r="S138" s="5"/>
      <c r="T138" s="13"/>
    </row>
    <row r="139" spans="1:20" ht="15.75" thickBot="1" x14ac:dyDescent="0.3">
      <c r="A139" s="24" t="s">
        <v>57</v>
      </c>
      <c r="B139" s="23">
        <v>100</v>
      </c>
      <c r="E139" s="138" t="s">
        <v>21</v>
      </c>
      <c r="F139" s="139"/>
      <c r="G139" s="139"/>
      <c r="H139" s="139"/>
      <c r="I139" s="29">
        <f>(B132-B125)*B133</f>
        <v>1250</v>
      </c>
      <c r="J139" s="29"/>
      <c r="K139" s="29"/>
      <c r="L139" s="29"/>
      <c r="M139" s="13"/>
      <c r="O139" s="136" t="s">
        <v>21</v>
      </c>
      <c r="P139" s="137"/>
      <c r="Q139" s="137"/>
      <c r="R139" s="137"/>
      <c r="S139" s="137"/>
      <c r="T139" s="30">
        <f>I139</f>
        <v>1250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138" t="s">
        <v>23</v>
      </c>
      <c r="F141" s="139"/>
      <c r="G141" s="139"/>
      <c r="H141" s="139"/>
      <c r="I141" s="29">
        <f>MAX(M148*-1,0)</f>
        <v>350</v>
      </c>
      <c r="J141" s="29"/>
      <c r="K141" s="143" t="s">
        <v>30</v>
      </c>
      <c r="L141" s="144"/>
      <c r="M141" s="145"/>
      <c r="O141" s="136" t="s">
        <v>23</v>
      </c>
      <c r="P141" s="137"/>
      <c r="Q141" s="137"/>
      <c r="R141" s="137"/>
      <c r="S141" s="137"/>
      <c r="T141" s="30">
        <f>I141</f>
        <v>350</v>
      </c>
    </row>
    <row r="142" spans="1:20" x14ac:dyDescent="0.25">
      <c r="E142" s="92"/>
      <c r="F142" s="67"/>
      <c r="G142" s="67"/>
      <c r="H142" s="67"/>
      <c r="I142" s="76"/>
      <c r="J142" s="76"/>
      <c r="K142" s="128" t="s">
        <v>24</v>
      </c>
      <c r="L142" s="129"/>
      <c r="M142" s="56">
        <f>I126</f>
        <v>0</v>
      </c>
      <c r="O142" s="75"/>
      <c r="P142" s="76"/>
      <c r="Q142" s="76"/>
      <c r="R142" s="76"/>
      <c r="S142" s="76"/>
      <c r="T142" s="77"/>
    </row>
    <row r="143" spans="1:20" ht="30" customHeight="1" x14ac:dyDescent="0.25">
      <c r="E143" s="130" t="str">
        <f>"Incremental Cost @ RT MW Used ("&amp;$B137&amp;" MW)
plus startup and No-Load"</f>
        <v>Incremental Cost @ RT MW Used (25 MW)
plus startup and No-Load</v>
      </c>
      <c r="F143" s="131"/>
      <c r="G143" s="131"/>
      <c r="H143" s="131"/>
      <c r="I143" s="8">
        <f>M145+M146+M147</f>
        <v>1600</v>
      </c>
      <c r="J143" s="8"/>
      <c r="K143" s="128" t="s">
        <v>17</v>
      </c>
      <c r="L143" s="129"/>
      <c r="M143" s="56">
        <f>I129</f>
        <v>0</v>
      </c>
      <c r="O143" s="138" t="str">
        <f>"Incremental Cost @ Actual RT MW ("&amp;$B132&amp;" MW)
plus Startup and No-Load"</f>
        <v>Incremental Cost @ Actual RT MW (25 MW)
plus Startup and No-Load</v>
      </c>
      <c r="P143" s="139"/>
      <c r="Q143" s="139"/>
      <c r="R143" s="139"/>
      <c r="S143" s="139"/>
      <c r="T143" s="6">
        <f>T121+B138+B139</f>
        <v>1600</v>
      </c>
    </row>
    <row r="144" spans="1:20" x14ac:dyDescent="0.25">
      <c r="E144" s="93"/>
      <c r="F144" s="100"/>
      <c r="G144" s="100"/>
      <c r="H144" s="100"/>
      <c r="I144" s="48"/>
      <c r="J144" s="48"/>
      <c r="K144" s="132" t="s">
        <v>25</v>
      </c>
      <c r="L144" s="133"/>
      <c r="M144" s="30">
        <f>(B136-B125)*B133</f>
        <v>1250</v>
      </c>
      <c r="O144" s="47"/>
      <c r="P144" s="87"/>
      <c r="Q144" s="87"/>
      <c r="R144" s="87"/>
      <c r="S144" s="87"/>
      <c r="T144" s="90"/>
    </row>
    <row r="145" spans="4:20" ht="15.75" customHeight="1" thickBot="1" x14ac:dyDescent="0.3">
      <c r="E145" s="134" t="s">
        <v>26</v>
      </c>
      <c r="F145" s="135"/>
      <c r="G145" s="135"/>
      <c r="H145" s="135"/>
      <c r="I145" s="50">
        <f>I126+I129+I139+I141-I143</f>
        <v>0</v>
      </c>
      <c r="J145" s="104"/>
      <c r="K145" s="136" t="s">
        <v>46</v>
      </c>
      <c r="L145" s="137"/>
      <c r="M145" s="30">
        <f>M121</f>
        <v>500</v>
      </c>
      <c r="O145" s="136" t="s">
        <v>26</v>
      </c>
      <c r="P145" s="137"/>
      <c r="Q145" s="137"/>
      <c r="R145" s="137"/>
      <c r="S145" s="137"/>
      <c r="T145" s="91">
        <f>T126+T129+T139+T141-T143</f>
        <v>0</v>
      </c>
    </row>
    <row r="146" spans="4:20" ht="30" customHeight="1" thickTop="1" thickBot="1" x14ac:dyDescent="0.3">
      <c r="E146" s="49"/>
      <c r="F146" s="8"/>
      <c r="G146" s="8"/>
      <c r="H146" s="8"/>
      <c r="I146" s="8"/>
      <c r="J146" s="8"/>
      <c r="K146" s="136" t="s">
        <v>57</v>
      </c>
      <c r="L146" s="137"/>
      <c r="M146" s="123">
        <f>B139</f>
        <v>100</v>
      </c>
      <c r="O146" s="51"/>
      <c r="P146" s="21"/>
      <c r="Q146" s="18"/>
      <c r="R146" s="18"/>
      <c r="S146" s="18"/>
      <c r="T146" s="23"/>
    </row>
    <row r="147" spans="4:20" x14ac:dyDescent="0.25">
      <c r="D147" s="33"/>
      <c r="E147" s="49"/>
      <c r="F147" s="8"/>
      <c r="G147" s="8"/>
      <c r="H147" s="8"/>
      <c r="I147" s="8"/>
      <c r="J147" s="8"/>
      <c r="K147" s="183" t="s">
        <v>56</v>
      </c>
      <c r="L147" s="184"/>
      <c r="M147" s="30">
        <f>B138</f>
        <v>1000</v>
      </c>
      <c r="O147" s="8"/>
      <c r="P147" s="8"/>
      <c r="Q147" s="5"/>
      <c r="R147" s="5"/>
      <c r="S147" s="5"/>
      <c r="T147" s="5"/>
    </row>
    <row r="148" spans="4:20" ht="31.5" customHeight="1" thickBot="1" x14ac:dyDescent="0.3">
      <c r="D148" s="33"/>
      <c r="E148" s="49"/>
      <c r="F148" s="8"/>
      <c r="G148" s="76"/>
      <c r="H148" s="5"/>
      <c r="I148" s="29"/>
      <c r="J148" s="5"/>
      <c r="K148" s="124" t="s">
        <v>72</v>
      </c>
      <c r="L148" s="125"/>
      <c r="M148" s="103">
        <f>M144-M145-M146-M147</f>
        <v>-350</v>
      </c>
      <c r="O148" s="8"/>
      <c r="P148" s="8"/>
      <c r="Q148" s="5"/>
      <c r="R148" s="5"/>
      <c r="S148" s="5"/>
      <c r="T148" s="5"/>
    </row>
    <row r="149" spans="4:20" ht="16.5" thickTop="1" thickBot="1" x14ac:dyDescent="0.3">
      <c r="D149" s="33"/>
      <c r="E149" s="51"/>
      <c r="F149" s="21"/>
      <c r="G149" s="52"/>
      <c r="H149" s="18"/>
      <c r="I149" s="46"/>
      <c r="J149" s="18"/>
      <c r="K149" s="24"/>
      <c r="L149" s="18"/>
      <c r="M149" s="23"/>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sheetData>
  <mergeCells count="126">
    <mergeCell ref="A1:T2"/>
    <mergeCell ref="A5:T6"/>
    <mergeCell ref="A7:D7"/>
    <mergeCell ref="E7:G7"/>
    <mergeCell ref="H7:K7"/>
    <mergeCell ref="L7:N7"/>
    <mergeCell ref="K147:L147"/>
    <mergeCell ref="K148:L148"/>
    <mergeCell ref="K96:L96"/>
    <mergeCell ref="K97:L97"/>
    <mergeCell ref="A22:B22"/>
    <mergeCell ref="E22:M22"/>
    <mergeCell ref="O22:T22"/>
    <mergeCell ref="E23:H23"/>
    <mergeCell ref="E24:H24"/>
    <mergeCell ref="O24:S24"/>
    <mergeCell ref="A13:F13"/>
    <mergeCell ref="H13:M13"/>
    <mergeCell ref="O13:T13"/>
    <mergeCell ref="A21:D21"/>
    <mergeCell ref="E21:M21"/>
    <mergeCell ref="O21:T21"/>
    <mergeCell ref="E31:H31"/>
    <mergeCell ref="O31:S31"/>
    <mergeCell ref="E35:M35"/>
    <mergeCell ref="O35:T35"/>
    <mergeCell ref="E37:H37"/>
    <mergeCell ref="O37:S37"/>
    <mergeCell ref="E27:H27"/>
    <mergeCell ref="O27:S27"/>
    <mergeCell ref="A28:D28"/>
    <mergeCell ref="A29:B29"/>
    <mergeCell ref="E29:H29"/>
    <mergeCell ref="O29:S29"/>
    <mergeCell ref="O43:S43"/>
    <mergeCell ref="K44:L44"/>
    <mergeCell ref="A56:T57"/>
    <mergeCell ref="K45:L45"/>
    <mergeCell ref="E39:H39"/>
    <mergeCell ref="K39:M39"/>
    <mergeCell ref="O39:S39"/>
    <mergeCell ref="K40:L40"/>
    <mergeCell ref="E41:H41"/>
    <mergeCell ref="K41:L41"/>
    <mergeCell ref="O41:S41"/>
    <mergeCell ref="A58:D58"/>
    <mergeCell ref="E58:G58"/>
    <mergeCell ref="H58:K58"/>
    <mergeCell ref="L58:N58"/>
    <mergeCell ref="A64:F64"/>
    <mergeCell ref="H64:M64"/>
    <mergeCell ref="K42:L42"/>
    <mergeCell ref="E43:H43"/>
    <mergeCell ref="K43:L43"/>
    <mergeCell ref="A80:B80"/>
    <mergeCell ref="E80:H80"/>
    <mergeCell ref="O80:S80"/>
    <mergeCell ref="O64:T64"/>
    <mergeCell ref="E72:M72"/>
    <mergeCell ref="O72:T72"/>
    <mergeCell ref="A73:B73"/>
    <mergeCell ref="E73:M73"/>
    <mergeCell ref="O73:T73"/>
    <mergeCell ref="E82:H82"/>
    <mergeCell ref="O82:S82"/>
    <mergeCell ref="E86:M86"/>
    <mergeCell ref="O86:T86"/>
    <mergeCell ref="E88:H88"/>
    <mergeCell ref="O88:S88"/>
    <mergeCell ref="E74:H74"/>
    <mergeCell ref="E75:H75"/>
    <mergeCell ref="O75:S75"/>
    <mergeCell ref="E78:H78"/>
    <mergeCell ref="O78:S78"/>
    <mergeCell ref="O94:S94"/>
    <mergeCell ref="K95:L95"/>
    <mergeCell ref="A107:T108"/>
    <mergeCell ref="E90:H90"/>
    <mergeCell ref="K90:M90"/>
    <mergeCell ref="O90:S90"/>
    <mergeCell ref="K91:L91"/>
    <mergeCell ref="E92:H92"/>
    <mergeCell ref="K92:L92"/>
    <mergeCell ref="O92:S92"/>
    <mergeCell ref="A109:D109"/>
    <mergeCell ref="E109:G109"/>
    <mergeCell ref="H109:K109"/>
    <mergeCell ref="L109:N109"/>
    <mergeCell ref="A115:B115"/>
    <mergeCell ref="H115:M115"/>
    <mergeCell ref="K93:L93"/>
    <mergeCell ref="E94:H94"/>
    <mergeCell ref="K94:L94"/>
    <mergeCell ref="A131:B131"/>
    <mergeCell ref="E131:H131"/>
    <mergeCell ref="O131:S131"/>
    <mergeCell ref="O115:T115"/>
    <mergeCell ref="E123:M123"/>
    <mergeCell ref="O123:T123"/>
    <mergeCell ref="A124:B124"/>
    <mergeCell ref="E124:M124"/>
    <mergeCell ref="O124:T124"/>
    <mergeCell ref="K144:L144"/>
    <mergeCell ref="E145:H145"/>
    <mergeCell ref="K145:L145"/>
    <mergeCell ref="O145:S145"/>
    <mergeCell ref="K146:L146"/>
    <mergeCell ref="K46:L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RT Only Over Gen Example</vt:lpstr>
      <vt:lpstr>RT Only Over Gen Ex Neg LMP</vt:lpstr>
      <vt:lpstr>RT &amp; DA Over Gen Example</vt:lpstr>
      <vt:lpstr>RT &amp; DA Over Gen Ex Neg LMP </vt:lpstr>
      <vt:lpstr>RT Only Under Gen Example</vt:lpstr>
      <vt:lpstr>RT &amp; DA Under Gen Example</vt:lpstr>
      <vt:lpstr>RT Only UnderGen Start&amp;NoLoad</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Weathers, Brian</dc:creator>
  <cp:lastModifiedBy>Romero Luna, Joel</cp:lastModifiedBy>
  <dcterms:created xsi:type="dcterms:W3CDTF">2023-12-21T19:17:20Z</dcterms:created>
  <dcterms:modified xsi:type="dcterms:W3CDTF">2024-01-09T18:57:35Z</dcterms:modified>
</cp:coreProperties>
</file>