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athers\AppData\Roaming\OpenText\OTEdit\EC_Cera\c246773988\"/>
    </mc:Choice>
  </mc:AlternateContent>
  <bookViews>
    <workbookView xWindow="0" yWindow="0" windowWidth="15360" windowHeight="8205"/>
  </bookViews>
  <sheets>
    <sheet name="Multi-Interval Segment Example" sheetId="15" r:id="rId1"/>
    <sheet name="RT Only Over Gen Example" sheetId="1" r:id="rId2"/>
    <sheet name="RT Only Over Gen Ex Neg LMP" sheetId="7" r:id="rId3"/>
    <sheet name="RT &amp; DA Over Gen Example" sheetId="10" r:id="rId4"/>
    <sheet name="RT &amp; DA Over Gen Ex Neg LMP " sheetId="13" r:id="rId5"/>
    <sheet name="RT Only Under Gen Example" sheetId="8" r:id="rId6"/>
    <sheet name="RT &amp; DA Under Gen Example" sheetId="11" r:id="rId7"/>
    <sheet name="RT Only UnderGen Start&amp;NoLoad" sheetId="9"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9" i="9" l="1"/>
  <c r="S189" i="9" l="1"/>
  <c r="Q189" i="9"/>
  <c r="Q190" i="11"/>
  <c r="K28" i="15" l="1"/>
  <c r="J28" i="15"/>
  <c r="M28" i="15" s="1"/>
  <c r="I28" i="15"/>
  <c r="H28" i="15"/>
  <c r="G28" i="15"/>
  <c r="F28" i="15"/>
  <c r="E28" i="15"/>
  <c r="A24" i="15"/>
  <c r="K15" i="15"/>
  <c r="J15" i="15"/>
  <c r="I15" i="15"/>
  <c r="H15" i="15"/>
  <c r="M15" i="15" s="1"/>
  <c r="S17" i="15" s="1"/>
  <c r="G15" i="15"/>
  <c r="F15" i="15"/>
  <c r="E15" i="15"/>
  <c r="A11" i="15"/>
  <c r="K218" i="11" l="1"/>
  <c r="K217" i="9"/>
  <c r="U219" i="9" l="1"/>
  <c r="O219" i="9"/>
  <c r="I219" i="9"/>
  <c r="U218" i="9"/>
  <c r="O218" i="9"/>
  <c r="I218" i="9"/>
  <c r="Q217" i="9"/>
  <c r="U215" i="9"/>
  <c r="O215" i="9"/>
  <c r="B209" i="9"/>
  <c r="B208" i="9"/>
  <c r="I215" i="9" s="1"/>
  <c r="I201" i="9"/>
  <c r="I200" i="9"/>
  <c r="E199" i="9"/>
  <c r="I197" i="9"/>
  <c r="U211" i="9" s="1"/>
  <c r="X192" i="9"/>
  <c r="S192" i="9"/>
  <c r="R192" i="9"/>
  <c r="Q192" i="9"/>
  <c r="P192" i="9"/>
  <c r="E192" i="9"/>
  <c r="C192" i="9"/>
  <c r="B192" i="9"/>
  <c r="D192" i="9" s="1"/>
  <c r="Z191" i="9"/>
  <c r="X191" i="9"/>
  <c r="W192" i="9" s="1"/>
  <c r="W191" i="9"/>
  <c r="Y191" i="9" s="1"/>
  <c r="S191" i="9"/>
  <c r="Q191" i="9"/>
  <c r="P191" i="9"/>
  <c r="R191" i="9" s="1"/>
  <c r="T191" i="9" s="1"/>
  <c r="E191" i="9"/>
  <c r="D191" i="9"/>
  <c r="C191" i="9"/>
  <c r="F191" i="9" s="1"/>
  <c r="B191" i="9"/>
  <c r="Z190" i="9"/>
  <c r="X190" i="9"/>
  <c r="W190" i="9"/>
  <c r="S190" i="9"/>
  <c r="Q190" i="9"/>
  <c r="P190" i="9"/>
  <c r="R190" i="9" s="1"/>
  <c r="E190" i="9"/>
  <c r="C190" i="9"/>
  <c r="B190" i="9"/>
  <c r="D190" i="9" s="1"/>
  <c r="T189" i="9"/>
  <c r="E189" i="9"/>
  <c r="C189" i="9"/>
  <c r="O185" i="9"/>
  <c r="Q185" i="9" s="1"/>
  <c r="L185" i="9"/>
  <c r="N185" i="9" s="1"/>
  <c r="Z192" i="9" s="1"/>
  <c r="H185" i="9"/>
  <c r="E185" i="9"/>
  <c r="G185" i="9" s="1"/>
  <c r="O184" i="9"/>
  <c r="Q184" i="9" s="1"/>
  <c r="L184" i="9"/>
  <c r="N184" i="9" s="1"/>
  <c r="H184" i="9"/>
  <c r="K184" i="9" s="1"/>
  <c r="E184" i="9"/>
  <c r="G184" i="9" s="1"/>
  <c r="P183" i="9"/>
  <c r="Y189" i="9" s="1"/>
  <c r="O183" i="9"/>
  <c r="Q183" i="9" s="1"/>
  <c r="Z189" i="9" s="1"/>
  <c r="M183" i="9"/>
  <c r="R189" i="9" s="1"/>
  <c r="L183" i="9"/>
  <c r="N183" i="9" s="1"/>
  <c r="J183" i="9"/>
  <c r="K189" i="9" s="1"/>
  <c r="H183" i="9"/>
  <c r="K183" i="9" s="1"/>
  <c r="F183" i="9"/>
  <c r="D189" i="9" s="1"/>
  <c r="F189" i="9" s="1"/>
  <c r="E183" i="9"/>
  <c r="G183" i="9" s="1"/>
  <c r="O223" i="13"/>
  <c r="AA189" i="9" l="1"/>
  <c r="Y190" i="9"/>
  <c r="AA190" i="9" s="1"/>
  <c r="T192" i="9"/>
  <c r="T190" i="9"/>
  <c r="T193" i="9" s="1"/>
  <c r="U217" i="9" s="1"/>
  <c r="U221" i="9" s="1"/>
  <c r="I211" i="9"/>
  <c r="F190" i="9"/>
  <c r="F192" i="9"/>
  <c r="F193" i="9"/>
  <c r="I199" i="9" s="1"/>
  <c r="I203" i="9" s="1"/>
  <c r="I205" i="9" s="1"/>
  <c r="Y192" i="9"/>
  <c r="AA192" i="9" s="1"/>
  <c r="E217" i="9"/>
  <c r="I185" i="9"/>
  <c r="K185" i="9" s="1"/>
  <c r="O211" i="9"/>
  <c r="AA191" i="9"/>
  <c r="I183" i="9"/>
  <c r="I184" i="9"/>
  <c r="AA193" i="9" l="1"/>
  <c r="O217" i="9" s="1"/>
  <c r="O221" i="9"/>
  <c r="U213" i="9"/>
  <c r="U223" i="9" s="1"/>
  <c r="O213" i="9"/>
  <c r="I213" i="9"/>
  <c r="L190" i="9"/>
  <c r="J190" i="9"/>
  <c r="I190" i="9"/>
  <c r="K190" i="9" s="1"/>
  <c r="J192" i="9"/>
  <c r="L191" i="9"/>
  <c r="J191" i="9"/>
  <c r="L189" i="9"/>
  <c r="I191" i="9"/>
  <c r="K191" i="9" s="1"/>
  <c r="L192" i="9"/>
  <c r="J189" i="9"/>
  <c r="I192" i="9"/>
  <c r="K192" i="9" s="1"/>
  <c r="M190" i="9" l="1"/>
  <c r="M191" i="9"/>
  <c r="M192" i="9"/>
  <c r="M189" i="9"/>
  <c r="O223" i="9"/>
  <c r="N229" i="9" s="1"/>
  <c r="N228" i="7"/>
  <c r="M193" i="9" l="1"/>
  <c r="I217" i="9" s="1"/>
  <c r="I221" i="9" s="1"/>
  <c r="I223" i="9" s="1"/>
  <c r="B193" i="11"/>
  <c r="D193" i="11" s="1"/>
  <c r="U220" i="11"/>
  <c r="O220" i="11"/>
  <c r="I220" i="11"/>
  <c r="U219" i="11"/>
  <c r="O219" i="11"/>
  <c r="I219" i="11"/>
  <c r="Q218" i="11"/>
  <c r="U216" i="11"/>
  <c r="O216" i="11"/>
  <c r="B210" i="11"/>
  <c r="I186" i="11" s="1"/>
  <c r="K186" i="11" s="1"/>
  <c r="B209" i="11"/>
  <c r="I216" i="11" s="1"/>
  <c r="I202" i="11"/>
  <c r="I201" i="11"/>
  <c r="E200" i="11"/>
  <c r="I198" i="11"/>
  <c r="U212" i="11" s="1"/>
  <c r="Y193" i="11"/>
  <c r="X193" i="11"/>
  <c r="Z193" i="11" s="1"/>
  <c r="W193" i="11"/>
  <c r="Q193" i="11"/>
  <c r="E193" i="11"/>
  <c r="C193" i="11"/>
  <c r="Z192" i="11"/>
  <c r="X192" i="11"/>
  <c r="S192" i="11"/>
  <c r="R192" i="11"/>
  <c r="Q192" i="11"/>
  <c r="P193" i="11" s="1"/>
  <c r="P192" i="11"/>
  <c r="E192" i="11"/>
  <c r="C192" i="11"/>
  <c r="Z191" i="11"/>
  <c r="X191" i="11"/>
  <c r="AA191" i="11" s="1"/>
  <c r="S191" i="11"/>
  <c r="Q191" i="11"/>
  <c r="E191" i="11"/>
  <c r="C191" i="11"/>
  <c r="B192" i="11" s="1"/>
  <c r="D192" i="11" s="1"/>
  <c r="B191" i="11"/>
  <c r="D191" i="11" s="1"/>
  <c r="F191" i="11" s="1"/>
  <c r="Z190" i="11"/>
  <c r="X190" i="11"/>
  <c r="W191" i="11" s="1"/>
  <c r="Y191" i="11" s="1"/>
  <c r="S190" i="11"/>
  <c r="E190" i="11"/>
  <c r="D190" i="11"/>
  <c r="C190" i="11"/>
  <c r="F190" i="11" s="1"/>
  <c r="O186" i="11"/>
  <c r="Q186" i="11" s="1"/>
  <c r="L186" i="11"/>
  <c r="N186" i="11" s="1"/>
  <c r="H186" i="11"/>
  <c r="E186" i="11"/>
  <c r="G186" i="11" s="1"/>
  <c r="O185" i="11"/>
  <c r="Q185" i="11" s="1"/>
  <c r="L185" i="11"/>
  <c r="N185" i="11" s="1"/>
  <c r="H185" i="11"/>
  <c r="K185" i="11" s="1"/>
  <c r="E185" i="11"/>
  <c r="G185" i="11" s="1"/>
  <c r="P184" i="11"/>
  <c r="Y190" i="11" s="1"/>
  <c r="O184" i="11"/>
  <c r="Q184" i="11" s="1"/>
  <c r="M184" i="11"/>
  <c r="R190" i="11" s="1"/>
  <c r="L184" i="11"/>
  <c r="N184" i="11" s="1"/>
  <c r="J184" i="11"/>
  <c r="K190" i="11" s="1"/>
  <c r="H184" i="11"/>
  <c r="K184" i="11" s="1"/>
  <c r="F184" i="11"/>
  <c r="E184" i="11"/>
  <c r="G184" i="11" s="1"/>
  <c r="I185" i="11" l="1"/>
  <c r="L193" i="11" s="1"/>
  <c r="T190" i="11"/>
  <c r="I184" i="11"/>
  <c r="L191" i="11" s="1"/>
  <c r="S193" i="11"/>
  <c r="R193" i="11"/>
  <c r="T193" i="11" s="1"/>
  <c r="AA192" i="11"/>
  <c r="F193" i="11"/>
  <c r="F192" i="11"/>
  <c r="F194" i="11" s="1"/>
  <c r="I200" i="11" s="1"/>
  <c r="I204" i="11" s="1"/>
  <c r="I206" i="11" s="1"/>
  <c r="T191" i="11"/>
  <c r="T192" i="11"/>
  <c r="W192" i="11"/>
  <c r="Y192" i="11" s="1"/>
  <c r="AA193" i="11"/>
  <c r="P191" i="11"/>
  <c r="R191" i="11" s="1"/>
  <c r="E218" i="11"/>
  <c r="AA190" i="11"/>
  <c r="I212" i="11"/>
  <c r="O212" i="11"/>
  <c r="L190" i="11" l="1"/>
  <c r="J193" i="11"/>
  <c r="T194" i="11"/>
  <c r="U218" i="11" s="1"/>
  <c r="U222" i="11" s="1"/>
  <c r="I193" i="11"/>
  <c r="K193" i="11" s="1"/>
  <c r="I191" i="11"/>
  <c r="K191" i="11" s="1"/>
  <c r="M191" i="11" s="1"/>
  <c r="I192" i="11"/>
  <c r="K192" i="11" s="1"/>
  <c r="J191" i="11"/>
  <c r="L192" i="11"/>
  <c r="AA194" i="11"/>
  <c r="O218" i="11" s="1"/>
  <c r="O222" i="11" s="1"/>
  <c r="J192" i="11"/>
  <c r="M192" i="11" s="1"/>
  <c r="J190" i="11"/>
  <c r="M190" i="11" s="1"/>
  <c r="U214" i="11"/>
  <c r="O214" i="11"/>
  <c r="I214" i="11"/>
  <c r="W193" i="1"/>
  <c r="W192" i="1"/>
  <c r="X191" i="1"/>
  <c r="X190" i="1"/>
  <c r="H186" i="1"/>
  <c r="H185" i="1"/>
  <c r="H184" i="1"/>
  <c r="U224" i="11" l="1"/>
  <c r="N230" i="11" s="1"/>
  <c r="M193" i="11"/>
  <c r="O224" i="11"/>
  <c r="M194" i="11"/>
  <c r="I218" i="11" s="1"/>
  <c r="I222" i="11" s="1"/>
  <c r="I224" i="11" s="1"/>
  <c r="H182" i="8"/>
  <c r="I182" i="8"/>
  <c r="J188" i="8" s="1"/>
  <c r="X188" i="8"/>
  <c r="K216" i="8"/>
  <c r="U218" i="8" l="1"/>
  <c r="O218" i="8"/>
  <c r="I218" i="8"/>
  <c r="U217" i="8"/>
  <c r="O217" i="8"/>
  <c r="I217" i="8"/>
  <c r="Q216" i="8"/>
  <c r="U214" i="8"/>
  <c r="O214" i="8"/>
  <c r="I210" i="8"/>
  <c r="B208" i="8"/>
  <c r="B207" i="8"/>
  <c r="I214" i="8" s="1"/>
  <c r="I200" i="8"/>
  <c r="I199" i="8"/>
  <c r="E198" i="8"/>
  <c r="I196" i="8"/>
  <c r="U210" i="8" s="1"/>
  <c r="Z191" i="8"/>
  <c r="X191" i="8"/>
  <c r="W191" i="8"/>
  <c r="Y191" i="8" s="1"/>
  <c r="Q191" i="8"/>
  <c r="S191" i="8" s="1"/>
  <c r="P191" i="8"/>
  <c r="R191" i="8" s="1"/>
  <c r="L191" i="8"/>
  <c r="J191" i="8"/>
  <c r="I191" i="8"/>
  <c r="K191" i="8" s="1"/>
  <c r="E191" i="8"/>
  <c r="C191" i="8"/>
  <c r="B191" i="8"/>
  <c r="D191" i="8" s="1"/>
  <c r="Z190" i="8"/>
  <c r="X190" i="8"/>
  <c r="S190" i="8"/>
  <c r="Q190" i="8"/>
  <c r="L190" i="8"/>
  <c r="J190" i="8"/>
  <c r="I190" i="8"/>
  <c r="K190" i="8" s="1"/>
  <c r="E190" i="8"/>
  <c r="C190" i="8"/>
  <c r="B190" i="8"/>
  <c r="D190" i="8" s="1"/>
  <c r="Z189" i="8"/>
  <c r="X189" i="8"/>
  <c r="W190" i="8" s="1"/>
  <c r="Y190" i="8" s="1"/>
  <c r="W189" i="8"/>
  <c r="Y189" i="8" s="1"/>
  <c r="S189" i="8"/>
  <c r="Q189" i="8"/>
  <c r="P189" i="8"/>
  <c r="R189" i="8" s="1"/>
  <c r="L189" i="8"/>
  <c r="J189" i="8"/>
  <c r="I189" i="8"/>
  <c r="K189" i="8" s="1"/>
  <c r="M189" i="8" s="1"/>
  <c r="E189" i="8"/>
  <c r="C189" i="8"/>
  <c r="B189" i="8"/>
  <c r="D189" i="8" s="1"/>
  <c r="Z188" i="8"/>
  <c r="Q188" i="8"/>
  <c r="E188" i="8"/>
  <c r="D188" i="8"/>
  <c r="F188" i="8" s="1"/>
  <c r="C188" i="8"/>
  <c r="O184" i="8"/>
  <c r="Q184" i="8" s="1"/>
  <c r="L184" i="8"/>
  <c r="N184" i="8" s="1"/>
  <c r="I184" i="8"/>
  <c r="K184" i="8" s="1"/>
  <c r="H184" i="8"/>
  <c r="E184" i="8"/>
  <c r="G184" i="8" s="1"/>
  <c r="O183" i="8"/>
  <c r="Q183" i="8" s="1"/>
  <c r="L183" i="8"/>
  <c r="N183" i="8" s="1"/>
  <c r="I183" i="8"/>
  <c r="H183" i="8"/>
  <c r="K183" i="8" s="1"/>
  <c r="E183" i="8"/>
  <c r="G183" i="8" s="1"/>
  <c r="P182" i="8"/>
  <c r="Y188" i="8" s="1"/>
  <c r="O182" i="8"/>
  <c r="Q182" i="8" s="1"/>
  <c r="M182" i="8"/>
  <c r="R188" i="8" s="1"/>
  <c r="L182" i="8"/>
  <c r="N182" i="8" s="1"/>
  <c r="S188" i="8" s="1"/>
  <c r="J182" i="8"/>
  <c r="K188" i="8" s="1"/>
  <c r="F182" i="8"/>
  <c r="E182" i="8"/>
  <c r="G182" i="8" s="1"/>
  <c r="U221" i="13"/>
  <c r="O221" i="13"/>
  <c r="I221" i="13"/>
  <c r="U220" i="13"/>
  <c r="O220" i="13"/>
  <c r="I220" i="13"/>
  <c r="Q219" i="13"/>
  <c r="E219" i="13"/>
  <c r="U217" i="13"/>
  <c r="O217" i="13"/>
  <c r="B211" i="13"/>
  <c r="K219" i="13" s="1"/>
  <c r="B210" i="13"/>
  <c r="I217" i="13" s="1"/>
  <c r="I203" i="13"/>
  <c r="I202" i="13"/>
  <c r="E201" i="13"/>
  <c r="I199" i="13"/>
  <c r="U213" i="13" s="1"/>
  <c r="Z194" i="13"/>
  <c r="X194" i="13"/>
  <c r="W194" i="13"/>
  <c r="Y194" i="13" s="1"/>
  <c r="AA194" i="13" s="1"/>
  <c r="S194" i="13"/>
  <c r="Q194" i="13"/>
  <c r="P194" i="13"/>
  <c r="R194" i="13" s="1"/>
  <c r="T194" i="13" s="1"/>
  <c r="L194" i="13"/>
  <c r="K194" i="13"/>
  <c r="J194" i="13"/>
  <c r="M194" i="13" s="1"/>
  <c r="I194" i="13"/>
  <c r="E194" i="13"/>
  <c r="D194" i="13"/>
  <c r="C194" i="13"/>
  <c r="B194" i="13"/>
  <c r="Z193" i="13"/>
  <c r="X193" i="13"/>
  <c r="W193" i="13"/>
  <c r="Y193" i="13" s="1"/>
  <c r="S193" i="13"/>
  <c r="Q193" i="13"/>
  <c r="L193" i="13"/>
  <c r="J193" i="13"/>
  <c r="I193" i="13"/>
  <c r="K193" i="13" s="1"/>
  <c r="E193" i="13"/>
  <c r="C193" i="13"/>
  <c r="Z192" i="13"/>
  <c r="Y192" i="13"/>
  <c r="AA192" i="13" s="1"/>
  <c r="X192" i="13"/>
  <c r="W192" i="13"/>
  <c r="S192" i="13"/>
  <c r="Q192" i="13"/>
  <c r="P192" i="13"/>
  <c r="R192" i="13" s="1"/>
  <c r="L192" i="13"/>
  <c r="J192" i="13"/>
  <c r="I192" i="13"/>
  <c r="K192" i="13" s="1"/>
  <c r="E192" i="13"/>
  <c r="C192" i="13"/>
  <c r="B192" i="13"/>
  <c r="D192" i="13" s="1"/>
  <c r="Z191" i="13"/>
  <c r="S191" i="13"/>
  <c r="R191" i="13"/>
  <c r="T191" i="13" s="1"/>
  <c r="Q191" i="13"/>
  <c r="L191" i="13"/>
  <c r="J191" i="13"/>
  <c r="M191" i="13" s="1"/>
  <c r="E191" i="13"/>
  <c r="C191" i="13"/>
  <c r="O187" i="13"/>
  <c r="Q187" i="13" s="1"/>
  <c r="N187" i="13"/>
  <c r="L187" i="13"/>
  <c r="I187" i="13"/>
  <c r="H187" i="13"/>
  <c r="E187" i="13"/>
  <c r="G187" i="13" s="1"/>
  <c r="Q186" i="13"/>
  <c r="O186" i="13"/>
  <c r="L186" i="13"/>
  <c r="N186" i="13" s="1"/>
  <c r="I186" i="13"/>
  <c r="H186" i="13"/>
  <c r="K186" i="13" s="1"/>
  <c r="E186" i="13"/>
  <c r="G186" i="13" s="1"/>
  <c r="P185" i="13"/>
  <c r="Y191" i="13" s="1"/>
  <c r="O185" i="13"/>
  <c r="Q185" i="13" s="1"/>
  <c r="N185" i="13"/>
  <c r="M185" i="13"/>
  <c r="L185" i="13"/>
  <c r="K185" i="13"/>
  <c r="J185" i="13"/>
  <c r="K191" i="13" s="1"/>
  <c r="I185" i="13"/>
  <c r="X191" i="13" s="1"/>
  <c r="H185" i="13"/>
  <c r="F185" i="13"/>
  <c r="D191" i="13" s="1"/>
  <c r="E185" i="13"/>
  <c r="G185" i="13" s="1"/>
  <c r="B193" i="10"/>
  <c r="C193" i="10"/>
  <c r="C192" i="10"/>
  <c r="D193" i="10" s="1"/>
  <c r="C191" i="10"/>
  <c r="B192" i="10" s="1"/>
  <c r="B191" i="10"/>
  <c r="C191" i="7"/>
  <c r="C190" i="7"/>
  <c r="C189" i="7"/>
  <c r="C193" i="1"/>
  <c r="C192" i="1"/>
  <c r="B193" i="1" s="1"/>
  <c r="C191" i="1"/>
  <c r="B192" i="1" s="1"/>
  <c r="B191" i="7"/>
  <c r="D191" i="7" s="1"/>
  <c r="B190" i="7"/>
  <c r="D190" i="7" s="1"/>
  <c r="B189" i="7"/>
  <c r="D189" i="7" s="1"/>
  <c r="U220" i="10"/>
  <c r="O220" i="10"/>
  <c r="I220" i="10"/>
  <c r="U219" i="10"/>
  <c r="O219" i="10"/>
  <c r="I219" i="10"/>
  <c r="Q218" i="10"/>
  <c r="E218" i="10"/>
  <c r="U216" i="10"/>
  <c r="O216" i="10"/>
  <c r="U212" i="10"/>
  <c r="O212" i="10"/>
  <c r="B210" i="10"/>
  <c r="K218" i="10" s="1"/>
  <c r="B209" i="10"/>
  <c r="I216" i="10" s="1"/>
  <c r="I202" i="10"/>
  <c r="I201" i="10"/>
  <c r="E200" i="10"/>
  <c r="I198" i="10"/>
  <c r="I212" i="10" s="1"/>
  <c r="Z193" i="10"/>
  <c r="X193" i="10"/>
  <c r="W193" i="10"/>
  <c r="Y193" i="10" s="1"/>
  <c r="AA193" i="10" s="1"/>
  <c r="S193" i="10"/>
  <c r="Q193" i="10"/>
  <c r="P193" i="10"/>
  <c r="R193" i="10" s="1"/>
  <c r="T193" i="10" s="1"/>
  <c r="L193" i="10"/>
  <c r="K193" i="10"/>
  <c r="J193" i="10"/>
  <c r="M193" i="10" s="1"/>
  <c r="I193" i="10"/>
  <c r="E193" i="10"/>
  <c r="Z192" i="10"/>
  <c r="X192" i="10"/>
  <c r="W192" i="10"/>
  <c r="Y192" i="10" s="1"/>
  <c r="S192" i="10"/>
  <c r="Q192" i="10"/>
  <c r="L192" i="10"/>
  <c r="J192" i="10"/>
  <c r="I192" i="10"/>
  <c r="K192" i="10" s="1"/>
  <c r="M192" i="10" s="1"/>
  <c r="E192" i="10"/>
  <c r="Z191" i="10"/>
  <c r="Y191" i="10"/>
  <c r="AA191" i="10" s="1"/>
  <c r="X191" i="10"/>
  <c r="W191" i="10"/>
  <c r="S191" i="10"/>
  <c r="Q191" i="10"/>
  <c r="P191" i="10"/>
  <c r="R191" i="10" s="1"/>
  <c r="L191" i="10"/>
  <c r="J191" i="10"/>
  <c r="M191" i="10" s="1"/>
  <c r="I191" i="10"/>
  <c r="K191" i="10" s="1"/>
  <c r="E191" i="10"/>
  <c r="D191" i="10"/>
  <c r="Z190" i="10"/>
  <c r="S190" i="10"/>
  <c r="R190" i="10"/>
  <c r="T190" i="10" s="1"/>
  <c r="Q190" i="10"/>
  <c r="L190" i="10"/>
  <c r="J190" i="10"/>
  <c r="M190" i="10" s="1"/>
  <c r="E190" i="10"/>
  <c r="C190" i="10"/>
  <c r="O186" i="10"/>
  <c r="Q186" i="10" s="1"/>
  <c r="N186" i="10"/>
  <c r="L186" i="10"/>
  <c r="I186" i="10"/>
  <c r="H186" i="10"/>
  <c r="K186" i="10" s="1"/>
  <c r="E186" i="10"/>
  <c r="G186" i="10" s="1"/>
  <c r="Q185" i="10"/>
  <c r="O185" i="10"/>
  <c r="L185" i="10"/>
  <c r="N185" i="10" s="1"/>
  <c r="K185" i="10"/>
  <c r="I185" i="10"/>
  <c r="H185" i="10"/>
  <c r="E185" i="10"/>
  <c r="G185" i="10" s="1"/>
  <c r="P184" i="10"/>
  <c r="Y190" i="10" s="1"/>
  <c r="O184" i="10"/>
  <c r="Q184" i="10" s="1"/>
  <c r="N184" i="10"/>
  <c r="M184" i="10"/>
  <c r="L184" i="10"/>
  <c r="K184" i="10"/>
  <c r="J184" i="10"/>
  <c r="K190" i="10" s="1"/>
  <c r="I184" i="10"/>
  <c r="X190" i="10" s="1"/>
  <c r="AA190" i="10" s="1"/>
  <c r="H184" i="10"/>
  <c r="F184" i="10"/>
  <c r="D190" i="10" s="1"/>
  <c r="F190" i="10" s="1"/>
  <c r="E184" i="10"/>
  <c r="G184" i="10" s="1"/>
  <c r="Y191" i="7"/>
  <c r="X191" i="7"/>
  <c r="W191" i="7"/>
  <c r="Z190" i="7"/>
  <c r="X190" i="7"/>
  <c r="W190" i="7"/>
  <c r="Y190" i="7" s="1"/>
  <c r="Z189" i="7"/>
  <c r="X189" i="7"/>
  <c r="W189" i="7"/>
  <c r="Y189" i="7" s="1"/>
  <c r="AA189" i="7" s="1"/>
  <c r="Z188" i="7"/>
  <c r="Y188" i="7"/>
  <c r="X188" i="7"/>
  <c r="AA188" i="7" s="1"/>
  <c r="B209" i="1"/>
  <c r="B207" i="7"/>
  <c r="I214" i="7" s="1"/>
  <c r="U218" i="7"/>
  <c r="O218" i="7"/>
  <c r="I218" i="7"/>
  <c r="U217" i="7"/>
  <c r="O217" i="7"/>
  <c r="I217" i="7"/>
  <c r="Q216" i="7"/>
  <c r="E216" i="7"/>
  <c r="U214" i="7"/>
  <c r="O214" i="7"/>
  <c r="O210" i="7"/>
  <c r="I210" i="7"/>
  <c r="B208" i="7"/>
  <c r="K216" i="7" s="1"/>
  <c r="I200" i="7"/>
  <c r="I199" i="7"/>
  <c r="E198" i="7"/>
  <c r="I196" i="7"/>
  <c r="U210" i="7" s="1"/>
  <c r="Q191" i="7"/>
  <c r="P191" i="7"/>
  <c r="R191" i="7" s="1"/>
  <c r="L191" i="7"/>
  <c r="K191" i="7"/>
  <c r="M191" i="7" s="1"/>
  <c r="J191" i="7"/>
  <c r="I191" i="7"/>
  <c r="E191" i="7"/>
  <c r="S190" i="7"/>
  <c r="Q190" i="7"/>
  <c r="P190" i="7"/>
  <c r="R190" i="7" s="1"/>
  <c r="L190" i="7"/>
  <c r="J190" i="7"/>
  <c r="I190" i="7"/>
  <c r="K190" i="7" s="1"/>
  <c r="E190" i="7"/>
  <c r="S189" i="7"/>
  <c r="Q189" i="7"/>
  <c r="L189" i="7"/>
  <c r="J189" i="7"/>
  <c r="I189" i="7"/>
  <c r="K189" i="7" s="1"/>
  <c r="E189" i="7"/>
  <c r="S188" i="7"/>
  <c r="Q188" i="7"/>
  <c r="L188" i="7"/>
  <c r="K188" i="7"/>
  <c r="J188" i="7"/>
  <c r="M188" i="7" s="1"/>
  <c r="E188" i="7"/>
  <c r="D188" i="7"/>
  <c r="F188" i="7" s="1"/>
  <c r="C188" i="7"/>
  <c r="O184" i="7"/>
  <c r="Q184" i="7" s="1"/>
  <c r="L184" i="7"/>
  <c r="N184" i="7" s="1"/>
  <c r="I184" i="7"/>
  <c r="K184" i="7" s="1"/>
  <c r="H184" i="7"/>
  <c r="E184" i="7"/>
  <c r="G184" i="7" s="1"/>
  <c r="O183" i="7"/>
  <c r="Q183" i="7" s="1"/>
  <c r="L183" i="7"/>
  <c r="N183" i="7" s="1"/>
  <c r="I183" i="7"/>
  <c r="H183" i="7"/>
  <c r="K183" i="7" s="1"/>
  <c r="E183" i="7"/>
  <c r="G183" i="7" s="1"/>
  <c r="P182" i="7"/>
  <c r="O182" i="7"/>
  <c r="Q182" i="7" s="1"/>
  <c r="N182" i="7"/>
  <c r="M182" i="7"/>
  <c r="R188" i="7" s="1"/>
  <c r="L182" i="7"/>
  <c r="J182" i="7"/>
  <c r="I182" i="7"/>
  <c r="H182" i="7"/>
  <c r="K182" i="7" s="1"/>
  <c r="F182" i="7"/>
  <c r="E182" i="7"/>
  <c r="G182" i="7" s="1"/>
  <c r="U220" i="1"/>
  <c r="U219" i="1"/>
  <c r="Q218" i="1"/>
  <c r="U216" i="1"/>
  <c r="E193" i="1"/>
  <c r="E192" i="1"/>
  <c r="E191" i="1"/>
  <c r="E190" i="1"/>
  <c r="E184" i="1"/>
  <c r="G184" i="1" s="1"/>
  <c r="Z192" i="1"/>
  <c r="W191" i="1"/>
  <c r="O220" i="1"/>
  <c r="O219" i="1"/>
  <c r="O216" i="1"/>
  <c r="X193" i="1"/>
  <c r="Z193" i="1" s="1"/>
  <c r="Z191" i="1"/>
  <c r="Z190" i="1"/>
  <c r="O186" i="1"/>
  <c r="Q186" i="1" s="1"/>
  <c r="Q193" i="1"/>
  <c r="S193" i="1" s="1"/>
  <c r="L186" i="1"/>
  <c r="N186" i="1" s="1"/>
  <c r="X192" i="1"/>
  <c r="S190" i="1"/>
  <c r="Q192" i="1"/>
  <c r="P193" i="1" s="1"/>
  <c r="Q191" i="1"/>
  <c r="P192" i="1" s="1"/>
  <c r="Q190" i="1"/>
  <c r="P191" i="1" s="1"/>
  <c r="K187" i="13" l="1"/>
  <c r="M193" i="13"/>
  <c r="M190" i="8"/>
  <c r="AA189" i="8"/>
  <c r="T191" i="8"/>
  <c r="AA188" i="8"/>
  <c r="T188" i="8"/>
  <c r="E216" i="8"/>
  <c r="AA191" i="8"/>
  <c r="F189" i="8"/>
  <c r="F190" i="8"/>
  <c r="F191" i="8"/>
  <c r="AA190" i="8"/>
  <c r="F192" i="8"/>
  <c r="I198" i="8" s="1"/>
  <c r="I202" i="8" s="1"/>
  <c r="I204" i="8" s="1"/>
  <c r="M191" i="8"/>
  <c r="T189" i="8"/>
  <c r="P190" i="8"/>
  <c r="K182" i="8"/>
  <c r="L188" i="8" s="1"/>
  <c r="M188" i="8" s="1"/>
  <c r="M192" i="8" s="1"/>
  <c r="I216" i="8" s="1"/>
  <c r="I220" i="8" s="1"/>
  <c r="O210" i="8"/>
  <c r="F191" i="13"/>
  <c r="I213" i="13"/>
  <c r="O213" i="13"/>
  <c r="F194" i="13"/>
  <c r="AA191" i="13"/>
  <c r="T192" i="13"/>
  <c r="M192" i="13"/>
  <c r="M195" i="13" s="1"/>
  <c r="I219" i="13" s="1"/>
  <c r="AA193" i="13"/>
  <c r="F192" i="13"/>
  <c r="P193" i="13"/>
  <c r="B193" i="13"/>
  <c r="F193" i="10"/>
  <c r="F189" i="7"/>
  <c r="M194" i="10"/>
  <c r="I218" i="10" s="1"/>
  <c r="I222" i="10" s="1"/>
  <c r="T191" i="10"/>
  <c r="AA192" i="10"/>
  <c r="AA194" i="10"/>
  <c r="O218" i="10" s="1"/>
  <c r="O222" i="10" s="1"/>
  <c r="F191" i="10"/>
  <c r="P192" i="10"/>
  <c r="AA190" i="7"/>
  <c r="Z191" i="7"/>
  <c r="AA191" i="7" s="1"/>
  <c r="AA192" i="7" s="1"/>
  <c r="O216" i="7" s="1"/>
  <c r="O220" i="7" s="1"/>
  <c r="T190" i="7"/>
  <c r="M190" i="7"/>
  <c r="T191" i="7"/>
  <c r="M189" i="7"/>
  <c r="M192" i="7"/>
  <c r="I216" i="7" s="1"/>
  <c r="I220" i="7" s="1"/>
  <c r="F191" i="7"/>
  <c r="T188" i="7"/>
  <c r="F190" i="7"/>
  <c r="S191" i="7"/>
  <c r="P189" i="7"/>
  <c r="Y193" i="1"/>
  <c r="AA193" i="1" s="1"/>
  <c r="I220" i="1"/>
  <c r="I219" i="1"/>
  <c r="I202" i="1"/>
  <c r="I201" i="1"/>
  <c r="I198" i="1"/>
  <c r="U212" i="1" s="1"/>
  <c r="E200" i="1"/>
  <c r="O185" i="1"/>
  <c r="Q185" i="1" s="1"/>
  <c r="P184" i="1"/>
  <c r="Y190" i="1" s="1"/>
  <c r="O184" i="1"/>
  <c r="Q184" i="1" s="1"/>
  <c r="B210" i="1"/>
  <c r="I186" i="1" s="1"/>
  <c r="K186" i="1" s="1"/>
  <c r="I216" i="1"/>
  <c r="D193" i="1"/>
  <c r="D192" i="1"/>
  <c r="C190" i="1"/>
  <c r="B191" i="1" s="1"/>
  <c r="D191" i="1" s="1"/>
  <c r="S192" i="1"/>
  <c r="R193" i="1" s="1"/>
  <c r="E186" i="1"/>
  <c r="G186" i="1" s="1"/>
  <c r="L185" i="1"/>
  <c r="N185" i="1" s="1"/>
  <c r="S191" i="1" s="1"/>
  <c r="R192" i="1" s="1"/>
  <c r="K185" i="1"/>
  <c r="E185" i="1"/>
  <c r="G185" i="1" s="1"/>
  <c r="M184" i="1"/>
  <c r="R190" i="1" s="1"/>
  <c r="T190" i="1" s="1"/>
  <c r="L184" i="1"/>
  <c r="N184" i="1" s="1"/>
  <c r="J184" i="1"/>
  <c r="F184" i="1"/>
  <c r="D190" i="1" s="1"/>
  <c r="I185" i="1" l="1"/>
  <c r="I184" i="1"/>
  <c r="AA192" i="8"/>
  <c r="O216" i="8" s="1"/>
  <c r="O220" i="8" s="1"/>
  <c r="R190" i="8"/>
  <c r="T190" i="8" s="1"/>
  <c r="T192" i="8" s="1"/>
  <c r="U216" i="8" s="1"/>
  <c r="U220" i="8" s="1"/>
  <c r="I212" i="8"/>
  <c r="I222" i="8" s="1"/>
  <c r="U212" i="8"/>
  <c r="O212" i="8"/>
  <c r="I223" i="13"/>
  <c r="D193" i="13"/>
  <c r="F193" i="13" s="1"/>
  <c r="F195" i="13" s="1"/>
  <c r="I201" i="13" s="1"/>
  <c r="I205" i="13" s="1"/>
  <c r="I207" i="13" s="1"/>
  <c r="R193" i="13"/>
  <c r="T193" i="13" s="1"/>
  <c r="T195" i="13" s="1"/>
  <c r="U219" i="13" s="1"/>
  <c r="U223" i="13" s="1"/>
  <c r="AA195" i="13"/>
  <c r="O219" i="13" s="1"/>
  <c r="F192" i="7"/>
  <c r="I198" i="7" s="1"/>
  <c r="I202" i="7" s="1"/>
  <c r="I204" i="7" s="1"/>
  <c r="I212" i="7" s="1"/>
  <c r="I222" i="7" s="1"/>
  <c r="R192" i="10"/>
  <c r="T192" i="10" s="1"/>
  <c r="T194" i="10" s="1"/>
  <c r="U218" i="10" s="1"/>
  <c r="U222" i="10" s="1"/>
  <c r="D192" i="10"/>
  <c r="F192" i="10" s="1"/>
  <c r="F194" i="10" s="1"/>
  <c r="I200" i="10" s="1"/>
  <c r="I204" i="10" s="1"/>
  <c r="I206" i="10" s="1"/>
  <c r="R189" i="7"/>
  <c r="T189" i="7"/>
  <c r="T192" i="7" s="1"/>
  <c r="U216" i="7" s="1"/>
  <c r="U220" i="7" s="1"/>
  <c r="E218" i="1"/>
  <c r="K218" i="1"/>
  <c r="K184" i="1"/>
  <c r="I212" i="1"/>
  <c r="O212" i="1"/>
  <c r="K190" i="1"/>
  <c r="F190" i="1"/>
  <c r="F191" i="1"/>
  <c r="T192" i="1"/>
  <c r="F192" i="1"/>
  <c r="T193" i="1"/>
  <c r="F193" i="1"/>
  <c r="B120" i="13"/>
  <c r="B119" i="13"/>
  <c r="B118" i="13"/>
  <c r="B120" i="10"/>
  <c r="B119" i="10"/>
  <c r="B118" i="10"/>
  <c r="B69" i="10"/>
  <c r="B68" i="10"/>
  <c r="B67" i="10"/>
  <c r="B120" i="9"/>
  <c r="B119" i="9"/>
  <c r="B118" i="9"/>
  <c r="B69" i="9"/>
  <c r="B68" i="9"/>
  <c r="B67" i="9"/>
  <c r="B69" i="1"/>
  <c r="B68" i="1"/>
  <c r="B67" i="1"/>
  <c r="B118" i="1"/>
  <c r="B119" i="1"/>
  <c r="B120" i="1"/>
  <c r="B69" i="7"/>
  <c r="B68" i="7"/>
  <c r="B67" i="7"/>
  <c r="B120" i="7"/>
  <c r="B119" i="7"/>
  <c r="B118" i="7"/>
  <c r="L193" i="1" l="1"/>
  <c r="J193" i="1"/>
  <c r="L190" i="1"/>
  <c r="J192" i="1"/>
  <c r="J191" i="1"/>
  <c r="I191" i="1"/>
  <c r="L191" i="1"/>
  <c r="J190" i="1"/>
  <c r="I193" i="1"/>
  <c r="I192" i="1"/>
  <c r="U222" i="8"/>
  <c r="O222" i="8"/>
  <c r="N228" i="8" s="1"/>
  <c r="I215" i="13"/>
  <c r="I225" i="13" s="1"/>
  <c r="U215" i="13"/>
  <c r="U225" i="13" s="1"/>
  <c r="O215" i="13"/>
  <c r="O225" i="13" s="1"/>
  <c r="N231" i="13" s="1"/>
  <c r="O212" i="7"/>
  <c r="O222" i="7" s="1"/>
  <c r="U212" i="7"/>
  <c r="U222" i="7" s="1"/>
  <c r="I214" i="10"/>
  <c r="I224" i="10" s="1"/>
  <c r="U214" i="10"/>
  <c r="U224" i="10" s="1"/>
  <c r="O214" i="10"/>
  <c r="O224" i="10" s="1"/>
  <c r="N230" i="10" s="1"/>
  <c r="F194" i="1"/>
  <c r="I200" i="1" s="1"/>
  <c r="I204" i="1" s="1"/>
  <c r="I206" i="1" s="1"/>
  <c r="U214" i="1" s="1"/>
  <c r="R191" i="1"/>
  <c r="T191" i="1" s="1"/>
  <c r="T194" i="1" s="1"/>
  <c r="U218" i="1" s="1"/>
  <c r="U222" i="1" s="1"/>
  <c r="M144" i="13"/>
  <c r="M93" i="11"/>
  <c r="U224" i="1" l="1"/>
  <c r="I214" i="1"/>
  <c r="O214" i="1"/>
  <c r="B69" i="13"/>
  <c r="B68" i="13"/>
  <c r="B67" i="13"/>
  <c r="O143" i="13"/>
  <c r="T139" i="13"/>
  <c r="I139" i="13"/>
  <c r="B137" i="13"/>
  <c r="I111" i="13" s="1"/>
  <c r="B136" i="13"/>
  <c r="O131" i="13"/>
  <c r="E131" i="13"/>
  <c r="I126" i="13"/>
  <c r="L130" i="13" s="1"/>
  <c r="S120" i="13"/>
  <c r="Q120" i="13"/>
  <c r="P120" i="13"/>
  <c r="R120" i="13" s="1"/>
  <c r="T120" i="13" s="1"/>
  <c r="E120" i="13"/>
  <c r="C120" i="13"/>
  <c r="S119" i="13"/>
  <c r="Q119" i="13"/>
  <c r="E119" i="13"/>
  <c r="C119" i="13"/>
  <c r="D120" i="13" s="1"/>
  <c r="D119" i="13"/>
  <c r="S118" i="13"/>
  <c r="Q118" i="13"/>
  <c r="P119" i="13" s="1"/>
  <c r="R119" i="13" s="1"/>
  <c r="E118" i="13"/>
  <c r="C118" i="13"/>
  <c r="D118" i="13"/>
  <c r="F118" i="13" s="1"/>
  <c r="S117" i="13"/>
  <c r="Q117" i="13"/>
  <c r="T117" i="13" s="1"/>
  <c r="E117" i="13"/>
  <c r="C117" i="13"/>
  <c r="N113" i="13"/>
  <c r="L113" i="13"/>
  <c r="H113" i="13"/>
  <c r="E113" i="13"/>
  <c r="G113" i="13" s="1"/>
  <c r="N112" i="13"/>
  <c r="L112" i="13"/>
  <c r="H112" i="13"/>
  <c r="K112" i="13" s="1"/>
  <c r="E112" i="13"/>
  <c r="G112" i="13" s="1"/>
  <c r="M111" i="13"/>
  <c r="R117" i="13" s="1"/>
  <c r="L111" i="13"/>
  <c r="N111" i="13" s="1"/>
  <c r="K111" i="13"/>
  <c r="J111" i="13"/>
  <c r="K117" i="13" s="1"/>
  <c r="H111" i="13"/>
  <c r="G111" i="13"/>
  <c r="F111" i="13"/>
  <c r="D117" i="13" s="1"/>
  <c r="E111" i="13"/>
  <c r="O92" i="13"/>
  <c r="I88" i="13"/>
  <c r="T88" i="13" s="1"/>
  <c r="B86" i="13"/>
  <c r="I60" i="13" s="1"/>
  <c r="B85" i="13"/>
  <c r="M93" i="13" s="1"/>
  <c r="O80" i="13"/>
  <c r="E80" i="13"/>
  <c r="I75" i="13"/>
  <c r="S69" i="13"/>
  <c r="Q69" i="13"/>
  <c r="P69" i="13"/>
  <c r="R69" i="13" s="1"/>
  <c r="E69" i="13"/>
  <c r="C69" i="13"/>
  <c r="S68" i="13"/>
  <c r="Q68" i="13"/>
  <c r="E68" i="13"/>
  <c r="C68" i="13"/>
  <c r="D69" i="13" s="1"/>
  <c r="F69" i="13" s="1"/>
  <c r="S67" i="13"/>
  <c r="Q67" i="13"/>
  <c r="P68" i="13" s="1"/>
  <c r="R68" i="13" s="1"/>
  <c r="E67" i="13"/>
  <c r="C67" i="13"/>
  <c r="D67" i="13"/>
  <c r="S66" i="13"/>
  <c r="Q66" i="13"/>
  <c r="E66" i="13"/>
  <c r="C66" i="13"/>
  <c r="L62" i="13"/>
  <c r="N62" i="13" s="1"/>
  <c r="H62" i="13"/>
  <c r="E62" i="13"/>
  <c r="G62" i="13" s="1"/>
  <c r="L61" i="13"/>
  <c r="N61" i="13" s="1"/>
  <c r="H61" i="13"/>
  <c r="K61" i="13" s="1"/>
  <c r="E61" i="13"/>
  <c r="G61" i="13" s="1"/>
  <c r="M60" i="13"/>
  <c r="R66" i="13" s="1"/>
  <c r="L60" i="13"/>
  <c r="N60" i="13" s="1"/>
  <c r="J60" i="13"/>
  <c r="K66" i="13" s="1"/>
  <c r="H60" i="13"/>
  <c r="K60" i="13" s="1"/>
  <c r="F60" i="13"/>
  <c r="D66" i="13" s="1"/>
  <c r="E60" i="13"/>
  <c r="G60" i="13" s="1"/>
  <c r="O41" i="13"/>
  <c r="I37" i="13"/>
  <c r="T37" i="13" s="1"/>
  <c r="B35" i="13"/>
  <c r="I9" i="13" s="1"/>
  <c r="B34" i="13"/>
  <c r="M42" i="13" s="1"/>
  <c r="O29" i="13"/>
  <c r="E29" i="13"/>
  <c r="I24" i="13"/>
  <c r="M40" i="13" s="1"/>
  <c r="S18" i="13"/>
  <c r="R18" i="13"/>
  <c r="T18" i="13" s="1"/>
  <c r="Q18" i="13"/>
  <c r="P18" i="13"/>
  <c r="E18" i="13"/>
  <c r="C18" i="13"/>
  <c r="B18" i="13"/>
  <c r="D18" i="13" s="1"/>
  <c r="S17" i="13"/>
  <c r="Q17" i="13"/>
  <c r="P17" i="13"/>
  <c r="R17" i="13" s="1"/>
  <c r="E17" i="13"/>
  <c r="D17" i="13"/>
  <c r="C17" i="13"/>
  <c r="B17" i="13"/>
  <c r="S16" i="13"/>
  <c r="Q16" i="13"/>
  <c r="P16" i="13"/>
  <c r="R16" i="13" s="1"/>
  <c r="T16" i="13" s="1"/>
  <c r="E16" i="13"/>
  <c r="C16" i="13"/>
  <c r="B16" i="13"/>
  <c r="D16" i="13" s="1"/>
  <c r="F16" i="13" s="1"/>
  <c r="S15" i="13"/>
  <c r="Q15" i="13"/>
  <c r="E15" i="13"/>
  <c r="C15" i="13"/>
  <c r="N11" i="13"/>
  <c r="L11" i="13"/>
  <c r="H11" i="13"/>
  <c r="G11" i="13"/>
  <c r="E11" i="13"/>
  <c r="N10" i="13"/>
  <c r="L10" i="13"/>
  <c r="K10" i="13"/>
  <c r="H10" i="13"/>
  <c r="E10" i="13"/>
  <c r="G10" i="13" s="1"/>
  <c r="M9" i="13"/>
  <c r="R15" i="13" s="1"/>
  <c r="L9" i="13"/>
  <c r="N9" i="13" s="1"/>
  <c r="K9" i="13"/>
  <c r="J9" i="13"/>
  <c r="K15" i="13" s="1"/>
  <c r="H9" i="13"/>
  <c r="F9" i="13"/>
  <c r="D15" i="13" s="1"/>
  <c r="E9" i="13"/>
  <c r="G9" i="13" s="1"/>
  <c r="P120" i="10"/>
  <c r="R120" i="10" s="1"/>
  <c r="P119" i="10"/>
  <c r="P118" i="10"/>
  <c r="R118" i="10" s="1"/>
  <c r="P120" i="9"/>
  <c r="P119" i="9"/>
  <c r="P118" i="9"/>
  <c r="P120" i="8"/>
  <c r="P119" i="8"/>
  <c r="P118" i="8"/>
  <c r="P120" i="7"/>
  <c r="P119" i="7"/>
  <c r="P118" i="7"/>
  <c r="P120" i="1"/>
  <c r="P120" i="11"/>
  <c r="R120" i="11" s="1"/>
  <c r="P119" i="11"/>
  <c r="R119" i="11" s="1"/>
  <c r="P118" i="11"/>
  <c r="R118" i="11" s="1"/>
  <c r="B120" i="11"/>
  <c r="D120" i="11" s="1"/>
  <c r="B69" i="11"/>
  <c r="O143" i="11"/>
  <c r="I139" i="11"/>
  <c r="T139" i="11" s="1"/>
  <c r="B137" i="11"/>
  <c r="I111" i="11" s="1"/>
  <c r="B136" i="11"/>
  <c r="M144" i="11" s="1"/>
  <c r="O131" i="11"/>
  <c r="E131" i="11"/>
  <c r="I126" i="11"/>
  <c r="T126" i="11" s="1"/>
  <c r="S120" i="11"/>
  <c r="Q120" i="11"/>
  <c r="E120" i="11"/>
  <c r="C120" i="11"/>
  <c r="S119" i="11"/>
  <c r="Q119" i="11"/>
  <c r="E119" i="11"/>
  <c r="C119" i="11"/>
  <c r="S118" i="11"/>
  <c r="Q118" i="11"/>
  <c r="E118" i="11"/>
  <c r="C118" i="11"/>
  <c r="B119" i="11" s="1"/>
  <c r="B118" i="11"/>
  <c r="D118" i="11" s="1"/>
  <c r="Q117" i="11"/>
  <c r="E117" i="11"/>
  <c r="C117" i="11"/>
  <c r="L113" i="11"/>
  <c r="N113" i="11" s="1"/>
  <c r="I113" i="11"/>
  <c r="H113" i="11"/>
  <c r="E113" i="11"/>
  <c r="G113" i="11" s="1"/>
  <c r="L112" i="11"/>
  <c r="N112" i="11" s="1"/>
  <c r="I112" i="11"/>
  <c r="H112" i="11"/>
  <c r="K112" i="11" s="1"/>
  <c r="E112" i="11"/>
  <c r="G112" i="11" s="1"/>
  <c r="M111" i="11"/>
  <c r="R117" i="11" s="1"/>
  <c r="L111" i="11"/>
  <c r="N111" i="11" s="1"/>
  <c r="S117" i="11" s="1"/>
  <c r="J111" i="11"/>
  <c r="K117" i="11" s="1"/>
  <c r="H111" i="11"/>
  <c r="K111" i="11" s="1"/>
  <c r="F111" i="11"/>
  <c r="D117" i="11" s="1"/>
  <c r="E111" i="11"/>
  <c r="G111" i="11" s="1"/>
  <c r="O92" i="11"/>
  <c r="I88" i="11"/>
  <c r="T88" i="11" s="1"/>
  <c r="B86" i="11"/>
  <c r="E92" i="11" s="1"/>
  <c r="B85" i="11"/>
  <c r="O80" i="11"/>
  <c r="E80" i="11"/>
  <c r="I75" i="11"/>
  <c r="L79" i="11" s="1"/>
  <c r="S69" i="11"/>
  <c r="Q69" i="11"/>
  <c r="P69" i="11"/>
  <c r="R69" i="11" s="1"/>
  <c r="E69" i="11"/>
  <c r="C69" i="11"/>
  <c r="S68" i="11"/>
  <c r="Q68" i="11"/>
  <c r="E68" i="11"/>
  <c r="C68" i="11"/>
  <c r="D69" i="11" s="1"/>
  <c r="B68" i="11"/>
  <c r="D68" i="11" s="1"/>
  <c r="S67" i="11"/>
  <c r="Q67" i="11"/>
  <c r="P68" i="11" s="1"/>
  <c r="R68" i="11" s="1"/>
  <c r="P67" i="11"/>
  <c r="R67" i="11" s="1"/>
  <c r="E67" i="11"/>
  <c r="C67" i="11"/>
  <c r="Q66" i="11"/>
  <c r="E66" i="11"/>
  <c r="C66" i="11"/>
  <c r="B67" i="11" s="1"/>
  <c r="D67" i="11" s="1"/>
  <c r="L62" i="11"/>
  <c r="N62" i="11" s="1"/>
  <c r="H62" i="11"/>
  <c r="E62" i="11"/>
  <c r="G62" i="11" s="1"/>
  <c r="L61" i="11"/>
  <c r="N61" i="11" s="1"/>
  <c r="H61" i="11"/>
  <c r="K61" i="11" s="1"/>
  <c r="E61" i="11"/>
  <c r="G61" i="11" s="1"/>
  <c r="M60" i="11"/>
  <c r="R66" i="11" s="1"/>
  <c r="L60" i="11"/>
  <c r="N60" i="11" s="1"/>
  <c r="S66" i="11" s="1"/>
  <c r="J60" i="11"/>
  <c r="K66" i="11" s="1"/>
  <c r="H60" i="11"/>
  <c r="K60" i="11" s="1"/>
  <c r="F60" i="11"/>
  <c r="D66" i="11" s="1"/>
  <c r="F66" i="11" s="1"/>
  <c r="E60" i="11"/>
  <c r="G60" i="11" s="1"/>
  <c r="O41" i="11"/>
  <c r="I37" i="11"/>
  <c r="T37" i="11" s="1"/>
  <c r="B35" i="11"/>
  <c r="I9" i="11" s="1"/>
  <c r="B34" i="11"/>
  <c r="M42" i="11" s="1"/>
  <c r="O29" i="11"/>
  <c r="E29" i="11"/>
  <c r="I24" i="11"/>
  <c r="M40" i="11" s="1"/>
  <c r="S18" i="11"/>
  <c r="R18" i="11"/>
  <c r="Q18" i="11"/>
  <c r="P18" i="11"/>
  <c r="E18" i="11"/>
  <c r="C18" i="11"/>
  <c r="B18" i="11"/>
  <c r="D18" i="11" s="1"/>
  <c r="S17" i="11"/>
  <c r="Q17" i="11"/>
  <c r="P17" i="11"/>
  <c r="R17" i="11" s="1"/>
  <c r="E17" i="11"/>
  <c r="C17" i="11"/>
  <c r="S16" i="11"/>
  <c r="Q16" i="11"/>
  <c r="P16" i="11"/>
  <c r="E16" i="11"/>
  <c r="C16" i="11"/>
  <c r="B17" i="11" s="1"/>
  <c r="D17" i="11" s="1"/>
  <c r="B16" i="11"/>
  <c r="D16" i="11" s="1"/>
  <c r="Q15" i="11"/>
  <c r="E15" i="11"/>
  <c r="C15" i="11"/>
  <c r="L11" i="11"/>
  <c r="N11" i="11" s="1"/>
  <c r="I11" i="11"/>
  <c r="K11" i="11" s="1"/>
  <c r="H11" i="11"/>
  <c r="E11" i="11"/>
  <c r="G11" i="11" s="1"/>
  <c r="L10" i="11"/>
  <c r="N10" i="11" s="1"/>
  <c r="H10" i="11"/>
  <c r="K10" i="11" s="1"/>
  <c r="E10" i="11"/>
  <c r="G10" i="11" s="1"/>
  <c r="M9" i="11"/>
  <c r="R15" i="11" s="1"/>
  <c r="L9" i="11"/>
  <c r="N9" i="11" s="1"/>
  <c r="S15" i="11" s="1"/>
  <c r="J9" i="11"/>
  <c r="K15" i="11" s="1"/>
  <c r="H9" i="11"/>
  <c r="K9" i="11" s="1"/>
  <c r="F9" i="11"/>
  <c r="D15" i="11" s="1"/>
  <c r="E9" i="11"/>
  <c r="G9" i="11" s="1"/>
  <c r="O143" i="10"/>
  <c r="I139" i="10"/>
  <c r="T139" i="10" s="1"/>
  <c r="B137" i="10"/>
  <c r="E143" i="10" s="1"/>
  <c r="B136" i="10"/>
  <c r="M144" i="10" s="1"/>
  <c r="O131" i="10"/>
  <c r="E131" i="10"/>
  <c r="I126" i="10"/>
  <c r="M142" i="10" s="1"/>
  <c r="S120" i="10"/>
  <c r="Q120" i="10"/>
  <c r="E120" i="10"/>
  <c r="C120" i="10"/>
  <c r="S119" i="10"/>
  <c r="Q119" i="10"/>
  <c r="E119" i="10"/>
  <c r="C119" i="10"/>
  <c r="D119" i="10"/>
  <c r="S118" i="10"/>
  <c r="Q118" i="10"/>
  <c r="E118" i="10"/>
  <c r="C118" i="10"/>
  <c r="Q117" i="10"/>
  <c r="E117" i="10"/>
  <c r="C117" i="10"/>
  <c r="D118" i="10" s="1"/>
  <c r="L113" i="10"/>
  <c r="N113" i="10" s="1"/>
  <c r="H113" i="10"/>
  <c r="E113" i="10"/>
  <c r="G113" i="10" s="1"/>
  <c r="L112" i="10"/>
  <c r="N112" i="10" s="1"/>
  <c r="I112" i="10"/>
  <c r="H112" i="10"/>
  <c r="K112" i="10" s="1"/>
  <c r="E112" i="10"/>
  <c r="G112" i="10" s="1"/>
  <c r="M111" i="10"/>
  <c r="R117" i="10" s="1"/>
  <c r="L111" i="10"/>
  <c r="N111" i="10" s="1"/>
  <c r="S117" i="10" s="1"/>
  <c r="J111" i="10"/>
  <c r="K117" i="10" s="1"/>
  <c r="H111" i="10"/>
  <c r="K111" i="10" s="1"/>
  <c r="F111" i="10"/>
  <c r="D117" i="10" s="1"/>
  <c r="E111" i="10"/>
  <c r="G111" i="10" s="1"/>
  <c r="O92" i="10"/>
  <c r="M91" i="10"/>
  <c r="I88" i="10"/>
  <c r="T88" i="10" s="1"/>
  <c r="B86" i="10"/>
  <c r="I61" i="10" s="1"/>
  <c r="B85" i="10"/>
  <c r="M93" i="10" s="1"/>
  <c r="O80" i="10"/>
  <c r="E80" i="10"/>
  <c r="I75" i="10"/>
  <c r="T75" i="10" s="1"/>
  <c r="S69" i="10"/>
  <c r="Q69" i="10"/>
  <c r="P69" i="10"/>
  <c r="R69" i="10" s="1"/>
  <c r="T69" i="10" s="1"/>
  <c r="E69" i="10"/>
  <c r="C69" i="10"/>
  <c r="S68" i="10"/>
  <c r="Q68" i="10"/>
  <c r="P68" i="10"/>
  <c r="R68" i="10" s="1"/>
  <c r="E68" i="10"/>
  <c r="C68" i="10"/>
  <c r="D69" i="10" s="1"/>
  <c r="S67" i="10"/>
  <c r="Q67" i="10"/>
  <c r="E67" i="10"/>
  <c r="C67" i="10"/>
  <c r="D68" i="10" s="1"/>
  <c r="Q66" i="10"/>
  <c r="P67" i="10" s="1"/>
  <c r="R67" i="10" s="1"/>
  <c r="E66" i="10"/>
  <c r="C66" i="10"/>
  <c r="D67" i="10" s="1"/>
  <c r="L62" i="10"/>
  <c r="N62" i="10" s="1"/>
  <c r="H62" i="10"/>
  <c r="E62" i="10"/>
  <c r="G62" i="10" s="1"/>
  <c r="L61" i="10"/>
  <c r="N61" i="10" s="1"/>
  <c r="H61" i="10"/>
  <c r="K61" i="10" s="1"/>
  <c r="E61" i="10"/>
  <c r="G61" i="10" s="1"/>
  <c r="M60" i="10"/>
  <c r="R66" i="10" s="1"/>
  <c r="L60" i="10"/>
  <c r="N60" i="10" s="1"/>
  <c r="S66" i="10" s="1"/>
  <c r="J60" i="10"/>
  <c r="K66" i="10" s="1"/>
  <c r="H60" i="10"/>
  <c r="K60" i="10" s="1"/>
  <c r="F60" i="10"/>
  <c r="D66" i="10" s="1"/>
  <c r="E60" i="10"/>
  <c r="G60" i="10" s="1"/>
  <c r="O41" i="10"/>
  <c r="I37" i="10"/>
  <c r="T37" i="10" s="1"/>
  <c r="B35" i="10"/>
  <c r="I9" i="10" s="1"/>
  <c r="B34" i="10"/>
  <c r="M42" i="10" s="1"/>
  <c r="O29" i="10"/>
  <c r="E29" i="10"/>
  <c r="I24" i="10"/>
  <c r="L28" i="10" s="1"/>
  <c r="S18" i="10"/>
  <c r="Q18" i="10"/>
  <c r="P18" i="10"/>
  <c r="R18" i="10" s="1"/>
  <c r="E18" i="10"/>
  <c r="C18" i="10"/>
  <c r="B18" i="10"/>
  <c r="D18" i="10" s="1"/>
  <c r="S17" i="10"/>
  <c r="Q17" i="10"/>
  <c r="P17" i="10"/>
  <c r="R17" i="10" s="1"/>
  <c r="E17" i="10"/>
  <c r="C17" i="10"/>
  <c r="S16" i="10"/>
  <c r="Q16" i="10"/>
  <c r="P16" i="10"/>
  <c r="R16" i="10" s="1"/>
  <c r="T16" i="10" s="1"/>
  <c r="E16" i="10"/>
  <c r="C16" i="10"/>
  <c r="B17" i="10" s="1"/>
  <c r="D17" i="10" s="1"/>
  <c r="Q15" i="10"/>
  <c r="E15" i="10"/>
  <c r="C15" i="10"/>
  <c r="B16" i="10" s="1"/>
  <c r="D16" i="10" s="1"/>
  <c r="L11" i="10"/>
  <c r="N11" i="10" s="1"/>
  <c r="H11" i="10"/>
  <c r="E11" i="10"/>
  <c r="G11" i="10" s="1"/>
  <c r="L10" i="10"/>
  <c r="N10" i="10" s="1"/>
  <c r="I10" i="10"/>
  <c r="H10" i="10"/>
  <c r="K10" i="10" s="1"/>
  <c r="E10" i="10"/>
  <c r="G10" i="10" s="1"/>
  <c r="M9" i="10"/>
  <c r="R15" i="10" s="1"/>
  <c r="L9" i="10"/>
  <c r="N9" i="10" s="1"/>
  <c r="S15" i="10" s="1"/>
  <c r="J9" i="10"/>
  <c r="K15" i="10" s="1"/>
  <c r="H9" i="10"/>
  <c r="K9" i="10" s="1"/>
  <c r="F9" i="10"/>
  <c r="D15" i="10" s="1"/>
  <c r="F15" i="10" s="1"/>
  <c r="E9" i="10"/>
  <c r="G9" i="10" s="1"/>
  <c r="O143" i="9"/>
  <c r="O92" i="9"/>
  <c r="O41" i="9"/>
  <c r="M96" i="9"/>
  <c r="M95" i="9"/>
  <c r="M91" i="9"/>
  <c r="M147" i="9"/>
  <c r="M146" i="9"/>
  <c r="M142" i="9"/>
  <c r="B35" i="9"/>
  <c r="E41" i="9" s="1"/>
  <c r="B34" i="9"/>
  <c r="D119" i="11" l="1"/>
  <c r="T69" i="13"/>
  <c r="T118" i="10"/>
  <c r="I61" i="13"/>
  <c r="I62" i="13"/>
  <c r="K62" i="13" s="1"/>
  <c r="E92" i="13"/>
  <c r="T126" i="13"/>
  <c r="F120" i="13"/>
  <c r="M142" i="13"/>
  <c r="F67" i="13"/>
  <c r="F15" i="13"/>
  <c r="F18" i="13"/>
  <c r="F17" i="13"/>
  <c r="F119" i="13"/>
  <c r="T24" i="13"/>
  <c r="L28" i="13"/>
  <c r="T68" i="13"/>
  <c r="F117" i="13"/>
  <c r="F66" i="13"/>
  <c r="T17" i="13"/>
  <c r="T66" i="13"/>
  <c r="T15" i="13"/>
  <c r="T119" i="13"/>
  <c r="I16" i="13"/>
  <c r="K16" i="13" s="1"/>
  <c r="J15" i="13"/>
  <c r="M15" i="13" s="1"/>
  <c r="J17" i="13"/>
  <c r="L16" i="13"/>
  <c r="L15" i="13"/>
  <c r="J117" i="13"/>
  <c r="L120" i="13"/>
  <c r="E143" i="13"/>
  <c r="E41" i="13"/>
  <c r="I113" i="13"/>
  <c r="K113" i="13" s="1"/>
  <c r="P118" i="13"/>
  <c r="I11" i="13"/>
  <c r="K11" i="13" s="1"/>
  <c r="D68" i="13"/>
  <c r="F68" i="13" s="1"/>
  <c r="L79" i="13"/>
  <c r="T75" i="13"/>
  <c r="I10" i="13"/>
  <c r="L18" i="13" s="1"/>
  <c r="M91" i="13"/>
  <c r="I112" i="13"/>
  <c r="J118" i="13" s="1"/>
  <c r="P67" i="13"/>
  <c r="I61" i="11"/>
  <c r="T67" i="11"/>
  <c r="E41" i="11"/>
  <c r="I10" i="11"/>
  <c r="L17" i="11" s="1"/>
  <c r="R16" i="11"/>
  <c r="T16" i="11" s="1"/>
  <c r="T18" i="11"/>
  <c r="R119" i="10"/>
  <c r="T119" i="10" s="1"/>
  <c r="K113" i="11"/>
  <c r="T120" i="11"/>
  <c r="E143" i="11"/>
  <c r="M142" i="11"/>
  <c r="F117" i="11"/>
  <c r="M91" i="11"/>
  <c r="T75" i="11"/>
  <c r="F69" i="11"/>
  <c r="F17" i="11"/>
  <c r="F67" i="11"/>
  <c r="F18" i="11"/>
  <c r="F119" i="11"/>
  <c r="F120" i="11"/>
  <c r="F68" i="11"/>
  <c r="J18" i="11"/>
  <c r="L16" i="11"/>
  <c r="I18" i="11"/>
  <c r="K18" i="11" s="1"/>
  <c r="J16" i="11"/>
  <c r="L15" i="11"/>
  <c r="T68" i="11"/>
  <c r="T117" i="11"/>
  <c r="T119" i="11"/>
  <c r="T66" i="11"/>
  <c r="F118" i="11"/>
  <c r="J117" i="11"/>
  <c r="L120" i="11"/>
  <c r="J119" i="11"/>
  <c r="J120" i="11"/>
  <c r="I119" i="11"/>
  <c r="L118" i="11"/>
  <c r="I120" i="11"/>
  <c r="K120" i="11" s="1"/>
  <c r="L119" i="11"/>
  <c r="J118" i="11"/>
  <c r="L117" i="11"/>
  <c r="I118" i="11"/>
  <c r="K118" i="11" s="1"/>
  <c r="F16" i="11"/>
  <c r="T118" i="11"/>
  <c r="T69" i="11"/>
  <c r="F15" i="11"/>
  <c r="T15" i="11"/>
  <c r="T17" i="11"/>
  <c r="L28" i="11"/>
  <c r="L130" i="11"/>
  <c r="I60" i="11"/>
  <c r="T24" i="11"/>
  <c r="I62" i="11"/>
  <c r="K62" i="11" s="1"/>
  <c r="I60" i="10"/>
  <c r="I62" i="10"/>
  <c r="K62" i="10" s="1"/>
  <c r="E92" i="10"/>
  <c r="D120" i="10"/>
  <c r="F120" i="10" s="1"/>
  <c r="T126" i="10"/>
  <c r="L130" i="10"/>
  <c r="F117" i="10"/>
  <c r="L79" i="10"/>
  <c r="F69" i="10"/>
  <c r="T24" i="10"/>
  <c r="M40" i="10"/>
  <c r="F18" i="10"/>
  <c r="F68" i="10"/>
  <c r="F67" i="10"/>
  <c r="F16" i="10"/>
  <c r="F118" i="10"/>
  <c r="T18" i="10"/>
  <c r="T68" i="10"/>
  <c r="J18" i="10"/>
  <c r="L17" i="10"/>
  <c r="J15" i="10"/>
  <c r="I17" i="10"/>
  <c r="K17" i="10" s="1"/>
  <c r="I16" i="10"/>
  <c r="K16" i="10" s="1"/>
  <c r="T66" i="10"/>
  <c r="T120" i="10"/>
  <c r="F119" i="10"/>
  <c r="F17" i="10"/>
  <c r="T117" i="10"/>
  <c r="T15" i="10"/>
  <c r="T17" i="10"/>
  <c r="T67" i="10"/>
  <c r="F66" i="10"/>
  <c r="I111" i="10"/>
  <c r="I11" i="10"/>
  <c r="K11" i="10" s="1"/>
  <c r="I113" i="10"/>
  <c r="K113" i="10" s="1"/>
  <c r="E41" i="10"/>
  <c r="M45" i="9"/>
  <c r="M44" i="9"/>
  <c r="I139" i="9"/>
  <c r="T139" i="9" s="1"/>
  <c r="B137" i="9"/>
  <c r="E143" i="9" s="1"/>
  <c r="M144" i="9"/>
  <c r="O131" i="9"/>
  <c r="E131" i="9"/>
  <c r="I126" i="9"/>
  <c r="S120" i="9"/>
  <c r="Q120" i="9"/>
  <c r="R120" i="9"/>
  <c r="T120" i="9" s="1"/>
  <c r="E120" i="9"/>
  <c r="D120" i="9"/>
  <c r="C120" i="9"/>
  <c r="F120" i="9" s="1"/>
  <c r="S119" i="9"/>
  <c r="Q119" i="9"/>
  <c r="R119" i="9"/>
  <c r="E119" i="9"/>
  <c r="C119" i="9"/>
  <c r="D119" i="9"/>
  <c r="F119" i="9" s="1"/>
  <c r="Q118" i="9"/>
  <c r="R118" i="9"/>
  <c r="E118" i="9"/>
  <c r="C118" i="9"/>
  <c r="D118" i="9"/>
  <c r="Q117" i="9"/>
  <c r="E117" i="9"/>
  <c r="C117" i="9"/>
  <c r="L113" i="9"/>
  <c r="N113" i="9" s="1"/>
  <c r="H113" i="9"/>
  <c r="E113" i="9"/>
  <c r="G113" i="9" s="1"/>
  <c r="L112" i="9"/>
  <c r="N112" i="9" s="1"/>
  <c r="S118" i="9" s="1"/>
  <c r="H112" i="9"/>
  <c r="K112" i="9" s="1"/>
  <c r="G112" i="9"/>
  <c r="E112" i="9"/>
  <c r="M111" i="9"/>
  <c r="R117" i="9" s="1"/>
  <c r="L111" i="9"/>
  <c r="N111" i="9" s="1"/>
  <c r="S117" i="9" s="1"/>
  <c r="J111" i="9"/>
  <c r="K117" i="9" s="1"/>
  <c r="H111" i="9"/>
  <c r="K111" i="9" s="1"/>
  <c r="F111" i="9"/>
  <c r="D117" i="9" s="1"/>
  <c r="E111" i="9"/>
  <c r="G111" i="9" s="1"/>
  <c r="I88" i="9"/>
  <c r="T88" i="9" s="1"/>
  <c r="B86" i="9"/>
  <c r="E92" i="9" s="1"/>
  <c r="B85" i="9"/>
  <c r="M93" i="9" s="1"/>
  <c r="O80" i="9"/>
  <c r="E80" i="9"/>
  <c r="L79" i="9"/>
  <c r="T75" i="9"/>
  <c r="I75" i="9"/>
  <c r="S69" i="9"/>
  <c r="Q69" i="9"/>
  <c r="P69" i="9"/>
  <c r="R69" i="9" s="1"/>
  <c r="E69" i="9"/>
  <c r="C69" i="9"/>
  <c r="D69" i="9"/>
  <c r="S68" i="9"/>
  <c r="Q68" i="9"/>
  <c r="P68" i="9"/>
  <c r="R68" i="9" s="1"/>
  <c r="E68" i="9"/>
  <c r="D68" i="9"/>
  <c r="C68" i="9"/>
  <c r="F68" i="9"/>
  <c r="S67" i="9"/>
  <c r="Q67" i="9"/>
  <c r="P67" i="9"/>
  <c r="R67" i="9" s="1"/>
  <c r="T67" i="9" s="1"/>
  <c r="E67" i="9"/>
  <c r="D67" i="9"/>
  <c r="C67" i="9"/>
  <c r="F67" i="9" s="1"/>
  <c r="Q66" i="9"/>
  <c r="E66" i="9"/>
  <c r="C66" i="9"/>
  <c r="L62" i="9"/>
  <c r="N62" i="9" s="1"/>
  <c r="H62" i="9"/>
  <c r="E62" i="9"/>
  <c r="G62" i="9" s="1"/>
  <c r="L61" i="9"/>
  <c r="N61" i="9" s="1"/>
  <c r="I61" i="9"/>
  <c r="H61" i="9"/>
  <c r="K61" i="9" s="1"/>
  <c r="G61" i="9"/>
  <c r="E61" i="9"/>
  <c r="N60" i="9"/>
  <c r="S66" i="9" s="1"/>
  <c r="M60" i="9"/>
  <c r="R66" i="9" s="1"/>
  <c r="L60" i="9"/>
  <c r="J60" i="9"/>
  <c r="K66" i="9" s="1"/>
  <c r="H60" i="9"/>
  <c r="K60" i="9" s="1"/>
  <c r="G60" i="9"/>
  <c r="F60" i="9"/>
  <c r="D66" i="9" s="1"/>
  <c r="F66" i="9" s="1"/>
  <c r="E60" i="9"/>
  <c r="M40" i="9"/>
  <c r="I37" i="9"/>
  <c r="T37" i="9" s="1"/>
  <c r="M42" i="9"/>
  <c r="O29" i="9"/>
  <c r="E29" i="9"/>
  <c r="I24" i="9"/>
  <c r="S18" i="9"/>
  <c r="Q18" i="9"/>
  <c r="P18" i="9"/>
  <c r="R18" i="9" s="1"/>
  <c r="E18" i="9"/>
  <c r="D18" i="9"/>
  <c r="C18" i="9"/>
  <c r="F18" i="9" s="1"/>
  <c r="B18" i="9"/>
  <c r="S17" i="9"/>
  <c r="Q17" i="9"/>
  <c r="P17" i="9"/>
  <c r="R17" i="9" s="1"/>
  <c r="E17" i="9"/>
  <c r="C17" i="9"/>
  <c r="B17" i="9"/>
  <c r="D17" i="9" s="1"/>
  <c r="F17" i="9" s="1"/>
  <c r="S16" i="9"/>
  <c r="Q16" i="9"/>
  <c r="E16" i="9"/>
  <c r="C16" i="9"/>
  <c r="B16" i="9"/>
  <c r="D16" i="9" s="1"/>
  <c r="Q15" i="9"/>
  <c r="P16" i="9" s="1"/>
  <c r="E15" i="9"/>
  <c r="C15" i="9"/>
  <c r="L11" i="9"/>
  <c r="N11" i="9" s="1"/>
  <c r="I11" i="9"/>
  <c r="H11" i="9"/>
  <c r="E11" i="9"/>
  <c r="G11" i="9" s="1"/>
  <c r="L10" i="9"/>
  <c r="N10" i="9" s="1"/>
  <c r="I10" i="9"/>
  <c r="H10" i="9"/>
  <c r="K10" i="9" s="1"/>
  <c r="G10" i="9"/>
  <c r="E10" i="9"/>
  <c r="M9" i="9"/>
  <c r="R15" i="9" s="1"/>
  <c r="L9" i="9"/>
  <c r="N9" i="9" s="1"/>
  <c r="S15" i="9" s="1"/>
  <c r="J9" i="9"/>
  <c r="K15" i="9" s="1"/>
  <c r="I9" i="9"/>
  <c r="H9" i="9"/>
  <c r="K9" i="9" s="1"/>
  <c r="F9" i="9"/>
  <c r="D15" i="9" s="1"/>
  <c r="E9" i="9"/>
  <c r="G9" i="9" s="1"/>
  <c r="O143" i="8"/>
  <c r="I139" i="8"/>
  <c r="T139" i="8" s="1"/>
  <c r="B137" i="8"/>
  <c r="E143" i="8" s="1"/>
  <c r="B136" i="8"/>
  <c r="M144" i="8" s="1"/>
  <c r="O131" i="8"/>
  <c r="E131" i="8"/>
  <c r="T126" i="8"/>
  <c r="I126" i="8"/>
  <c r="S120" i="8"/>
  <c r="Q120" i="8"/>
  <c r="F120" i="8"/>
  <c r="E120" i="8"/>
  <c r="D120" i="8"/>
  <c r="C120" i="8"/>
  <c r="B120" i="8"/>
  <c r="S119" i="8"/>
  <c r="Q119" i="8"/>
  <c r="E119" i="8"/>
  <c r="C119" i="8"/>
  <c r="B119" i="8"/>
  <c r="S118" i="8"/>
  <c r="Q118" i="8"/>
  <c r="R118" i="8"/>
  <c r="E118" i="8"/>
  <c r="C118" i="8"/>
  <c r="B118" i="8"/>
  <c r="D118" i="8" s="1"/>
  <c r="Q117" i="8"/>
  <c r="E117" i="8"/>
  <c r="C117" i="8"/>
  <c r="F117" i="8" s="1"/>
  <c r="L113" i="8"/>
  <c r="N113" i="8" s="1"/>
  <c r="H113" i="8"/>
  <c r="E113" i="8"/>
  <c r="G113" i="8" s="1"/>
  <c r="L112" i="8"/>
  <c r="N112" i="8" s="1"/>
  <c r="H112" i="8"/>
  <c r="K112" i="8" s="1"/>
  <c r="G112" i="8"/>
  <c r="E112" i="8"/>
  <c r="M111" i="8"/>
  <c r="R117" i="8" s="1"/>
  <c r="L111" i="8"/>
  <c r="N111" i="8" s="1"/>
  <c r="S117" i="8" s="1"/>
  <c r="J111" i="8"/>
  <c r="K117" i="8" s="1"/>
  <c r="H111" i="8"/>
  <c r="K111" i="8" s="1"/>
  <c r="F111" i="8"/>
  <c r="D117" i="8" s="1"/>
  <c r="E111" i="8"/>
  <c r="G111" i="8" s="1"/>
  <c r="O92" i="8"/>
  <c r="M91" i="8"/>
  <c r="I88" i="8"/>
  <c r="T88" i="8" s="1"/>
  <c r="B86" i="8"/>
  <c r="I60" i="8" s="1"/>
  <c r="B85" i="8"/>
  <c r="M93" i="8" s="1"/>
  <c r="O80" i="8"/>
  <c r="E80" i="8"/>
  <c r="L79" i="8"/>
  <c r="T75" i="8"/>
  <c r="I75" i="8"/>
  <c r="S69" i="8"/>
  <c r="R69" i="8"/>
  <c r="Q69" i="8"/>
  <c r="T69" i="8" s="1"/>
  <c r="P69" i="8"/>
  <c r="E69" i="8"/>
  <c r="C69" i="8"/>
  <c r="F69" i="8" s="1"/>
  <c r="B69" i="8"/>
  <c r="D69" i="8" s="1"/>
  <c r="S68" i="8"/>
  <c r="Q68" i="8"/>
  <c r="T68" i="8" s="1"/>
  <c r="P68" i="8"/>
  <c r="R68" i="8" s="1"/>
  <c r="E68" i="8"/>
  <c r="D68" i="8"/>
  <c r="F68" i="8" s="1"/>
  <c r="C68" i="8"/>
  <c r="B68" i="8"/>
  <c r="S67" i="8"/>
  <c r="Q67" i="8"/>
  <c r="F67" i="8"/>
  <c r="E67" i="8"/>
  <c r="D67" i="8"/>
  <c r="C67" i="8"/>
  <c r="B67" i="8"/>
  <c r="S66" i="8"/>
  <c r="Q66" i="8"/>
  <c r="E66" i="8"/>
  <c r="C66" i="8"/>
  <c r="L62" i="8"/>
  <c r="N62" i="8" s="1"/>
  <c r="H62" i="8"/>
  <c r="E62" i="8"/>
  <c r="G62" i="8" s="1"/>
  <c r="L61" i="8"/>
  <c r="N61" i="8" s="1"/>
  <c r="I61" i="8"/>
  <c r="H61" i="8"/>
  <c r="K61" i="8" s="1"/>
  <c r="E61" i="8"/>
  <c r="G61" i="8" s="1"/>
  <c r="M60" i="8"/>
  <c r="R66" i="8" s="1"/>
  <c r="L60" i="8"/>
  <c r="N60" i="8" s="1"/>
  <c r="J60" i="8"/>
  <c r="K66" i="8" s="1"/>
  <c r="H60" i="8"/>
  <c r="K60" i="8" s="1"/>
  <c r="G60" i="8"/>
  <c r="F60" i="8"/>
  <c r="D66" i="8" s="1"/>
  <c r="F66" i="8" s="1"/>
  <c r="E60" i="8"/>
  <c r="O41" i="8"/>
  <c r="I37" i="8"/>
  <c r="T37" i="8" s="1"/>
  <c r="B35" i="8"/>
  <c r="E41" i="8" s="1"/>
  <c r="B34" i="8"/>
  <c r="M42" i="8" s="1"/>
  <c r="O29" i="8"/>
  <c r="E29" i="8"/>
  <c r="I24" i="8"/>
  <c r="S18" i="8"/>
  <c r="Q18" i="8"/>
  <c r="P18" i="8"/>
  <c r="F18" i="8"/>
  <c r="E18" i="8"/>
  <c r="D18" i="8"/>
  <c r="C18" i="8"/>
  <c r="B18" i="8"/>
  <c r="S17" i="8"/>
  <c r="Q17" i="8"/>
  <c r="P17" i="8"/>
  <c r="R17" i="8" s="1"/>
  <c r="E17" i="8"/>
  <c r="C17" i="8"/>
  <c r="B17" i="8"/>
  <c r="S16" i="8"/>
  <c r="Q16" i="8"/>
  <c r="P16" i="8"/>
  <c r="R16" i="8" s="1"/>
  <c r="E16" i="8"/>
  <c r="C16" i="8"/>
  <c r="B16" i="8"/>
  <c r="D16" i="8" s="1"/>
  <c r="Q15" i="8"/>
  <c r="E15" i="8"/>
  <c r="C15" i="8"/>
  <c r="L11" i="8"/>
  <c r="N11" i="8" s="1"/>
  <c r="H11" i="8"/>
  <c r="E11" i="8"/>
  <c r="G11" i="8" s="1"/>
  <c r="L10" i="8"/>
  <c r="N10" i="8" s="1"/>
  <c r="H10" i="8"/>
  <c r="K10" i="8" s="1"/>
  <c r="G10" i="8"/>
  <c r="E10" i="8"/>
  <c r="M9" i="8"/>
  <c r="R15" i="8" s="1"/>
  <c r="L9" i="8"/>
  <c r="N9" i="8" s="1"/>
  <c r="S15" i="8" s="1"/>
  <c r="J9" i="8"/>
  <c r="K15" i="8" s="1"/>
  <c r="H9" i="8"/>
  <c r="K9" i="8" s="1"/>
  <c r="F9" i="8"/>
  <c r="D15" i="8" s="1"/>
  <c r="E9" i="8"/>
  <c r="G9" i="8" s="1"/>
  <c r="F19" i="13" l="1"/>
  <c r="J67" i="10"/>
  <c r="F19" i="10"/>
  <c r="T119" i="9"/>
  <c r="T69" i="9"/>
  <c r="R16" i="9"/>
  <c r="T18" i="9"/>
  <c r="L69" i="13"/>
  <c r="I67" i="13"/>
  <c r="L68" i="13"/>
  <c r="F121" i="13"/>
  <c r="I131" i="13" s="1"/>
  <c r="T131" i="13" s="1"/>
  <c r="F118" i="9"/>
  <c r="F69" i="9"/>
  <c r="J69" i="13"/>
  <c r="J67" i="13"/>
  <c r="I68" i="13"/>
  <c r="K68" i="13" s="1"/>
  <c r="J68" i="13"/>
  <c r="L67" i="13"/>
  <c r="I69" i="13"/>
  <c r="K69" i="13" s="1"/>
  <c r="J66" i="13"/>
  <c r="L66" i="13"/>
  <c r="K67" i="13" s="1"/>
  <c r="M118" i="13"/>
  <c r="R118" i="13"/>
  <c r="T118" i="13" s="1"/>
  <c r="T121" i="13" s="1"/>
  <c r="T143" i="13" s="1"/>
  <c r="R67" i="13"/>
  <c r="T67" i="13" s="1"/>
  <c r="T70" i="13" s="1"/>
  <c r="T92" i="13" s="1"/>
  <c r="J119" i="13"/>
  <c r="L27" i="13"/>
  <c r="M28" i="13" s="1"/>
  <c r="I27" i="13" s="1"/>
  <c r="I29" i="13"/>
  <c r="T29" i="13" s="1"/>
  <c r="L17" i="13"/>
  <c r="L119" i="13"/>
  <c r="I18" i="13"/>
  <c r="K18" i="13" s="1"/>
  <c r="T19" i="13"/>
  <c r="T41" i="13" s="1"/>
  <c r="M117" i="13"/>
  <c r="L118" i="13"/>
  <c r="L117" i="13"/>
  <c r="J16" i="13"/>
  <c r="M16" i="13" s="1"/>
  <c r="I119" i="13"/>
  <c r="K119" i="13" s="1"/>
  <c r="J18" i="13"/>
  <c r="F70" i="13"/>
  <c r="J120" i="13"/>
  <c r="M120" i="13" s="1"/>
  <c r="I17" i="13"/>
  <c r="K17" i="13" s="1"/>
  <c r="I118" i="13"/>
  <c r="K118" i="13" s="1"/>
  <c r="I120" i="13"/>
  <c r="K120" i="13" s="1"/>
  <c r="T70" i="11"/>
  <c r="T92" i="11" s="1"/>
  <c r="L18" i="11"/>
  <c r="M18" i="11" s="1"/>
  <c r="I17" i="11"/>
  <c r="K17" i="11" s="1"/>
  <c r="J17" i="11"/>
  <c r="M17" i="11" s="1"/>
  <c r="J15" i="11"/>
  <c r="M15" i="11" s="1"/>
  <c r="I16" i="11"/>
  <c r="K16" i="11" s="1"/>
  <c r="K119" i="11"/>
  <c r="M119" i="11" s="1"/>
  <c r="F121" i="11"/>
  <c r="L129" i="11" s="1"/>
  <c r="M130" i="11" s="1"/>
  <c r="I129" i="11" s="1"/>
  <c r="F70" i="11"/>
  <c r="I80" i="11" s="1"/>
  <c r="T80" i="11" s="1"/>
  <c r="M117" i="11"/>
  <c r="M118" i="11"/>
  <c r="T121" i="11"/>
  <c r="T143" i="11" s="1"/>
  <c r="F19" i="11"/>
  <c r="T19" i="11"/>
  <c r="T41" i="11" s="1"/>
  <c r="L67" i="11"/>
  <c r="J66" i="11"/>
  <c r="J68" i="11"/>
  <c r="I68" i="11"/>
  <c r="K68" i="11" s="1"/>
  <c r="J67" i="11"/>
  <c r="L66" i="11"/>
  <c r="I67" i="11"/>
  <c r="K67" i="11" s="1"/>
  <c r="L69" i="11"/>
  <c r="J69" i="11"/>
  <c r="I69" i="11"/>
  <c r="K69" i="11" s="1"/>
  <c r="L68" i="11"/>
  <c r="M120" i="11"/>
  <c r="I67" i="10"/>
  <c r="K67" i="10" s="1"/>
  <c r="L68" i="10"/>
  <c r="J68" i="10"/>
  <c r="M68" i="10" s="1"/>
  <c r="L66" i="10"/>
  <c r="I68" i="10"/>
  <c r="K68" i="10" s="1"/>
  <c r="L69" i="10"/>
  <c r="J66" i="10"/>
  <c r="I69" i="10"/>
  <c r="K69" i="10" s="1"/>
  <c r="L67" i="10"/>
  <c r="J69" i="10"/>
  <c r="T70" i="10"/>
  <c r="T92" i="10" s="1"/>
  <c r="T19" i="10"/>
  <c r="T41" i="10" s="1"/>
  <c r="F70" i="10"/>
  <c r="I80" i="10" s="1"/>
  <c r="T80" i="10" s="1"/>
  <c r="F121" i="10"/>
  <c r="I131" i="10" s="1"/>
  <c r="T131" i="10" s="1"/>
  <c r="L16" i="10"/>
  <c r="J17" i="10"/>
  <c r="M17" i="10" s="1"/>
  <c r="I29" i="10"/>
  <c r="T29" i="10" s="1"/>
  <c r="L27" i="10"/>
  <c r="M28" i="10" s="1"/>
  <c r="I27" i="10" s="1"/>
  <c r="T121" i="10"/>
  <c r="T143" i="10" s="1"/>
  <c r="I18" i="10"/>
  <c r="K18" i="10" s="1"/>
  <c r="J120" i="10"/>
  <c r="I120" i="10"/>
  <c r="K120" i="10" s="1"/>
  <c r="L119" i="10"/>
  <c r="L120" i="10"/>
  <c r="J119" i="10"/>
  <c r="J117" i="10"/>
  <c r="I119" i="10"/>
  <c r="K119" i="10" s="1"/>
  <c r="L118" i="10"/>
  <c r="J118" i="10"/>
  <c r="L117" i="10"/>
  <c r="I118" i="10"/>
  <c r="K118" i="10" s="1"/>
  <c r="L15" i="10"/>
  <c r="M15" i="10" s="1"/>
  <c r="J16" i="10"/>
  <c r="M66" i="10"/>
  <c r="M69" i="10"/>
  <c r="L18" i="10"/>
  <c r="I112" i="9"/>
  <c r="T118" i="9"/>
  <c r="I113" i="9"/>
  <c r="I111" i="9"/>
  <c r="I118" i="9" s="1"/>
  <c r="K118" i="9" s="1"/>
  <c r="T16" i="9"/>
  <c r="T17" i="9"/>
  <c r="J15" i="9"/>
  <c r="L17" i="9"/>
  <c r="I16" i="9"/>
  <c r="T66" i="9"/>
  <c r="F117" i="9"/>
  <c r="F70" i="9"/>
  <c r="T117" i="9"/>
  <c r="F15" i="9"/>
  <c r="T68" i="9"/>
  <c r="T15" i="9"/>
  <c r="F16" i="9"/>
  <c r="J18" i="9"/>
  <c r="L28" i="9"/>
  <c r="L130" i="9"/>
  <c r="L15" i="9"/>
  <c r="J16" i="9"/>
  <c r="L16" i="9"/>
  <c r="K11" i="9"/>
  <c r="J17" i="9"/>
  <c r="I60" i="9"/>
  <c r="I18" i="9"/>
  <c r="K18" i="9" s="1"/>
  <c r="T24" i="9"/>
  <c r="T126" i="9"/>
  <c r="L18" i="9"/>
  <c r="I62" i="9"/>
  <c r="K62" i="9" s="1"/>
  <c r="I17" i="9"/>
  <c r="K17" i="9" s="1"/>
  <c r="T117" i="8"/>
  <c r="I112" i="8"/>
  <c r="I62" i="8"/>
  <c r="K62" i="8" s="1"/>
  <c r="E92" i="8"/>
  <c r="J66" i="8"/>
  <c r="M66" i="8" s="1"/>
  <c r="J67" i="8"/>
  <c r="I67" i="8"/>
  <c r="L66" i="8"/>
  <c r="T15" i="8"/>
  <c r="I10" i="8"/>
  <c r="T66" i="8"/>
  <c r="F16" i="8"/>
  <c r="F70" i="8"/>
  <c r="F118" i="8"/>
  <c r="T17" i="8"/>
  <c r="M40" i="8"/>
  <c r="L28" i="8"/>
  <c r="T24" i="8"/>
  <c r="T16" i="8"/>
  <c r="T118" i="8"/>
  <c r="R119" i="8"/>
  <c r="F15" i="8"/>
  <c r="F17" i="8"/>
  <c r="K67" i="8"/>
  <c r="J68" i="8"/>
  <c r="I9" i="8"/>
  <c r="P67" i="8"/>
  <c r="I111" i="8"/>
  <c r="D17" i="8"/>
  <c r="L68" i="8"/>
  <c r="I69" i="8"/>
  <c r="K69" i="8" s="1"/>
  <c r="D119" i="8"/>
  <c r="F119" i="8" s="1"/>
  <c r="L130" i="8"/>
  <c r="R18" i="8"/>
  <c r="T18" i="8" s="1"/>
  <c r="J69" i="8"/>
  <c r="R120" i="8"/>
  <c r="T120" i="8" s="1"/>
  <c r="L67" i="8"/>
  <c r="M142" i="8"/>
  <c r="I68" i="8"/>
  <c r="K68" i="8" s="1"/>
  <c r="I11" i="8"/>
  <c r="K11" i="8" s="1"/>
  <c r="L69" i="8"/>
  <c r="I113" i="8"/>
  <c r="K113" i="8" s="1"/>
  <c r="B136" i="7"/>
  <c r="M144" i="7" s="1"/>
  <c r="O143" i="7"/>
  <c r="M142" i="7"/>
  <c r="I139" i="7"/>
  <c r="T139" i="7" s="1"/>
  <c r="B137" i="7"/>
  <c r="I111" i="7" s="1"/>
  <c r="O131" i="7"/>
  <c r="E131" i="7"/>
  <c r="L130" i="7"/>
  <c r="T126" i="7"/>
  <c r="I126" i="7"/>
  <c r="S120" i="7"/>
  <c r="R120" i="7"/>
  <c r="Q120" i="7"/>
  <c r="E120" i="7"/>
  <c r="C120" i="7"/>
  <c r="D120" i="7"/>
  <c r="S119" i="7"/>
  <c r="Q119" i="7"/>
  <c r="F119" i="7"/>
  <c r="E119" i="7"/>
  <c r="D119" i="7"/>
  <c r="C119" i="7"/>
  <c r="S118" i="7"/>
  <c r="Q118" i="7"/>
  <c r="R119" i="7" s="1"/>
  <c r="E118" i="7"/>
  <c r="D118" i="7"/>
  <c r="F118" i="7" s="1"/>
  <c r="C118" i="7"/>
  <c r="S117" i="7"/>
  <c r="R117" i="7"/>
  <c r="Q117" i="7"/>
  <c r="T117" i="7" s="1"/>
  <c r="E117" i="7"/>
  <c r="C117" i="7"/>
  <c r="F117" i="7" s="1"/>
  <c r="L113" i="7"/>
  <c r="N113" i="7" s="1"/>
  <c r="H113" i="7"/>
  <c r="E113" i="7"/>
  <c r="G113" i="7" s="1"/>
  <c r="N112" i="7"/>
  <c r="L112" i="7"/>
  <c r="K112" i="7"/>
  <c r="H112" i="7"/>
  <c r="E112" i="7"/>
  <c r="G112" i="7" s="1"/>
  <c r="N111" i="7"/>
  <c r="M111" i="7"/>
  <c r="L111" i="7"/>
  <c r="K111" i="7"/>
  <c r="J111" i="7"/>
  <c r="K117" i="7" s="1"/>
  <c r="H111" i="7"/>
  <c r="G111" i="7"/>
  <c r="F111" i="7"/>
  <c r="D117" i="7" s="1"/>
  <c r="E111" i="7"/>
  <c r="O92" i="7"/>
  <c r="E92" i="7"/>
  <c r="I88" i="7"/>
  <c r="T88" i="7" s="1"/>
  <c r="B86" i="7"/>
  <c r="B85" i="7"/>
  <c r="M93" i="7" s="1"/>
  <c r="O80" i="7"/>
  <c r="E80" i="7"/>
  <c r="T75" i="7"/>
  <c r="I75" i="7"/>
  <c r="M91" i="7" s="1"/>
  <c r="S69" i="7"/>
  <c r="Q69" i="7"/>
  <c r="P69" i="7"/>
  <c r="R69" i="7" s="1"/>
  <c r="T69" i="7" s="1"/>
  <c r="E69" i="7"/>
  <c r="D69" i="7"/>
  <c r="C69" i="7"/>
  <c r="S68" i="7"/>
  <c r="Q68" i="7"/>
  <c r="E68" i="7"/>
  <c r="C68" i="7"/>
  <c r="S67" i="7"/>
  <c r="Q67" i="7"/>
  <c r="E67" i="7"/>
  <c r="C67" i="7"/>
  <c r="D67" i="7"/>
  <c r="S66" i="7"/>
  <c r="Q66" i="7"/>
  <c r="E66" i="7"/>
  <c r="C66" i="7"/>
  <c r="N62" i="7"/>
  <c r="L62" i="7"/>
  <c r="I62" i="7"/>
  <c r="K62" i="7" s="1"/>
  <c r="H62" i="7"/>
  <c r="E62" i="7"/>
  <c r="G62" i="7" s="1"/>
  <c r="L61" i="7"/>
  <c r="N61" i="7" s="1"/>
  <c r="I61" i="7"/>
  <c r="I69" i="7" s="1"/>
  <c r="K69" i="7" s="1"/>
  <c r="H61" i="7"/>
  <c r="K61" i="7" s="1"/>
  <c r="G61" i="7"/>
  <c r="E61" i="7"/>
  <c r="M60" i="7"/>
  <c r="R66" i="7" s="1"/>
  <c r="L60" i="7"/>
  <c r="N60" i="7" s="1"/>
  <c r="J60" i="7"/>
  <c r="K66" i="7" s="1"/>
  <c r="I60" i="7"/>
  <c r="J67" i="7" s="1"/>
  <c r="H60" i="7"/>
  <c r="K60" i="7" s="1"/>
  <c r="F60" i="7"/>
  <c r="D66" i="7" s="1"/>
  <c r="F66" i="7" s="1"/>
  <c r="E60" i="7"/>
  <c r="G60" i="7" s="1"/>
  <c r="O41" i="7"/>
  <c r="M40" i="7"/>
  <c r="I37" i="7"/>
  <c r="T37" i="7" s="1"/>
  <c r="B35" i="7"/>
  <c r="I9" i="7" s="1"/>
  <c r="B34" i="7"/>
  <c r="M42" i="7" s="1"/>
  <c r="O29" i="7"/>
  <c r="E29" i="7"/>
  <c r="L28" i="7"/>
  <c r="T24" i="7"/>
  <c r="I24" i="7"/>
  <c r="S18" i="7"/>
  <c r="R18" i="7"/>
  <c r="Q18" i="7"/>
  <c r="T18" i="7" s="1"/>
  <c r="P18" i="7"/>
  <c r="E18" i="7"/>
  <c r="C18" i="7"/>
  <c r="B18" i="7"/>
  <c r="D18" i="7" s="1"/>
  <c r="S17" i="7"/>
  <c r="Q17" i="7"/>
  <c r="P17" i="7"/>
  <c r="R17" i="7" s="1"/>
  <c r="E17" i="7"/>
  <c r="D17" i="7"/>
  <c r="F17" i="7" s="1"/>
  <c r="C17" i="7"/>
  <c r="B17" i="7"/>
  <c r="T16" i="7"/>
  <c r="S16" i="7"/>
  <c r="R16" i="7"/>
  <c r="Q16" i="7"/>
  <c r="P16" i="7"/>
  <c r="E16" i="7"/>
  <c r="D16" i="7"/>
  <c r="C16" i="7"/>
  <c r="F16" i="7" s="1"/>
  <c r="B16" i="7"/>
  <c r="S15" i="7"/>
  <c r="R15" i="7"/>
  <c r="Q15" i="7"/>
  <c r="T15" i="7" s="1"/>
  <c r="E15" i="7"/>
  <c r="C15" i="7"/>
  <c r="N11" i="7"/>
  <c r="L11" i="7"/>
  <c r="H11" i="7"/>
  <c r="E11" i="7"/>
  <c r="G11" i="7" s="1"/>
  <c r="N10" i="7"/>
  <c r="L10" i="7"/>
  <c r="K10" i="7"/>
  <c r="H10" i="7"/>
  <c r="G10" i="7"/>
  <c r="E10" i="7"/>
  <c r="M9" i="7"/>
  <c r="L9" i="7"/>
  <c r="N9" i="7" s="1"/>
  <c r="K9" i="7"/>
  <c r="J9" i="7"/>
  <c r="K15" i="7" s="1"/>
  <c r="H9" i="7"/>
  <c r="G9" i="7"/>
  <c r="F9" i="7"/>
  <c r="D15" i="7" s="1"/>
  <c r="F15" i="7" s="1"/>
  <c r="E9" i="7"/>
  <c r="M18" i="13" l="1"/>
  <c r="M16" i="10"/>
  <c r="I119" i="9"/>
  <c r="K119" i="9" s="1"/>
  <c r="L120" i="9"/>
  <c r="K16" i="9"/>
  <c r="M68" i="13"/>
  <c r="M67" i="13"/>
  <c r="M66" i="13"/>
  <c r="M69" i="13"/>
  <c r="L129" i="13"/>
  <c r="M130" i="13" s="1"/>
  <c r="I129" i="13" s="1"/>
  <c r="I133" i="13" s="1"/>
  <c r="F121" i="9"/>
  <c r="I131" i="9" s="1"/>
  <c r="T131" i="9" s="1"/>
  <c r="F69" i="7"/>
  <c r="F67" i="7"/>
  <c r="I80" i="13"/>
  <c r="T80" i="13" s="1"/>
  <c r="L78" i="13"/>
  <c r="M79" i="13" s="1"/>
  <c r="I78" i="13" s="1"/>
  <c r="M17" i="13"/>
  <c r="M19" i="13" s="1"/>
  <c r="M43" i="13" s="1"/>
  <c r="I41" i="13" s="1"/>
  <c r="T27" i="13"/>
  <c r="I31" i="13"/>
  <c r="M41" i="13"/>
  <c r="M119" i="13"/>
  <c r="M121" i="13" s="1"/>
  <c r="M145" i="13" s="1"/>
  <c r="I143" i="13" s="1"/>
  <c r="M16" i="11"/>
  <c r="M19" i="11"/>
  <c r="M43" i="11" s="1"/>
  <c r="I41" i="11" s="1"/>
  <c r="T120" i="7"/>
  <c r="L78" i="11"/>
  <c r="M79" i="11" s="1"/>
  <c r="I78" i="11" s="1"/>
  <c r="M92" i="11" s="1"/>
  <c r="I131" i="11"/>
  <c r="T131" i="11" s="1"/>
  <c r="M69" i="11"/>
  <c r="L27" i="11"/>
  <c r="M28" i="11" s="1"/>
  <c r="I27" i="11" s="1"/>
  <c r="I29" i="11"/>
  <c r="T29" i="11" s="1"/>
  <c r="M67" i="11"/>
  <c r="M68" i="11"/>
  <c r="M66" i="11"/>
  <c r="M121" i="11"/>
  <c r="M145" i="11" s="1"/>
  <c r="I143" i="11" s="1"/>
  <c r="T129" i="11"/>
  <c r="M143" i="11"/>
  <c r="M67" i="10"/>
  <c r="M70" i="10" s="1"/>
  <c r="M94" i="10" s="1"/>
  <c r="I92" i="10" s="1"/>
  <c r="L78" i="10"/>
  <c r="M79" i="10" s="1"/>
  <c r="I78" i="10" s="1"/>
  <c r="T78" i="10" s="1"/>
  <c r="L129" i="10"/>
  <c r="M130" i="10" s="1"/>
  <c r="I129" i="10" s="1"/>
  <c r="T129" i="10" s="1"/>
  <c r="M41" i="10"/>
  <c r="T27" i="10"/>
  <c r="I31" i="10"/>
  <c r="M117" i="10"/>
  <c r="M119" i="10"/>
  <c r="M120" i="10"/>
  <c r="M118" i="10"/>
  <c r="M18" i="10"/>
  <c r="M19" i="10" s="1"/>
  <c r="M43" i="10" s="1"/>
  <c r="I41" i="10" s="1"/>
  <c r="L119" i="9"/>
  <c r="M119" i="9" s="1"/>
  <c r="J117" i="9"/>
  <c r="J119" i="9"/>
  <c r="L118" i="9"/>
  <c r="T121" i="9"/>
  <c r="T143" i="9" s="1"/>
  <c r="J118" i="9"/>
  <c r="M118" i="9" s="1"/>
  <c r="I120" i="9"/>
  <c r="K120" i="9" s="1"/>
  <c r="L117" i="9"/>
  <c r="J120" i="9"/>
  <c r="K113" i="9"/>
  <c r="M15" i="9"/>
  <c r="T19" i="9"/>
  <c r="T41" i="9" s="1"/>
  <c r="M17" i="9"/>
  <c r="M16" i="9"/>
  <c r="J68" i="9"/>
  <c r="J67" i="9"/>
  <c r="I68" i="9"/>
  <c r="K68" i="9" s="1"/>
  <c r="L67" i="9"/>
  <c r="L66" i="9"/>
  <c r="I67" i="9"/>
  <c r="K67" i="9" s="1"/>
  <c r="J66" i="9"/>
  <c r="M66" i="9" s="1"/>
  <c r="L69" i="9"/>
  <c r="J69" i="9"/>
  <c r="I69" i="9"/>
  <c r="K69" i="9" s="1"/>
  <c r="L68" i="9"/>
  <c r="I80" i="9"/>
  <c r="T80" i="9" s="1"/>
  <c r="L78" i="9"/>
  <c r="M79" i="9" s="1"/>
  <c r="I78" i="9" s="1"/>
  <c r="M92" i="9" s="1"/>
  <c r="M18" i="9"/>
  <c r="F19" i="9"/>
  <c r="T70" i="9"/>
  <c r="T92" i="9" s="1"/>
  <c r="M67" i="8"/>
  <c r="T19" i="8"/>
  <c r="T41" i="8" s="1"/>
  <c r="F121" i="8"/>
  <c r="L78" i="8"/>
  <c r="M79" i="8" s="1"/>
  <c r="I78" i="8" s="1"/>
  <c r="I80" i="8"/>
  <c r="T80" i="8" s="1"/>
  <c r="J120" i="8"/>
  <c r="J119" i="8"/>
  <c r="M119" i="8" s="1"/>
  <c r="I119" i="8"/>
  <c r="K119" i="8" s="1"/>
  <c r="L118" i="8"/>
  <c r="L120" i="8"/>
  <c r="J118" i="8"/>
  <c r="L117" i="8"/>
  <c r="I118" i="8"/>
  <c r="K118" i="8" s="1"/>
  <c r="J117" i="8"/>
  <c r="L119" i="8"/>
  <c r="I120" i="8"/>
  <c r="K120" i="8" s="1"/>
  <c r="R67" i="8"/>
  <c r="T67" i="8" s="1"/>
  <c r="T70" i="8" s="1"/>
  <c r="T92" i="8" s="1"/>
  <c r="T119" i="8"/>
  <c r="T121" i="8" s="1"/>
  <c r="T143" i="8" s="1"/>
  <c r="F19" i="8"/>
  <c r="J17" i="8"/>
  <c r="M17" i="8" s="1"/>
  <c r="I17" i="8"/>
  <c r="K17" i="8" s="1"/>
  <c r="L16" i="8"/>
  <c r="J16" i="8"/>
  <c r="L15" i="8"/>
  <c r="I16" i="8"/>
  <c r="K16" i="8" s="1"/>
  <c r="J15" i="8"/>
  <c r="M15" i="8" s="1"/>
  <c r="L18" i="8"/>
  <c r="I18" i="8"/>
  <c r="K18" i="8" s="1"/>
  <c r="L17" i="8"/>
  <c r="J18" i="8"/>
  <c r="M68" i="8"/>
  <c r="M69" i="8"/>
  <c r="J18" i="7"/>
  <c r="F18" i="7"/>
  <c r="F19" i="7" s="1"/>
  <c r="F120" i="7"/>
  <c r="F121" i="7" s="1"/>
  <c r="J117" i="7"/>
  <c r="T17" i="7"/>
  <c r="T19" i="7" s="1"/>
  <c r="T41" i="7" s="1"/>
  <c r="T66" i="7"/>
  <c r="T119" i="7"/>
  <c r="T67" i="7"/>
  <c r="J69" i="7"/>
  <c r="P68" i="7"/>
  <c r="R68" i="7" s="1"/>
  <c r="I11" i="7"/>
  <c r="K11" i="7" s="1"/>
  <c r="E41" i="7"/>
  <c r="L69" i="7"/>
  <c r="I113" i="7"/>
  <c r="K113" i="7" s="1"/>
  <c r="E143" i="7"/>
  <c r="J66" i="7"/>
  <c r="I67" i="7"/>
  <c r="D68" i="7"/>
  <c r="F68" i="7" s="1"/>
  <c r="F70" i="7" s="1"/>
  <c r="L79" i="7"/>
  <c r="L66" i="7"/>
  <c r="I68" i="7"/>
  <c r="K68" i="7" s="1"/>
  <c r="I10" i="7"/>
  <c r="I18" i="7" s="1"/>
  <c r="K18" i="7" s="1"/>
  <c r="I112" i="7"/>
  <c r="L120" i="7" s="1"/>
  <c r="L67" i="7"/>
  <c r="J68" i="7"/>
  <c r="P67" i="7"/>
  <c r="R67" i="7" s="1"/>
  <c r="L68" i="7"/>
  <c r="I139" i="1"/>
  <c r="T139" i="1" s="1"/>
  <c r="E131" i="1"/>
  <c r="I126" i="1"/>
  <c r="T126" i="1" s="1"/>
  <c r="O143" i="1"/>
  <c r="O131" i="1"/>
  <c r="B18" i="1"/>
  <c r="I88" i="1"/>
  <c r="T88" i="1" s="1"/>
  <c r="E80" i="1"/>
  <c r="I75" i="1"/>
  <c r="L79" i="1" s="1"/>
  <c r="O92" i="1"/>
  <c r="O80" i="1"/>
  <c r="S18" i="1"/>
  <c r="Q18" i="1"/>
  <c r="L11" i="1"/>
  <c r="N11" i="1" s="1"/>
  <c r="T78" i="11" l="1"/>
  <c r="I82" i="11"/>
  <c r="M70" i="13"/>
  <c r="M94" i="13" s="1"/>
  <c r="I92" i="13" s="1"/>
  <c r="T129" i="13"/>
  <c r="M143" i="13"/>
  <c r="M146" i="13" s="1"/>
  <c r="L129" i="9"/>
  <c r="M130" i="9" s="1"/>
  <c r="I129" i="9" s="1"/>
  <c r="M143" i="9" s="1"/>
  <c r="T133" i="13"/>
  <c r="T31" i="13"/>
  <c r="I141" i="13"/>
  <c r="M44" i="13"/>
  <c r="I39" i="13" s="1"/>
  <c r="M92" i="13"/>
  <c r="T78" i="13"/>
  <c r="I82" i="13"/>
  <c r="M70" i="11"/>
  <c r="M94" i="11" s="1"/>
  <c r="I92" i="11" s="1"/>
  <c r="I133" i="11"/>
  <c r="T133" i="11"/>
  <c r="T27" i="11"/>
  <c r="M41" i="11"/>
  <c r="M44" i="11" s="1"/>
  <c r="I39" i="11" s="1"/>
  <c r="T39" i="11" s="1"/>
  <c r="I31" i="11"/>
  <c r="T82" i="11"/>
  <c r="M146" i="11"/>
  <c r="I141" i="11" s="1"/>
  <c r="I82" i="10"/>
  <c r="M92" i="10"/>
  <c r="M95" i="10" s="1"/>
  <c r="I90" i="10" s="1"/>
  <c r="I133" i="10"/>
  <c r="M143" i="10"/>
  <c r="M146" i="10" s="1"/>
  <c r="I141" i="10" s="1"/>
  <c r="M121" i="10"/>
  <c r="M145" i="10" s="1"/>
  <c r="I143" i="10" s="1"/>
  <c r="T82" i="10"/>
  <c r="M44" i="10"/>
  <c r="I39" i="10" s="1"/>
  <c r="T133" i="10"/>
  <c r="T31" i="10"/>
  <c r="M120" i="9"/>
  <c r="M117" i="9"/>
  <c r="M121" i="9" s="1"/>
  <c r="M145" i="9" s="1"/>
  <c r="I143" i="9" s="1"/>
  <c r="M19" i="9"/>
  <c r="M43" i="9" s="1"/>
  <c r="M46" i="9" s="1"/>
  <c r="I39" i="9" s="1"/>
  <c r="M67" i="9"/>
  <c r="M70" i="9" s="1"/>
  <c r="M94" i="9" s="1"/>
  <c r="M69" i="9"/>
  <c r="T78" i="9"/>
  <c r="I82" i="9"/>
  <c r="M68" i="9"/>
  <c r="I29" i="9"/>
  <c r="T29" i="9" s="1"/>
  <c r="L27" i="9"/>
  <c r="M28" i="9" s="1"/>
  <c r="I27" i="9" s="1"/>
  <c r="M118" i="8"/>
  <c r="M70" i="8"/>
  <c r="M94" i="8" s="1"/>
  <c r="I92" i="8" s="1"/>
  <c r="M18" i="8"/>
  <c r="M120" i="8"/>
  <c r="I29" i="8"/>
  <c r="T29" i="8" s="1"/>
  <c r="L27" i="8"/>
  <c r="M28" i="8" s="1"/>
  <c r="I27" i="8" s="1"/>
  <c r="M117" i="8"/>
  <c r="I131" i="8"/>
  <c r="T131" i="8" s="1"/>
  <c r="L129" i="8"/>
  <c r="M130" i="8" s="1"/>
  <c r="I129" i="8" s="1"/>
  <c r="T78" i="8"/>
  <c r="I82" i="8"/>
  <c r="M92" i="8"/>
  <c r="M95" i="8" s="1"/>
  <c r="I90" i="8" s="1"/>
  <c r="T90" i="8" s="1"/>
  <c r="M16" i="8"/>
  <c r="L27" i="7"/>
  <c r="M28" i="7" s="1"/>
  <c r="I27" i="7" s="1"/>
  <c r="I29" i="7"/>
  <c r="T29" i="7" s="1"/>
  <c r="I80" i="7"/>
  <c r="T80" i="7" s="1"/>
  <c r="L78" i="7"/>
  <c r="M79" i="7" s="1"/>
  <c r="I78" i="7" s="1"/>
  <c r="L129" i="7"/>
  <c r="M130" i="7" s="1"/>
  <c r="I129" i="7" s="1"/>
  <c r="I131" i="7"/>
  <c r="T131" i="7" s="1"/>
  <c r="L117" i="7"/>
  <c r="M117" i="7" s="1"/>
  <c r="I16" i="7"/>
  <c r="K16" i="7" s="1"/>
  <c r="J15" i="7"/>
  <c r="M15" i="7" s="1"/>
  <c r="J118" i="7"/>
  <c r="M118" i="7" s="1"/>
  <c r="I118" i="7"/>
  <c r="K118" i="7" s="1"/>
  <c r="L118" i="7"/>
  <c r="L15" i="7"/>
  <c r="I119" i="7"/>
  <c r="K119" i="7" s="1"/>
  <c r="M69" i="7"/>
  <c r="I17" i="7"/>
  <c r="K17" i="7" s="1"/>
  <c r="K67" i="7"/>
  <c r="M67" i="7" s="1"/>
  <c r="I120" i="7"/>
  <c r="K120" i="7" s="1"/>
  <c r="T68" i="7"/>
  <c r="T70" i="7" s="1"/>
  <c r="T92" i="7" s="1"/>
  <c r="R118" i="7"/>
  <c r="T118" i="7" s="1"/>
  <c r="T121" i="7" s="1"/>
  <c r="T143" i="7" s="1"/>
  <c r="J120" i="7"/>
  <c r="L17" i="7"/>
  <c r="L18" i="7"/>
  <c r="M18" i="7" s="1"/>
  <c r="J16" i="7"/>
  <c r="J119" i="7"/>
  <c r="L16" i="7"/>
  <c r="L119" i="7"/>
  <c r="J17" i="7"/>
  <c r="M17" i="7" s="1"/>
  <c r="M68" i="7"/>
  <c r="M66" i="7"/>
  <c r="M70" i="7" s="1"/>
  <c r="M94" i="7" s="1"/>
  <c r="I92" i="7" s="1"/>
  <c r="M91" i="1"/>
  <c r="T75" i="1"/>
  <c r="L130" i="1"/>
  <c r="M142" i="1"/>
  <c r="I43" i="11" l="1"/>
  <c r="I92" i="9"/>
  <c r="M97" i="9"/>
  <c r="I90" i="9" s="1"/>
  <c r="I94" i="9" s="1"/>
  <c r="M95" i="13"/>
  <c r="I90" i="13" s="1"/>
  <c r="I133" i="9"/>
  <c r="T129" i="9"/>
  <c r="T39" i="13"/>
  <c r="T43" i="13" s="1"/>
  <c r="I43" i="13"/>
  <c r="T82" i="13"/>
  <c r="T141" i="13"/>
  <c r="T145" i="13" s="1"/>
  <c r="I145" i="13"/>
  <c r="M95" i="11"/>
  <c r="I90" i="11" s="1"/>
  <c r="T90" i="11" s="1"/>
  <c r="T94" i="11" s="1"/>
  <c r="T141" i="11"/>
  <c r="T145" i="11" s="1"/>
  <c r="I145" i="11"/>
  <c r="T43" i="11"/>
  <c r="T31" i="11"/>
  <c r="T39" i="10"/>
  <c r="T43" i="10" s="1"/>
  <c r="I43" i="10"/>
  <c r="T90" i="10"/>
  <c r="T94" i="10" s="1"/>
  <c r="I94" i="10"/>
  <c r="T141" i="10"/>
  <c r="T145" i="10" s="1"/>
  <c r="I145" i="10"/>
  <c r="M148" i="9"/>
  <c r="I141" i="9" s="1"/>
  <c r="I145" i="9" s="1"/>
  <c r="I41" i="9"/>
  <c r="T133" i="9"/>
  <c r="T82" i="9"/>
  <c r="T27" i="9"/>
  <c r="I31" i="9"/>
  <c r="M41" i="9"/>
  <c r="T39" i="9" s="1"/>
  <c r="M19" i="8"/>
  <c r="M43" i="8" s="1"/>
  <c r="I41" i="8" s="1"/>
  <c r="M143" i="8"/>
  <c r="T129" i="8"/>
  <c r="I133" i="8"/>
  <c r="I94" i="8"/>
  <c r="T94" i="8"/>
  <c r="T82" i="8"/>
  <c r="M121" i="8"/>
  <c r="M145" i="8" s="1"/>
  <c r="I143" i="8" s="1"/>
  <c r="M41" i="8"/>
  <c r="M44" i="8" s="1"/>
  <c r="I39" i="8" s="1"/>
  <c r="T39" i="8" s="1"/>
  <c r="T27" i="8"/>
  <c r="I31" i="8"/>
  <c r="T129" i="7"/>
  <c r="I133" i="7"/>
  <c r="M143" i="7"/>
  <c r="M119" i="7"/>
  <c r="I82" i="7"/>
  <c r="M92" i="7"/>
  <c r="M95" i="7" s="1"/>
  <c r="I90" i="7" s="1"/>
  <c r="T90" i="7" s="1"/>
  <c r="T78" i="7"/>
  <c r="M16" i="7"/>
  <c r="M19" i="7" s="1"/>
  <c r="M43" i="7" s="1"/>
  <c r="I41" i="7" s="1"/>
  <c r="M120" i="7"/>
  <c r="M121" i="7" s="1"/>
  <c r="M145" i="7" s="1"/>
  <c r="I143" i="7" s="1"/>
  <c r="T27" i="7"/>
  <c r="I31" i="7"/>
  <c r="M41" i="7"/>
  <c r="O29" i="1"/>
  <c r="E29" i="1"/>
  <c r="I37" i="1"/>
  <c r="B34" i="1"/>
  <c r="M42" i="1" s="1"/>
  <c r="T90" i="13" l="1"/>
  <c r="T94" i="13" s="1"/>
  <c r="I94" i="13"/>
  <c r="I94" i="11"/>
  <c r="T141" i="9"/>
  <c r="T145" i="9" s="1"/>
  <c r="T43" i="9"/>
  <c r="T31" i="9"/>
  <c r="I43" i="9"/>
  <c r="T90" i="9"/>
  <c r="T94" i="9" s="1"/>
  <c r="I43" i="8"/>
  <c r="T43" i="8"/>
  <c r="T31" i="8"/>
  <c r="T133" i="8"/>
  <c r="M146" i="8"/>
  <c r="I141" i="8" s="1"/>
  <c r="T31" i="7"/>
  <c r="T133" i="7"/>
  <c r="T82" i="7"/>
  <c r="T94" i="7"/>
  <c r="I94" i="7"/>
  <c r="M146" i="7"/>
  <c r="I141" i="7" s="1"/>
  <c r="M44" i="7"/>
  <c r="I39" i="7" s="1"/>
  <c r="O41" i="1"/>
  <c r="T141" i="8" l="1"/>
  <c r="T145" i="8" s="1"/>
  <c r="I145" i="8"/>
  <c r="T141" i="7"/>
  <c r="T145" i="7" s="1"/>
  <c r="I145" i="7"/>
  <c r="T39" i="7"/>
  <c r="T43" i="7" s="1"/>
  <c r="I43" i="7"/>
  <c r="S118" i="1" l="1"/>
  <c r="S117" i="1"/>
  <c r="Q118" i="1"/>
  <c r="P119" i="1" s="1"/>
  <c r="Q119" i="1"/>
  <c r="Q120" i="1"/>
  <c r="Q117" i="1"/>
  <c r="P118" i="1" s="1"/>
  <c r="S120" i="1"/>
  <c r="R120" i="1"/>
  <c r="S67" i="1"/>
  <c r="S68" i="1"/>
  <c r="S69" i="1"/>
  <c r="S66" i="1"/>
  <c r="P69" i="1"/>
  <c r="R69" i="1" s="1"/>
  <c r="Q67" i="1"/>
  <c r="P68" i="1" s="1"/>
  <c r="Q68" i="1"/>
  <c r="Q69" i="1"/>
  <c r="Q66" i="1"/>
  <c r="P67" i="1" s="1"/>
  <c r="M111" i="1"/>
  <c r="R117" i="1" s="1"/>
  <c r="M60" i="1"/>
  <c r="R66" i="1" s="1"/>
  <c r="M9" i="1"/>
  <c r="R15" i="1" s="1"/>
  <c r="L113" i="1"/>
  <c r="N113" i="1" s="1"/>
  <c r="S119" i="1" s="1"/>
  <c r="L112" i="1"/>
  <c r="N112" i="1" s="1"/>
  <c r="L111" i="1"/>
  <c r="N111" i="1" s="1"/>
  <c r="L62" i="1"/>
  <c r="N62" i="1" s="1"/>
  <c r="L61" i="1"/>
  <c r="N61" i="1" s="1"/>
  <c r="L60" i="1"/>
  <c r="N60" i="1" s="1"/>
  <c r="T37" i="1"/>
  <c r="L10" i="1"/>
  <c r="Q16" i="1"/>
  <c r="P17" i="1" s="1"/>
  <c r="Q17" i="1"/>
  <c r="P18" i="1" s="1"/>
  <c r="Q15" i="1"/>
  <c r="P16" i="1" s="1"/>
  <c r="S15" i="1"/>
  <c r="L9" i="1"/>
  <c r="N9" i="1" s="1"/>
  <c r="B137" i="1"/>
  <c r="E118" i="1"/>
  <c r="E119" i="1"/>
  <c r="E120" i="1"/>
  <c r="H112" i="1"/>
  <c r="K112" i="1" s="1"/>
  <c r="H113" i="1"/>
  <c r="H111" i="1"/>
  <c r="K111" i="1" s="1"/>
  <c r="E68" i="1"/>
  <c r="E69" i="1"/>
  <c r="E67" i="1"/>
  <c r="E117" i="1"/>
  <c r="C119" i="1"/>
  <c r="C120" i="1"/>
  <c r="C118" i="1"/>
  <c r="B136" i="1"/>
  <c r="M144" i="1" s="1"/>
  <c r="B85" i="1"/>
  <c r="M93" i="1" s="1"/>
  <c r="D120" i="1"/>
  <c r="D119" i="1"/>
  <c r="D118" i="1"/>
  <c r="C117" i="1"/>
  <c r="E113" i="1"/>
  <c r="G113" i="1" s="1"/>
  <c r="E112" i="1"/>
  <c r="G112" i="1" s="1"/>
  <c r="J111" i="1"/>
  <c r="K117" i="1" s="1"/>
  <c r="F111" i="1"/>
  <c r="D117" i="1" s="1"/>
  <c r="E111" i="1"/>
  <c r="G111" i="1" s="1"/>
  <c r="C69" i="1"/>
  <c r="C67" i="1"/>
  <c r="C68" i="1"/>
  <c r="E66" i="1"/>
  <c r="D69" i="1"/>
  <c r="H61" i="1"/>
  <c r="K61" i="1" s="1"/>
  <c r="H62" i="1"/>
  <c r="H60" i="1"/>
  <c r="K60" i="1" s="1"/>
  <c r="E60" i="1"/>
  <c r="G60" i="1" s="1"/>
  <c r="B86" i="1"/>
  <c r="E92" i="1" s="1"/>
  <c r="D68" i="1"/>
  <c r="D67" i="1"/>
  <c r="C66" i="1"/>
  <c r="E62" i="1"/>
  <c r="G62" i="1" s="1"/>
  <c r="E61" i="1"/>
  <c r="G61" i="1" s="1"/>
  <c r="J60" i="1"/>
  <c r="K66" i="1" s="1"/>
  <c r="F60" i="1"/>
  <c r="D66" i="1" s="1"/>
  <c r="J9" i="1"/>
  <c r="B35" i="1"/>
  <c r="E41" i="1" s="1"/>
  <c r="H10" i="1"/>
  <c r="H11" i="1"/>
  <c r="H9" i="1"/>
  <c r="E17" i="1"/>
  <c r="E18" i="1"/>
  <c r="C17" i="1"/>
  <c r="C18" i="1"/>
  <c r="C16" i="1"/>
  <c r="B17" i="1" s="1"/>
  <c r="C15" i="1"/>
  <c r="B16" i="1" s="1"/>
  <c r="F9" i="1"/>
  <c r="E11" i="1"/>
  <c r="G11" i="1" s="1"/>
  <c r="E10" i="1"/>
  <c r="G10" i="1" s="1"/>
  <c r="E16" i="1" s="1"/>
  <c r="E9" i="1"/>
  <c r="E143" i="1" l="1"/>
  <c r="AA190" i="1"/>
  <c r="S17" i="1"/>
  <c r="R18" i="1" s="1"/>
  <c r="T18" i="1" s="1"/>
  <c r="E15" i="1"/>
  <c r="D16" i="1" s="1"/>
  <c r="G9" i="1"/>
  <c r="R119" i="1"/>
  <c r="T119" i="1" s="1"/>
  <c r="R67" i="1"/>
  <c r="T67" i="1" s="1"/>
  <c r="I61" i="1"/>
  <c r="I113" i="1"/>
  <c r="K113" i="1" s="1"/>
  <c r="T69" i="1"/>
  <c r="R68" i="1"/>
  <c r="T68" i="1" s="1"/>
  <c r="N10" i="1"/>
  <c r="S16" i="1" s="1"/>
  <c r="R118" i="1"/>
  <c r="T118" i="1" s="1"/>
  <c r="T117" i="1"/>
  <c r="T120" i="1"/>
  <c r="T66" i="1"/>
  <c r="I111" i="1"/>
  <c r="I112" i="1"/>
  <c r="F120" i="1"/>
  <c r="F66" i="1"/>
  <c r="F119" i="1"/>
  <c r="F118" i="1"/>
  <c r="F117" i="1"/>
  <c r="I60" i="1"/>
  <c r="I62" i="1"/>
  <c r="K62" i="1" s="1"/>
  <c r="F67" i="1"/>
  <c r="F68" i="1"/>
  <c r="F69" i="1"/>
  <c r="I24" i="1"/>
  <c r="T24" i="1" s="1"/>
  <c r="D18" i="1"/>
  <c r="D17" i="1"/>
  <c r="K10" i="1"/>
  <c r="K15" i="1"/>
  <c r="K9" i="1"/>
  <c r="D15" i="1"/>
  <c r="L192" i="1" l="1"/>
  <c r="K193" i="1" s="1"/>
  <c r="M193" i="1" s="1"/>
  <c r="K191" i="1"/>
  <c r="K192" i="1"/>
  <c r="T70" i="1"/>
  <c r="T92" i="1" s="1"/>
  <c r="T121" i="1"/>
  <c r="T143" i="1" s="1"/>
  <c r="L120" i="1"/>
  <c r="I118" i="1"/>
  <c r="K118" i="1" s="1"/>
  <c r="L118" i="1"/>
  <c r="L117" i="1"/>
  <c r="J118" i="1"/>
  <c r="L119" i="1"/>
  <c r="J119" i="1"/>
  <c r="J117" i="1"/>
  <c r="I120" i="1"/>
  <c r="K120" i="1" s="1"/>
  <c r="J120" i="1"/>
  <c r="I119" i="1"/>
  <c r="K119" i="1" s="1"/>
  <c r="I67" i="1"/>
  <c r="I68" i="1"/>
  <c r="K68" i="1" s="1"/>
  <c r="I69" i="1"/>
  <c r="K69" i="1" s="1"/>
  <c r="F121" i="1"/>
  <c r="L68" i="1"/>
  <c r="L69" i="1"/>
  <c r="L66" i="1"/>
  <c r="J69" i="1"/>
  <c r="J68" i="1"/>
  <c r="J67" i="1"/>
  <c r="J66" i="1"/>
  <c r="L67" i="1"/>
  <c r="F70" i="1"/>
  <c r="I10" i="1"/>
  <c r="I11" i="1"/>
  <c r="I9" i="1"/>
  <c r="M40" i="1"/>
  <c r="L28" i="1"/>
  <c r="F16" i="1"/>
  <c r="F17" i="1"/>
  <c r="F18" i="1"/>
  <c r="F15" i="1"/>
  <c r="M190" i="1" l="1"/>
  <c r="Y191" i="1"/>
  <c r="AA191" i="1" s="1"/>
  <c r="Y192" i="1"/>
  <c r="AA192" i="1" s="1"/>
  <c r="M192" i="1"/>
  <c r="M191" i="1"/>
  <c r="I131" i="1"/>
  <c r="T131" i="1" s="1"/>
  <c r="L129" i="1"/>
  <c r="M130" i="1" s="1"/>
  <c r="I129" i="1" s="1"/>
  <c r="I80" i="1"/>
  <c r="T80" i="1" s="1"/>
  <c r="L78" i="1"/>
  <c r="M79" i="1" s="1"/>
  <c r="I78" i="1" s="1"/>
  <c r="T78" i="1" s="1"/>
  <c r="T82" i="1" s="1"/>
  <c r="T15" i="1"/>
  <c r="R16" i="1"/>
  <c r="K11" i="1"/>
  <c r="R17" i="1"/>
  <c r="M120" i="1"/>
  <c r="M117" i="1"/>
  <c r="M118" i="1"/>
  <c r="K67" i="1"/>
  <c r="M67" i="1" s="1"/>
  <c r="M119" i="1"/>
  <c r="M68" i="1"/>
  <c r="M69" i="1"/>
  <c r="M66" i="1"/>
  <c r="L16" i="1"/>
  <c r="L18" i="1"/>
  <c r="J17" i="1"/>
  <c r="J16" i="1"/>
  <c r="L17" i="1"/>
  <c r="L15" i="1"/>
  <c r="J18" i="1"/>
  <c r="J15" i="1"/>
  <c r="I16" i="1"/>
  <c r="I18" i="1"/>
  <c r="K18" i="1" s="1"/>
  <c r="I17" i="1"/>
  <c r="F19" i="1"/>
  <c r="M194" i="1" l="1"/>
  <c r="I218" i="1" s="1"/>
  <c r="I222" i="1" s="1"/>
  <c r="I224" i="1" s="1"/>
  <c r="AA194" i="1"/>
  <c r="I133" i="1"/>
  <c r="T129" i="1"/>
  <c r="M143" i="1"/>
  <c r="M92" i="1"/>
  <c r="I82" i="1"/>
  <c r="T17" i="1"/>
  <c r="T16" i="1"/>
  <c r="M121" i="1"/>
  <c r="M145" i="1" s="1"/>
  <c r="I143" i="1" s="1"/>
  <c r="M70" i="1"/>
  <c r="M94" i="1" s="1"/>
  <c r="I92" i="1" s="1"/>
  <c r="K17" i="1"/>
  <c r="M17" i="1" s="1"/>
  <c r="K16" i="1"/>
  <c r="M16" i="1" s="1"/>
  <c r="M15" i="1"/>
  <c r="I29" i="1"/>
  <c r="T29" i="1" s="1"/>
  <c r="L27" i="1"/>
  <c r="M28" i="1" s="1"/>
  <c r="I27" i="1" s="1"/>
  <c r="M18" i="1"/>
  <c r="O218" i="1" l="1"/>
  <c r="O222" i="1" s="1"/>
  <c r="T133" i="1"/>
  <c r="M146" i="1"/>
  <c r="I141" i="1" s="1"/>
  <c r="M95" i="1"/>
  <c r="I90" i="1" s="1"/>
  <c r="T27" i="1"/>
  <c r="T31" i="1" s="1"/>
  <c r="T19" i="1"/>
  <c r="T41" i="1" s="1"/>
  <c r="M19" i="1"/>
  <c r="M43" i="1" s="1"/>
  <c r="I41" i="1" s="1"/>
  <c r="M41" i="1"/>
  <c r="I31" i="1"/>
  <c r="O224" i="1" l="1"/>
  <c r="N230" i="1" s="1"/>
  <c r="T141" i="1"/>
  <c r="T145" i="1" s="1"/>
  <c r="I145" i="1"/>
  <c r="I94" i="1"/>
  <c r="T90" i="1"/>
  <c r="T94" i="1" s="1"/>
  <c r="M44" i="1"/>
  <c r="I39" i="1" s="1"/>
  <c r="I43" i="1" s="1"/>
  <c r="T39" i="1" l="1"/>
  <c r="T43" i="1" s="1"/>
</calcChain>
</file>

<file path=xl/comments1.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 ref="B183" authorId="0" shapeId="0">
      <text>
        <r>
          <rPr>
            <sz val="9"/>
            <color indexed="81"/>
            <rFont val="Tahoma"/>
            <family val="2"/>
          </rPr>
          <t>Offer MW submitted in Markets Gateway</t>
        </r>
      </text>
    </comment>
    <comment ref="C183" authorId="0" shapeId="0">
      <text>
        <r>
          <rPr>
            <sz val="9"/>
            <color indexed="81"/>
            <rFont val="Tahoma"/>
            <family val="2"/>
          </rPr>
          <t>MW of next Segment</t>
        </r>
      </text>
    </comment>
    <comment ref="H183"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89" authorId="0" shapeId="0">
      <text>
        <r>
          <rPr>
            <sz val="9"/>
            <color indexed="81"/>
            <rFont val="Tahoma"/>
            <family val="2"/>
          </rPr>
          <t>Offer MW submitted in Markets Gateway</t>
        </r>
      </text>
    </comment>
    <comment ref="C189" authorId="0" shapeId="0">
      <text>
        <r>
          <rPr>
            <sz val="9"/>
            <color indexed="81"/>
            <rFont val="Tahoma"/>
            <family val="2"/>
          </rPr>
          <t>MW of next Segment</t>
        </r>
      </text>
    </comment>
    <comment ref="I189" authorId="0" shapeId="0">
      <text>
        <r>
          <rPr>
            <sz val="9"/>
            <color indexed="81"/>
            <rFont val="Tahoma"/>
            <family val="2"/>
          </rPr>
          <t>Offer MW submitted in Markets Gateway</t>
        </r>
      </text>
    </comment>
    <comment ref="J189" authorId="0" shapeId="0">
      <text>
        <r>
          <rPr>
            <sz val="9"/>
            <color indexed="81"/>
            <rFont val="Tahoma"/>
            <family val="2"/>
          </rPr>
          <t>MW of next Segment</t>
        </r>
      </text>
    </comment>
    <comment ref="P189" authorId="0" shapeId="0">
      <text>
        <r>
          <rPr>
            <sz val="9"/>
            <color indexed="81"/>
            <rFont val="Tahoma"/>
            <family val="2"/>
          </rPr>
          <t>Offer MW submitted in Markets Gateway</t>
        </r>
      </text>
    </comment>
    <comment ref="Q189" authorId="0" shapeId="0">
      <text>
        <r>
          <rPr>
            <sz val="9"/>
            <color indexed="81"/>
            <rFont val="Tahoma"/>
            <family val="2"/>
          </rPr>
          <t>MW of next Segment</t>
        </r>
      </text>
    </comment>
    <comment ref="W189" authorId="0" shapeId="0">
      <text>
        <r>
          <rPr>
            <sz val="9"/>
            <color indexed="81"/>
            <rFont val="Tahoma"/>
            <family val="2"/>
          </rPr>
          <t>Offer MW submitted in Markets Gateway</t>
        </r>
      </text>
    </comment>
    <comment ref="X189" authorId="0" shapeId="0">
      <text>
        <r>
          <rPr>
            <sz val="9"/>
            <color indexed="81"/>
            <rFont val="Tahoma"/>
            <family val="2"/>
          </rPr>
          <t>MW of next Segment</t>
        </r>
      </text>
    </comment>
  </commentList>
</comments>
</file>

<file path=xl/comments2.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 ref="B181" authorId="0" shapeId="0">
      <text>
        <r>
          <rPr>
            <sz val="9"/>
            <color indexed="81"/>
            <rFont val="Tahoma"/>
            <family val="2"/>
          </rPr>
          <t>Offer MW submitted in Markets Gateway</t>
        </r>
      </text>
    </comment>
    <comment ref="C181" authorId="0" shapeId="0">
      <text>
        <r>
          <rPr>
            <sz val="9"/>
            <color indexed="81"/>
            <rFont val="Tahoma"/>
            <family val="2"/>
          </rPr>
          <t>MW of next Segment</t>
        </r>
      </text>
    </comment>
    <comment ref="H181"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87" authorId="0" shapeId="0">
      <text>
        <r>
          <rPr>
            <sz val="9"/>
            <color indexed="81"/>
            <rFont val="Tahoma"/>
            <family val="2"/>
          </rPr>
          <t>Offer MW submitted in Markets Gateway</t>
        </r>
      </text>
    </comment>
    <comment ref="C187" authorId="0" shapeId="0">
      <text>
        <r>
          <rPr>
            <sz val="9"/>
            <color indexed="81"/>
            <rFont val="Tahoma"/>
            <family val="2"/>
          </rPr>
          <t>MW of next Segment</t>
        </r>
      </text>
    </comment>
    <comment ref="I187" authorId="0" shapeId="0">
      <text>
        <r>
          <rPr>
            <sz val="9"/>
            <color indexed="81"/>
            <rFont val="Tahoma"/>
            <family val="2"/>
          </rPr>
          <t>Offer MW submitted in Markets Gateway</t>
        </r>
      </text>
    </comment>
    <comment ref="J187" authorId="0" shapeId="0">
      <text>
        <r>
          <rPr>
            <sz val="9"/>
            <color indexed="81"/>
            <rFont val="Tahoma"/>
            <family val="2"/>
          </rPr>
          <t>MW of next Segment</t>
        </r>
      </text>
    </comment>
    <comment ref="P187" authorId="0" shapeId="0">
      <text>
        <r>
          <rPr>
            <sz val="9"/>
            <color indexed="81"/>
            <rFont val="Tahoma"/>
            <family val="2"/>
          </rPr>
          <t>Offer MW submitted in Markets Gateway</t>
        </r>
      </text>
    </comment>
    <comment ref="Q187" authorId="0" shapeId="0">
      <text>
        <r>
          <rPr>
            <sz val="9"/>
            <color indexed="81"/>
            <rFont val="Tahoma"/>
            <family val="2"/>
          </rPr>
          <t>MW of next Segment</t>
        </r>
      </text>
    </comment>
    <comment ref="W187" authorId="0" shapeId="0">
      <text>
        <r>
          <rPr>
            <sz val="9"/>
            <color indexed="81"/>
            <rFont val="Tahoma"/>
            <family val="2"/>
          </rPr>
          <t>Offer MW submitted in Markets Gateway</t>
        </r>
      </text>
    </comment>
    <comment ref="X187" authorId="0" shapeId="0">
      <text>
        <r>
          <rPr>
            <sz val="9"/>
            <color indexed="81"/>
            <rFont val="Tahoma"/>
            <family val="2"/>
          </rPr>
          <t>MW of next Segment</t>
        </r>
      </text>
    </comment>
  </commentList>
</comments>
</file>

<file path=xl/comments3.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 ref="B183" authorId="0" shapeId="0">
      <text>
        <r>
          <rPr>
            <sz val="9"/>
            <color indexed="81"/>
            <rFont val="Tahoma"/>
            <family val="2"/>
          </rPr>
          <t>Offer MW submitted in Markets Gateway</t>
        </r>
      </text>
    </comment>
    <comment ref="C183" authorId="0" shapeId="0">
      <text>
        <r>
          <rPr>
            <sz val="9"/>
            <color indexed="81"/>
            <rFont val="Tahoma"/>
            <family val="2"/>
          </rPr>
          <t>MW of next Segment</t>
        </r>
      </text>
    </comment>
    <comment ref="H183"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89" authorId="0" shapeId="0">
      <text>
        <r>
          <rPr>
            <sz val="9"/>
            <color indexed="81"/>
            <rFont val="Tahoma"/>
            <family val="2"/>
          </rPr>
          <t>Offer MW submitted in Markets Gateway</t>
        </r>
      </text>
    </comment>
    <comment ref="C189" authorId="0" shapeId="0">
      <text>
        <r>
          <rPr>
            <sz val="9"/>
            <color indexed="81"/>
            <rFont val="Tahoma"/>
            <family val="2"/>
          </rPr>
          <t>MW of next Segment</t>
        </r>
      </text>
    </comment>
    <comment ref="I189" authorId="0" shapeId="0">
      <text>
        <r>
          <rPr>
            <sz val="9"/>
            <color indexed="81"/>
            <rFont val="Tahoma"/>
            <family val="2"/>
          </rPr>
          <t>Offer MW submitted in Markets Gateway</t>
        </r>
      </text>
    </comment>
    <comment ref="J189" authorId="0" shapeId="0">
      <text>
        <r>
          <rPr>
            <sz val="9"/>
            <color indexed="81"/>
            <rFont val="Tahoma"/>
            <family val="2"/>
          </rPr>
          <t>MW of next Segment</t>
        </r>
      </text>
    </comment>
    <comment ref="P189" authorId="0" shapeId="0">
      <text>
        <r>
          <rPr>
            <sz val="9"/>
            <color indexed="81"/>
            <rFont val="Tahoma"/>
            <family val="2"/>
          </rPr>
          <t>Offer MW submitted in Markets Gateway</t>
        </r>
      </text>
    </comment>
    <comment ref="Q189" authorId="0" shapeId="0">
      <text>
        <r>
          <rPr>
            <sz val="9"/>
            <color indexed="81"/>
            <rFont val="Tahoma"/>
            <family val="2"/>
          </rPr>
          <t>MW of next Segment</t>
        </r>
      </text>
    </comment>
    <comment ref="W189" authorId="0" shapeId="0">
      <text>
        <r>
          <rPr>
            <sz val="9"/>
            <color indexed="81"/>
            <rFont val="Tahoma"/>
            <family val="2"/>
          </rPr>
          <t>Offer MW submitted in Markets Gateway</t>
        </r>
      </text>
    </comment>
    <comment ref="X189" authorId="0" shapeId="0">
      <text>
        <r>
          <rPr>
            <sz val="9"/>
            <color indexed="81"/>
            <rFont val="Tahoma"/>
            <family val="2"/>
          </rPr>
          <t>MW of next Segment</t>
        </r>
      </text>
    </comment>
  </commentList>
</comments>
</file>

<file path=xl/comments4.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 ref="B184" authorId="0" shapeId="0">
      <text>
        <r>
          <rPr>
            <sz val="9"/>
            <color indexed="81"/>
            <rFont val="Tahoma"/>
            <family val="2"/>
          </rPr>
          <t>Offer MW submitted in Markets Gateway</t>
        </r>
      </text>
    </comment>
    <comment ref="C184" authorId="0" shapeId="0">
      <text>
        <r>
          <rPr>
            <sz val="9"/>
            <color indexed="81"/>
            <rFont val="Tahoma"/>
            <family val="2"/>
          </rPr>
          <t>MW of next Segment</t>
        </r>
      </text>
    </comment>
    <comment ref="H184"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90" authorId="0" shapeId="0">
      <text>
        <r>
          <rPr>
            <sz val="9"/>
            <color indexed="81"/>
            <rFont val="Tahoma"/>
            <family val="2"/>
          </rPr>
          <t>Offer MW submitted in Markets Gateway</t>
        </r>
      </text>
    </comment>
    <comment ref="C190" authorId="0" shapeId="0">
      <text>
        <r>
          <rPr>
            <sz val="9"/>
            <color indexed="81"/>
            <rFont val="Tahoma"/>
            <family val="2"/>
          </rPr>
          <t>MW of next Segment</t>
        </r>
      </text>
    </comment>
    <comment ref="I190" authorId="0" shapeId="0">
      <text>
        <r>
          <rPr>
            <sz val="9"/>
            <color indexed="81"/>
            <rFont val="Tahoma"/>
            <family val="2"/>
          </rPr>
          <t>Offer MW submitted in Markets Gateway</t>
        </r>
      </text>
    </comment>
    <comment ref="J190" authorId="0" shapeId="0">
      <text>
        <r>
          <rPr>
            <sz val="9"/>
            <color indexed="81"/>
            <rFont val="Tahoma"/>
            <family val="2"/>
          </rPr>
          <t>MW of next Segment</t>
        </r>
      </text>
    </comment>
    <comment ref="P190" authorId="0" shapeId="0">
      <text>
        <r>
          <rPr>
            <sz val="9"/>
            <color indexed="81"/>
            <rFont val="Tahoma"/>
            <family val="2"/>
          </rPr>
          <t>Offer MW submitted in Markets Gateway</t>
        </r>
      </text>
    </comment>
    <comment ref="Q190" authorId="0" shapeId="0">
      <text>
        <r>
          <rPr>
            <sz val="9"/>
            <color indexed="81"/>
            <rFont val="Tahoma"/>
            <family val="2"/>
          </rPr>
          <t>MW of next Segment</t>
        </r>
      </text>
    </comment>
    <comment ref="W190" authorId="0" shapeId="0">
      <text>
        <r>
          <rPr>
            <sz val="9"/>
            <color indexed="81"/>
            <rFont val="Tahoma"/>
            <family val="2"/>
          </rPr>
          <t>Offer MW submitted in Markets Gateway</t>
        </r>
      </text>
    </comment>
    <comment ref="X190" authorId="0" shapeId="0">
      <text>
        <r>
          <rPr>
            <sz val="9"/>
            <color indexed="81"/>
            <rFont val="Tahoma"/>
            <family val="2"/>
          </rPr>
          <t>MW of next Segment</t>
        </r>
      </text>
    </comment>
  </commentList>
</comments>
</file>

<file path=xl/comments5.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 ref="B181" authorId="0" shapeId="0">
      <text>
        <r>
          <rPr>
            <sz val="9"/>
            <color indexed="81"/>
            <rFont val="Tahoma"/>
            <family val="2"/>
          </rPr>
          <t>Offer MW submitted in Markets Gateway</t>
        </r>
      </text>
    </comment>
    <comment ref="C181" authorId="0" shapeId="0">
      <text>
        <r>
          <rPr>
            <sz val="9"/>
            <color indexed="81"/>
            <rFont val="Tahoma"/>
            <family val="2"/>
          </rPr>
          <t>MW of next Segment</t>
        </r>
      </text>
    </comment>
    <comment ref="H181"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87" authorId="0" shapeId="0">
      <text>
        <r>
          <rPr>
            <sz val="9"/>
            <color indexed="81"/>
            <rFont val="Tahoma"/>
            <family val="2"/>
          </rPr>
          <t>Offer MW submitted in Markets Gateway</t>
        </r>
      </text>
    </comment>
    <comment ref="C187" authorId="0" shapeId="0">
      <text>
        <r>
          <rPr>
            <sz val="9"/>
            <color indexed="81"/>
            <rFont val="Tahoma"/>
            <family val="2"/>
          </rPr>
          <t>MW of next Segment</t>
        </r>
      </text>
    </comment>
    <comment ref="I187" authorId="0" shapeId="0">
      <text>
        <r>
          <rPr>
            <sz val="9"/>
            <color indexed="81"/>
            <rFont val="Tahoma"/>
            <family val="2"/>
          </rPr>
          <t>Offer MW submitted in Markets Gateway</t>
        </r>
      </text>
    </comment>
    <comment ref="J187" authorId="0" shapeId="0">
      <text>
        <r>
          <rPr>
            <sz val="9"/>
            <color indexed="81"/>
            <rFont val="Tahoma"/>
            <family val="2"/>
          </rPr>
          <t>MW of next Segment</t>
        </r>
      </text>
    </comment>
    <comment ref="P187" authorId="0" shapeId="0">
      <text>
        <r>
          <rPr>
            <sz val="9"/>
            <color indexed="81"/>
            <rFont val="Tahoma"/>
            <family val="2"/>
          </rPr>
          <t>Offer MW submitted in Markets Gateway</t>
        </r>
      </text>
    </comment>
    <comment ref="Q187" authorId="0" shapeId="0">
      <text>
        <r>
          <rPr>
            <sz val="9"/>
            <color indexed="81"/>
            <rFont val="Tahoma"/>
            <family val="2"/>
          </rPr>
          <t>MW of next Segment</t>
        </r>
      </text>
    </comment>
    <comment ref="W187" authorId="0" shapeId="0">
      <text>
        <r>
          <rPr>
            <sz val="9"/>
            <color indexed="81"/>
            <rFont val="Tahoma"/>
            <family val="2"/>
          </rPr>
          <t>Offer MW submitted in Markets Gateway</t>
        </r>
      </text>
    </comment>
    <comment ref="X187" authorId="0" shapeId="0">
      <text>
        <r>
          <rPr>
            <sz val="9"/>
            <color indexed="81"/>
            <rFont val="Tahoma"/>
            <family val="2"/>
          </rPr>
          <t>MW of next Segment</t>
        </r>
      </text>
    </comment>
  </commentList>
</comments>
</file>

<file path=xl/comments6.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 ref="B183" authorId="0" shapeId="0">
      <text>
        <r>
          <rPr>
            <sz val="9"/>
            <color indexed="81"/>
            <rFont val="Tahoma"/>
            <family val="2"/>
          </rPr>
          <t>Offer MW submitted in Markets Gateway</t>
        </r>
      </text>
    </comment>
    <comment ref="C183" authorId="0" shapeId="0">
      <text>
        <r>
          <rPr>
            <sz val="9"/>
            <color indexed="81"/>
            <rFont val="Tahoma"/>
            <family val="2"/>
          </rPr>
          <t>MW of next Segment</t>
        </r>
      </text>
    </comment>
    <comment ref="H183"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89" authorId="0" shapeId="0">
      <text>
        <r>
          <rPr>
            <sz val="9"/>
            <color indexed="81"/>
            <rFont val="Tahoma"/>
            <family val="2"/>
          </rPr>
          <t>Offer MW submitted in Markets Gateway</t>
        </r>
      </text>
    </comment>
    <comment ref="C189" authorId="0" shapeId="0">
      <text>
        <r>
          <rPr>
            <sz val="9"/>
            <color indexed="81"/>
            <rFont val="Tahoma"/>
            <family val="2"/>
          </rPr>
          <t>MW of next Segment</t>
        </r>
      </text>
    </comment>
    <comment ref="I189" authorId="0" shapeId="0">
      <text>
        <r>
          <rPr>
            <sz val="9"/>
            <color indexed="81"/>
            <rFont val="Tahoma"/>
            <family val="2"/>
          </rPr>
          <t>Offer MW submitted in Markets Gateway</t>
        </r>
      </text>
    </comment>
    <comment ref="J189" authorId="0" shapeId="0">
      <text>
        <r>
          <rPr>
            <sz val="9"/>
            <color indexed="81"/>
            <rFont val="Tahoma"/>
            <family val="2"/>
          </rPr>
          <t>MW of next Segment</t>
        </r>
      </text>
    </comment>
    <comment ref="P189" authorId="0" shapeId="0">
      <text>
        <r>
          <rPr>
            <sz val="9"/>
            <color indexed="81"/>
            <rFont val="Tahoma"/>
            <family val="2"/>
          </rPr>
          <t>Offer MW submitted in Markets Gateway</t>
        </r>
      </text>
    </comment>
    <comment ref="Q189" authorId="0" shapeId="0">
      <text>
        <r>
          <rPr>
            <sz val="9"/>
            <color indexed="81"/>
            <rFont val="Tahoma"/>
            <family val="2"/>
          </rPr>
          <t>MW of next Segment</t>
        </r>
      </text>
    </comment>
    <comment ref="W189" authorId="0" shapeId="0">
      <text>
        <r>
          <rPr>
            <sz val="9"/>
            <color indexed="81"/>
            <rFont val="Tahoma"/>
            <family val="2"/>
          </rPr>
          <t>Offer MW submitted in Markets Gateway</t>
        </r>
      </text>
    </comment>
    <comment ref="X189" authorId="0" shapeId="0">
      <text>
        <r>
          <rPr>
            <sz val="9"/>
            <color indexed="81"/>
            <rFont val="Tahoma"/>
            <family val="2"/>
          </rPr>
          <t>MW of next Segment</t>
        </r>
      </text>
    </comment>
  </commentList>
</comments>
</file>

<file path=xl/comments7.xml><?xml version="1.0" encoding="utf-8"?>
<comments xmlns="http://schemas.openxmlformats.org/spreadsheetml/2006/main">
  <authors>
    <author>SMK</author>
    <author>Morelli, Lisa K.</author>
  </authors>
  <commentList>
    <comment ref="B8" authorId="0" shapeId="0">
      <text>
        <r>
          <rPr>
            <sz val="9"/>
            <color indexed="81"/>
            <rFont val="Tahoma"/>
            <family val="2"/>
          </rPr>
          <t xml:space="preserve">
Offer MW submitted in Markets Gateway</t>
        </r>
      </text>
    </comment>
    <comment ref="C8" authorId="0" shapeId="0">
      <text>
        <r>
          <rPr>
            <sz val="9"/>
            <color indexed="81"/>
            <rFont val="Tahoma"/>
            <family val="2"/>
          </rPr>
          <t>MW of next Segment</t>
        </r>
      </text>
    </comment>
    <comment ref="H8" authorId="0" shapeId="0">
      <text>
        <r>
          <rPr>
            <sz val="9"/>
            <color indexed="81"/>
            <rFont val="Tahoma"/>
            <family val="2"/>
          </rPr>
          <t xml:space="preserve">
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4" authorId="0" shapeId="0">
      <text>
        <r>
          <rPr>
            <sz val="9"/>
            <color indexed="81"/>
            <rFont val="Tahoma"/>
            <family val="2"/>
          </rPr>
          <t>Offer MW submitted in Markets Gateway</t>
        </r>
      </text>
    </comment>
    <comment ref="C14" authorId="0" shapeId="0">
      <text>
        <r>
          <rPr>
            <sz val="9"/>
            <color indexed="81"/>
            <rFont val="Tahoma"/>
            <family val="2"/>
          </rPr>
          <t>MW of next Segment</t>
        </r>
      </text>
    </comment>
    <comment ref="B34" authorId="1" shapeId="0">
      <text>
        <r>
          <rPr>
            <sz val="9"/>
            <color indexed="81"/>
            <rFont val="Tahoma"/>
            <family val="2"/>
          </rPr>
          <t xml:space="preserve">Bal Value MW Used is the MW level used to determine what revenues (or value) will be used to offset costs in the calculation of BOR Credits.
This calculation has the result of using the Actual RT MW and excluding any MW that results in negative revenue that was not requested by PJM.
Examples of negative revenue are: buying out of DA position or over generation when RT LMP is negative and RT generation is greater than day-ahead cleared MW. </t>
        </r>
      </text>
    </comment>
    <comment ref="B35" authorId="1" shapeId="0">
      <text>
        <r>
          <rPr>
            <sz val="9"/>
            <color indexed="81"/>
            <rFont val="Tahoma"/>
            <family val="2"/>
          </rPr>
          <t>RT MW Used is the MW value to which the resource will be made whole.  
If Actual RT MW is within +/- 10% of Ramp Limited Desired, then RT MW Used = Actual RT MW. Otherwise, RT MW Used = the lesser of Actual or Desired MW.</t>
        </r>
      </text>
    </comment>
    <comment ref="B59" authorId="0" shapeId="0">
      <text>
        <r>
          <rPr>
            <sz val="9"/>
            <color indexed="81"/>
            <rFont val="Tahoma"/>
            <family val="2"/>
          </rPr>
          <t>Offer MW submitted in Markets Gateway</t>
        </r>
      </text>
    </comment>
    <comment ref="C59" authorId="0" shapeId="0">
      <text>
        <r>
          <rPr>
            <sz val="9"/>
            <color indexed="81"/>
            <rFont val="Tahoma"/>
            <family val="2"/>
          </rPr>
          <t>MW of next Segment</t>
        </r>
      </text>
    </comment>
    <comment ref="H59"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65" authorId="0" shapeId="0">
      <text>
        <r>
          <rPr>
            <sz val="9"/>
            <color indexed="81"/>
            <rFont val="Tahoma"/>
            <family val="2"/>
          </rPr>
          <t>Offer MW submitted in Markets Gateway</t>
        </r>
      </text>
    </comment>
    <comment ref="C65" authorId="0" shapeId="0">
      <text>
        <r>
          <rPr>
            <sz val="9"/>
            <color indexed="81"/>
            <rFont val="Tahoma"/>
            <family val="2"/>
          </rPr>
          <t>MW of next Segment</t>
        </r>
      </text>
    </comment>
    <comment ref="I65" authorId="0" shapeId="0">
      <text>
        <r>
          <rPr>
            <sz val="9"/>
            <color indexed="81"/>
            <rFont val="Tahoma"/>
            <family val="2"/>
          </rPr>
          <t>Offer MW submitted in Markets Gateway</t>
        </r>
      </text>
    </comment>
    <comment ref="J65" authorId="0" shapeId="0">
      <text>
        <r>
          <rPr>
            <sz val="9"/>
            <color indexed="81"/>
            <rFont val="Tahoma"/>
            <family val="2"/>
          </rPr>
          <t>MW of next Segment</t>
        </r>
      </text>
    </comment>
    <comment ref="P65" authorId="0" shapeId="0">
      <text>
        <r>
          <rPr>
            <sz val="9"/>
            <color indexed="81"/>
            <rFont val="Tahoma"/>
            <family val="2"/>
          </rPr>
          <t>Offer MW submitted in Markets Gateway</t>
        </r>
      </text>
    </comment>
    <comment ref="Q65" authorId="0" shapeId="0">
      <text>
        <r>
          <rPr>
            <sz val="9"/>
            <color indexed="81"/>
            <rFont val="Tahoma"/>
            <family val="2"/>
          </rPr>
          <t>MW of next Segment</t>
        </r>
      </text>
    </comment>
    <comment ref="B110" authorId="0" shapeId="0">
      <text>
        <r>
          <rPr>
            <sz val="9"/>
            <color indexed="81"/>
            <rFont val="Tahoma"/>
            <family val="2"/>
          </rPr>
          <t>Offer MW submitted in Markets Gateway</t>
        </r>
      </text>
    </comment>
    <comment ref="C110" authorId="0" shapeId="0">
      <text>
        <r>
          <rPr>
            <sz val="9"/>
            <color indexed="81"/>
            <rFont val="Tahoma"/>
            <family val="2"/>
          </rPr>
          <t>MW of next Segment</t>
        </r>
      </text>
    </comment>
    <comment ref="H110"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16" authorId="0" shapeId="0">
      <text>
        <r>
          <rPr>
            <sz val="9"/>
            <color indexed="81"/>
            <rFont val="Tahoma"/>
            <family val="2"/>
          </rPr>
          <t>Offer MW submitted in Markets Gateway</t>
        </r>
      </text>
    </comment>
    <comment ref="C116" authorId="0" shapeId="0">
      <text>
        <r>
          <rPr>
            <sz val="9"/>
            <color indexed="81"/>
            <rFont val="Tahoma"/>
            <family val="2"/>
          </rPr>
          <t>MW of next Segment</t>
        </r>
      </text>
    </comment>
    <comment ref="I116" authorId="0" shapeId="0">
      <text>
        <r>
          <rPr>
            <sz val="9"/>
            <color indexed="81"/>
            <rFont val="Tahoma"/>
            <family val="2"/>
          </rPr>
          <t>Offer MW submitted in Markets Gateway</t>
        </r>
      </text>
    </comment>
    <comment ref="J116" authorId="0" shapeId="0">
      <text>
        <r>
          <rPr>
            <sz val="9"/>
            <color indexed="81"/>
            <rFont val="Tahoma"/>
            <family val="2"/>
          </rPr>
          <t>MW of next Segment</t>
        </r>
      </text>
    </comment>
    <comment ref="P116" authorId="0" shapeId="0">
      <text>
        <r>
          <rPr>
            <sz val="9"/>
            <color indexed="81"/>
            <rFont val="Tahoma"/>
            <family val="2"/>
          </rPr>
          <t>Offer MW submitted in Markets Gateway</t>
        </r>
      </text>
    </comment>
    <comment ref="Q116" authorId="0" shapeId="0">
      <text>
        <r>
          <rPr>
            <sz val="9"/>
            <color indexed="81"/>
            <rFont val="Tahoma"/>
            <family val="2"/>
          </rPr>
          <t>MW of next Segment</t>
        </r>
      </text>
    </comment>
    <comment ref="B182" authorId="0" shapeId="0">
      <text>
        <r>
          <rPr>
            <sz val="9"/>
            <color indexed="81"/>
            <rFont val="Tahoma"/>
            <family val="2"/>
          </rPr>
          <t>Offer MW submitted in Markets Gateway</t>
        </r>
      </text>
    </comment>
    <comment ref="C182" authorId="0" shapeId="0">
      <text>
        <r>
          <rPr>
            <sz val="9"/>
            <color indexed="81"/>
            <rFont val="Tahoma"/>
            <family val="2"/>
          </rPr>
          <t>MW of next Segment</t>
        </r>
      </text>
    </comment>
    <comment ref="H182" authorId="0" shapeId="0">
      <text>
        <r>
          <rPr>
            <sz val="9"/>
            <color indexed="81"/>
            <rFont val="Tahoma"/>
            <family val="2"/>
          </rPr>
          <t>MW value that drives the ceiling of incremental offer used in OpRes calculation:
If RT MW &lt;= Operating Reserve Desired MW = RT MW
if RT MW within Operating Reserve Desired MW +/- 10% = RT MW
If RT MW &gt; 110% Operating Reserve Desired MW = Operating Reserve Desired MW
This limits the offer price applied to correspond to the desired MW level within 10%</t>
        </r>
      </text>
    </comment>
    <comment ref="B188" authorId="0" shapeId="0">
      <text>
        <r>
          <rPr>
            <sz val="9"/>
            <color indexed="81"/>
            <rFont val="Tahoma"/>
            <family val="2"/>
          </rPr>
          <t>Offer MW submitted in Markets Gateway</t>
        </r>
      </text>
    </comment>
    <comment ref="C188" authorId="0" shapeId="0">
      <text>
        <r>
          <rPr>
            <sz val="9"/>
            <color indexed="81"/>
            <rFont val="Tahoma"/>
            <family val="2"/>
          </rPr>
          <t>MW of next Segment</t>
        </r>
      </text>
    </comment>
    <comment ref="I188" authorId="0" shapeId="0">
      <text>
        <r>
          <rPr>
            <sz val="9"/>
            <color indexed="81"/>
            <rFont val="Tahoma"/>
            <family val="2"/>
          </rPr>
          <t>Offer MW submitted in Markets Gateway</t>
        </r>
      </text>
    </comment>
    <comment ref="J188" authorId="0" shapeId="0">
      <text>
        <r>
          <rPr>
            <sz val="9"/>
            <color indexed="81"/>
            <rFont val="Tahoma"/>
            <family val="2"/>
          </rPr>
          <t>MW of next Segment</t>
        </r>
      </text>
    </comment>
    <comment ref="P188" authorId="0" shapeId="0">
      <text>
        <r>
          <rPr>
            <sz val="9"/>
            <color indexed="81"/>
            <rFont val="Tahoma"/>
            <family val="2"/>
          </rPr>
          <t>Offer MW submitted in Markets Gateway</t>
        </r>
      </text>
    </comment>
    <comment ref="Q188" authorId="0" shapeId="0">
      <text>
        <r>
          <rPr>
            <sz val="9"/>
            <color indexed="81"/>
            <rFont val="Tahoma"/>
            <family val="2"/>
          </rPr>
          <t>MW of next Segment</t>
        </r>
      </text>
    </comment>
    <comment ref="W188" authorId="0" shapeId="0">
      <text>
        <r>
          <rPr>
            <sz val="9"/>
            <color indexed="81"/>
            <rFont val="Tahoma"/>
            <family val="2"/>
          </rPr>
          <t>Offer MW submitted in Markets Gateway</t>
        </r>
      </text>
    </comment>
    <comment ref="X188" authorId="0" shapeId="0">
      <text>
        <r>
          <rPr>
            <sz val="9"/>
            <color indexed="81"/>
            <rFont val="Tahoma"/>
            <family val="2"/>
          </rPr>
          <t>MW of next Segment</t>
        </r>
      </text>
    </comment>
  </commentList>
</comments>
</file>

<file path=xl/sharedStrings.xml><?xml version="1.0" encoding="utf-8"?>
<sst xmlns="http://schemas.openxmlformats.org/spreadsheetml/2006/main" count="2596" uniqueCount="119">
  <si>
    <t>Offer</t>
  </si>
  <si>
    <t>DA OpRes</t>
  </si>
  <si>
    <t>Bal OpRes</t>
  </si>
  <si>
    <t>Segment</t>
  </si>
  <si>
    <t>Price</t>
  </si>
  <si>
    <t>MW</t>
  </si>
  <si>
    <t>Begin Price</t>
  </si>
  <si>
    <t>End Price</t>
  </si>
  <si>
    <t>RT MW Used</t>
  </si>
  <si>
    <t>Balancing OpRes</t>
  </si>
  <si>
    <t>Day-ahead Information</t>
  </si>
  <si>
    <t>Day-Ahead Calculations</t>
  </si>
  <si>
    <t>Energy</t>
  </si>
  <si>
    <t>LMP</t>
  </si>
  <si>
    <t>Revenue (LMP * MW)</t>
  </si>
  <si>
    <t>Operating Reserves (Cost - Revenue)</t>
  </si>
  <si>
    <t>Cost</t>
  </si>
  <si>
    <t>DA OpRes Credit</t>
  </si>
  <si>
    <t>Revenue</t>
  </si>
  <si>
    <t>DA Profit/Loss</t>
  </si>
  <si>
    <t>Balancing Calculations</t>
  </si>
  <si>
    <t>Revenue (LMP * (RT MW - DA MW))</t>
  </si>
  <si>
    <t>Real-time Information</t>
  </si>
  <si>
    <t>Operating Reserves</t>
  </si>
  <si>
    <t xml:space="preserve">DA Revenue </t>
  </si>
  <si>
    <t>Balancing Revenue</t>
  </si>
  <si>
    <t>Profit/Loss</t>
  </si>
  <si>
    <t>Tracking Desired MW</t>
  </si>
  <si>
    <t>Bal Value MW Used</t>
  </si>
  <si>
    <t>Ramp Limited Desired</t>
  </si>
  <si>
    <t>Balancing Operating Reserves</t>
  </si>
  <si>
    <t>Real-Time MW Cost</t>
  </si>
  <si>
    <t>Real-Time</t>
  </si>
  <si>
    <t>Begin MW</t>
  </si>
  <si>
    <t>End MW</t>
  </si>
  <si>
    <t xml:space="preserve"> MW</t>
  </si>
  <si>
    <t xml:space="preserve"> Begin Price</t>
  </si>
  <si>
    <t>The following Data can be updated for Scenario Analysis</t>
  </si>
  <si>
    <t>Reference MW for Offer Price</t>
  </si>
  <si>
    <t>DA Incremental Cost - DA OpRes</t>
  </si>
  <si>
    <t xml:space="preserve">Incremental Cost @ RT MW Used - Balancing OpRes </t>
  </si>
  <si>
    <t>Incremental Cost @ RT Actual MW</t>
  </si>
  <si>
    <t>DA Estimated Profit/Loss with Actual MW Profit/Loss Calculation</t>
  </si>
  <si>
    <t>Actual RT MW</t>
  </si>
  <si>
    <t xml:space="preserve"> PJM DA and Balancing Energy and OpRes Billing</t>
  </si>
  <si>
    <r>
      <t xml:space="preserve">Scenario 2: Resource is called on by PJM and operates at full load (beyond desired MW point) using </t>
    </r>
    <r>
      <rPr>
        <b/>
        <u/>
        <sz val="16"/>
        <color theme="0"/>
        <rFont val="Calibri"/>
        <family val="2"/>
        <scheme val="minor"/>
      </rPr>
      <t>Status Quo</t>
    </r>
    <r>
      <rPr>
        <sz val="16"/>
        <color theme="0"/>
        <rFont val="Calibri"/>
        <family val="2"/>
        <scheme val="minor"/>
      </rPr>
      <t xml:space="preserve"> Rules.  RT MW Used is set to the Ramp Limited Desired value which can only reduce the resource partially to the intersection of LMP and the offer curve.</t>
    </r>
  </si>
  <si>
    <t>Incremental Cost</t>
  </si>
  <si>
    <t>End
Price</t>
  </si>
  <si>
    <t>Offer
Cost</t>
  </si>
  <si>
    <t>Begin
Price</t>
  </si>
  <si>
    <t>Begin
MW</t>
  </si>
  <si>
    <t>End
MW</t>
  </si>
  <si>
    <r>
      <t xml:space="preserve">Scenario 3: Resource is called on by PJM and operates at full load using  </t>
    </r>
    <r>
      <rPr>
        <b/>
        <u/>
        <sz val="16"/>
        <color theme="0"/>
        <rFont val="Calibri"/>
        <family val="2"/>
        <scheme val="minor"/>
      </rPr>
      <t xml:space="preserve">Proposed </t>
    </r>
    <r>
      <rPr>
        <sz val="16"/>
        <color theme="0"/>
        <rFont val="Calibri"/>
        <family val="2"/>
        <scheme val="minor"/>
      </rPr>
      <t>Rules.  RT MW Used is set to the Tracking Desired MW.</t>
    </r>
  </si>
  <si>
    <t>RT MW
Used</t>
  </si>
  <si>
    <r>
      <t xml:space="preserve">Scenario 3: Resource is called on by PJM and operates at full load using  </t>
    </r>
    <r>
      <rPr>
        <b/>
        <u/>
        <sz val="16"/>
        <color theme="0"/>
        <rFont val="Calibri"/>
        <family val="2"/>
        <scheme val="minor"/>
      </rPr>
      <t xml:space="preserve">Proposed </t>
    </r>
    <r>
      <rPr>
        <sz val="16"/>
        <color theme="0"/>
        <rFont val="Calibri"/>
        <family val="2"/>
        <scheme val="minor"/>
      </rPr>
      <t>Rules.  RT MW Used and Bal Value MW Used is set to the Tracking Desired MW.</t>
    </r>
  </si>
  <si>
    <t>Startup</t>
  </si>
  <si>
    <t>No-Load</t>
  </si>
  <si>
    <t>Scenario 2: Resource is called on by PJM and operates below the Desired MW using Status Quo Rules.  RT MW Used is set to the lesser of Actual MW and Desired MW</t>
  </si>
  <si>
    <r>
      <t xml:space="preserve">Scenario 3: Resource is called on by PJM and operates at full load using  </t>
    </r>
    <r>
      <rPr>
        <b/>
        <u/>
        <sz val="16"/>
        <color theme="0"/>
        <rFont val="Calibri"/>
        <family val="2"/>
        <scheme val="minor"/>
      </rPr>
      <t xml:space="preserve">Proposed </t>
    </r>
    <r>
      <rPr>
        <sz val="16"/>
        <color theme="0"/>
        <rFont val="Calibri"/>
        <family val="2"/>
        <scheme val="minor"/>
      </rPr>
      <t>Rules. Balancing Value used is set to the Tracking Desired MW.</t>
    </r>
  </si>
  <si>
    <t>Scenario 2: Resource is called on by PJM and Operates at full load using Status Quo rules. RT MW Used is set to the Ramp Limited Desired value which can only reduce the resource partially to the intersection of LMP and the offer curve.</t>
  </si>
  <si>
    <r>
      <t xml:space="preserve">Scenario 2: Resource is called on by PJM and operates below the Desired MW using </t>
    </r>
    <r>
      <rPr>
        <b/>
        <u/>
        <sz val="16"/>
        <color theme="0"/>
        <rFont val="Calibri"/>
        <family val="2"/>
        <scheme val="minor"/>
      </rPr>
      <t>Status Quo Rules</t>
    </r>
    <r>
      <rPr>
        <sz val="16"/>
        <color theme="0"/>
        <rFont val="Calibri"/>
        <family val="2"/>
        <scheme val="minor"/>
      </rPr>
      <t>.  RT MW Used is set to the lesser of Actual MW and Desired MW. The Bal Value MW Used is set to the greater of Actual MW and Desired MW</t>
    </r>
  </si>
  <si>
    <r>
      <t xml:space="preserve">Scenario 1 - Following Dispatch: Resource is called on by PJM  and follows dispatch.  BOR calculated using </t>
    </r>
    <r>
      <rPr>
        <b/>
        <u/>
        <sz val="16"/>
        <color theme="0"/>
        <rFont val="Calibri"/>
        <family val="2"/>
        <scheme val="minor"/>
      </rPr>
      <t>Status Quo</t>
    </r>
    <r>
      <rPr>
        <u/>
        <sz val="16"/>
        <color theme="0"/>
        <rFont val="Calibri"/>
        <family val="2"/>
        <scheme val="minor"/>
      </rPr>
      <t xml:space="preserve"> </t>
    </r>
    <r>
      <rPr>
        <sz val="16"/>
        <color theme="0"/>
        <rFont val="Calibri"/>
        <family val="2"/>
        <scheme val="minor"/>
      </rPr>
      <t>Rules</t>
    </r>
  </si>
  <si>
    <r>
      <t xml:space="preserve">Scenario 1- Following Dispatch: Resource is called on by PJM  and follows dispatch.  BOR calculated using </t>
    </r>
    <r>
      <rPr>
        <b/>
        <u/>
        <sz val="16"/>
        <color theme="0"/>
        <rFont val="Calibri"/>
        <family val="2"/>
        <scheme val="minor"/>
      </rPr>
      <t>Status Quo</t>
    </r>
    <r>
      <rPr>
        <u/>
        <sz val="16"/>
        <color theme="0"/>
        <rFont val="Calibri"/>
        <family val="2"/>
        <scheme val="minor"/>
      </rPr>
      <t xml:space="preserve"> </t>
    </r>
    <r>
      <rPr>
        <sz val="16"/>
        <color theme="0"/>
        <rFont val="Calibri"/>
        <family val="2"/>
        <scheme val="minor"/>
      </rPr>
      <t>Rules</t>
    </r>
  </si>
  <si>
    <t>Example 1:  Generator has no DA Commitment, only dispatched in RT and generates above desired MW</t>
  </si>
  <si>
    <t>Example 2:  Generator has no DA Commitment, generates above desired in RT during interval with Negative LMPs</t>
  </si>
  <si>
    <t>Example 3:  Generator committed in DA, and generates above desired in RT</t>
  </si>
  <si>
    <t>Example 4:  Generator committed in DA, and generates above desired in RT during Negative LMP interval</t>
  </si>
  <si>
    <t>Example 5:  Generator has no DA Commitment, and generates below desired in RT</t>
  </si>
  <si>
    <t>Example 6:  Generator committed in DA, and generates below desired in RT</t>
  </si>
  <si>
    <t>Example 7:  Generator has no DA Commitment, and generates below desired in RT with startup and no-load</t>
  </si>
  <si>
    <t>Balancing Net Revenue</t>
  </si>
  <si>
    <t>Bal OpRes @ Tracking Desired</t>
  </si>
  <si>
    <t>DA Startup Cost</t>
  </si>
  <si>
    <t>DA Net Revenue (Revenue - Cost)</t>
  </si>
  <si>
    <t>Values</t>
  </si>
  <si>
    <t xml:space="preserve">Day-Ahead Operating Reserve </t>
  </si>
  <si>
    <t>DA Revenue (MW * LMP)</t>
  </si>
  <si>
    <t>DA No-Load Cost</t>
  </si>
  <si>
    <t>Columns</t>
  </si>
  <si>
    <t>Balancing Revenue (Bal Value MW Used  - DA MW) * LMP)</t>
  </si>
  <si>
    <t>RT No-Load Cost</t>
  </si>
  <si>
    <t>RT Startup Cost</t>
  </si>
  <si>
    <t>Bal Net Revenue (Revenue - Cost)</t>
  </si>
  <si>
    <t>Day-Ahead Operating Reserve Credit</t>
  </si>
  <si>
    <t>Bal Operating Reserve Credit</t>
  </si>
  <si>
    <t>Balancing Operating Reserves @ Tracking Desired</t>
  </si>
  <si>
    <t>Tracking Desired MW Cost</t>
  </si>
  <si>
    <t>Balancing Revenue (Tracking Desired  - DA MW) * LMP)</t>
  </si>
  <si>
    <t>Balancing Operating Reserves @ RT MW</t>
  </si>
  <si>
    <t>Bal OpRes @ Scenario 3</t>
  </si>
  <si>
    <t>Balancing Operating Reserves @ Scenario 3</t>
  </si>
  <si>
    <t>Balancing Revenue (RT MW  - DA MW) * LMP)</t>
  </si>
  <si>
    <r>
      <t xml:space="preserve">Scenario 4: Resource is called on by PJM and operates at full load. Operating Reserve Calculations using </t>
    </r>
    <r>
      <rPr>
        <b/>
        <u/>
        <sz val="16"/>
        <color theme="0"/>
        <rFont val="Calibri"/>
        <family val="2"/>
        <scheme val="minor"/>
      </rPr>
      <t>Actual MW</t>
    </r>
    <r>
      <rPr>
        <sz val="16"/>
        <color theme="0"/>
        <rFont val="Calibri"/>
        <family val="2"/>
        <scheme val="minor"/>
      </rPr>
      <t xml:space="preserve"> (only), </t>
    </r>
    <r>
      <rPr>
        <b/>
        <u/>
        <sz val="16"/>
        <color theme="0"/>
        <rFont val="Calibri"/>
        <family val="2"/>
        <scheme val="minor"/>
      </rPr>
      <t>Tracking Desired MW</t>
    </r>
    <r>
      <rPr>
        <sz val="16"/>
        <color theme="0"/>
        <rFont val="Calibri"/>
        <family val="2"/>
        <scheme val="minor"/>
      </rPr>
      <t xml:space="preserve"> (only) and  </t>
    </r>
    <r>
      <rPr>
        <b/>
        <u/>
        <sz val="16"/>
        <color theme="0"/>
        <rFont val="Calibri"/>
        <family val="2"/>
        <scheme val="minor"/>
      </rPr>
      <t xml:space="preserve">Scenario 3 </t>
    </r>
    <r>
      <rPr>
        <sz val="16"/>
        <color theme="0"/>
        <rFont val="Calibri"/>
        <family val="2"/>
        <scheme val="minor"/>
      </rPr>
      <t xml:space="preserve">Rules. </t>
    </r>
  </si>
  <si>
    <t>Balancing Operating Reserve Credit</t>
  </si>
  <si>
    <t>Balancing OpRes @ Scenario 3</t>
  </si>
  <si>
    <t>Scenario 3:  Resource is called on by PJM and operates below the Tracking Desired MW using Status Quo Rules.  RT MW Used is set to the lesser of Actual MW and Tracking Desired MW.</t>
  </si>
  <si>
    <t>Step 3:</t>
  </si>
  <si>
    <t>Step 1</t>
  </si>
  <si>
    <t>Scenario 3 Result for Comparison</t>
  </si>
  <si>
    <t>Step 2</t>
  </si>
  <si>
    <t>Tracking Operating Reserve Credit</t>
  </si>
  <si>
    <t>Operating Reserve Credit</t>
  </si>
  <si>
    <t>RT MW</t>
  </si>
  <si>
    <t>RT MW Operating Reserve Credit</t>
  </si>
  <si>
    <t>Step 3</t>
  </si>
  <si>
    <t>Min of Step 1 and Step 2</t>
  </si>
  <si>
    <t>This is the Operating Reserve Credit, if the segment only contained this single interval.  The Operating Reserve Credit calculation generally contains multiple intervals within a segment.</t>
  </si>
  <si>
    <r>
      <t xml:space="preserve">Scenario 4: Resource is called on by PJM and below tracking desired. Operating Reserve Calculations using </t>
    </r>
    <r>
      <rPr>
        <b/>
        <u/>
        <sz val="16"/>
        <color theme="0"/>
        <rFont val="Calibri"/>
        <family val="2"/>
        <scheme val="minor"/>
      </rPr>
      <t>Actual MW</t>
    </r>
    <r>
      <rPr>
        <sz val="16"/>
        <color theme="0"/>
        <rFont val="Calibri"/>
        <family val="2"/>
        <scheme val="minor"/>
      </rPr>
      <t xml:space="preserve"> (only), </t>
    </r>
    <r>
      <rPr>
        <b/>
        <u/>
        <sz val="16"/>
        <color theme="0"/>
        <rFont val="Calibri"/>
        <family val="2"/>
        <scheme val="minor"/>
      </rPr>
      <t>Tracking Desired MW</t>
    </r>
    <r>
      <rPr>
        <sz val="16"/>
        <color theme="0"/>
        <rFont val="Calibri"/>
        <family val="2"/>
        <scheme val="minor"/>
      </rPr>
      <t xml:space="preserve"> (only) and  </t>
    </r>
    <r>
      <rPr>
        <b/>
        <u/>
        <sz val="16"/>
        <color theme="0"/>
        <rFont val="Calibri"/>
        <family val="2"/>
        <scheme val="minor"/>
      </rPr>
      <t xml:space="preserve">Scenario 3 </t>
    </r>
    <r>
      <rPr>
        <sz val="16"/>
        <color theme="0"/>
        <rFont val="Calibri"/>
        <family val="2"/>
        <scheme val="minor"/>
      </rPr>
      <t xml:space="preserve">Rules. </t>
    </r>
  </si>
  <si>
    <r>
      <t xml:space="preserve">Scenario 3: Resource is called on by PJM and below desired using  </t>
    </r>
    <r>
      <rPr>
        <b/>
        <u/>
        <sz val="16"/>
        <color theme="0"/>
        <rFont val="Calibri"/>
        <family val="2"/>
        <scheme val="minor"/>
      </rPr>
      <t xml:space="preserve">Proposed </t>
    </r>
    <r>
      <rPr>
        <sz val="16"/>
        <color theme="0"/>
        <rFont val="Calibri"/>
        <family val="2"/>
        <scheme val="minor"/>
      </rPr>
      <t>Rules.  RT MW Used is set to the lesser of Actual MW and Tracking Desired MW. Bal Value MW Used is the greater of Tracking Desired and Actual RT MW.</t>
    </r>
  </si>
  <si>
    <r>
      <t xml:space="preserve">Scenario 4: Resource is called on by PJM and operates below tracking desired. Operating Reserve Calculations using </t>
    </r>
    <r>
      <rPr>
        <b/>
        <u/>
        <sz val="16"/>
        <color theme="0"/>
        <rFont val="Calibri"/>
        <family val="2"/>
        <scheme val="minor"/>
      </rPr>
      <t>Actual MW</t>
    </r>
    <r>
      <rPr>
        <sz val="16"/>
        <color theme="0"/>
        <rFont val="Calibri"/>
        <family val="2"/>
        <scheme val="minor"/>
      </rPr>
      <t xml:space="preserve"> (only), </t>
    </r>
    <r>
      <rPr>
        <b/>
        <u/>
        <sz val="16"/>
        <color theme="0"/>
        <rFont val="Calibri"/>
        <family val="2"/>
        <scheme val="minor"/>
      </rPr>
      <t>Tracking Desired MW</t>
    </r>
    <r>
      <rPr>
        <sz val="16"/>
        <color theme="0"/>
        <rFont val="Calibri"/>
        <family val="2"/>
        <scheme val="minor"/>
      </rPr>
      <t xml:space="preserve"> (only) and  </t>
    </r>
    <r>
      <rPr>
        <b/>
        <u/>
        <sz val="16"/>
        <color theme="0"/>
        <rFont val="Calibri"/>
        <family val="2"/>
        <scheme val="minor"/>
      </rPr>
      <t xml:space="preserve">Scenario 3 </t>
    </r>
    <r>
      <rPr>
        <sz val="16"/>
        <color theme="0"/>
        <rFont val="Calibri"/>
        <family val="2"/>
        <scheme val="minor"/>
      </rPr>
      <t xml:space="preserve">Rules. </t>
    </r>
  </si>
  <si>
    <t>The minumum of the Tracking and RT MW Operating Reserve Calculation</t>
  </si>
  <si>
    <t>Interval 1</t>
  </si>
  <si>
    <t>Interval 2</t>
  </si>
  <si>
    <t>Interval 3</t>
  </si>
  <si>
    <t>Interval 4</t>
  </si>
  <si>
    <t>Interval 5</t>
  </si>
  <si>
    <t>Interval 6</t>
  </si>
  <si>
    <t>Interval 7</t>
  </si>
  <si>
    <t>This example illustrates how profits and losses (balancing net revenues) in different intervals contribute to the overall segmented operating reserve credit.  
The interval-level costs and revenues should be taken as a given in these examples.  That is, the supporting calculations behind these values are not central to this example. The details on the equations for how these costs and revenues are calculated are included in the examples on the subsequent tabs (although the numbers herein may not exactly align with the values from those examples).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</si>
</sst>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color theme="0"/>
      <name val="Calibri"/>
      <family val="2"/>
      <scheme val="minor"/>
    </font>
    <font>
      <sz val="9"/>
      <color indexed="81"/>
      <name val="Tahoma"/>
      <family val="2"/>
    </font>
    <font>
      <i/>
      <sz val="8"/>
      <color theme="1"/>
      <name val="Calibri"/>
      <family val="2"/>
      <scheme val="minor"/>
    </font>
    <font>
      <b/>
      <sz val="11"/>
      <name val="Calibri"/>
      <family val="2"/>
      <scheme val="minor"/>
    </font>
    <font>
      <b/>
      <u/>
      <sz val="11"/>
      <color theme="1"/>
      <name val="Calibri"/>
      <family val="2"/>
      <scheme val="minor"/>
    </font>
    <font>
      <sz val="14"/>
      <color theme="0"/>
      <name val="Calibri"/>
      <family val="2"/>
      <scheme val="minor"/>
    </font>
    <font>
      <sz val="16"/>
      <color theme="0"/>
      <name val="Calibri"/>
      <family val="2"/>
      <scheme val="minor"/>
    </font>
    <font>
      <b/>
      <u/>
      <sz val="16"/>
      <color theme="0"/>
      <name val="Calibri"/>
      <family val="2"/>
      <scheme val="minor"/>
    </font>
    <font>
      <b/>
      <sz val="14"/>
      <color theme="0"/>
      <name val="Calibri"/>
      <family val="2"/>
      <scheme val="minor"/>
    </font>
    <font>
      <u/>
      <sz val="16"/>
      <color theme="0"/>
      <name val="Calibri"/>
      <family val="2"/>
      <scheme val="minor"/>
    </font>
    <font>
      <b/>
      <sz val="11"/>
      <color rgb="FFFF0000"/>
      <name val="Calibri"/>
      <family val="2"/>
      <scheme val="minor"/>
    </font>
    <font>
      <b/>
      <sz val="11"/>
      <color rgb="FF00B050"/>
      <name val="Calibri"/>
      <family val="2"/>
      <scheme val="minor"/>
    </font>
    <font>
      <sz val="11"/>
      <color rgb="FF00B050"/>
      <name val="Calibri"/>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patternFill>
    </fill>
    <fill>
      <patternFill patternType="solid">
        <fgColor theme="9"/>
      </patternFill>
    </fill>
    <fill>
      <patternFill patternType="solid">
        <fgColor theme="7" tint="0.79998168889431442"/>
        <bgColor indexed="64"/>
      </patternFill>
    </fill>
    <fill>
      <patternFill patternType="solid">
        <fgColor rgb="FF92D05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6" borderId="0" applyNumberFormat="0" applyBorder="0" applyAlignment="0" applyProtection="0"/>
    <xf numFmtId="0" fontId="4" fillId="7" borderId="0" applyNumberFormat="0" applyBorder="0" applyAlignment="0" applyProtection="0"/>
    <xf numFmtId="9" fontId="1" fillId="0" borderId="0" applyFont="0" applyFill="0" applyBorder="0" applyAlignment="0" applyProtection="0"/>
  </cellStyleXfs>
  <cellXfs count="300">
    <xf numFmtId="0" fontId="0" fillId="0" borderId="0" xfId="0"/>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xf numFmtId="0" fontId="0" fillId="0" borderId="0" xfId="0" applyBorder="1"/>
    <xf numFmtId="44" fontId="0" fillId="0" borderId="8" xfId="1" applyFont="1" applyBorder="1"/>
    <xf numFmtId="0" fontId="0" fillId="0" borderId="7" xfId="1" applyNumberFormat="1" applyFont="1" applyBorder="1"/>
    <xf numFmtId="44" fontId="0" fillId="0" borderId="0" xfId="1" applyFont="1" applyBorder="1"/>
    <xf numFmtId="44" fontId="0" fillId="0" borderId="5" xfId="1" applyFont="1" applyBorder="1"/>
    <xf numFmtId="0" fontId="0" fillId="0" borderId="5" xfId="0" applyBorder="1"/>
    <xf numFmtId="44" fontId="0" fillId="0" borderId="6" xfId="1" applyFont="1" applyBorder="1"/>
    <xf numFmtId="0" fontId="0" fillId="0" borderId="0" xfId="1" applyNumberFormat="1" applyFont="1" applyBorder="1"/>
    <xf numFmtId="0" fontId="0" fillId="0" borderId="8" xfId="0" applyBorder="1"/>
    <xf numFmtId="0" fontId="0" fillId="0" borderId="4" xfId="0" applyBorder="1"/>
    <xf numFmtId="0" fontId="0" fillId="0" borderId="5" xfId="1" applyNumberFormat="1" applyFont="1" applyBorder="1"/>
    <xf numFmtId="0" fontId="0" fillId="0" borderId="7" xfId="0" applyBorder="1"/>
    <xf numFmtId="0" fontId="2" fillId="0" borderId="9" xfId="0" applyFont="1" applyBorder="1"/>
    <xf numFmtId="0" fontId="0" fillId="0" borderId="10" xfId="0" applyBorder="1"/>
    <xf numFmtId="44" fontId="0" fillId="0" borderId="11" xfId="1" applyFont="1" applyBorder="1"/>
    <xf numFmtId="0" fontId="0" fillId="0" borderId="9" xfId="1" applyNumberFormat="1" applyFont="1" applyBorder="1"/>
    <xf numFmtId="44" fontId="0" fillId="0" borderId="10" xfId="1" applyFont="1" applyBorder="1"/>
    <xf numFmtId="0" fontId="0" fillId="0" borderId="10" xfId="1" applyNumberFormat="1" applyFont="1" applyBorder="1"/>
    <xf numFmtId="0" fontId="0" fillId="0" borderId="11" xfId="0" applyBorder="1"/>
    <xf numFmtId="0" fontId="0" fillId="0" borderId="9" xfId="0" applyBorder="1"/>
    <xf numFmtId="0" fontId="0" fillId="0" borderId="0" xfId="0" applyNumberFormat="1"/>
    <xf numFmtId="0" fontId="0" fillId="0" borderId="6" xfId="0" applyBorder="1"/>
    <xf numFmtId="0" fontId="2" fillId="0" borderId="7" xfId="0" applyFont="1" applyBorder="1" applyAlignment="1">
      <alignment horizontal="center"/>
    </xf>
    <xf numFmtId="0" fontId="2" fillId="0" borderId="0" xfId="0" applyFont="1" applyBorder="1" applyAlignment="1">
      <alignment horizontal="center"/>
    </xf>
    <xf numFmtId="44" fontId="0" fillId="0" borderId="0" xfId="0" applyNumberFormat="1" applyBorder="1"/>
    <xf numFmtId="44" fontId="0" fillId="0" borderId="8" xfId="0" applyNumberFormat="1" applyBorder="1"/>
    <xf numFmtId="44" fontId="0" fillId="0" borderId="12" xfId="0" applyNumberFormat="1" applyBorder="1"/>
    <xf numFmtId="44" fontId="0" fillId="0" borderId="0" xfId="0" applyNumberFormat="1"/>
    <xf numFmtId="0" fontId="2" fillId="0" borderId="0" xfId="0" applyFont="1" applyAlignment="1">
      <alignment horizontal="center"/>
    </xf>
    <xf numFmtId="44" fontId="0" fillId="0" borderId="0" xfId="1" applyFont="1"/>
    <xf numFmtId="0" fontId="0" fillId="4" borderId="4" xfId="0" applyFill="1" applyBorder="1"/>
    <xf numFmtId="44" fontId="0" fillId="4" borderId="5" xfId="0" applyNumberFormat="1" applyFill="1" applyBorder="1"/>
    <xf numFmtId="0" fontId="0" fillId="2" borderId="9" xfId="0" applyFill="1" applyBorder="1"/>
    <xf numFmtId="44" fontId="0" fillId="2" borderId="10" xfId="0" applyNumberFormat="1" applyFill="1" applyBorder="1"/>
    <xf numFmtId="44" fontId="0" fillId="3" borderId="14" xfId="0" applyNumberFormat="1" applyFill="1" applyBorder="1"/>
    <xf numFmtId="44" fontId="0" fillId="0" borderId="15" xfId="0" applyNumberFormat="1" applyBorder="1"/>
    <xf numFmtId="0" fontId="2" fillId="0" borderId="0" xfId="0" applyFont="1"/>
    <xf numFmtId="44" fontId="0" fillId="2" borderId="0" xfId="0" applyNumberFormat="1" applyFill="1" applyBorder="1"/>
    <xf numFmtId="44" fontId="0" fillId="3" borderId="0" xfId="0" applyNumberFormat="1" applyFill="1" applyBorder="1"/>
    <xf numFmtId="44" fontId="0" fillId="4" borderId="0" xfId="0" applyNumberFormat="1" applyFill="1" applyBorder="1"/>
    <xf numFmtId="0" fontId="0" fillId="0" borderId="0" xfId="0" applyFill="1" applyBorder="1"/>
    <xf numFmtId="44" fontId="0" fillId="0" borderId="10" xfId="0" applyNumberFormat="1" applyBorder="1"/>
    <xf numFmtId="0" fontId="0" fillId="0" borderId="7" xfId="0" applyFont="1" applyBorder="1"/>
    <xf numFmtId="0" fontId="2" fillId="0" borderId="0" xfId="0" applyFont="1" applyBorder="1"/>
    <xf numFmtId="44" fontId="0" fillId="0" borderId="7" xfId="1" applyFont="1" applyBorder="1"/>
    <xf numFmtId="44" fontId="0" fillId="5" borderId="0" xfId="1" applyFont="1" applyFill="1" applyBorder="1"/>
    <xf numFmtId="44" fontId="0" fillId="0" borderId="9" xfId="1" applyFont="1" applyBorder="1"/>
    <xf numFmtId="0" fontId="2" fillId="0" borderId="10" xfId="0" applyFont="1" applyBorder="1" applyAlignment="1">
      <alignment horizontal="center"/>
    </xf>
    <xf numFmtId="0" fontId="0" fillId="0" borderId="16" xfId="0" applyBorder="1"/>
    <xf numFmtId="44" fontId="0" fillId="0" borderId="16" xfId="1" applyFont="1" applyBorder="1"/>
    <xf numFmtId="44" fontId="0" fillId="0" borderId="16" xfId="0" applyNumberFormat="1" applyBorder="1"/>
    <xf numFmtId="44" fontId="0" fillId="2" borderId="8" xfId="0" applyNumberFormat="1" applyFill="1" applyBorder="1"/>
    <xf numFmtId="0" fontId="2" fillId="0" borderId="16" xfId="0" applyFont="1" applyBorder="1"/>
    <xf numFmtId="0" fontId="0" fillId="0" borderId="1" xfId="0" applyBorder="1"/>
    <xf numFmtId="0" fontId="0" fillId="0" borderId="2" xfId="0" applyBorder="1"/>
    <xf numFmtId="0" fontId="0" fillId="0" borderId="3" xfId="0" applyBorder="1"/>
    <xf numFmtId="0" fontId="3" fillId="0" borderId="0" xfId="0" applyFont="1"/>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0" xfId="0" applyFont="1" applyBorder="1" applyAlignment="1">
      <alignment horizontal="center" wrapText="1"/>
    </xf>
    <xf numFmtId="0" fontId="6" fillId="0" borderId="0" xfId="0" applyFont="1"/>
    <xf numFmtId="0" fontId="2" fillId="0" borderId="4" xfId="0" applyFont="1" applyFill="1" applyBorder="1" applyAlignment="1">
      <alignment horizontal="center"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6" xfId="0" applyFont="1" applyBorder="1" applyAlignment="1">
      <alignment horizontal="center"/>
    </xf>
    <xf numFmtId="0" fontId="3" fillId="0" borderId="0" xfId="0" applyFont="1" applyAlignment="1">
      <alignment wrapText="1"/>
    </xf>
    <xf numFmtId="0" fontId="2" fillId="0" borderId="7"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2" fillId="0" borderId="16"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4" fillId="0" borderId="0" xfId="2" applyFill="1"/>
    <xf numFmtId="0" fontId="4" fillId="0" borderId="0" xfId="3" applyFill="1"/>
    <xf numFmtId="0" fontId="9" fillId="0" borderId="0" xfId="3" applyFont="1" applyFill="1" applyAlignment="1"/>
    <xf numFmtId="0" fontId="0" fillId="0" borderId="7" xfId="0" applyBorder="1" applyAlignment="1">
      <alignment wrapText="1"/>
    </xf>
    <xf numFmtId="0" fontId="0" fillId="0" borderId="0" xfId="0" applyBorder="1" applyAlignment="1">
      <alignment wrapText="1"/>
    </xf>
    <xf numFmtId="0" fontId="0" fillId="0" borderId="0" xfId="0" applyFont="1" applyBorder="1"/>
    <xf numFmtId="44" fontId="0" fillId="3" borderId="8" xfId="0" applyNumberFormat="1" applyFill="1" applyBorder="1"/>
    <xf numFmtId="44" fontId="0" fillId="4" borderId="8" xfId="0" applyNumberFormat="1" applyFill="1" applyBorder="1"/>
    <xf numFmtId="0" fontId="2" fillId="0" borderId="8" xfId="0" applyFont="1" applyBorder="1"/>
    <xf numFmtId="44" fontId="0" fillId="5" borderId="20" xfId="1" applyFont="1" applyFill="1" applyBorder="1"/>
    <xf numFmtId="0" fontId="2" fillId="0" borderId="7" xfId="0" applyFont="1" applyBorder="1" applyAlignment="1">
      <alignment horizontal="center" wrapText="1"/>
    </xf>
    <xf numFmtId="0" fontId="0" fillId="0" borderId="7" xfId="0" applyFont="1" applyBorder="1" applyAlignment="1">
      <alignment wrapText="1"/>
    </xf>
    <xf numFmtId="0" fontId="3" fillId="0" borderId="0" xfId="3" applyFont="1" applyFill="1" applyBorder="1"/>
    <xf numFmtId="0" fontId="4" fillId="0" borderId="0" xfId="3" applyFill="1" applyBorder="1"/>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0" xfId="0" applyFill="1"/>
    <xf numFmtId="44" fontId="0" fillId="0" borderId="5" xfId="0" applyNumberFormat="1" applyBorder="1"/>
    <xf numFmtId="0" fontId="0" fillId="0" borderId="0" xfId="0" applyFont="1" applyBorder="1" applyAlignment="1">
      <alignment wrapText="1"/>
    </xf>
    <xf numFmtId="44" fontId="0" fillId="0" borderId="11" xfId="0" applyNumberFormat="1" applyBorder="1"/>
    <xf numFmtId="44" fontId="0" fillId="0" borderId="2" xfId="0" applyNumberFormat="1" applyBorder="1"/>
    <xf numFmtId="44" fontId="0" fillId="5" borderId="20" xfId="0" applyNumberFormat="1" applyFill="1" applyBorder="1"/>
    <xf numFmtId="44" fontId="0" fillId="0" borderId="0" xfId="1" applyFont="1" applyFill="1" applyBorder="1"/>
    <xf numFmtId="44" fontId="2" fillId="3" borderId="13" xfId="0" applyNumberFormat="1" applyFont="1" applyFill="1" applyBorder="1" applyAlignment="1">
      <alignment horizontal="center" wrapText="1"/>
    </xf>
    <xf numFmtId="0" fontId="2" fillId="0" borderId="1" xfId="0" applyFont="1" applyBorder="1" applyAlignment="1">
      <alignment horizontal="center" wrapText="1"/>
    </xf>
    <xf numFmtId="0" fontId="2" fillId="0" borderId="8" xfId="0" applyFont="1" applyBorder="1" applyAlignment="1">
      <alignment horizontal="center" wrapText="1"/>
    </xf>
    <xf numFmtId="0" fontId="4" fillId="0" borderId="16" xfId="3" applyFill="1" applyBorder="1"/>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6"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16" xfId="0" applyFont="1" applyBorder="1" applyAlignment="1">
      <alignment horizontal="center"/>
    </xf>
    <xf numFmtId="44" fontId="0" fillId="0" borderId="8" xfId="0" applyNumberFormat="1" applyFill="1" applyBorder="1"/>
    <xf numFmtId="0" fontId="0" fillId="0" borderId="0" xfId="0" applyBorder="1" applyAlignment="1">
      <alignment horizontal="left"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0" fillId="0" borderId="7" xfId="0" applyBorder="1" applyAlignment="1">
      <alignment horizontal="left" wrapText="1"/>
    </xf>
    <xf numFmtId="0" fontId="0" fillId="0" borderId="0" xfId="0" applyBorder="1" applyAlignment="1">
      <alignment horizontal="left" wrapText="1"/>
    </xf>
    <xf numFmtId="0" fontId="2" fillId="0" borderId="3" xfId="0" applyFont="1" applyFill="1" applyBorder="1" applyAlignment="1">
      <alignment horizontal="center"/>
    </xf>
    <xf numFmtId="44" fontId="0" fillId="0" borderId="0" xfId="0" applyNumberFormat="1" applyFill="1" applyBorder="1"/>
    <xf numFmtId="0" fontId="0" fillId="0" borderId="8" xfId="0" applyFill="1" applyBorder="1"/>
    <xf numFmtId="0" fontId="0" fillId="0" borderId="0" xfId="0" applyFill="1" applyBorder="1" applyAlignment="1">
      <alignment horizontal="left" wrapText="1"/>
    </xf>
    <xf numFmtId="0" fontId="0" fillId="0" borderId="0" xfId="0" applyFill="1" applyBorder="1" applyAlignment="1"/>
    <xf numFmtId="0" fontId="0" fillId="0" borderId="0" xfId="0" applyFill="1" applyBorder="1" applyAlignment="1">
      <alignment wrapText="1"/>
    </xf>
    <xf numFmtId="0" fontId="0" fillId="0" borderId="11" xfId="0" applyFill="1" applyBorder="1"/>
    <xf numFmtId="0" fontId="2" fillId="0" borderId="0" xfId="0" applyFont="1" applyFill="1" applyBorder="1" applyAlignment="1">
      <alignment horizontal="center"/>
    </xf>
    <xf numFmtId="44" fontId="0" fillId="0" borderId="8" xfId="1" applyFont="1" applyFill="1" applyBorder="1"/>
    <xf numFmtId="0" fontId="0" fillId="0" borderId="0" xfId="0" applyFont="1" applyFill="1" applyBorder="1" applyAlignment="1">
      <alignment wrapText="1"/>
    </xf>
    <xf numFmtId="0" fontId="2" fillId="0" borderId="0" xfId="0" applyFont="1" applyFill="1" applyBorder="1"/>
    <xf numFmtId="0" fontId="0" fillId="0" borderId="0" xfId="0" applyFont="1" applyFill="1" applyBorder="1"/>
    <xf numFmtId="44" fontId="0" fillId="0" borderId="20" xfId="0" applyNumberFormat="1" applyFill="1" applyBorder="1"/>
    <xf numFmtId="0" fontId="7" fillId="0" borderId="0" xfId="0" applyFont="1" applyFill="1" applyBorder="1" applyAlignment="1">
      <alignment horizontal="center" wrapText="1"/>
    </xf>
    <xf numFmtId="0" fontId="8" fillId="0" borderId="0" xfId="0" applyFont="1" applyFill="1" applyBorder="1" applyAlignment="1"/>
    <xf numFmtId="0" fontId="2" fillId="0" borderId="0" xfId="0" applyFont="1" applyFill="1" applyBorder="1" applyAlignment="1"/>
    <xf numFmtId="44" fontId="2" fillId="0" borderId="0" xfId="0" applyNumberFormat="1" applyFont="1" applyFill="1" applyBorder="1" applyAlignment="1">
      <alignment horizontal="center" wrapText="1"/>
    </xf>
    <xf numFmtId="0" fontId="0" fillId="0" borderId="9" xfId="0" applyBorder="1" applyAlignment="1">
      <alignment wrapText="1"/>
    </xf>
    <xf numFmtId="0" fontId="0" fillId="0" borderId="10" xfId="0" applyFill="1" applyBorder="1" applyAlignment="1">
      <alignment wrapText="1"/>
    </xf>
    <xf numFmtId="44" fontId="0" fillId="0" borderId="19" xfId="0" applyNumberFormat="1" applyFill="1" applyBorder="1"/>
    <xf numFmtId="0" fontId="2" fillId="0" borderId="8" xfId="0" applyFont="1" applyFill="1" applyBorder="1" applyAlignment="1">
      <alignment horizontal="center"/>
    </xf>
    <xf numFmtId="44" fontId="0" fillId="0" borderId="8" xfId="0" applyNumberFormat="1" applyFont="1" applyFill="1" applyBorder="1" applyAlignment="1">
      <alignment horizontal="center"/>
    </xf>
    <xf numFmtId="0" fontId="0" fillId="0" borderId="8" xfId="0" applyFont="1" applyFill="1" applyBorder="1" applyAlignment="1">
      <alignment horizontal="center"/>
    </xf>
    <xf numFmtId="0" fontId="2" fillId="0" borderId="8" xfId="0" applyFont="1" applyFill="1" applyBorder="1"/>
    <xf numFmtId="44" fontId="0" fillId="0" borderId="20" xfId="1" applyFont="1" applyFill="1" applyBorder="1"/>
    <xf numFmtId="44" fontId="0" fillId="0" borderId="10" xfId="1" applyFont="1" applyFill="1" applyBorder="1"/>
    <xf numFmtId="44" fontId="0" fillId="0" borderId="11" xfId="1" applyFont="1" applyFill="1" applyBorder="1"/>
    <xf numFmtId="9" fontId="0" fillId="0" borderId="0" xfId="4" applyFont="1"/>
    <xf numFmtId="0" fontId="0" fillId="0" borderId="7" xfId="0" applyBorder="1" applyAlignment="1">
      <alignment horizontal="left" wrapText="1"/>
    </xf>
    <xf numFmtId="0" fontId="0" fillId="0" borderId="0" xfId="0" applyBorder="1" applyAlignment="1">
      <alignment horizontal="left"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3" xfId="0" applyFont="1" applyFill="1" applyBorder="1" applyAlignment="1">
      <alignment horizontal="center"/>
    </xf>
    <xf numFmtId="0" fontId="0" fillId="0" borderId="0" xfId="0" applyAlignment="1"/>
    <xf numFmtId="0" fontId="0" fillId="0" borderId="0" xfId="0" applyAlignment="1">
      <alignment horizontal="centerContinuous"/>
    </xf>
    <xf numFmtId="0" fontId="14" fillId="0" borderId="0" xfId="0" applyFont="1"/>
    <xf numFmtId="0" fontId="2" fillId="0" borderId="1" xfId="0" applyFont="1" applyBorder="1" applyAlignment="1">
      <alignment horizontal="center"/>
    </xf>
    <xf numFmtId="0" fontId="2" fillId="0" borderId="3" xfId="0" applyFont="1" applyBorder="1" applyAlignment="1">
      <alignment horizontal="center"/>
    </xf>
    <xf numFmtId="0" fontId="0" fillId="0" borderId="7" xfId="0" applyBorder="1" applyAlignment="1">
      <alignment horizontal="left" wrapText="1"/>
    </xf>
    <xf numFmtId="0" fontId="0" fillId="0" borderId="0" xfId="0" applyBorder="1" applyAlignment="1">
      <alignment horizontal="left" wrapText="1"/>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3" xfId="0" applyFont="1" applyFill="1" applyBorder="1" applyAlignment="1">
      <alignment horizontal="center"/>
    </xf>
    <xf numFmtId="0" fontId="15" fillId="0" borderId="0" xfId="0" applyFont="1" applyBorder="1"/>
    <xf numFmtId="0" fontId="3" fillId="0" borderId="0" xfId="0" applyFont="1" applyAlignment="1">
      <alignment horizontal="left"/>
    </xf>
    <xf numFmtId="0" fontId="2" fillId="0" borderId="0" xfId="0" applyFont="1" applyBorder="1" applyAlignment="1"/>
    <xf numFmtId="0" fontId="2" fillId="8" borderId="5" xfId="0" applyFont="1" applyFill="1" applyBorder="1" applyAlignment="1">
      <alignment horizontal="center"/>
    </xf>
    <xf numFmtId="0" fontId="2" fillId="8" borderId="6" xfId="0" applyFont="1" applyFill="1" applyBorder="1" applyAlignment="1">
      <alignment horizontal="center"/>
    </xf>
    <xf numFmtId="0" fontId="2" fillId="8" borderId="10" xfId="0" applyFont="1" applyFill="1" applyBorder="1" applyAlignment="1">
      <alignment horizontal="center"/>
    </xf>
    <xf numFmtId="0" fontId="2" fillId="8" borderId="11" xfId="0" applyFont="1" applyFill="1" applyBorder="1" applyAlignment="1">
      <alignment horizontal="center"/>
    </xf>
    <xf numFmtId="0" fontId="0" fillId="8" borderId="0" xfId="0" applyNumberFormat="1" applyFont="1" applyFill="1" applyBorder="1" applyAlignment="1">
      <alignment horizontal="center"/>
    </xf>
    <xf numFmtId="0" fontId="2" fillId="8" borderId="0" xfId="0" applyFont="1" applyFill="1" applyBorder="1" applyAlignment="1">
      <alignment horizontal="center"/>
    </xf>
    <xf numFmtId="44" fontId="0" fillId="8" borderId="0" xfId="0" applyNumberFormat="1" applyFill="1" applyBorder="1"/>
    <xf numFmtId="49" fontId="2" fillId="0" borderId="7" xfId="0" applyNumberFormat="1" applyFont="1" applyBorder="1" applyAlignment="1">
      <alignment horizontal="left" vertical="distributed"/>
    </xf>
    <xf numFmtId="49" fontId="2" fillId="0" borderId="0" xfId="0" applyNumberFormat="1" applyFont="1" applyFill="1" applyBorder="1" applyAlignment="1">
      <alignment horizontal="left" vertical="distributed"/>
    </xf>
    <xf numFmtId="44" fontId="0" fillId="8" borderId="0" xfId="1" applyFont="1" applyFill="1" applyBorder="1"/>
    <xf numFmtId="0" fontId="2" fillId="0" borderId="7" xfId="0" applyFont="1" applyBorder="1" applyAlignment="1">
      <alignment wrapText="1"/>
    </xf>
    <xf numFmtId="0" fontId="2" fillId="0" borderId="0" xfId="0" applyFont="1" applyFill="1" applyBorder="1" applyAlignment="1">
      <alignment wrapText="1"/>
    </xf>
    <xf numFmtId="0" fontId="0" fillId="8" borderId="0" xfId="0" applyFill="1" applyBorder="1"/>
    <xf numFmtId="44" fontId="0" fillId="8" borderId="10" xfId="0" applyNumberFormat="1" applyFill="1" applyBorder="1"/>
    <xf numFmtId="0" fontId="2" fillId="8" borderId="8" xfId="0" applyFont="1" applyFill="1" applyBorder="1" applyAlignment="1">
      <alignment horizontal="center"/>
    </xf>
    <xf numFmtId="0" fontId="2" fillId="0" borderId="0" xfId="0" applyFont="1" applyFill="1" applyAlignment="1">
      <alignment vertical="center"/>
    </xf>
    <xf numFmtId="44" fontId="2" fillId="0" borderId="0" xfId="0" applyNumberFormat="1" applyFont="1" applyFill="1" applyAlignment="1">
      <alignment vertical="center"/>
    </xf>
    <xf numFmtId="0" fontId="2" fillId="0" borderId="0" xfId="0" applyFont="1" applyFill="1" applyBorder="1" applyAlignment="1">
      <alignment horizontal="left" wrapText="1"/>
    </xf>
    <xf numFmtId="0" fontId="16" fillId="0" borderId="0" xfId="0" applyFont="1"/>
    <xf numFmtId="0" fontId="2" fillId="0" borderId="7" xfId="0" applyFont="1" applyBorder="1" applyAlignment="1">
      <alignment horizontal="left" wrapText="1"/>
    </xf>
    <xf numFmtId="0" fontId="2" fillId="0" borderId="7" xfId="0" applyFont="1" applyBorder="1" applyAlignment="1">
      <alignment horizontal="center"/>
    </xf>
    <xf numFmtId="0" fontId="2" fillId="0" borderId="0" xfId="0" applyFont="1" applyBorder="1" applyAlignment="1">
      <alignment horizontal="center"/>
    </xf>
    <xf numFmtId="0" fontId="15" fillId="0" borderId="0" xfId="0" applyFont="1"/>
    <xf numFmtId="0" fontId="2" fillId="9" borderId="0" xfId="0" applyFont="1" applyFill="1" applyBorder="1" applyAlignment="1">
      <alignment vertical="center"/>
    </xf>
    <xf numFmtId="44" fontId="2" fillId="9" borderId="8" xfId="0" applyNumberFormat="1" applyFont="1" applyFill="1" applyBorder="1" applyAlignment="1">
      <alignment vertical="center"/>
    </xf>
    <xf numFmtId="0" fontId="2" fillId="9" borderId="10" xfId="0" applyFont="1" applyFill="1" applyBorder="1" applyAlignment="1">
      <alignment vertical="center"/>
    </xf>
    <xf numFmtId="44" fontId="2" fillId="9" borderId="11" xfId="0" applyNumberFormat="1" applyFont="1" applyFill="1" applyBorder="1" applyAlignment="1">
      <alignment vertical="center"/>
    </xf>
    <xf numFmtId="0" fontId="7" fillId="0" borderId="0" xfId="0" applyFont="1" applyAlignment="1">
      <alignment horizontal="left" vertical="top"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7" xfId="0" applyFont="1" applyBorder="1" applyAlignment="1">
      <alignment horizontal="left" wrapText="1"/>
    </xf>
    <xf numFmtId="0" fontId="2" fillId="0" borderId="0" xfId="0" applyFont="1" applyBorder="1" applyAlignment="1">
      <alignment horizontal="left" wrapText="1"/>
    </xf>
    <xf numFmtId="0" fontId="2" fillId="9" borderId="5" xfId="0" applyFont="1" applyFill="1" applyBorder="1" applyAlignment="1">
      <alignment horizontal="center" wrapText="1"/>
    </xf>
    <xf numFmtId="0" fontId="2" fillId="9" borderId="6" xfId="0" applyFont="1" applyFill="1" applyBorder="1" applyAlignment="1">
      <alignment horizontal="center" wrapText="1"/>
    </xf>
    <xf numFmtId="0" fontId="2" fillId="9" borderId="0" xfId="0" applyFont="1" applyFill="1" applyBorder="1" applyAlignment="1">
      <alignment horizontal="center" wrapText="1"/>
    </xf>
    <xf numFmtId="0" fontId="2" fillId="9" borderId="8" xfId="0" applyFont="1" applyFill="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9" borderId="0" xfId="0" applyFont="1" applyFill="1" applyBorder="1" applyAlignment="1">
      <alignment horizontal="left" vertical="center"/>
    </xf>
    <xf numFmtId="0" fontId="2" fillId="0" borderId="7" xfId="0" applyFont="1" applyBorder="1" applyAlignment="1">
      <alignment horizontal="center"/>
    </xf>
    <xf numFmtId="0" fontId="2" fillId="0" borderId="0"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1" fontId="0" fillId="0" borderId="5" xfId="1" applyNumberFormat="1" applyFont="1"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7" xfId="0" applyBorder="1" applyAlignment="1">
      <alignment horizontal="left" wrapText="1"/>
    </xf>
    <xf numFmtId="0" fontId="0" fillId="0" borderId="0" xfId="0" applyBorder="1" applyAlignment="1">
      <alignment horizontal="left" wrapText="1"/>
    </xf>
    <xf numFmtId="0" fontId="0" fillId="0" borderId="0" xfId="0" applyAlignment="1">
      <alignment horizontal="left"/>
    </xf>
    <xf numFmtId="1" fontId="15" fillId="0" borderId="0" xfId="1" applyNumberFormat="1" applyFont="1" applyBorder="1" applyAlignment="1">
      <alignment horizontal="center"/>
    </xf>
    <xf numFmtId="0" fontId="15" fillId="0" borderId="0" xfId="0" applyFont="1" applyBorder="1" applyAlignment="1">
      <alignment horizontal="center"/>
    </xf>
    <xf numFmtId="0" fontId="0" fillId="0" borderId="7" xfId="0" applyBorder="1" applyAlignment="1">
      <alignment horizontal="left"/>
    </xf>
    <xf numFmtId="0" fontId="0" fillId="0" borderId="0" xfId="0" applyBorder="1" applyAlignment="1">
      <alignment horizontal="left"/>
    </xf>
    <xf numFmtId="0" fontId="0" fillId="0" borderId="7" xfId="0" applyBorder="1" applyAlignment="1">
      <alignment horizontal="center" wrapText="1"/>
    </xf>
    <xf numFmtId="0" fontId="0" fillId="0" borderId="0" xfId="0" applyBorder="1" applyAlignment="1">
      <alignment horizontal="center" wrapText="1"/>
    </xf>
    <xf numFmtId="0" fontId="2" fillId="0" borderId="6"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2" fillId="0" borderId="4" xfId="0" applyNumberFormat="1" applyFont="1" applyBorder="1" applyAlignment="1">
      <alignment horizontal="left"/>
    </xf>
    <xf numFmtId="0" fontId="2" fillId="0" borderId="5" xfId="0" applyNumberFormat="1" applyFont="1" applyBorder="1" applyAlignment="1">
      <alignment horizontal="left"/>
    </xf>
    <xf numFmtId="0" fontId="2" fillId="0" borderId="6" xfId="0" applyNumberFormat="1" applyFont="1" applyBorder="1" applyAlignment="1">
      <alignment horizontal="left"/>
    </xf>
    <xf numFmtId="0" fontId="0" fillId="2" borderId="7" xfId="0" applyNumberFormat="1" applyFill="1" applyBorder="1" applyAlignment="1">
      <alignment horizontal="left"/>
    </xf>
    <xf numFmtId="0" fontId="0" fillId="2" borderId="0" xfId="0" applyNumberFormat="1" applyFill="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2" fillId="0" borderId="4" xfId="0" applyFont="1" applyBorder="1" applyAlignment="1">
      <alignment horizontal="left"/>
    </xf>
    <xf numFmtId="0" fontId="2" fillId="0" borderId="6" xfId="0" applyFont="1" applyBorder="1" applyAlignment="1">
      <alignment horizontal="left"/>
    </xf>
    <xf numFmtId="0" fontId="10" fillId="7" borderId="0" xfId="3" applyFont="1" applyAlignment="1">
      <alignment horizontal="left"/>
    </xf>
    <xf numFmtId="0" fontId="6" fillId="0" borderId="0" xfId="0" applyFont="1" applyAlignment="1">
      <alignment horizontal="left"/>
    </xf>
    <xf numFmtId="0" fontId="6" fillId="0" borderId="8" xfId="0" applyFont="1" applyBorder="1" applyAlignment="1">
      <alignment horizontal="left"/>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2" fillId="0" borderId="18" xfId="0" applyFont="1" applyFill="1" applyBorder="1" applyAlignment="1">
      <alignment horizontal="center"/>
    </xf>
    <xf numFmtId="0" fontId="2" fillId="0" borderId="16" xfId="0" applyFont="1" applyFill="1" applyBorder="1" applyAlignment="1">
      <alignment horizontal="center"/>
    </xf>
    <xf numFmtId="0" fontId="2" fillId="0" borderId="19" xfId="0" applyFont="1" applyFill="1" applyBorder="1" applyAlignment="1">
      <alignment horizontal="center"/>
    </xf>
    <xf numFmtId="0" fontId="2" fillId="0" borderId="18" xfId="0" applyFont="1" applyBorder="1" applyAlignment="1">
      <alignment horizontal="center"/>
    </xf>
    <xf numFmtId="0" fontId="2" fillId="0" borderId="16" xfId="0" applyFont="1" applyBorder="1" applyAlignment="1">
      <alignment horizontal="center"/>
    </xf>
    <xf numFmtId="0" fontId="2" fillId="0" borderId="19" xfId="0" applyFont="1" applyBorder="1" applyAlignment="1">
      <alignment horizontal="center"/>
    </xf>
    <xf numFmtId="0" fontId="10" fillId="7" borderId="0" xfId="3" applyFont="1" applyBorder="1" applyAlignment="1">
      <alignment horizontal="left" wrapText="1"/>
    </xf>
    <xf numFmtId="44" fontId="0" fillId="0" borderId="7" xfId="1" applyFont="1" applyBorder="1" applyAlignment="1">
      <alignment horizontal="left" wrapText="1"/>
    </xf>
    <xf numFmtId="44" fontId="0" fillId="0" borderId="0" xfId="1" applyFont="1" applyBorder="1" applyAlignment="1">
      <alignment horizontal="left" wrapText="1"/>
    </xf>
    <xf numFmtId="0" fontId="0" fillId="0" borderId="7" xfId="0" applyNumberFormat="1" applyBorder="1" applyAlignment="1">
      <alignment horizontal="left"/>
    </xf>
    <xf numFmtId="0" fontId="0" fillId="0" borderId="0" xfId="0" applyNumberFormat="1" applyBorder="1" applyAlignment="1">
      <alignment horizontal="left"/>
    </xf>
    <xf numFmtId="0" fontId="0" fillId="0" borderId="7" xfId="0" applyFont="1" applyBorder="1" applyAlignment="1">
      <alignment horizontal="left" wrapText="1"/>
    </xf>
    <xf numFmtId="0" fontId="0" fillId="0" borderId="0" xfId="0" applyFont="1" applyBorder="1" applyAlignment="1">
      <alignment horizontal="left" wrapText="1"/>
    </xf>
    <xf numFmtId="0" fontId="10" fillId="7" borderId="17" xfId="3" applyFont="1" applyBorder="1" applyAlignment="1">
      <alignment horizontal="left" wrapText="1"/>
    </xf>
    <xf numFmtId="0" fontId="12" fillId="6" borderId="0" xfId="2" applyFont="1" applyAlignment="1">
      <alignment horizontal="left"/>
    </xf>
    <xf numFmtId="0" fontId="10" fillId="7" borderId="0" xfId="3" applyFont="1" applyBorder="1" applyAlignment="1">
      <alignment horizontal="left"/>
    </xf>
    <xf numFmtId="0" fontId="10" fillId="7" borderId="17" xfId="3" applyFont="1" applyBorder="1" applyAlignment="1">
      <alignment horizontal="left"/>
    </xf>
    <xf numFmtId="0" fontId="0" fillId="0" borderId="0" xfId="0" applyAlignment="1">
      <alignment horizontal="left" vertical="top" wrapText="1"/>
    </xf>
    <xf numFmtId="44" fontId="0" fillId="0" borderId="7" xfId="1" applyFont="1" applyBorder="1" applyAlignment="1">
      <alignment horizontal="left"/>
    </xf>
    <xf numFmtId="44" fontId="0" fillId="0" borderId="0" xfId="1" applyFont="1" applyBorder="1" applyAlignment="1">
      <alignment horizontal="left"/>
    </xf>
  </cellXfs>
  <cellStyles count="5">
    <cellStyle name="Accent5" xfId="2" builtinId="45"/>
    <cellStyle name="Accent6" xfId="3" builtinId="49"/>
    <cellStyle name="Currency" xfId="1" builtinId="4"/>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29</xdr:row>
      <xdr:rowOff>0</xdr:rowOff>
    </xdr:from>
    <xdr:ext cx="14439900" cy="5818909"/>
    <xdr:sp macro="" textlink="">
      <xdr:nvSpPr>
        <xdr:cNvPr id="2" name="TextBox 1"/>
        <xdr:cNvSpPr txBox="1"/>
      </xdr:nvSpPr>
      <xdr:spPr>
        <a:xfrm>
          <a:off x="0" y="5394960"/>
          <a:ext cx="14439900" cy="58189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Under the new calculation approach, for each operating reserve segment,</a:t>
          </a:r>
          <a:r>
            <a:rPr lang="en-US" sz="1800" baseline="0"/>
            <a:t> there are three steps to calculating the Balancing Operating Reserve Credit: </a:t>
          </a:r>
        </a:p>
        <a:p>
          <a:endParaRPr lang="en-US" sz="1800" baseline="0"/>
        </a:p>
        <a:p>
          <a:r>
            <a:rPr lang="en-US" sz="1800" baseline="0"/>
            <a:t>- Step 1: Calculate the preliminary balancing operating reserve credit using the tracking desired MW on both the cost and value sides of the </a:t>
          </a:r>
          <a:r>
            <a:rPr lang="en-US" sz="1800" baseline="0">
              <a:solidFill>
                <a:schemeClr val="lt1"/>
              </a:solidFill>
              <a:latin typeface="+mn-lt"/>
              <a:ea typeface="+mn-ea"/>
              <a:cs typeface="+mn-cs"/>
            </a:rPr>
            <a:t>equation</a:t>
          </a:r>
        </a:p>
        <a:p>
          <a:r>
            <a:rPr lang="en-US" sz="1800" baseline="0">
              <a:solidFill>
                <a:schemeClr val="lt1"/>
              </a:solidFill>
              <a:latin typeface="+mn-lt"/>
              <a:ea typeface="+mn-ea"/>
              <a:cs typeface="+mn-cs"/>
            </a:rPr>
            <a:t>for every interval in the segment. This represents the credit that the resource would have received if it had followed dispatch.  </a:t>
          </a:r>
        </a:p>
        <a:p>
          <a:endParaRPr lang="en-US" sz="1800" baseline="0"/>
        </a:p>
        <a:p>
          <a:r>
            <a:rPr lang="en-US" sz="1800" baseline="0"/>
            <a:t>- Step 2: Calculate the preliminary balancing operating reserve credit using the RT MW on both the cost and value sides of the equation for every interval</a:t>
          </a:r>
        </a:p>
        <a:p>
          <a:r>
            <a:rPr lang="en-US" sz="1800" baseline="0"/>
            <a:t>in the segment.  This represents the payment that would be needed to make the resource whole for the MW amount that was injected on to the system. </a:t>
          </a:r>
        </a:p>
        <a:p>
          <a:endParaRPr lang="en-US" sz="1800" baseline="0"/>
        </a:p>
        <a:p>
          <a:r>
            <a:rPr lang="en-US" sz="1800" baseline="0"/>
            <a:t>- Step 3: Compare the preliminary balancing operating reserve credits from Steps 1 and 2.  The Balancing Operating Reserve Credit paid to the resource</a:t>
          </a:r>
        </a:p>
        <a:p>
          <a:r>
            <a:rPr lang="en-US" sz="1800" baseline="0"/>
            <a:t>is the lesser of the two credits.</a:t>
          </a:r>
        </a:p>
        <a:p>
          <a:endParaRPr lang="en-US" sz="1800" baseline="0"/>
        </a:p>
        <a:p>
          <a:r>
            <a:rPr lang="en-US" sz="1800" baseline="0"/>
            <a:t>Using these calculations, the Balancing Operating Reserve Credit that the resource will actually receive is bounded by $0 and the Operating Reserve </a:t>
          </a:r>
        </a:p>
        <a:p>
          <a:r>
            <a:rPr lang="en-US" sz="1800" baseline="0"/>
            <a:t>Credit using Tracking Desired MW (Step 1 credit).  </a:t>
          </a:r>
          <a:r>
            <a:rPr lang="en-US" sz="1800" baseline="0">
              <a:solidFill>
                <a:schemeClr val="lt1"/>
              </a:solidFill>
              <a:effectLst/>
              <a:latin typeface="+mn-lt"/>
              <a:ea typeface="+mn-ea"/>
              <a:cs typeface="+mn-cs"/>
            </a:rPr>
            <a:t>In other words, the resource will only be made whole up to the amount of make whole credit that </a:t>
          </a:r>
        </a:p>
        <a:p>
          <a:r>
            <a:rPr lang="en-US" sz="1800" baseline="0">
              <a:solidFill>
                <a:schemeClr val="lt1"/>
              </a:solidFill>
              <a:effectLst/>
              <a:latin typeface="+mn-lt"/>
              <a:ea typeface="+mn-ea"/>
              <a:cs typeface="+mn-cs"/>
            </a:rPr>
            <a:t>the resource would have required if it had followed dispatch the entire time.</a:t>
          </a:r>
        </a:p>
        <a:p>
          <a:endParaRPr lang="en-US" sz="1800" baseline="0">
            <a:solidFill>
              <a:schemeClr val="lt1"/>
            </a:solidFill>
            <a:effectLst/>
            <a:latin typeface="+mn-lt"/>
            <a:ea typeface="+mn-ea"/>
            <a:cs typeface="+mn-cs"/>
          </a:endParaRPr>
        </a:p>
        <a:p>
          <a:r>
            <a:rPr lang="en-US" sz="1800" baseline="0">
              <a:solidFill>
                <a:schemeClr val="lt1"/>
              </a:solidFill>
              <a:effectLst/>
              <a:latin typeface="+mn-lt"/>
              <a:ea typeface="+mn-ea"/>
              <a:cs typeface="+mn-cs"/>
            </a:rPr>
            <a:t>In the example above, the total Balancing Operating Reserve Credit for the 7 intervals in the segment using RT MW is $1578.13 (Step 2).  However, </a:t>
          </a:r>
        </a:p>
        <a:p>
          <a:r>
            <a:rPr lang="en-US" sz="1800" baseline="0">
              <a:solidFill>
                <a:schemeClr val="lt1"/>
              </a:solidFill>
              <a:effectLst/>
              <a:latin typeface="+mn-lt"/>
              <a:ea typeface="+mn-ea"/>
              <a:cs typeface="+mn-cs"/>
            </a:rPr>
            <a:t>because the resource only would have required a Balancing Operating Reserve Credit of $1553.13 for that segment using the Tracking Desired MW </a:t>
          </a:r>
        </a:p>
        <a:p>
          <a:r>
            <a:rPr lang="en-US" sz="1800" baseline="0">
              <a:solidFill>
                <a:schemeClr val="lt1"/>
              </a:solidFill>
              <a:effectLst/>
              <a:latin typeface="+mn-lt"/>
              <a:ea typeface="+mn-ea"/>
              <a:cs typeface="+mn-cs"/>
            </a:rPr>
            <a:t>(Step 1), the resource is not made whole for the full $1578.13 and the credit will instead equal the cap of $1553.13. </a:t>
          </a:r>
          <a:endParaRPr lang="en-US" sz="1800" baseline="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254751" y="7667627"/>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357187"/>
    <xdr:sp macro="" textlink="">
      <xdr:nvSpPr>
        <xdr:cNvPr id="5" name="TextBox 4"/>
        <xdr:cNvSpPr txBox="1"/>
      </xdr:nvSpPr>
      <xdr:spPr>
        <a:xfrm>
          <a:off x="10517188" y="8961438"/>
          <a:ext cx="3306761" cy="357187"/>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unit breaks even</a:t>
          </a:r>
        </a:p>
      </xdr:txBody>
    </xdr:sp>
    <xdr:clientData/>
  </xdr:oneCellAnchor>
  <xdr:oneCellAnchor>
    <xdr:from>
      <xdr:col>14</xdr:col>
      <xdr:colOff>1</xdr:colOff>
      <xdr:row>94</xdr:row>
      <xdr:rowOff>15873</xdr:rowOff>
    </xdr:from>
    <xdr:ext cx="4183062" cy="1230313"/>
    <xdr:sp macro="" textlink="">
      <xdr:nvSpPr>
        <xdr:cNvPr id="8" name="TextBox 7"/>
        <xdr:cNvSpPr txBox="1"/>
      </xdr:nvSpPr>
      <xdr:spPr>
        <a:xfrm>
          <a:off x="9644064" y="20050123"/>
          <a:ext cx="4183062" cy="1230313"/>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a:t>
          </a:r>
          <a:r>
            <a:rPr lang="en-US" sz="1400" baseline="0"/>
            <a:t> the unit over generates, the unit is not made whole to incremental costs above Ramp Limited Desired (i.e. incremental costs associated with  the 25 MWs between 75 MW (Ramp Limited Desired) and 100 MW (RT Actual MW)).</a:t>
          </a:r>
        </a:p>
      </xdr:txBody>
    </xdr:sp>
    <xdr:clientData/>
  </xdr:oneCellAnchor>
  <xdr:oneCellAnchor>
    <xdr:from>
      <xdr:col>13</xdr:col>
      <xdr:colOff>642938</xdr:colOff>
      <xdr:row>146</xdr:row>
      <xdr:rowOff>7938</xdr:rowOff>
    </xdr:from>
    <xdr:ext cx="4180261" cy="1270000"/>
    <xdr:sp macro="" textlink="">
      <xdr:nvSpPr>
        <xdr:cNvPr id="9" name="TextBox 8"/>
        <xdr:cNvSpPr txBox="1"/>
      </xdr:nvSpPr>
      <xdr:spPr>
        <a:xfrm>
          <a:off x="9564688" y="31392813"/>
          <a:ext cx="4180261" cy="127000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a:t>When</a:t>
          </a:r>
          <a:r>
            <a:rPr lang="en-US" sz="1400" baseline="0"/>
            <a:t> the unit overgenerates, the unit is not made whole to incremental costs above Tracking </a:t>
          </a:r>
          <a:r>
            <a:rPr lang="en-US" sz="1400" baseline="0">
              <a:solidFill>
                <a:schemeClr val="lt1"/>
              </a:solidFill>
              <a:effectLst/>
              <a:latin typeface="+mn-lt"/>
              <a:ea typeface="+mn-ea"/>
              <a:cs typeface="+mn-cs"/>
            </a:rPr>
            <a:t>Desired (i.e. incremental costs associated with  the 50 MWs between 50 MW (Tracking Desired) and 100 MW (RT Actual MW)).</a:t>
          </a:r>
          <a:endParaRPr lang="en-US" sz="1400">
            <a:effectLst/>
          </a:endParaRPr>
        </a:p>
        <a:p>
          <a:endParaRPr lang="en-US" sz="1100" baseline="0"/>
        </a:p>
      </xdr:txBody>
    </xdr:sp>
    <xdr:clientData/>
  </xdr:oneCellAnchor>
  <xdr:oneCellAnchor>
    <xdr:from>
      <xdr:col>0</xdr:col>
      <xdr:colOff>39688</xdr:colOff>
      <xdr:row>155</xdr:row>
      <xdr:rowOff>174624</xdr:rowOff>
    </xdr:from>
    <xdr:ext cx="8897937" cy="2286001"/>
    <xdr:sp macro="" textlink="">
      <xdr:nvSpPr>
        <xdr:cNvPr id="11" name="TextBox 10"/>
        <xdr:cNvSpPr txBox="1"/>
      </xdr:nvSpPr>
      <xdr:spPr>
        <a:xfrm>
          <a:off x="39688" y="33289874"/>
          <a:ext cx="8897937" cy="22860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Scenario 1 and 3 award</a:t>
          </a:r>
          <a:r>
            <a:rPr lang="en-US" sz="1800" baseline="0"/>
            <a:t> the same Balancing Operating Reserve Credits, which limit paying </a:t>
          </a:r>
        </a:p>
        <a:p>
          <a:r>
            <a:rPr lang="en-US" sz="1800" baseline="0"/>
            <a:t>uplift for only MWs that PJM desired.</a:t>
          </a:r>
        </a:p>
        <a:p>
          <a:endParaRPr lang="en-US" sz="1000" baseline="0"/>
        </a:p>
        <a:p>
          <a:r>
            <a:rPr lang="en-US" sz="1800" baseline="0"/>
            <a:t>Scenario 2 pays additional uplift for MW in excess of what the resource would have provided, </a:t>
          </a:r>
        </a:p>
        <a:p>
          <a:r>
            <a:rPr lang="en-US" sz="1800" baseline="0"/>
            <a:t>if it was following dispatch. In this example, the resource is overgenerating and the Ramp </a:t>
          </a:r>
        </a:p>
        <a:p>
          <a:r>
            <a:rPr lang="en-US" sz="1800" baseline="0"/>
            <a:t>Limited Desired MW is constrained in how low it can move by the resource's current </a:t>
          </a:r>
        </a:p>
        <a:p>
          <a:r>
            <a:rPr lang="en-US" sz="1800" baseline="0"/>
            <a:t>output and ramp rate.</a:t>
          </a:r>
          <a:endParaRPr lang="en-US" sz="1800"/>
        </a:p>
      </xdr:txBody>
    </xdr:sp>
    <xdr:clientData/>
  </xdr:oneCellAnchor>
  <xdr:oneCellAnchor>
    <xdr:from>
      <xdr:col>13</xdr:col>
      <xdr:colOff>644414</xdr:colOff>
      <xdr:row>156</xdr:row>
      <xdr:rowOff>13689</xdr:rowOff>
    </xdr:from>
    <xdr:ext cx="4173649" cy="3788373"/>
    <xdr:sp macro="" textlink="">
      <xdr:nvSpPr>
        <xdr:cNvPr id="12" name="TextBox 11"/>
        <xdr:cNvSpPr txBox="1"/>
      </xdr:nvSpPr>
      <xdr:spPr>
        <a:xfrm>
          <a:off x="9566164" y="33319439"/>
          <a:ext cx="4173649" cy="378837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Scenario 1 shows the resource breaks even when following</a:t>
          </a:r>
          <a:r>
            <a:rPr lang="en-US" sz="1600" baseline="0"/>
            <a:t> dispatch</a:t>
          </a:r>
        </a:p>
        <a:p>
          <a:endParaRPr lang="en-US" sz="1600" baseline="0"/>
        </a:p>
        <a:p>
          <a:r>
            <a:rPr lang="en-US" sz="1600" baseline="0"/>
            <a:t>Scenario 2 shows the resource incurs a small loss due to the resource operating above the Ramp Limited Desired MW (uplift is not paid for MW in excess of the Ramp Limited Desired MW)</a:t>
          </a:r>
        </a:p>
        <a:p>
          <a:endParaRPr lang="en-US" sz="1800" baseline="0"/>
        </a:p>
        <a:p>
          <a:r>
            <a:rPr lang="en-US" sz="1600" baseline="0"/>
            <a:t>Scenario 3 shows the resource incurs a larger loss as compared to Scenario 2 due to the Tracking Desired MW not being constrained by the resource's current output.</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13" name="Rounded Rectangular Callout 12"/>
        <xdr:cNvSpPr/>
      </xdr:nvSpPr>
      <xdr:spPr>
        <a:xfrm>
          <a:off x="3595688" y="31425912"/>
          <a:ext cx="5318125"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17" name="Rounded Rectangular Callout 16"/>
        <xdr:cNvSpPr/>
      </xdr:nvSpPr>
      <xdr:spPr>
        <a:xfrm>
          <a:off x="3548054" y="20614158"/>
          <a:ext cx="5388162" cy="1404468"/>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8" name="Rounded Rectangular Callout 17"/>
        <xdr:cNvSpPr/>
      </xdr:nvSpPr>
      <xdr:spPr>
        <a:xfrm>
          <a:off x="3635376" y="9659938"/>
          <a:ext cx="5302250"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4" name="TextBox 13"/>
        <xdr:cNvSpPr txBox="1"/>
      </xdr:nvSpPr>
      <xdr:spPr>
        <a:xfrm>
          <a:off x="7493000" y="7664451"/>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5" name="TextBox 14"/>
        <xdr:cNvSpPr txBox="1"/>
      </xdr:nvSpPr>
      <xdr:spPr>
        <a:xfrm>
          <a:off x="6405563" y="18499138"/>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0</xdr:col>
      <xdr:colOff>0</xdr:colOff>
      <xdr:row>233</xdr:row>
      <xdr:rowOff>5079</xdr:rowOff>
    </xdr:from>
    <xdr:ext cx="15976022" cy="7013787"/>
    <xdr:sp macro="" textlink="">
      <xdr:nvSpPr>
        <xdr:cNvPr id="16" name="TextBox 15"/>
        <xdr:cNvSpPr txBox="1"/>
      </xdr:nvSpPr>
      <xdr:spPr>
        <a:xfrm>
          <a:off x="0" y="47373770"/>
          <a:ext cx="15976022" cy="70137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The Bal Net Revenue in the Balancing</a:t>
          </a:r>
          <a:r>
            <a:rPr lang="en-US" sz="1800" baseline="0"/>
            <a:t> Operating Reserves @ Scenario 3 shows that the resource made a profit of $500. This profit would be used to offset any loss within</a:t>
          </a:r>
        </a:p>
        <a:p>
          <a:r>
            <a:rPr lang="en-US" sz="1800" baseline="0"/>
            <a:t>the operating reserve segment, reducing the overall make whole credit owed to the resource. This $500 profit was calculated using the balancing revenue associated</a:t>
          </a:r>
        </a:p>
        <a:p>
          <a:r>
            <a:rPr lang="en-US" sz="1800" baseline="0"/>
            <a:t>with the actual RT MW of 100 MW, but only the cost of the desired 50 MW. This profit is unattainable because it treats every MW produced above desired as </a:t>
          </a:r>
        </a:p>
        <a:p>
          <a:r>
            <a:rPr lang="en-US" sz="1800" baseline="0"/>
            <a:t>100% profit because the cost of producing those MW is excluded on the cost side of the equation. The resource would not receive an operating reserve credit </a:t>
          </a:r>
        </a:p>
        <a:p>
          <a:r>
            <a:rPr lang="en-US" sz="1800" baseline="0"/>
            <a:t>if the segment only contained this single interval.</a:t>
          </a:r>
        </a:p>
        <a:p>
          <a:endParaRPr lang="en-US" sz="1800" baseline="0"/>
        </a:p>
        <a:p>
          <a:r>
            <a:rPr lang="en-US" sz="1800" baseline="0"/>
            <a:t>New Approach: </a:t>
          </a:r>
        </a:p>
        <a:p>
          <a:r>
            <a:rPr lang="en-US" sz="1800" baseline="0"/>
            <a:t>Step 1: Calculate the</a:t>
          </a:r>
          <a:r>
            <a:rPr lang="en-US" sz="1800" baseline="0">
              <a:solidFill>
                <a:schemeClr val="bg1"/>
              </a:solidFill>
            </a:rPr>
            <a:t> make whole credit that would have been owed if the resource </a:t>
          </a:r>
          <a:r>
            <a:rPr lang="en-US" sz="1800" baseline="0"/>
            <a:t>followed dispatch by using the tracking desired MW in the calculation. </a:t>
          </a:r>
        </a:p>
        <a:p>
          <a:r>
            <a:rPr lang="en-US" sz="1800" baseline="0"/>
            <a:t>In this single interval example, if the resource followed dispatch, the resource would need a balancing operating reserve credit of $250 based on the cost of, </a:t>
          </a:r>
        </a:p>
        <a:p>
          <a:r>
            <a:rPr lang="en-US" sz="1800" baseline="0"/>
            <a:t>and revenue earned by, producing the Tracking Desired MW (50 MW).</a:t>
          </a:r>
        </a:p>
        <a:p>
          <a:endParaRPr lang="en-US" sz="1800" baseline="0"/>
        </a:p>
        <a:p>
          <a:r>
            <a:rPr lang="en-US" sz="1800" baseline="0"/>
            <a:t>Step 2: Calculate the </a:t>
          </a:r>
          <a:r>
            <a:rPr lang="en-US" sz="1800" baseline="0">
              <a:solidFill>
                <a:schemeClr val="bg1"/>
              </a:solidFill>
            </a:rPr>
            <a:t>make whole credit</a:t>
          </a:r>
          <a:r>
            <a:rPr lang="en-US" sz="1800" baseline="0">
              <a:solidFill>
                <a:srgbClr val="FF0000"/>
              </a:solidFill>
            </a:rPr>
            <a:t> </a:t>
          </a:r>
          <a:r>
            <a:rPr lang="en-US" sz="1800" baseline="0"/>
            <a:t>based on the resource's RT MW produced. </a:t>
          </a:r>
        </a:p>
        <a:p>
          <a:r>
            <a:rPr lang="en-US" sz="1800" baseline="0"/>
            <a:t>In this single interval example, the  performance calculation results in a balancing operating reserve credit of $750 based on the cost of, and revenue earned by, </a:t>
          </a:r>
        </a:p>
        <a:p>
          <a:r>
            <a:rPr lang="en-US" sz="1800" baseline="0"/>
            <a:t>producing the RT MW (100 MW).</a:t>
          </a:r>
        </a:p>
        <a:p>
          <a:endParaRPr lang="en-US" sz="1800" baseline="0"/>
        </a:p>
        <a:p>
          <a:r>
            <a:rPr lang="en-US" sz="1800" baseline="0"/>
            <a:t>Step 3: The Balancing operating reserve credit that the resource would receive is the lesser of the Step 1 (Tracking Desired) segmented balancing operating reserve credit</a:t>
          </a:r>
        </a:p>
        <a:p>
          <a:r>
            <a:rPr lang="en-US" sz="1800" baseline="0"/>
            <a:t>and the Step 2 (RT MW) segmented balancing operating reserve credit. Lesser of ($250, $750) = $250</a:t>
          </a:r>
        </a:p>
        <a:p>
          <a:endParaRPr lang="en-US" sz="1800" baseline="0"/>
        </a:p>
        <a:p>
          <a:r>
            <a:rPr lang="en-US" sz="1800" baseline="0"/>
            <a:t>Although the resource needs a $750 credit based on the RT MW produced, the balancing operating reserve credit is limited to $250, which is the amount of make whole it</a:t>
          </a:r>
        </a:p>
        <a:p>
          <a:r>
            <a:rPr lang="en-US" sz="1800" baseline="0"/>
            <a:t>would have required if it had followed dispatch and produced only 50 MW. This ensures that the resource is only made whole for the MW quantity that would have </a:t>
          </a:r>
        </a:p>
        <a:p>
          <a:r>
            <a:rPr lang="en-US" sz="1800" baseline="0"/>
            <a:t>been requested by PJM if the resource followed dispatch the entire time.  In contrast to Scenario 3, it also avoids overstating the resource's profit by not utilizing </a:t>
          </a:r>
        </a:p>
        <a:p>
          <a:r>
            <a:rPr lang="en-US" sz="1800" baseline="0"/>
            <a:t>any revenues that the resource couldn't have attained even if it followed dispatch.  That is, it excludes the additional $750 in net revenue that the existing calculations</a:t>
          </a:r>
        </a:p>
        <a:p>
          <a:r>
            <a:rPr lang="en-US" sz="1800" baseline="0"/>
            <a:t> would have used under Scenario 3.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2849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357187"/>
    <xdr:sp macro="" textlink="">
      <xdr:nvSpPr>
        <xdr:cNvPr id="3" name="TextBox 2"/>
        <xdr:cNvSpPr txBox="1"/>
      </xdr:nvSpPr>
      <xdr:spPr>
        <a:xfrm>
          <a:off x="10434638" y="8988425"/>
          <a:ext cx="3306761" cy="357187"/>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unit breaks even</a:t>
          </a:r>
        </a:p>
      </xdr:txBody>
    </xdr:sp>
    <xdr:clientData/>
  </xdr:oneCellAnchor>
  <xdr:oneCellAnchor>
    <xdr:from>
      <xdr:col>14</xdr:col>
      <xdr:colOff>1</xdr:colOff>
      <xdr:row>94</xdr:row>
      <xdr:rowOff>15873</xdr:rowOff>
    </xdr:from>
    <xdr:ext cx="4183062" cy="1230313"/>
    <xdr:sp macro="" textlink="">
      <xdr:nvSpPr>
        <xdr:cNvPr id="4" name="TextBox 3"/>
        <xdr:cNvSpPr txBox="1"/>
      </xdr:nvSpPr>
      <xdr:spPr>
        <a:xfrm>
          <a:off x="9563101" y="20113623"/>
          <a:ext cx="4183062" cy="1230313"/>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a:t>
          </a:r>
          <a:r>
            <a:rPr lang="en-US" sz="1400" baseline="0"/>
            <a:t> the unit over generates, the unit is not made whole to incremental costs above Ramp Limited Desired (i.e. incremental costs associated with  the 25 MWs between 75 MW (Ramp Limited Desired) and 100 MW (RT Actual MW)).</a:t>
          </a:r>
        </a:p>
      </xdr:txBody>
    </xdr:sp>
    <xdr:clientData/>
  </xdr:oneCellAnchor>
  <xdr:oneCellAnchor>
    <xdr:from>
      <xdr:col>13</xdr:col>
      <xdr:colOff>642938</xdr:colOff>
      <xdr:row>146</xdr:row>
      <xdr:rowOff>7937</xdr:rowOff>
    </xdr:from>
    <xdr:ext cx="4180261" cy="1285875"/>
    <xdr:sp macro="" textlink="">
      <xdr:nvSpPr>
        <xdr:cNvPr id="5" name="TextBox 4"/>
        <xdr:cNvSpPr txBox="1"/>
      </xdr:nvSpPr>
      <xdr:spPr>
        <a:xfrm>
          <a:off x="9913938" y="31392812"/>
          <a:ext cx="4180261" cy="128587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a:t>When</a:t>
          </a:r>
          <a:r>
            <a:rPr lang="en-US" sz="1400" baseline="0"/>
            <a:t> the unit overgenerates, the unit is not made whole to incremental costs above Tracking </a:t>
          </a:r>
          <a:r>
            <a:rPr lang="en-US" sz="1400" baseline="0">
              <a:solidFill>
                <a:schemeClr val="lt1"/>
              </a:solidFill>
              <a:effectLst/>
              <a:latin typeface="+mn-lt"/>
              <a:ea typeface="+mn-ea"/>
              <a:cs typeface="+mn-cs"/>
            </a:rPr>
            <a:t>Desired (i.e. incremental costs associated with  the 50 MWs between 50 MW (Tracking Desired) and 100 MW (RT Actual MW)).</a:t>
          </a:r>
          <a:endParaRPr lang="en-US" sz="1400">
            <a:effectLst/>
          </a:endParaRPr>
        </a:p>
        <a:p>
          <a:endParaRPr lang="en-US" sz="1100" baseline="0"/>
        </a:p>
      </xdr:txBody>
    </xdr:sp>
    <xdr:clientData/>
  </xdr:oneCellAnchor>
  <xdr:oneCellAnchor>
    <xdr:from>
      <xdr:col>0</xdr:col>
      <xdr:colOff>39689</xdr:colOff>
      <xdr:row>155</xdr:row>
      <xdr:rowOff>174624</xdr:rowOff>
    </xdr:from>
    <xdr:ext cx="8858250" cy="3261303"/>
    <xdr:sp macro="" textlink="">
      <xdr:nvSpPr>
        <xdr:cNvPr id="6" name="TextBox 5"/>
        <xdr:cNvSpPr txBox="1"/>
      </xdr:nvSpPr>
      <xdr:spPr>
        <a:xfrm>
          <a:off x="39689" y="32227115"/>
          <a:ext cx="8858250" cy="32613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Scenario 1 and 3 award</a:t>
          </a:r>
          <a:r>
            <a:rPr lang="en-US" sz="1800" baseline="0"/>
            <a:t> the same Balancing Operating Reserve Credits, which limit paying </a:t>
          </a:r>
        </a:p>
        <a:p>
          <a:r>
            <a:rPr lang="en-US" sz="1800" baseline="0"/>
            <a:t>uplift for only MWs that PJM desired. Scenario 3, besides limiting the Incremental cost, also</a:t>
          </a:r>
        </a:p>
        <a:p>
          <a:r>
            <a:rPr lang="en-US" sz="1800" baseline="0"/>
            <a:t>limits the Balancing Revenue, since the over generation with a negative LMP results in the </a:t>
          </a:r>
          <a:br>
            <a:rPr lang="en-US" sz="1800" baseline="0"/>
          </a:br>
          <a:r>
            <a:rPr lang="en-US" sz="1800" baseline="0"/>
            <a:t>resource being charged for all the MW being produced.</a:t>
          </a:r>
        </a:p>
        <a:p>
          <a:endParaRPr lang="en-US" sz="1000" baseline="0"/>
        </a:p>
        <a:p>
          <a:r>
            <a:rPr lang="en-US" sz="1800" baseline="0"/>
            <a:t>Scenario 2 pays additional uplift for MW in excess of what the resource would have provided, </a:t>
          </a:r>
        </a:p>
        <a:p>
          <a:r>
            <a:rPr lang="en-US" sz="1800" baseline="0"/>
            <a:t>if it was following dispatch. In this example, the resource is overgenerating and the Ramp </a:t>
          </a:r>
        </a:p>
        <a:p>
          <a:r>
            <a:rPr lang="en-US" sz="1800" baseline="0"/>
            <a:t>Limited Desired MW is constrained in how low it can move by the resource's current </a:t>
          </a:r>
        </a:p>
        <a:p>
          <a:r>
            <a:rPr lang="en-US" sz="1800" baseline="0"/>
            <a:t>output and ramp rate. The resource recovers the energy charge for the overgeneration</a:t>
          </a:r>
          <a:br>
            <a:rPr lang="en-US" sz="1800" baseline="0"/>
          </a:br>
          <a:r>
            <a:rPr lang="en-US" sz="1800" baseline="0"/>
            <a:t>due to the LMP being negative.</a:t>
          </a:r>
          <a:endParaRPr lang="en-US" sz="1800"/>
        </a:p>
      </xdr:txBody>
    </xdr:sp>
    <xdr:clientData/>
  </xdr:oneCellAnchor>
  <xdr:oneCellAnchor>
    <xdr:from>
      <xdr:col>13</xdr:col>
      <xdr:colOff>644414</xdr:colOff>
      <xdr:row>153</xdr:row>
      <xdr:rowOff>2</xdr:rowOff>
    </xdr:from>
    <xdr:ext cx="5777168" cy="3775362"/>
    <xdr:sp macro="" textlink="">
      <xdr:nvSpPr>
        <xdr:cNvPr id="7" name="TextBox 6"/>
        <xdr:cNvSpPr txBox="1"/>
      </xdr:nvSpPr>
      <xdr:spPr>
        <a:xfrm>
          <a:off x="10190196" y="31692275"/>
          <a:ext cx="5777168" cy="377536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Scenario 1 shows the resource breaks even when following</a:t>
          </a:r>
          <a:r>
            <a:rPr lang="en-US" sz="1600" baseline="0"/>
            <a:t> dispatch</a:t>
          </a:r>
        </a:p>
        <a:p>
          <a:endParaRPr lang="en-US" sz="1600" baseline="0"/>
        </a:p>
        <a:p>
          <a:r>
            <a:rPr lang="en-US" sz="1600" baseline="0"/>
            <a:t>Scenario 2 shows the resource incurs a small loss due to the resource operating above the Ramp Limited Desired MW (uplift is not paid for MW in excess of the Ramp Limited Desired MW)</a:t>
          </a:r>
        </a:p>
        <a:p>
          <a:endParaRPr lang="en-US" sz="1800" baseline="0"/>
        </a:p>
        <a:p>
          <a:r>
            <a:rPr lang="en-US" sz="1600" baseline="0"/>
            <a:t>Scenario 3 shows the resource incurs a larger loss as compared to Scenario 2 due to the Tracking Desired MW not being constrained by the resource's current output. The Balancing Value being limited to just the energy charge that would have been requested by PJM is also a factor of the increase in loss.</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8" name="Rounded Rectangular Callout 7"/>
        <xdr:cNvSpPr/>
      </xdr:nvSpPr>
      <xdr:spPr>
        <a:xfrm>
          <a:off x="3587750" y="31856124"/>
          <a:ext cx="5318125"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540116" y="20839583"/>
          <a:ext cx="5389750"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627438" y="9688513"/>
          <a:ext cx="5303838"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4039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4039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twoCellAnchor>
    <xdr:from>
      <xdr:col>0</xdr:col>
      <xdr:colOff>254001</xdr:colOff>
      <xdr:row>89</xdr:row>
      <xdr:rowOff>182561</xdr:rowOff>
    </xdr:from>
    <xdr:to>
      <xdr:col>1</xdr:col>
      <xdr:colOff>549277</xdr:colOff>
      <xdr:row>96</xdr:row>
      <xdr:rowOff>7937</xdr:rowOff>
    </xdr:to>
    <xdr:sp macro="" textlink="">
      <xdr:nvSpPr>
        <xdr:cNvPr id="17" name="Line Callout 1 16"/>
        <xdr:cNvSpPr/>
      </xdr:nvSpPr>
      <xdr:spPr>
        <a:xfrm>
          <a:off x="254001" y="19256374"/>
          <a:ext cx="1755776" cy="1285876"/>
        </a:xfrm>
        <a:prstGeom prst="borderCallout1">
          <a:avLst>
            <a:gd name="adj1" fmla="val 40221"/>
            <a:gd name="adj2" fmla="val 104218"/>
            <a:gd name="adj3" fmla="val 39390"/>
            <a:gd name="adj4" fmla="val 387858"/>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 Value includes the over generation,</a:t>
          </a:r>
          <a:r>
            <a:rPr lang="en-US" sz="1400" baseline="0"/>
            <a:t> which is a charge with the negative LMP.</a:t>
          </a:r>
          <a:endParaRPr lang="en-US" sz="1400"/>
        </a:p>
      </xdr:txBody>
    </xdr:sp>
    <xdr:clientData/>
  </xdr:twoCellAnchor>
  <xdr:twoCellAnchor>
    <xdr:from>
      <xdr:col>0</xdr:col>
      <xdr:colOff>198448</xdr:colOff>
      <xdr:row>140</xdr:row>
      <xdr:rowOff>166686</xdr:rowOff>
    </xdr:from>
    <xdr:to>
      <xdr:col>1</xdr:col>
      <xdr:colOff>493724</xdr:colOff>
      <xdr:row>146</xdr:row>
      <xdr:rowOff>111125</xdr:rowOff>
    </xdr:to>
    <xdr:sp macro="" textlink="">
      <xdr:nvSpPr>
        <xdr:cNvPr id="14" name="Line Callout 1 13"/>
        <xdr:cNvSpPr/>
      </xdr:nvSpPr>
      <xdr:spPr>
        <a:xfrm>
          <a:off x="198448" y="30210124"/>
          <a:ext cx="1755776" cy="1285876"/>
        </a:xfrm>
        <a:prstGeom prst="borderCallout1">
          <a:avLst>
            <a:gd name="adj1" fmla="val 40221"/>
            <a:gd name="adj2" fmla="val 104218"/>
            <a:gd name="adj3" fmla="val 39390"/>
            <a:gd name="adj4" fmla="val 387858"/>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 Value </a:t>
          </a:r>
          <a:r>
            <a:rPr lang="en-US" sz="1400" b="1"/>
            <a:t>does not include</a:t>
          </a:r>
          <a:r>
            <a:rPr lang="en-US" sz="1400"/>
            <a:t> the over generation,</a:t>
          </a:r>
          <a:r>
            <a:rPr lang="en-US" sz="1400" baseline="0"/>
            <a:t> which is a charge with the negative LMP.</a:t>
          </a:r>
          <a:endParaRPr lang="en-US" sz="1400"/>
        </a:p>
      </xdr:txBody>
    </xdr:sp>
    <xdr:clientData/>
  </xdr:twoCellAnchor>
  <xdr:oneCellAnchor>
    <xdr:from>
      <xdr:col>0</xdr:col>
      <xdr:colOff>0</xdr:colOff>
      <xdr:row>231</xdr:row>
      <xdr:rowOff>0</xdr:rowOff>
    </xdr:from>
    <xdr:ext cx="15976022" cy="2008909"/>
    <xdr:sp macro="" textlink="">
      <xdr:nvSpPr>
        <xdr:cNvPr id="15" name="TextBox 14"/>
        <xdr:cNvSpPr txBox="1"/>
      </xdr:nvSpPr>
      <xdr:spPr>
        <a:xfrm>
          <a:off x="0" y="46766018"/>
          <a:ext cx="15976022" cy="20089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The</a:t>
          </a:r>
          <a:r>
            <a:rPr lang="en-US" sz="1800" baseline="0"/>
            <a:t> final result would remain the same between the rules of Scenario 3 and the new calculation approach. In both cases, the resource would  receive an operating </a:t>
          </a:r>
        </a:p>
        <a:p>
          <a:r>
            <a:rPr lang="en-US" sz="1800" baseline="0"/>
            <a:t>reserve credit of $6000 in the single interval example. PJM would only make the resource whole for the MW quantity  </a:t>
          </a:r>
          <a:r>
            <a:rPr lang="en-US" sz="1800" baseline="0">
              <a:solidFill>
                <a:schemeClr val="lt1"/>
              </a:solidFill>
              <a:effectLst/>
              <a:latin typeface="+mn-lt"/>
              <a:ea typeface="+mn-ea"/>
              <a:cs typeface="+mn-cs"/>
            </a:rPr>
            <a:t>that would have been requested by PJM </a:t>
          </a:r>
        </a:p>
        <a:p>
          <a:r>
            <a:rPr lang="en-US" sz="1800" baseline="0">
              <a:solidFill>
                <a:schemeClr val="lt1"/>
              </a:solidFill>
              <a:effectLst/>
              <a:latin typeface="+mn-lt"/>
              <a:ea typeface="+mn-ea"/>
              <a:cs typeface="+mn-cs"/>
            </a:rPr>
            <a:t>if the resource followed dispatch the entire time</a:t>
          </a:r>
          <a:r>
            <a:rPr lang="en-US" sz="1800" baseline="0"/>
            <a:t>.  The new calculation approach still incents the resource to follow dispatch because the resource misses out on the </a:t>
          </a:r>
        </a:p>
        <a:p>
          <a:r>
            <a:rPr lang="en-US" sz="1800" baseline="0"/>
            <a:t>opportunity to fully recover its cost when it does not follow dispatch (although the net loss is higher under the Step 2 calculation @ RT MW, uplift is limited to the </a:t>
          </a:r>
        </a:p>
        <a:p>
          <a:r>
            <a:rPr lang="en-US" sz="1800" baseline="0"/>
            <a:t>balancing operating reserve credit owed if the unit followed dispatch (i.e. the result of the Step 1 calculation)).</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920750"/>
    <xdr:sp macro="" textlink="">
      <xdr:nvSpPr>
        <xdr:cNvPr id="3" name="TextBox 2"/>
        <xdr:cNvSpPr txBox="1"/>
      </xdr:nvSpPr>
      <xdr:spPr>
        <a:xfrm>
          <a:off x="10866438" y="8961438"/>
          <a:ext cx="3306761" cy="92075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resource's profit increases over its day-ahead profit.</a:t>
          </a:r>
        </a:p>
      </xdr:txBody>
    </xdr:sp>
    <xdr:clientData/>
  </xdr:oneCellAnchor>
  <xdr:oneCellAnchor>
    <xdr:from>
      <xdr:col>14</xdr:col>
      <xdr:colOff>1</xdr:colOff>
      <xdr:row>94</xdr:row>
      <xdr:rowOff>15873</xdr:rowOff>
    </xdr:from>
    <xdr:ext cx="4183062" cy="849315"/>
    <xdr:sp macro="" textlink="">
      <xdr:nvSpPr>
        <xdr:cNvPr id="4" name="TextBox 3"/>
        <xdr:cNvSpPr txBox="1"/>
      </xdr:nvSpPr>
      <xdr:spPr>
        <a:xfrm>
          <a:off x="9993314" y="20050123"/>
          <a:ext cx="4183062" cy="84931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 the resource over</a:t>
          </a:r>
          <a:r>
            <a:rPr lang="en-US" sz="1400" baseline="0"/>
            <a:t> generates and maintains its day-ahead position, the resource maintains its day-ahead profit.</a:t>
          </a:r>
        </a:p>
      </xdr:txBody>
    </xdr:sp>
    <xdr:clientData/>
  </xdr:oneCellAnchor>
  <xdr:oneCellAnchor>
    <xdr:from>
      <xdr:col>13</xdr:col>
      <xdr:colOff>642938</xdr:colOff>
      <xdr:row>146</xdr:row>
      <xdr:rowOff>7938</xdr:rowOff>
    </xdr:from>
    <xdr:ext cx="4180261" cy="793750"/>
    <xdr:sp macro="" textlink="">
      <xdr:nvSpPr>
        <xdr:cNvPr id="5" name="TextBox 4"/>
        <xdr:cNvSpPr txBox="1"/>
      </xdr:nvSpPr>
      <xdr:spPr>
        <a:xfrm>
          <a:off x="9985376" y="31392813"/>
          <a:ext cx="4180261" cy="79375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solidFill>
                <a:schemeClr val="lt1"/>
              </a:solidFill>
              <a:effectLst/>
              <a:latin typeface="+mn-lt"/>
              <a:ea typeface="+mn-ea"/>
              <a:cs typeface="+mn-cs"/>
            </a:rPr>
            <a:t>When the resource over</a:t>
          </a:r>
          <a:r>
            <a:rPr lang="en-US" sz="1400" baseline="0">
              <a:solidFill>
                <a:schemeClr val="lt1"/>
              </a:solidFill>
              <a:effectLst/>
              <a:latin typeface="+mn-lt"/>
              <a:ea typeface="+mn-ea"/>
              <a:cs typeface="+mn-cs"/>
            </a:rPr>
            <a:t> generates and maintains its day-ahead position, the resource maintains its day-ahead profit.</a:t>
          </a:r>
          <a:endParaRPr lang="en-US" sz="1400">
            <a:effectLst/>
          </a:endParaRPr>
        </a:p>
        <a:p>
          <a:endParaRPr lang="en-US" sz="1100" baseline="0"/>
        </a:p>
      </xdr:txBody>
    </xdr:sp>
    <xdr:clientData/>
  </xdr:oneCellAnchor>
  <xdr:oneCellAnchor>
    <xdr:from>
      <xdr:col>0</xdr:col>
      <xdr:colOff>47625</xdr:colOff>
      <xdr:row>150</xdr:row>
      <xdr:rowOff>134936</xdr:rowOff>
    </xdr:from>
    <xdr:ext cx="9771061" cy="4905377"/>
    <xdr:sp macro="" textlink="">
      <xdr:nvSpPr>
        <xdr:cNvPr id="6" name="TextBox 5"/>
        <xdr:cNvSpPr txBox="1"/>
      </xdr:nvSpPr>
      <xdr:spPr>
        <a:xfrm>
          <a:off x="47625" y="32297686"/>
          <a:ext cx="9771061" cy="49053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In</a:t>
          </a:r>
          <a:r>
            <a:rPr lang="en-US" sz="1800" baseline="0"/>
            <a:t> scenario 1 the resource follows dispatch and makes an additional profit above its day-ahead</a:t>
          </a:r>
          <a:br>
            <a:rPr lang="en-US" sz="1800" baseline="0"/>
          </a:br>
          <a:r>
            <a:rPr lang="en-US" sz="1800" baseline="0"/>
            <a:t>profit, which is then used to offset any losses in the same OR Segment.</a:t>
          </a:r>
          <a:br>
            <a:rPr lang="en-US" sz="1800" baseline="0"/>
          </a:br>
          <a:r>
            <a:rPr lang="en-US" sz="1800" baseline="0"/>
            <a:t/>
          </a:r>
          <a:br>
            <a:rPr lang="en-US" sz="1800" baseline="0"/>
          </a:br>
          <a:r>
            <a:rPr lang="en-US" sz="1800" baseline="0"/>
            <a:t>In scenario 2 the resource operates at its day-ahead cleared MW and the incremental cost is </a:t>
          </a:r>
          <a:br>
            <a:rPr lang="en-US" sz="1800" baseline="0"/>
          </a:br>
          <a:r>
            <a:rPr lang="en-US" sz="1800" baseline="0"/>
            <a:t>increased, but limited to the Ramp-Limited Desired MW. </a:t>
          </a:r>
          <a:r>
            <a:rPr lang="en-US" sz="1800" baseline="0">
              <a:solidFill>
                <a:schemeClr val="lt1"/>
              </a:solidFill>
              <a:effectLst/>
              <a:latin typeface="+mn-lt"/>
              <a:ea typeface="+mn-ea"/>
              <a:cs typeface="+mn-cs"/>
            </a:rPr>
            <a:t>In this example, the resource is overgenerating </a:t>
          </a:r>
        </a:p>
        <a:p>
          <a:r>
            <a:rPr lang="en-US" sz="1800" baseline="0">
              <a:solidFill>
                <a:schemeClr val="lt1"/>
              </a:solidFill>
              <a:effectLst/>
              <a:latin typeface="+mn-lt"/>
              <a:ea typeface="+mn-ea"/>
              <a:cs typeface="+mn-cs"/>
            </a:rPr>
            <a:t>and the Ramp Limited Desired MW is constrained in how low it can move by the resource's current </a:t>
          </a:r>
          <a:endParaRPr lang="en-US" sz="1800">
            <a:effectLst/>
          </a:endParaRPr>
        </a:p>
        <a:p>
          <a:r>
            <a:rPr lang="en-US" sz="1800" baseline="0">
              <a:solidFill>
                <a:schemeClr val="lt1"/>
              </a:solidFill>
              <a:effectLst/>
              <a:latin typeface="+mn-lt"/>
              <a:ea typeface="+mn-ea"/>
              <a:cs typeface="+mn-cs"/>
            </a:rPr>
            <a:t>output and ramp rate. Even though there is an increase in cost, the overall net revenue that is</a:t>
          </a:r>
        </a:p>
        <a:p>
          <a:r>
            <a:rPr lang="en-US" sz="1800">
              <a:effectLst/>
            </a:rPr>
            <a:t>used to offset any losses in the same OR Segment</a:t>
          </a:r>
          <a:r>
            <a:rPr lang="en-US" sz="1800" baseline="0">
              <a:effectLst/>
            </a:rPr>
            <a:t> also increases. This is due to the resource not</a:t>
          </a:r>
          <a:br>
            <a:rPr lang="en-US" sz="1800" baseline="0">
              <a:effectLst/>
            </a:rPr>
          </a:br>
          <a:r>
            <a:rPr lang="en-US" sz="1800" baseline="0">
              <a:effectLst/>
            </a:rPr>
            <a:t>needing to buy out of its day-ahead position.</a:t>
          </a:r>
          <a:endParaRPr lang="en-US" sz="1800">
            <a:effectLst/>
          </a:endParaRPr>
        </a:p>
        <a:p>
          <a:endParaRPr lang="en-US" sz="1000" baseline="0"/>
        </a:p>
        <a:p>
          <a:r>
            <a:rPr lang="en-US" sz="1800" baseline="0">
              <a:solidFill>
                <a:schemeClr val="lt1"/>
              </a:solidFill>
              <a:effectLst/>
              <a:latin typeface="+mn-lt"/>
              <a:ea typeface="+mn-ea"/>
              <a:cs typeface="+mn-cs"/>
            </a:rPr>
            <a:t>In scenario 3 the resource operates at its day-ahead cleared MW, but the incremental cost is </a:t>
          </a:r>
          <a:br>
            <a:rPr lang="en-US" sz="1800" baseline="0">
              <a:solidFill>
                <a:schemeClr val="lt1"/>
              </a:solidFill>
              <a:effectLst/>
              <a:latin typeface="+mn-lt"/>
              <a:ea typeface="+mn-ea"/>
              <a:cs typeface="+mn-cs"/>
            </a:rPr>
          </a:br>
          <a:r>
            <a:rPr lang="en-US" sz="1800" baseline="0">
              <a:solidFill>
                <a:schemeClr val="lt1"/>
              </a:solidFill>
              <a:effectLst/>
              <a:latin typeface="+mn-lt"/>
              <a:ea typeface="+mn-ea"/>
              <a:cs typeface="+mn-cs"/>
            </a:rPr>
            <a:t>limited to the Tracking Desired MW. In this example, the resource is overgenerating and </a:t>
          </a:r>
          <a:endParaRPr lang="en-US" sz="1800">
            <a:effectLst/>
          </a:endParaRPr>
        </a:p>
        <a:p>
          <a:r>
            <a:rPr lang="en-US" sz="1800" baseline="0">
              <a:solidFill>
                <a:schemeClr val="lt1"/>
              </a:solidFill>
              <a:effectLst/>
              <a:latin typeface="+mn-lt"/>
              <a:ea typeface="+mn-ea"/>
              <a:cs typeface="+mn-cs"/>
            </a:rPr>
            <a:t>the Tracking Desired MW is </a:t>
          </a:r>
          <a:r>
            <a:rPr lang="en-US" sz="1800" b="1" u="sng" baseline="0">
              <a:solidFill>
                <a:schemeClr val="lt1"/>
              </a:solidFill>
              <a:effectLst/>
              <a:latin typeface="+mn-lt"/>
              <a:ea typeface="+mn-ea"/>
              <a:cs typeface="+mn-cs"/>
            </a:rPr>
            <a:t>NOT</a:t>
          </a:r>
          <a:r>
            <a:rPr lang="en-US" sz="1800" baseline="0">
              <a:solidFill>
                <a:schemeClr val="lt1"/>
              </a:solidFill>
              <a:effectLst/>
              <a:latin typeface="+mn-lt"/>
              <a:ea typeface="+mn-ea"/>
              <a:cs typeface="+mn-cs"/>
            </a:rPr>
            <a:t> constrained in how low it can move by the resource's current </a:t>
          </a:r>
          <a:endParaRPr lang="en-US" sz="1800">
            <a:effectLst/>
          </a:endParaRPr>
        </a:p>
        <a:p>
          <a:r>
            <a:rPr lang="en-US" sz="1800" baseline="0">
              <a:solidFill>
                <a:schemeClr val="lt1"/>
              </a:solidFill>
              <a:effectLst/>
              <a:latin typeface="+mn-lt"/>
              <a:ea typeface="+mn-ea"/>
              <a:cs typeface="+mn-cs"/>
            </a:rPr>
            <a:t>output. The overall net revenue that is </a:t>
          </a:r>
          <a:r>
            <a:rPr lang="en-US" sz="1800">
              <a:solidFill>
                <a:schemeClr val="lt1"/>
              </a:solidFill>
              <a:effectLst/>
              <a:latin typeface="+mn-lt"/>
              <a:ea typeface="+mn-ea"/>
              <a:cs typeface="+mn-cs"/>
            </a:rPr>
            <a:t>used to offset any losses in the same </a:t>
          </a:r>
        </a:p>
        <a:p>
          <a:r>
            <a:rPr lang="en-US" sz="1800">
              <a:solidFill>
                <a:schemeClr val="lt1"/>
              </a:solidFill>
              <a:effectLst/>
              <a:latin typeface="+mn-lt"/>
              <a:ea typeface="+mn-ea"/>
              <a:cs typeface="+mn-cs"/>
            </a:rPr>
            <a:t>OR Segment</a:t>
          </a:r>
          <a:r>
            <a:rPr lang="en-US" sz="1800" baseline="0">
              <a:solidFill>
                <a:schemeClr val="lt1"/>
              </a:solidFill>
              <a:effectLst/>
              <a:latin typeface="+mn-lt"/>
              <a:ea typeface="+mn-ea"/>
              <a:cs typeface="+mn-cs"/>
            </a:rPr>
            <a:t> is increased. This is due to the resource having a lower cost based on Tracking Desired MW </a:t>
          </a:r>
        </a:p>
        <a:p>
          <a:r>
            <a:rPr lang="en-US" sz="1800" baseline="0">
              <a:solidFill>
                <a:schemeClr val="lt1"/>
              </a:solidFill>
              <a:effectLst/>
              <a:latin typeface="+mn-lt"/>
              <a:ea typeface="+mn-ea"/>
              <a:cs typeface="+mn-cs"/>
            </a:rPr>
            <a:t>and not needing to buy out of its day-ahead position.</a:t>
          </a:r>
          <a:endParaRPr lang="en-US" sz="1800">
            <a:effectLst/>
          </a:endParaRPr>
        </a:p>
        <a:p>
          <a:endParaRPr lang="en-US" sz="1000" baseline="0"/>
        </a:p>
      </xdr:txBody>
    </xdr:sp>
    <xdr:clientData/>
  </xdr:oneCellAnchor>
  <xdr:oneCellAnchor>
    <xdr:from>
      <xdr:col>13</xdr:col>
      <xdr:colOff>644414</xdr:colOff>
      <xdr:row>150</xdr:row>
      <xdr:rowOff>132750</xdr:rowOff>
    </xdr:from>
    <xdr:ext cx="4173649" cy="3820125"/>
    <xdr:sp macro="" textlink="">
      <xdr:nvSpPr>
        <xdr:cNvPr id="7" name="TextBox 6"/>
        <xdr:cNvSpPr txBox="1"/>
      </xdr:nvSpPr>
      <xdr:spPr>
        <a:xfrm>
          <a:off x="9986852" y="32295500"/>
          <a:ext cx="4173649" cy="3820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If the resource follows</a:t>
          </a:r>
          <a:r>
            <a:rPr lang="en-US" sz="1600" baseline="0"/>
            <a:t> dispatch, it has the potential to earn an additional profit as shown in Scenario 1. If the resource maintains its day-ahead position, as in Scenarios 2 and 3, the resource will maintain its day-ahead profit, however, this is less than the profit it would have earned if it had followed dispatch. In addition, the Operating Reserve calculations under Scenarios 2 and 3 can reflect an increased profit beyond that used in Scenario 1.  This additional profit will be used to offset any losses in other intervals in the same OR Segment.             </a:t>
          </a:r>
          <a:endParaRPr lang="en-US" sz="1600"/>
        </a:p>
      </xdr:txBody>
    </xdr:sp>
    <xdr:clientData/>
  </xdr:oneCellAnchor>
  <xdr:twoCellAnchor>
    <xdr:from>
      <xdr:col>0</xdr:col>
      <xdr:colOff>55563</xdr:colOff>
      <xdr:row>145</xdr:row>
      <xdr:rowOff>79376</xdr:rowOff>
    </xdr:from>
    <xdr:to>
      <xdr:col>7</xdr:col>
      <xdr:colOff>714375</xdr:colOff>
      <xdr:row>150</xdr:row>
      <xdr:rowOff>87313</xdr:rowOff>
    </xdr:to>
    <xdr:sp macro="" textlink="">
      <xdr:nvSpPr>
        <xdr:cNvPr id="8" name="Rounded Rectangular Callout 7"/>
        <xdr:cNvSpPr/>
      </xdr:nvSpPr>
      <xdr:spPr>
        <a:xfrm>
          <a:off x="55563" y="31083251"/>
          <a:ext cx="5500687" cy="1166812"/>
        </a:xfrm>
        <a:prstGeom prst="wedgeRoundRectCallout">
          <a:avLst>
            <a:gd name="adj1" fmla="val 83531"/>
            <a:gd name="adj2" fmla="val -35450"/>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778241" y="20839583"/>
          <a:ext cx="5494525"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865563" y="9688513"/>
          <a:ext cx="5408613"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0</xdr:col>
      <xdr:colOff>0</xdr:colOff>
      <xdr:row>233</xdr:row>
      <xdr:rowOff>384</xdr:rowOff>
    </xdr:from>
    <xdr:ext cx="16086666" cy="5250489"/>
    <xdr:sp macro="" textlink="">
      <xdr:nvSpPr>
        <xdr:cNvPr id="13" name="TextBox 12"/>
        <xdr:cNvSpPr txBox="1"/>
      </xdr:nvSpPr>
      <xdr:spPr>
        <a:xfrm>
          <a:off x="0" y="47147402"/>
          <a:ext cx="16086666" cy="52504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The</a:t>
          </a:r>
          <a:r>
            <a:rPr lang="en-US" sz="1800" baseline="0"/>
            <a:t> final result would remain the same between the rules of Scenario 3 and the new calculation approach. In both cases, the resource would receive an operating reserve </a:t>
          </a:r>
        </a:p>
        <a:p>
          <a:r>
            <a:rPr lang="en-US" sz="1800" baseline="0"/>
            <a:t>credit of $0 in the single interval example. </a:t>
          </a:r>
        </a:p>
        <a:p>
          <a:endParaRPr lang="en-US" sz="1800" baseline="0"/>
        </a:p>
        <a:p>
          <a:r>
            <a:rPr lang="en-US" sz="1800" baseline="0"/>
            <a:t>Looking at the Balancing Net Revenue in each of the scenarios, it can be seen that Scenario 3 overstates the profit the resource could have earned.  This calculation </a:t>
          </a:r>
        </a:p>
        <a:p>
          <a:r>
            <a:rPr lang="en-US" sz="1800" baseline="0"/>
            <a:t>only captures the cost to produce the lesser of RT MW and tracking desired MW (50 MW), while considering the RT revenue earned for producing the RT MW of 100 MW. </a:t>
          </a:r>
        </a:p>
        <a:p>
          <a:r>
            <a:rPr lang="en-US" sz="1800" baseline="0"/>
            <a:t>This assymetry between the 50 MW used on the cost side of the equation and the 100 MW used on the revenue side of the leads to the use of profits that wouldn't </a:t>
          </a:r>
        </a:p>
        <a:p>
          <a:r>
            <a:rPr lang="en-US" sz="1800" baseline="0"/>
            <a:t>have been attainable even if the resource had only produced the desired 50 MW.</a:t>
          </a:r>
        </a:p>
        <a:p>
          <a:endParaRPr lang="en-US" sz="1800" baseline="0"/>
        </a:p>
        <a:p>
          <a:r>
            <a:rPr lang="en-US" sz="1800" baseline="0">
              <a:solidFill>
                <a:schemeClr val="lt1"/>
              </a:solidFill>
              <a:effectLst/>
              <a:latin typeface="+mn-lt"/>
              <a:ea typeface="+mn-ea"/>
              <a:cs typeface="+mn-cs"/>
            </a:rPr>
            <a:t>In a single interval example, the overstatement of revenues in Scenario 3 doesn't impact the resource because it would not receive an operating reserve credit under either</a:t>
          </a:r>
        </a:p>
        <a:p>
          <a:r>
            <a:rPr lang="en-US" sz="1800" baseline="0">
              <a:solidFill>
                <a:schemeClr val="lt1"/>
              </a:solidFill>
              <a:effectLst/>
              <a:latin typeface="+mn-lt"/>
              <a:ea typeface="+mn-ea"/>
              <a:cs typeface="+mn-cs"/>
            </a:rPr>
            <a:t>Scenario 3 or the new calculaiton approach.  However, the overstatement of revenues can negatively impact the resource's make whole credits when looking at the </a:t>
          </a:r>
        </a:p>
        <a:p>
          <a:r>
            <a:rPr lang="en-US" sz="1800" baseline="0">
              <a:solidFill>
                <a:schemeClr val="lt1"/>
              </a:solidFill>
              <a:effectLst/>
              <a:latin typeface="+mn-lt"/>
              <a:ea typeface="+mn-ea"/>
              <a:cs typeface="+mn-cs"/>
            </a:rPr>
            <a:t>make whole credit over a multi-interval segment.  Scenario 3 calculates a net profit of $3500, which will be carried forward to offset losses in other intervals within the</a:t>
          </a:r>
        </a:p>
        <a:p>
          <a:r>
            <a:rPr lang="en-US" sz="1800" baseline="0">
              <a:solidFill>
                <a:schemeClr val="lt1"/>
              </a:solidFill>
              <a:effectLst/>
              <a:latin typeface="+mn-lt"/>
              <a:ea typeface="+mn-ea"/>
              <a:cs typeface="+mn-cs"/>
            </a:rPr>
            <a:t>segment.  The new calculation only carries forward a net profit of $2750 to offset losses in other intervals</a:t>
          </a:r>
          <a:r>
            <a:rPr lang="en-US" sz="1800" baseline="0">
              <a:solidFill>
                <a:schemeClr val="bg1"/>
              </a:solidFill>
              <a:effectLst/>
              <a:latin typeface="+mn-lt"/>
              <a:ea typeface="+mn-ea"/>
              <a:cs typeface="+mn-cs"/>
            </a:rPr>
            <a:t>.  The new calculation approach increases the chance the resource</a:t>
          </a:r>
        </a:p>
        <a:p>
          <a:r>
            <a:rPr lang="en-US" sz="1800" baseline="0">
              <a:solidFill>
                <a:schemeClr val="bg1"/>
              </a:solidFill>
              <a:effectLst/>
              <a:latin typeface="+mn-lt"/>
              <a:ea typeface="+mn-ea"/>
              <a:cs typeface="+mn-cs"/>
            </a:rPr>
            <a:t>will receive a make whole for other intervals.</a:t>
          </a:r>
          <a:r>
            <a:rPr lang="en-US" sz="1800" baseline="0">
              <a:solidFill>
                <a:srgbClr val="FF0000"/>
              </a:solidFill>
              <a:effectLst/>
              <a:latin typeface="+mn-lt"/>
              <a:ea typeface="+mn-ea"/>
              <a:cs typeface="+mn-cs"/>
            </a:rPr>
            <a:t> </a:t>
          </a:r>
        </a:p>
        <a:p>
          <a:endParaRPr lang="en-US" sz="1800" i="1" baseline="0"/>
        </a:p>
        <a:p>
          <a:r>
            <a:rPr lang="en-US" sz="1800" baseline="0"/>
            <a:t>Other observations:</a:t>
          </a:r>
        </a:p>
        <a:p>
          <a:r>
            <a:rPr lang="en-US" sz="1800" baseline="0"/>
            <a:t>When comparing the results under Step 2 and Step 3, this example clearly illustrates that the resource would make more profit the more closely it follows dispatch.</a:t>
          </a:r>
        </a:p>
        <a:p>
          <a:endParaRPr lang="en-US" sz="1800" baseline="0"/>
        </a:p>
        <a:p>
          <a:endParaRPr lang="en-US" sz="1800" baseline="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357187"/>
    <xdr:sp macro="" textlink="">
      <xdr:nvSpPr>
        <xdr:cNvPr id="3" name="TextBox 2"/>
        <xdr:cNvSpPr txBox="1"/>
      </xdr:nvSpPr>
      <xdr:spPr>
        <a:xfrm>
          <a:off x="10777538" y="8988425"/>
          <a:ext cx="3306761" cy="357187"/>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unit breaks even</a:t>
          </a:r>
        </a:p>
      </xdr:txBody>
    </xdr:sp>
    <xdr:clientData/>
  </xdr:oneCellAnchor>
  <xdr:oneCellAnchor>
    <xdr:from>
      <xdr:col>14</xdr:col>
      <xdr:colOff>1</xdr:colOff>
      <xdr:row>94</xdr:row>
      <xdr:rowOff>15873</xdr:rowOff>
    </xdr:from>
    <xdr:ext cx="4183062" cy="1627190"/>
    <xdr:sp macro="" textlink="">
      <xdr:nvSpPr>
        <xdr:cNvPr id="4" name="TextBox 3"/>
        <xdr:cNvSpPr txBox="1"/>
      </xdr:nvSpPr>
      <xdr:spPr>
        <a:xfrm>
          <a:off x="9921876" y="20050123"/>
          <a:ext cx="4183062" cy="162719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a:t>
          </a:r>
          <a:r>
            <a:rPr lang="en-US" sz="1400" baseline="0"/>
            <a:t> the unit over generates, the unit is not made whole to incremental costs above Ramp Limited Desired (i.e. incremental costs associated with  the 50 MWs between 50 MW (Ramp Limited Desired) and 100 MW (RT Actual MW)). The resource is being made whole for the additional balancing energy revenue for the excess energy produced in RT with a Negative LMP.</a:t>
          </a:r>
        </a:p>
      </xdr:txBody>
    </xdr:sp>
    <xdr:clientData/>
  </xdr:oneCellAnchor>
  <xdr:oneCellAnchor>
    <xdr:from>
      <xdr:col>13</xdr:col>
      <xdr:colOff>642938</xdr:colOff>
      <xdr:row>146</xdr:row>
      <xdr:rowOff>7937</xdr:rowOff>
    </xdr:from>
    <xdr:ext cx="4180261" cy="1285875"/>
    <xdr:sp macro="" textlink="">
      <xdr:nvSpPr>
        <xdr:cNvPr id="5" name="TextBox 4"/>
        <xdr:cNvSpPr txBox="1"/>
      </xdr:nvSpPr>
      <xdr:spPr>
        <a:xfrm>
          <a:off x="9901238" y="31478537"/>
          <a:ext cx="4180261" cy="128587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a:t>When</a:t>
          </a:r>
          <a:r>
            <a:rPr lang="en-US" sz="1400" baseline="0"/>
            <a:t> the unit overgenerates, the unit is not made whole to incremental costs above Tracking </a:t>
          </a:r>
          <a:r>
            <a:rPr lang="en-US" sz="1400" baseline="0">
              <a:solidFill>
                <a:schemeClr val="lt1"/>
              </a:solidFill>
              <a:effectLst/>
              <a:latin typeface="+mn-lt"/>
              <a:ea typeface="+mn-ea"/>
              <a:cs typeface="+mn-cs"/>
            </a:rPr>
            <a:t>Desired (i.e. incremental costs associated with  the 50 MWs between 50 MW (Tracking Desired) and 100 MW (RT Actual MW)).</a:t>
          </a:r>
          <a:endParaRPr lang="en-US" sz="1400">
            <a:effectLst/>
          </a:endParaRPr>
        </a:p>
        <a:p>
          <a:endParaRPr lang="en-US" sz="1100" baseline="0"/>
        </a:p>
      </xdr:txBody>
    </xdr:sp>
    <xdr:clientData/>
  </xdr:oneCellAnchor>
  <xdr:oneCellAnchor>
    <xdr:from>
      <xdr:col>0</xdr:col>
      <xdr:colOff>39689</xdr:colOff>
      <xdr:row>155</xdr:row>
      <xdr:rowOff>174623</xdr:rowOff>
    </xdr:from>
    <xdr:ext cx="8858250" cy="3055940"/>
    <xdr:sp macro="" textlink="">
      <xdr:nvSpPr>
        <xdr:cNvPr id="6" name="TextBox 5"/>
        <xdr:cNvSpPr txBox="1"/>
      </xdr:nvSpPr>
      <xdr:spPr>
        <a:xfrm>
          <a:off x="39689" y="33289873"/>
          <a:ext cx="8858250" cy="30559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Scenario 1 and 3 award</a:t>
          </a:r>
          <a:r>
            <a:rPr lang="en-US" sz="1800" baseline="0"/>
            <a:t> the same Balancing Operating Reserve Credits, which limit paying </a:t>
          </a:r>
        </a:p>
        <a:p>
          <a:r>
            <a:rPr lang="en-US" sz="1800" baseline="0"/>
            <a:t>uplift for only MWs that PJM desired. Scenario 3, besides limiting the Incremental cost, also</a:t>
          </a:r>
        </a:p>
        <a:p>
          <a:r>
            <a:rPr lang="en-US" sz="1800" baseline="0"/>
            <a:t>limits the Balancing Revenue, since the over generation with a negative LMP results in the </a:t>
          </a:r>
          <a:br>
            <a:rPr lang="en-US" sz="1800" baseline="0"/>
          </a:br>
          <a:r>
            <a:rPr lang="en-US" sz="1800" baseline="0"/>
            <a:t>resource being charged for all the MW being produced. </a:t>
          </a:r>
          <a:r>
            <a:rPr lang="en-US" sz="1800" baseline="0">
              <a:solidFill>
                <a:schemeClr val="bg1"/>
              </a:solidFill>
            </a:rPr>
            <a:t>This has the effect of not making the </a:t>
          </a:r>
        </a:p>
        <a:p>
          <a:r>
            <a:rPr lang="en-US" sz="1800" baseline="0">
              <a:solidFill>
                <a:schemeClr val="bg1"/>
              </a:solidFill>
            </a:rPr>
            <a:t>resource whole for the charge related to MW that were not requested.</a:t>
          </a:r>
        </a:p>
        <a:p>
          <a:endParaRPr lang="en-US" sz="1000" baseline="0"/>
        </a:p>
        <a:p>
          <a:r>
            <a:rPr lang="en-US" sz="1800" baseline="0"/>
            <a:t>Scenario 2 pays additional uplift for MW in excess of what the resource would have provided, </a:t>
          </a:r>
        </a:p>
        <a:p>
          <a:r>
            <a:rPr lang="en-US" sz="1800" baseline="0"/>
            <a:t>if it was following dispatch. The uplift is caused by the negative balancing revenue incurred</a:t>
          </a:r>
          <a:br>
            <a:rPr lang="en-US" sz="1800" baseline="0"/>
          </a:br>
          <a:r>
            <a:rPr lang="en-US" sz="1800" baseline="0"/>
            <a:t>due to the increase in generation, above the DA MW, and the interval having negative LMP.</a:t>
          </a:r>
        </a:p>
        <a:p>
          <a:endParaRPr lang="en-US" sz="1800">
            <a:solidFill>
              <a:srgbClr val="FF0000"/>
            </a:solidFill>
          </a:endParaRPr>
        </a:p>
      </xdr:txBody>
    </xdr:sp>
    <xdr:clientData/>
  </xdr:oneCellAnchor>
  <xdr:oneCellAnchor>
    <xdr:from>
      <xdr:col>13</xdr:col>
      <xdr:colOff>438039</xdr:colOff>
      <xdr:row>153</xdr:row>
      <xdr:rowOff>101000</xdr:rowOff>
    </xdr:from>
    <xdr:ext cx="4173649" cy="4463061"/>
    <xdr:sp macro="" textlink="">
      <xdr:nvSpPr>
        <xdr:cNvPr id="7" name="TextBox 6"/>
        <xdr:cNvSpPr txBox="1"/>
      </xdr:nvSpPr>
      <xdr:spPr>
        <a:xfrm>
          <a:off x="9709039" y="32835250"/>
          <a:ext cx="4173649" cy="44630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Scenario 1 shows the resource breaks even when following</a:t>
          </a:r>
          <a:r>
            <a:rPr lang="en-US" sz="1600" baseline="0"/>
            <a:t> dispatch</a:t>
          </a:r>
        </a:p>
        <a:p>
          <a:endParaRPr lang="en-US" sz="1600" baseline="0"/>
        </a:p>
        <a:p>
          <a:r>
            <a:rPr lang="en-US" sz="1600" baseline="0"/>
            <a:t>Scenario 2 shows the resource incurs a loss due to the resource operating above the Ramp Limited Desired MW (uplift is not paid for MW in excess of the Ramp Limited Desired MW)</a:t>
          </a:r>
        </a:p>
        <a:p>
          <a:endParaRPr lang="en-US" sz="1800" baseline="0"/>
        </a:p>
        <a:p>
          <a:r>
            <a:rPr lang="en-US" sz="1600" baseline="0"/>
            <a:t>Scenario 3 shows the resource incurs a loss as compared to Scenario 2 due to the Tracking Desired MW not being constrained by the resource's current output and ramp rate. The Balancing Value being limited to just the energy charge that would have been requested by PJM is also a factor of the increase in loss.</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8" name="Rounded Rectangular Callout 7"/>
        <xdr:cNvSpPr/>
      </xdr:nvSpPr>
      <xdr:spPr>
        <a:xfrm>
          <a:off x="3825875" y="31856124"/>
          <a:ext cx="5422900"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778241" y="20839583"/>
          <a:ext cx="5494525"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865563" y="9688513"/>
          <a:ext cx="5408613"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twoCellAnchor>
    <xdr:from>
      <xdr:col>0</xdr:col>
      <xdr:colOff>254001</xdr:colOff>
      <xdr:row>89</xdr:row>
      <xdr:rowOff>182561</xdr:rowOff>
    </xdr:from>
    <xdr:to>
      <xdr:col>1</xdr:col>
      <xdr:colOff>549277</xdr:colOff>
      <xdr:row>96</xdr:row>
      <xdr:rowOff>7937</xdr:rowOff>
    </xdr:to>
    <xdr:sp macro="" textlink="">
      <xdr:nvSpPr>
        <xdr:cNvPr id="13" name="Line Callout 1 12"/>
        <xdr:cNvSpPr/>
      </xdr:nvSpPr>
      <xdr:spPr>
        <a:xfrm>
          <a:off x="254001" y="19318286"/>
          <a:ext cx="1752601" cy="1282701"/>
        </a:xfrm>
        <a:prstGeom prst="borderCallout1">
          <a:avLst>
            <a:gd name="adj1" fmla="val 40221"/>
            <a:gd name="adj2" fmla="val 104218"/>
            <a:gd name="adj3" fmla="val 39390"/>
            <a:gd name="adj4" fmla="val 387858"/>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 Value includes the over generation,</a:t>
          </a:r>
          <a:r>
            <a:rPr lang="en-US" sz="1400" baseline="0"/>
            <a:t> which is a charge with the negative LMP.</a:t>
          </a:r>
          <a:endParaRPr lang="en-US" sz="1400"/>
        </a:p>
      </xdr:txBody>
    </xdr:sp>
    <xdr:clientData/>
  </xdr:twoCellAnchor>
  <xdr:twoCellAnchor>
    <xdr:from>
      <xdr:col>0</xdr:col>
      <xdr:colOff>198448</xdr:colOff>
      <xdr:row>140</xdr:row>
      <xdr:rowOff>166686</xdr:rowOff>
    </xdr:from>
    <xdr:to>
      <xdr:col>1</xdr:col>
      <xdr:colOff>493724</xdr:colOff>
      <xdr:row>146</xdr:row>
      <xdr:rowOff>111125</xdr:rowOff>
    </xdr:to>
    <xdr:sp macro="" textlink="">
      <xdr:nvSpPr>
        <xdr:cNvPr id="14" name="Line Callout 1 13"/>
        <xdr:cNvSpPr/>
      </xdr:nvSpPr>
      <xdr:spPr>
        <a:xfrm>
          <a:off x="198448" y="30294261"/>
          <a:ext cx="1752601" cy="1287464"/>
        </a:xfrm>
        <a:prstGeom prst="borderCallout1">
          <a:avLst>
            <a:gd name="adj1" fmla="val 40221"/>
            <a:gd name="adj2" fmla="val 104218"/>
            <a:gd name="adj3" fmla="val 39390"/>
            <a:gd name="adj4" fmla="val 387858"/>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 Value </a:t>
          </a:r>
          <a:r>
            <a:rPr lang="en-US" sz="1400" b="1"/>
            <a:t>does not include</a:t>
          </a:r>
          <a:r>
            <a:rPr lang="en-US" sz="1400"/>
            <a:t> the over generation,</a:t>
          </a:r>
          <a:r>
            <a:rPr lang="en-US" sz="1400" baseline="0"/>
            <a:t> which is a charge with the negative LMP.</a:t>
          </a:r>
          <a:endParaRPr lang="en-US" sz="1400"/>
        </a:p>
      </xdr:txBody>
    </xdr:sp>
    <xdr:clientData/>
  </xdr:twoCellAnchor>
  <xdr:oneCellAnchor>
    <xdr:from>
      <xdr:col>0</xdr:col>
      <xdr:colOff>0</xdr:colOff>
      <xdr:row>234</xdr:row>
      <xdr:rowOff>8313</xdr:rowOff>
    </xdr:from>
    <xdr:ext cx="15976022" cy="2513214"/>
    <xdr:sp macro="" textlink="">
      <xdr:nvSpPr>
        <xdr:cNvPr id="16" name="TextBox 15"/>
        <xdr:cNvSpPr txBox="1"/>
      </xdr:nvSpPr>
      <xdr:spPr>
        <a:xfrm>
          <a:off x="0" y="47148404"/>
          <a:ext cx="15976022" cy="251321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The</a:t>
          </a:r>
          <a:r>
            <a:rPr lang="en-US" sz="1800" baseline="0"/>
            <a:t> final result would remain the same between the rules of Scenario 3 and the new calculation approach. In both cases, the resource would receive an operating reserve </a:t>
          </a:r>
        </a:p>
        <a:p>
          <a:r>
            <a:rPr lang="en-US" sz="1800" baseline="0"/>
            <a:t>credit of $0 in the single interval example.  Although the calculation of operating reserves at RT MW shows a loss of $6,250, this loss is due to the provision of MW that </a:t>
          </a:r>
        </a:p>
        <a:p>
          <a:r>
            <a:rPr lang="en-US" sz="1800" baseline="0"/>
            <a:t>were not desired by PJM. Therefore the resource would not be made whole for those MW under either Scenario 3 or the new calculation approach.</a:t>
          </a:r>
        </a:p>
        <a:p>
          <a:r>
            <a:rPr lang="en-US" sz="1800" baseline="0"/>
            <a:t> </a:t>
          </a:r>
        </a:p>
        <a:p>
          <a:r>
            <a:rPr lang="en-US" sz="1800" baseline="0"/>
            <a:t>This comparison between the results of Step 1 (credit @ tracking MW) and Step 2 (credit @ RT MW) clearly illustrates  that the resource would make more profit </a:t>
          </a:r>
        </a:p>
        <a:p>
          <a:r>
            <a:rPr lang="en-US" sz="1800" baseline="0"/>
            <a:t>the more closely it follows dispatch.</a:t>
          </a:r>
        </a:p>
        <a:p>
          <a:endParaRPr lang="en-US" sz="1800" baseline="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357187"/>
    <xdr:sp macro="" textlink="">
      <xdr:nvSpPr>
        <xdr:cNvPr id="3" name="TextBox 2"/>
        <xdr:cNvSpPr txBox="1"/>
      </xdr:nvSpPr>
      <xdr:spPr>
        <a:xfrm>
          <a:off x="10777538" y="8988425"/>
          <a:ext cx="3306761" cy="357187"/>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the unit breaks even</a:t>
          </a:r>
        </a:p>
      </xdr:txBody>
    </xdr:sp>
    <xdr:clientData/>
  </xdr:oneCellAnchor>
  <xdr:oneCellAnchor>
    <xdr:from>
      <xdr:col>14</xdr:col>
      <xdr:colOff>1</xdr:colOff>
      <xdr:row>94</xdr:row>
      <xdr:rowOff>15873</xdr:rowOff>
    </xdr:from>
    <xdr:ext cx="4183062" cy="595315"/>
    <xdr:sp macro="" textlink="">
      <xdr:nvSpPr>
        <xdr:cNvPr id="4" name="TextBox 3"/>
        <xdr:cNvSpPr txBox="1"/>
      </xdr:nvSpPr>
      <xdr:spPr>
        <a:xfrm>
          <a:off x="9921876" y="20050123"/>
          <a:ext cx="4183062" cy="595315"/>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When</a:t>
          </a:r>
          <a:r>
            <a:rPr lang="en-US" sz="1400" baseline="0"/>
            <a:t> the unit under generates, the unit is made whole to its incremental costs.</a:t>
          </a:r>
        </a:p>
      </xdr:txBody>
    </xdr:sp>
    <xdr:clientData/>
  </xdr:oneCellAnchor>
  <xdr:oneCellAnchor>
    <xdr:from>
      <xdr:col>13</xdr:col>
      <xdr:colOff>642938</xdr:colOff>
      <xdr:row>146</xdr:row>
      <xdr:rowOff>7938</xdr:rowOff>
    </xdr:from>
    <xdr:ext cx="4180261" cy="579438"/>
    <xdr:sp macro="" textlink="">
      <xdr:nvSpPr>
        <xdr:cNvPr id="5" name="TextBox 4"/>
        <xdr:cNvSpPr txBox="1"/>
      </xdr:nvSpPr>
      <xdr:spPr>
        <a:xfrm>
          <a:off x="9913938" y="31392813"/>
          <a:ext cx="4180261" cy="579438"/>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solidFill>
                <a:schemeClr val="lt1"/>
              </a:solidFill>
              <a:effectLst/>
              <a:latin typeface="+mn-lt"/>
              <a:ea typeface="+mn-ea"/>
              <a:cs typeface="+mn-cs"/>
            </a:rPr>
            <a:t>When</a:t>
          </a:r>
          <a:r>
            <a:rPr lang="en-US" sz="1400" baseline="0">
              <a:solidFill>
                <a:schemeClr val="lt1"/>
              </a:solidFill>
              <a:effectLst/>
              <a:latin typeface="+mn-lt"/>
              <a:ea typeface="+mn-ea"/>
              <a:cs typeface="+mn-cs"/>
            </a:rPr>
            <a:t> the unit under generates, the unit is made whole to its incremental costs.</a:t>
          </a:r>
          <a:endParaRPr lang="en-US" sz="1400">
            <a:effectLst/>
          </a:endParaRPr>
        </a:p>
        <a:p>
          <a:endParaRPr lang="en-US" sz="1100" baseline="0"/>
        </a:p>
      </xdr:txBody>
    </xdr:sp>
    <xdr:clientData/>
  </xdr:oneCellAnchor>
  <xdr:oneCellAnchor>
    <xdr:from>
      <xdr:col>0</xdr:col>
      <xdr:colOff>39689</xdr:colOff>
      <xdr:row>155</xdr:row>
      <xdr:rowOff>174624</xdr:rowOff>
    </xdr:from>
    <xdr:ext cx="8858250" cy="1722439"/>
    <xdr:sp macro="" textlink="">
      <xdr:nvSpPr>
        <xdr:cNvPr id="6" name="TextBox 5"/>
        <xdr:cNvSpPr txBox="1"/>
      </xdr:nvSpPr>
      <xdr:spPr>
        <a:xfrm>
          <a:off x="39689" y="33289874"/>
          <a:ext cx="8858250" cy="17224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Scenario 1,</a:t>
          </a:r>
          <a:r>
            <a:rPr lang="en-US" sz="1800" baseline="0"/>
            <a:t> 2 </a:t>
          </a:r>
          <a:r>
            <a:rPr lang="en-US" sz="1800"/>
            <a:t>and 3 award</a:t>
          </a:r>
          <a:r>
            <a:rPr lang="en-US" sz="1800" baseline="0"/>
            <a:t> the same Balancing Operating Reserve Credits because the </a:t>
          </a:r>
        </a:p>
        <a:p>
          <a:r>
            <a:rPr lang="en-US" sz="1800" baseline="0"/>
            <a:t>Operating Reserve Credit calculation makes the resource whole to the lesser of the actual </a:t>
          </a:r>
        </a:p>
        <a:p>
          <a:r>
            <a:rPr lang="en-US" sz="1800" baseline="0"/>
            <a:t>or desired mws, which in this case is the actual RT MW in all 3 scenarios. </a:t>
          </a:r>
        </a:p>
        <a:p>
          <a:endParaRPr lang="en-US" sz="1000" baseline="0"/>
        </a:p>
      </xdr:txBody>
    </xdr:sp>
    <xdr:clientData/>
  </xdr:oneCellAnchor>
  <xdr:oneCellAnchor>
    <xdr:from>
      <xdr:col>13</xdr:col>
      <xdr:colOff>644414</xdr:colOff>
      <xdr:row>156</xdr:row>
      <xdr:rowOff>13689</xdr:rowOff>
    </xdr:from>
    <xdr:ext cx="4173649" cy="954686"/>
    <xdr:sp macro="" textlink="">
      <xdr:nvSpPr>
        <xdr:cNvPr id="7" name="TextBox 6"/>
        <xdr:cNvSpPr txBox="1"/>
      </xdr:nvSpPr>
      <xdr:spPr>
        <a:xfrm>
          <a:off x="9915414" y="33319439"/>
          <a:ext cx="4173649" cy="954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Under generation</a:t>
          </a:r>
          <a:r>
            <a:rPr lang="en-US" sz="1600" baseline="0"/>
            <a:t> results in the resource being made whole to its incremental costs.</a:t>
          </a:r>
          <a:endParaRPr lang="en-US" sz="1600"/>
        </a:p>
      </xdr:txBody>
    </xdr:sp>
    <xdr:clientData/>
  </xdr:oneCellAnchor>
  <xdr:twoCellAnchor>
    <xdr:from>
      <xdr:col>5</xdr:col>
      <xdr:colOff>301625</xdr:colOff>
      <xdr:row>147</xdr:row>
      <xdr:rowOff>175974</xdr:rowOff>
    </xdr:from>
    <xdr:to>
      <xdr:col>12</xdr:col>
      <xdr:colOff>857250</xdr:colOff>
      <xdr:row>155</xdr:row>
      <xdr:rowOff>119062</xdr:rowOff>
    </xdr:to>
    <xdr:sp macro="" textlink="">
      <xdr:nvSpPr>
        <xdr:cNvPr id="8" name="Rounded Rectangular Callout 7"/>
        <xdr:cNvSpPr/>
      </xdr:nvSpPr>
      <xdr:spPr>
        <a:xfrm>
          <a:off x="3825875" y="31856124"/>
          <a:ext cx="5422900" cy="1467088"/>
        </a:xfrm>
        <a:prstGeom prst="wedgeRoundRectCallout">
          <a:avLst>
            <a:gd name="adj1" fmla="val 28408"/>
            <a:gd name="adj2" fmla="val -79962"/>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778241" y="20839583"/>
          <a:ext cx="5494525"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865563" y="9688513"/>
          <a:ext cx="5408613"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0</xdr:col>
      <xdr:colOff>0</xdr:colOff>
      <xdr:row>230</xdr:row>
      <xdr:rowOff>6927</xdr:rowOff>
    </xdr:from>
    <xdr:ext cx="15976022" cy="2763983"/>
    <xdr:sp macro="" textlink="">
      <xdr:nvSpPr>
        <xdr:cNvPr id="13" name="TextBox 12"/>
        <xdr:cNvSpPr txBox="1"/>
      </xdr:nvSpPr>
      <xdr:spPr>
        <a:xfrm>
          <a:off x="0" y="46627472"/>
          <a:ext cx="15976022" cy="27639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solidFill>
                <a:schemeClr val="lt1"/>
              </a:solidFill>
              <a:effectLst/>
              <a:latin typeface="+mn-lt"/>
              <a:ea typeface="+mn-ea"/>
              <a:cs typeface="+mn-cs"/>
            </a:rPr>
            <a:t>In this scenario,</a:t>
          </a:r>
          <a:r>
            <a:rPr lang="en-US" sz="1800" baseline="0">
              <a:solidFill>
                <a:schemeClr val="lt1"/>
              </a:solidFill>
              <a:effectLst/>
              <a:latin typeface="+mn-lt"/>
              <a:ea typeface="+mn-ea"/>
              <a:cs typeface="+mn-cs"/>
            </a:rPr>
            <a:t> the resource would receive a $900 Balancing Operating Reserve Credit. This credit would be from the RT MW operating reserve calculation (Step 2). </a:t>
          </a:r>
        </a:p>
        <a:p>
          <a:r>
            <a:rPr lang="en-US" sz="1800" baseline="0">
              <a:solidFill>
                <a:schemeClr val="lt1"/>
              </a:solidFill>
              <a:effectLst/>
              <a:latin typeface="+mn-lt"/>
              <a:ea typeface="+mn-ea"/>
              <a:cs typeface="+mn-cs"/>
            </a:rPr>
            <a:t>Because LMP is $0 and does not cover the resource's offer, the resource incurs less of a cost by producing fewer MW than the Tracking Desired MW and therefore </a:t>
          </a:r>
        </a:p>
        <a:p>
          <a:r>
            <a:rPr lang="en-US" sz="1800" baseline="0">
              <a:solidFill>
                <a:schemeClr val="lt1"/>
              </a:solidFill>
              <a:effectLst/>
              <a:latin typeface="+mn-lt"/>
              <a:ea typeface="+mn-ea"/>
              <a:cs typeface="+mn-cs"/>
            </a:rPr>
            <a:t>the balancing operating reserve credit calculated using RT MW does not exceed the cap set by the Tracking Desired Operating Reserve Credit. </a:t>
          </a:r>
        </a:p>
        <a:p>
          <a:endParaRPr lang="en-US" sz="1800" baseline="0">
            <a:solidFill>
              <a:schemeClr val="lt1"/>
            </a:solidFill>
            <a:effectLst/>
            <a:latin typeface="+mn-lt"/>
            <a:ea typeface="+mn-ea"/>
            <a:cs typeface="+mn-cs"/>
          </a:endParaRPr>
        </a:p>
        <a:p>
          <a:r>
            <a:rPr lang="en-US" sz="1800" baseline="0">
              <a:solidFill>
                <a:schemeClr val="lt1"/>
              </a:solidFill>
              <a:effectLst/>
              <a:latin typeface="+mn-lt"/>
              <a:ea typeface="+mn-ea"/>
              <a:cs typeface="+mn-cs"/>
            </a:rPr>
            <a:t>The Tracking Desired MW is bound by the resource's economic minimum and economic maximum.  In this scenario, the resource's economic minimum is 50; therefore,</a:t>
          </a:r>
        </a:p>
        <a:p>
          <a:r>
            <a:rPr lang="en-US" sz="1800" baseline="0">
              <a:solidFill>
                <a:schemeClr val="lt1"/>
              </a:solidFill>
              <a:effectLst/>
              <a:latin typeface="+mn-lt"/>
              <a:ea typeface="+mn-ea"/>
              <a:cs typeface="+mn-cs"/>
            </a:rPr>
            <a:t>even though the LMP is zero, Tracking Desired MW will never be below 50 MW during the intervals in which it is committed.  The exception is that Tracking Desired </a:t>
          </a:r>
        </a:p>
        <a:p>
          <a:r>
            <a:rPr lang="en-US" sz="1800" baseline="0">
              <a:solidFill>
                <a:schemeClr val="lt1"/>
              </a:solidFill>
              <a:effectLst/>
              <a:latin typeface="+mn-lt"/>
              <a:ea typeface="+mn-ea"/>
              <a:cs typeface="+mn-cs"/>
            </a:rPr>
            <a:t>can move down to the emergency minimum, if an emergency is declared.  </a:t>
          </a:r>
          <a:endParaRPr lang="en-US" sz="1800" baseline="0"/>
        </a:p>
        <a:p>
          <a:endParaRPr lang="en-US" sz="1800" baseline="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oneCellAnchor>
    <xdr:from>
      <xdr:col>15</xdr:col>
      <xdr:colOff>119063</xdr:colOff>
      <xdr:row>43</xdr:row>
      <xdr:rowOff>15875</xdr:rowOff>
    </xdr:from>
    <xdr:ext cx="3306761" cy="563562"/>
    <xdr:sp macro="" textlink="">
      <xdr:nvSpPr>
        <xdr:cNvPr id="3" name="TextBox 2"/>
        <xdr:cNvSpPr txBox="1"/>
      </xdr:nvSpPr>
      <xdr:spPr>
        <a:xfrm>
          <a:off x="10795001" y="8961438"/>
          <a:ext cx="3306761" cy="563562"/>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By following </a:t>
          </a:r>
          <a:r>
            <a:rPr lang="en-US" sz="1400" baseline="0"/>
            <a:t>dispatch, maintains the DA profit.</a:t>
          </a:r>
        </a:p>
      </xdr:txBody>
    </xdr:sp>
    <xdr:clientData/>
  </xdr:oneCellAnchor>
  <xdr:oneCellAnchor>
    <xdr:from>
      <xdr:col>14</xdr:col>
      <xdr:colOff>1</xdr:colOff>
      <xdr:row>94</xdr:row>
      <xdr:rowOff>15873</xdr:rowOff>
    </xdr:from>
    <xdr:ext cx="4183062" cy="1341440"/>
    <xdr:sp macro="" textlink="">
      <xdr:nvSpPr>
        <xdr:cNvPr id="4" name="TextBox 3"/>
        <xdr:cNvSpPr txBox="1"/>
      </xdr:nvSpPr>
      <xdr:spPr>
        <a:xfrm>
          <a:off x="9921876" y="20050123"/>
          <a:ext cx="4183062" cy="134144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The resource under generated and the Operating Reserve</a:t>
          </a:r>
          <a:r>
            <a:rPr lang="en-US" sz="1400" baseline="0"/>
            <a:t> Credit excluded the buy out MW of the day-ahead position of 25MW from RT Actual MW to Ramp Limited Desired.</a:t>
          </a:r>
        </a:p>
      </xdr:txBody>
    </xdr:sp>
    <xdr:clientData/>
  </xdr:oneCellAnchor>
  <xdr:oneCellAnchor>
    <xdr:from>
      <xdr:col>13</xdr:col>
      <xdr:colOff>642938</xdr:colOff>
      <xdr:row>146</xdr:row>
      <xdr:rowOff>7938</xdr:rowOff>
    </xdr:from>
    <xdr:ext cx="4180261" cy="579438"/>
    <xdr:sp macro="" textlink="">
      <xdr:nvSpPr>
        <xdr:cNvPr id="5" name="TextBox 4"/>
        <xdr:cNvSpPr txBox="1"/>
      </xdr:nvSpPr>
      <xdr:spPr>
        <a:xfrm>
          <a:off x="9901238" y="31478538"/>
          <a:ext cx="4180261" cy="579438"/>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solidFill>
                <a:schemeClr val="lt1"/>
              </a:solidFill>
              <a:effectLst/>
              <a:latin typeface="+mn-lt"/>
              <a:ea typeface="+mn-ea"/>
              <a:cs typeface="+mn-cs"/>
            </a:rPr>
            <a:t>The</a:t>
          </a:r>
          <a:r>
            <a:rPr lang="en-US" sz="1400" baseline="0">
              <a:solidFill>
                <a:schemeClr val="lt1"/>
              </a:solidFill>
              <a:effectLst/>
              <a:latin typeface="+mn-lt"/>
              <a:ea typeface="+mn-ea"/>
              <a:cs typeface="+mn-cs"/>
            </a:rPr>
            <a:t> resource operates at a loss due to the buy out of the day-ahead position that was not requested by PJM. </a:t>
          </a:r>
          <a:endParaRPr lang="en-US" sz="1400">
            <a:effectLst/>
          </a:endParaRPr>
        </a:p>
        <a:p>
          <a:endParaRPr lang="en-US" sz="1100" baseline="0"/>
        </a:p>
      </xdr:txBody>
    </xdr:sp>
    <xdr:clientData/>
  </xdr:oneCellAnchor>
  <xdr:oneCellAnchor>
    <xdr:from>
      <xdr:col>0</xdr:col>
      <xdr:colOff>79376</xdr:colOff>
      <xdr:row>152</xdr:row>
      <xdr:rowOff>95248</xdr:rowOff>
    </xdr:from>
    <xdr:ext cx="8937624" cy="4381502"/>
    <xdr:sp macro="" textlink="">
      <xdr:nvSpPr>
        <xdr:cNvPr id="6" name="TextBox 5"/>
        <xdr:cNvSpPr txBox="1"/>
      </xdr:nvSpPr>
      <xdr:spPr>
        <a:xfrm>
          <a:off x="79376" y="32710436"/>
          <a:ext cx="8937624" cy="43815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100">
              <a:solidFill>
                <a:schemeClr val="lt1"/>
              </a:solidFill>
              <a:effectLst/>
              <a:latin typeface="+mn-lt"/>
              <a:ea typeface="+mn-ea"/>
              <a:cs typeface="+mn-cs"/>
            </a:rPr>
            <a:t/>
          </a:r>
          <a:br>
            <a:rPr lang="en-US" sz="1100">
              <a:solidFill>
                <a:schemeClr val="lt1"/>
              </a:solidFill>
              <a:effectLst/>
              <a:latin typeface="+mn-lt"/>
              <a:ea typeface="+mn-ea"/>
              <a:cs typeface="+mn-cs"/>
            </a:rPr>
          </a:br>
          <a:r>
            <a:rPr lang="en-US" sz="1800">
              <a:solidFill>
                <a:schemeClr val="lt1"/>
              </a:solidFill>
              <a:effectLst/>
              <a:latin typeface="+mn-lt"/>
              <a:ea typeface="+mn-ea"/>
              <a:cs typeface="+mn-cs"/>
            </a:rPr>
            <a:t>Scenario 1 the</a:t>
          </a:r>
          <a:r>
            <a:rPr lang="en-US" sz="1800" baseline="0">
              <a:solidFill>
                <a:schemeClr val="lt1"/>
              </a:solidFill>
              <a:effectLst/>
              <a:latin typeface="+mn-lt"/>
              <a:ea typeface="+mn-ea"/>
              <a:cs typeface="+mn-cs"/>
            </a:rPr>
            <a:t> resource does not require an operating reserve payment. The resource </a:t>
          </a:r>
        </a:p>
        <a:p>
          <a:r>
            <a:rPr lang="en-US" sz="1800" baseline="0">
              <a:solidFill>
                <a:schemeClr val="lt1"/>
              </a:solidFill>
              <a:effectLst/>
              <a:latin typeface="+mn-lt"/>
              <a:ea typeface="+mn-ea"/>
              <a:cs typeface="+mn-cs"/>
            </a:rPr>
            <a:t>maintined its day-ahead profit by following dispatch. </a:t>
          </a:r>
        </a:p>
        <a:p>
          <a:endParaRPr lang="en-US" sz="1800">
            <a:effectLst/>
          </a:endParaRPr>
        </a:p>
        <a:p>
          <a:r>
            <a:rPr lang="en-US" sz="1800" baseline="0">
              <a:solidFill>
                <a:schemeClr val="lt1"/>
              </a:solidFill>
              <a:effectLst/>
              <a:latin typeface="+mn-lt"/>
              <a:ea typeface="+mn-ea"/>
              <a:cs typeface="+mn-cs"/>
            </a:rPr>
            <a:t>Scenario 2 pays additional uplift for MW less than what the resource would have provided, </a:t>
          </a:r>
          <a:endParaRPr lang="en-US" sz="1800">
            <a:effectLst/>
          </a:endParaRPr>
        </a:p>
        <a:p>
          <a:r>
            <a:rPr lang="en-US" sz="1800" baseline="0">
              <a:solidFill>
                <a:schemeClr val="lt1"/>
              </a:solidFill>
              <a:effectLst/>
              <a:latin typeface="+mn-lt"/>
              <a:ea typeface="+mn-ea"/>
              <a:cs typeface="+mn-cs"/>
            </a:rPr>
            <a:t>if it was following dispatch. </a:t>
          </a:r>
          <a:r>
            <a:rPr lang="en-US" sz="1800" baseline="0">
              <a:solidFill>
                <a:schemeClr val="bg1"/>
              </a:solidFill>
              <a:effectLst/>
              <a:latin typeface="+mn-lt"/>
              <a:ea typeface="+mn-ea"/>
              <a:cs typeface="+mn-cs"/>
            </a:rPr>
            <a:t>This is because the resource is being made whole for part of its</a:t>
          </a:r>
        </a:p>
        <a:p>
          <a:r>
            <a:rPr lang="en-US" sz="1800" baseline="0">
              <a:solidFill>
                <a:schemeClr val="bg1"/>
              </a:solidFill>
              <a:effectLst/>
              <a:latin typeface="+mn-lt"/>
              <a:ea typeface="+mn-ea"/>
              <a:cs typeface="+mn-cs"/>
            </a:rPr>
            <a:t>buyout of its day-ahead position. Current rules limit the buy out included in the BOR </a:t>
          </a:r>
        </a:p>
        <a:p>
          <a:r>
            <a:rPr lang="en-US" sz="1800" baseline="0">
              <a:solidFill>
                <a:schemeClr val="bg1"/>
              </a:solidFill>
              <a:effectLst/>
              <a:latin typeface="+mn-lt"/>
              <a:ea typeface="+mn-ea"/>
              <a:cs typeface="+mn-cs"/>
            </a:rPr>
            <a:t>calculation to only the buy out that was directed (desired) by PJM. In this example, the </a:t>
          </a:r>
        </a:p>
        <a:p>
          <a:r>
            <a:rPr lang="en-US" sz="1800" baseline="0">
              <a:solidFill>
                <a:schemeClr val="bg1"/>
              </a:solidFill>
              <a:effectLst/>
              <a:latin typeface="+mn-lt"/>
              <a:ea typeface="+mn-ea"/>
              <a:cs typeface="+mn-cs"/>
            </a:rPr>
            <a:t>resource is undergenerating, but the Ramp Limited Desired MW is constrained in how low </a:t>
          </a:r>
        </a:p>
        <a:p>
          <a:r>
            <a:rPr lang="en-US" sz="1800" baseline="0">
              <a:solidFill>
                <a:schemeClr val="bg1"/>
              </a:solidFill>
              <a:effectLst/>
              <a:latin typeface="+mn-lt"/>
              <a:ea typeface="+mn-ea"/>
              <a:cs typeface="+mn-cs"/>
            </a:rPr>
            <a:t>it can move by the resource's current output and ramp rate and makes it appear that PJM is </a:t>
          </a:r>
        </a:p>
        <a:p>
          <a:r>
            <a:rPr lang="en-US" sz="1800" baseline="0">
              <a:solidFill>
                <a:schemeClr val="bg1"/>
              </a:solidFill>
              <a:effectLst/>
              <a:latin typeface="+mn-lt"/>
              <a:ea typeface="+mn-ea"/>
              <a:cs typeface="+mn-cs"/>
            </a:rPr>
            <a:t>requesting the resource to generate lower than its day-ahead commitment. This allows for </a:t>
          </a:r>
        </a:p>
        <a:p>
          <a:r>
            <a:rPr lang="en-US" sz="1800" baseline="0">
              <a:solidFill>
                <a:schemeClr val="bg1"/>
              </a:solidFill>
              <a:effectLst/>
              <a:latin typeface="+mn-lt"/>
              <a:ea typeface="+mn-ea"/>
              <a:cs typeface="+mn-cs"/>
            </a:rPr>
            <a:t>the resource to recoup part of  its buyout of the day-ahead position even though that </a:t>
          </a:r>
        </a:p>
        <a:p>
          <a:r>
            <a:rPr lang="en-US" sz="1800" baseline="0">
              <a:solidFill>
                <a:schemeClr val="bg1"/>
              </a:solidFill>
              <a:effectLst/>
              <a:latin typeface="+mn-lt"/>
              <a:ea typeface="+mn-ea"/>
              <a:cs typeface="+mn-cs"/>
            </a:rPr>
            <a:t>deviation isn't necessarily desired by PJM.</a:t>
          </a:r>
          <a:endParaRPr lang="en-US" sz="1800">
            <a:solidFill>
              <a:schemeClr val="bg1"/>
            </a:solidFill>
            <a:effectLst/>
          </a:endParaRPr>
        </a:p>
        <a:p>
          <a:endParaRPr lang="en-US" sz="1000" baseline="0"/>
        </a:p>
        <a:p>
          <a:r>
            <a:rPr lang="en-US" sz="1800" baseline="0">
              <a:solidFill>
                <a:schemeClr val="lt1"/>
              </a:solidFill>
              <a:effectLst/>
              <a:latin typeface="+mn-lt"/>
              <a:ea typeface="+mn-ea"/>
              <a:cs typeface="+mn-cs"/>
            </a:rPr>
            <a:t>Scenario 3 pays zero uplift. The cost is based on the RT Actual MW and none of the buyout of </a:t>
          </a:r>
        </a:p>
        <a:p>
          <a:r>
            <a:rPr lang="en-US" sz="1800" baseline="0">
              <a:solidFill>
                <a:schemeClr val="lt1"/>
              </a:solidFill>
              <a:effectLst/>
              <a:latin typeface="+mn-lt"/>
              <a:ea typeface="+mn-ea"/>
              <a:cs typeface="+mn-cs"/>
            </a:rPr>
            <a:t>of the day-ahead position was included in the balancing </a:t>
          </a:r>
          <a:r>
            <a:rPr lang="en-US" sz="1800" baseline="0">
              <a:solidFill>
                <a:schemeClr val="bg1"/>
              </a:solidFill>
              <a:effectLst/>
              <a:latin typeface="+mn-lt"/>
              <a:ea typeface="+mn-ea"/>
              <a:cs typeface="+mn-cs"/>
            </a:rPr>
            <a:t>revenue because Tracking Desired</a:t>
          </a:r>
        </a:p>
        <a:p>
          <a:r>
            <a:rPr lang="en-US" sz="1800" baseline="0">
              <a:solidFill>
                <a:schemeClr val="bg1"/>
              </a:solidFill>
              <a:effectLst/>
              <a:latin typeface="+mn-lt"/>
              <a:ea typeface="+mn-ea"/>
              <a:cs typeface="+mn-cs"/>
            </a:rPr>
            <a:t>is not constrained by the unit's current output and captures that conditions warrant the </a:t>
          </a:r>
        </a:p>
        <a:p>
          <a:r>
            <a:rPr lang="en-US" sz="1800" baseline="0">
              <a:solidFill>
                <a:schemeClr val="bg1"/>
              </a:solidFill>
              <a:effectLst/>
              <a:latin typeface="+mn-lt"/>
              <a:ea typeface="+mn-ea"/>
              <a:cs typeface="+mn-cs"/>
            </a:rPr>
            <a:t>resource operating at its day-ahead commitment. This r</a:t>
          </a:r>
          <a:r>
            <a:rPr lang="en-US" sz="1800" baseline="0">
              <a:solidFill>
                <a:schemeClr val="lt1"/>
              </a:solidFill>
              <a:effectLst/>
              <a:latin typeface="+mn-lt"/>
              <a:ea typeface="+mn-ea"/>
              <a:cs typeface="+mn-cs"/>
            </a:rPr>
            <a:t>esults in operating</a:t>
          </a:r>
        </a:p>
        <a:p>
          <a:r>
            <a:rPr lang="en-US" sz="1800" baseline="0">
              <a:solidFill>
                <a:schemeClr val="lt1"/>
              </a:solidFill>
              <a:effectLst/>
              <a:latin typeface="+mn-lt"/>
              <a:ea typeface="+mn-ea"/>
              <a:cs typeface="+mn-cs"/>
            </a:rPr>
            <a:t>reserves calculating a profit that will be used to offset losses in the same OR Segment.</a:t>
          </a:r>
          <a:endParaRPr lang="en-US" sz="1000" baseline="0"/>
        </a:p>
      </xdr:txBody>
    </xdr:sp>
    <xdr:clientData/>
  </xdr:oneCellAnchor>
  <xdr:oneCellAnchor>
    <xdr:from>
      <xdr:col>13</xdr:col>
      <xdr:colOff>644414</xdr:colOff>
      <xdr:row>156</xdr:row>
      <xdr:rowOff>13688</xdr:rowOff>
    </xdr:from>
    <xdr:ext cx="4173649" cy="3034311"/>
    <xdr:sp macro="" textlink="">
      <xdr:nvSpPr>
        <xdr:cNvPr id="7" name="TextBox 6"/>
        <xdr:cNvSpPr txBox="1"/>
      </xdr:nvSpPr>
      <xdr:spPr>
        <a:xfrm>
          <a:off x="9915414" y="33390876"/>
          <a:ext cx="4173649" cy="30343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lang="en-US" sz="1600"/>
            <a:t>Take Away:</a:t>
          </a:r>
        </a:p>
        <a:p>
          <a:r>
            <a:rPr lang="en-US" sz="1600"/>
            <a:t>If the resource</a:t>
          </a:r>
          <a:r>
            <a:rPr lang="en-US" sz="1600" baseline="0"/>
            <a:t> follows dispatch, as in Scenario 1, the resource maintains its day-ahead profit.</a:t>
          </a:r>
        </a:p>
        <a:p>
          <a:endParaRPr lang="en-US" sz="1600" baseline="0"/>
        </a:p>
        <a:p>
          <a:r>
            <a:rPr lang="en-US" sz="1600" baseline="0"/>
            <a:t>Scenario 2 and 3 results in the resource losing money by under generating, since the operating reserve calculation only includes the buy out of the day-ahead market that was requested by PJM.</a:t>
          </a:r>
          <a:endParaRPr lang="en-US" sz="1600"/>
        </a:p>
      </xdr:txBody>
    </xdr:sp>
    <xdr:clientData/>
  </xdr:oneCellAnchor>
  <xdr:twoCellAnchor>
    <xdr:from>
      <xdr:col>2</xdr:col>
      <xdr:colOff>87312</xdr:colOff>
      <xdr:row>145</xdr:row>
      <xdr:rowOff>160099</xdr:rowOff>
    </xdr:from>
    <xdr:to>
      <xdr:col>11</xdr:col>
      <xdr:colOff>23812</xdr:colOff>
      <xdr:row>152</xdr:row>
      <xdr:rowOff>87312</xdr:rowOff>
    </xdr:to>
    <xdr:sp macro="" textlink="">
      <xdr:nvSpPr>
        <xdr:cNvPr id="8" name="Rounded Rectangular Callout 7"/>
        <xdr:cNvSpPr/>
      </xdr:nvSpPr>
      <xdr:spPr>
        <a:xfrm>
          <a:off x="2206625" y="31235412"/>
          <a:ext cx="5429250" cy="1467088"/>
        </a:xfrm>
        <a:prstGeom prst="wedgeRoundRectCallout">
          <a:avLst>
            <a:gd name="adj1" fmla="val 66273"/>
            <a:gd name="adj2" fmla="val -46959"/>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253991</xdr:colOff>
      <xdr:row>97</xdr:row>
      <xdr:rowOff>56033</xdr:rowOff>
    </xdr:from>
    <xdr:to>
      <xdr:col>13</xdr:col>
      <xdr:colOff>14466</xdr:colOff>
      <xdr:row>104</xdr:row>
      <xdr:rowOff>142876</xdr:rowOff>
    </xdr:to>
    <xdr:sp macro="" textlink="">
      <xdr:nvSpPr>
        <xdr:cNvPr id="9" name="Rounded Rectangular Callout 8"/>
        <xdr:cNvSpPr/>
      </xdr:nvSpPr>
      <xdr:spPr>
        <a:xfrm>
          <a:off x="3778241" y="20839583"/>
          <a:ext cx="5494525" cy="1401293"/>
        </a:xfrm>
        <a:prstGeom prst="wedgeRoundRectCallout">
          <a:avLst>
            <a:gd name="adj1" fmla="val 19227"/>
            <a:gd name="adj2" fmla="val -79907"/>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5</xdr:col>
      <xdr:colOff>341313</xdr:colOff>
      <xdr:row>45</xdr:row>
      <xdr:rowOff>182563</xdr:rowOff>
    </xdr:from>
    <xdr:to>
      <xdr:col>13</xdr:col>
      <xdr:colOff>15876</xdr:colOff>
      <xdr:row>53</xdr:row>
      <xdr:rowOff>142876</xdr:rowOff>
    </xdr:to>
    <xdr:sp macro="" textlink="">
      <xdr:nvSpPr>
        <xdr:cNvPr id="10" name="Rounded Rectangular Callout 9"/>
        <xdr:cNvSpPr/>
      </xdr:nvSpPr>
      <xdr:spPr>
        <a:xfrm>
          <a:off x="3865563" y="9688513"/>
          <a:ext cx="5408613" cy="1436688"/>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twoCellAnchor>
    <xdr:from>
      <xdr:col>0</xdr:col>
      <xdr:colOff>134938</xdr:colOff>
      <xdr:row>88</xdr:row>
      <xdr:rowOff>39688</xdr:rowOff>
    </xdr:from>
    <xdr:to>
      <xdr:col>2</xdr:col>
      <xdr:colOff>230187</xdr:colOff>
      <xdr:row>95</xdr:row>
      <xdr:rowOff>71437</xdr:rowOff>
    </xdr:to>
    <xdr:sp macro="" textlink="">
      <xdr:nvSpPr>
        <xdr:cNvPr id="13" name="Line Callout 1 12"/>
        <xdr:cNvSpPr/>
      </xdr:nvSpPr>
      <xdr:spPr>
        <a:xfrm>
          <a:off x="134938" y="18915063"/>
          <a:ext cx="2214562" cy="1563687"/>
        </a:xfrm>
        <a:prstGeom prst="borderCallout1">
          <a:avLst>
            <a:gd name="adj1" fmla="val 53007"/>
            <a:gd name="adj2" fmla="val 99759"/>
            <a:gd name="adj3" fmla="val 53415"/>
            <a:gd name="adj4" fmla="val 31311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a:t>
          </a:r>
          <a:r>
            <a:rPr lang="en-US" sz="1400" baseline="0"/>
            <a:t> Revenue consists of the day-ahead MW (100) minus the greater of the Actual RT MW (50) and Ramp Limited Desired MW (75). </a:t>
          </a:r>
          <a:endParaRPr lang="en-US" sz="1400"/>
        </a:p>
      </xdr:txBody>
    </xdr:sp>
    <xdr:clientData/>
  </xdr:twoCellAnchor>
  <xdr:twoCellAnchor>
    <xdr:from>
      <xdr:col>0</xdr:col>
      <xdr:colOff>104776</xdr:colOff>
      <xdr:row>139</xdr:row>
      <xdr:rowOff>41275</xdr:rowOff>
    </xdr:from>
    <xdr:to>
      <xdr:col>2</xdr:col>
      <xdr:colOff>200025</xdr:colOff>
      <xdr:row>148</xdr:row>
      <xdr:rowOff>134937</xdr:rowOff>
    </xdr:to>
    <xdr:sp macro="" textlink="">
      <xdr:nvSpPr>
        <xdr:cNvPr id="14" name="Line Callout 1 13"/>
        <xdr:cNvSpPr/>
      </xdr:nvSpPr>
      <xdr:spPr>
        <a:xfrm>
          <a:off x="104776" y="29957713"/>
          <a:ext cx="2214562" cy="2030412"/>
        </a:xfrm>
        <a:prstGeom prst="borderCallout1">
          <a:avLst>
            <a:gd name="adj1" fmla="val 40106"/>
            <a:gd name="adj2" fmla="val 101192"/>
            <a:gd name="adj3" fmla="val 40905"/>
            <a:gd name="adj4" fmla="val 314188"/>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Balancing</a:t>
          </a:r>
          <a:r>
            <a:rPr lang="en-US" sz="1400" baseline="0"/>
            <a:t> Revenue consists of the day-ahead MW (100) minus the greater of the Actual RT MW (50) and Tracking Desired MW (100). This results in zero buy out of the day-ahead position, since PJM did not request it. </a:t>
          </a:r>
          <a:endParaRPr lang="en-US" sz="1400"/>
        </a:p>
      </xdr:txBody>
    </xdr:sp>
    <xdr:clientData/>
  </xdr:twoCellAnchor>
  <xdr:oneCellAnchor>
    <xdr:from>
      <xdr:col>0</xdr:col>
      <xdr:colOff>0</xdr:colOff>
      <xdr:row>232</xdr:row>
      <xdr:rowOff>0</xdr:rowOff>
    </xdr:from>
    <xdr:ext cx="16249650" cy="4336473"/>
    <xdr:sp macro="" textlink="">
      <xdr:nvSpPr>
        <xdr:cNvPr id="15" name="TextBox 14"/>
        <xdr:cNvSpPr txBox="1"/>
      </xdr:nvSpPr>
      <xdr:spPr>
        <a:xfrm>
          <a:off x="0" y="47153945"/>
          <a:ext cx="16249650" cy="433647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The</a:t>
          </a:r>
          <a:r>
            <a:rPr lang="en-US" sz="1800" baseline="0"/>
            <a:t> final result would remain the same between the rules of Scenario 3 and the new calculation approach. In both cases, the resource would receive an operating reserve </a:t>
          </a:r>
        </a:p>
        <a:p>
          <a:r>
            <a:rPr lang="en-US" sz="1800" baseline="0"/>
            <a:t>credit of $0 in the single interval example.  Although the calculation of operating reserves at RT MW shows a loss of $6,500, this loss is due to not providing the MW that </a:t>
          </a:r>
        </a:p>
        <a:p>
          <a:r>
            <a:rPr lang="en-US" sz="1800" baseline="0"/>
            <a:t>were desired by PJM. Therefore the resource would not be made whole for buying out of the day-ahead market  for those MW under either Scenario 3 or the new </a:t>
          </a:r>
        </a:p>
        <a:p>
          <a:r>
            <a:rPr lang="en-US" sz="1800" baseline="0"/>
            <a:t>calculation approach.</a:t>
          </a:r>
        </a:p>
        <a:p>
          <a:endParaRPr lang="en-US" sz="1800" baseline="0"/>
        </a:p>
        <a:p>
          <a:r>
            <a:rPr lang="en-US" sz="1800" baseline="0">
              <a:solidFill>
                <a:schemeClr val="lt1"/>
              </a:solidFill>
              <a:effectLst/>
              <a:latin typeface="+mn-lt"/>
              <a:ea typeface="+mn-ea"/>
              <a:cs typeface="+mn-cs"/>
            </a:rPr>
            <a:t>In a single interval example, the overstatement of revenues in Scenario 3 doesn't impact the resource because it would not receive an operating reserve credit under either</a:t>
          </a:r>
          <a:endParaRPr lang="en-US" sz="1800">
            <a:effectLst/>
          </a:endParaRPr>
        </a:p>
        <a:p>
          <a:r>
            <a:rPr lang="en-US" sz="1800" baseline="0">
              <a:solidFill>
                <a:schemeClr val="lt1"/>
              </a:solidFill>
              <a:effectLst/>
              <a:latin typeface="+mn-lt"/>
              <a:ea typeface="+mn-ea"/>
              <a:cs typeface="+mn-cs"/>
            </a:rPr>
            <a:t>Scenario 3 or the new calculaiton approach.  However, the overstatement of revenues can negatively impact the resource's make whole credits when looking at the </a:t>
          </a:r>
          <a:endParaRPr lang="en-US" sz="1800">
            <a:effectLst/>
          </a:endParaRPr>
        </a:p>
        <a:p>
          <a:r>
            <a:rPr lang="en-US" sz="1800" baseline="0">
              <a:solidFill>
                <a:schemeClr val="lt1"/>
              </a:solidFill>
              <a:effectLst/>
              <a:latin typeface="+mn-lt"/>
              <a:ea typeface="+mn-ea"/>
              <a:cs typeface="+mn-cs"/>
            </a:rPr>
            <a:t>make whole credit over a multi-interval segment.  Scenario 3 calculates a net profit of $3500, which will be carried forward to offset losses in other intervals within the</a:t>
          </a:r>
          <a:endParaRPr lang="en-US" sz="1800">
            <a:effectLst/>
          </a:endParaRPr>
        </a:p>
        <a:p>
          <a:r>
            <a:rPr lang="en-US" sz="1800" baseline="0">
              <a:solidFill>
                <a:schemeClr val="lt1"/>
              </a:solidFill>
              <a:effectLst/>
              <a:latin typeface="+mn-lt"/>
              <a:ea typeface="+mn-ea"/>
              <a:cs typeface="+mn-cs"/>
            </a:rPr>
            <a:t>segment.  The new calculation only carries forward a net profit of $2250 to offset losses in other intervals.  The new calculation approach increases the chance the resource</a:t>
          </a:r>
          <a:endParaRPr lang="en-US" sz="1800">
            <a:effectLst/>
          </a:endParaRPr>
        </a:p>
        <a:p>
          <a:r>
            <a:rPr lang="en-US" sz="1800" baseline="0">
              <a:solidFill>
                <a:schemeClr val="lt1"/>
              </a:solidFill>
              <a:effectLst/>
              <a:latin typeface="+mn-lt"/>
              <a:ea typeface="+mn-ea"/>
              <a:cs typeface="+mn-cs"/>
            </a:rPr>
            <a:t>will receive a make whole for other intervals. </a:t>
          </a:r>
          <a:endParaRPr lang="en-US" sz="1800">
            <a:effectLst/>
          </a:endParaRPr>
        </a:p>
        <a:p>
          <a:endParaRPr lang="en-US" sz="1800" baseline="0"/>
        </a:p>
        <a:p>
          <a:r>
            <a:rPr lang="en-US" sz="1800" baseline="0"/>
            <a:t> </a:t>
          </a:r>
        </a:p>
        <a:p>
          <a:r>
            <a:rPr lang="en-US" sz="1800" baseline="0"/>
            <a:t>This comparison between the results of Step 1 (credit @ tracking MW) and Step 2 (credit @ RT MW) illustrates  that the resource would make more profit </a:t>
          </a:r>
        </a:p>
        <a:p>
          <a:r>
            <a:rPr lang="en-US" sz="1800" baseline="0"/>
            <a:t>the more closely it follows dispatch.</a:t>
          </a:r>
        </a:p>
        <a:p>
          <a:endParaRPr lang="en-US" sz="1800" baseline="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9</xdr:col>
      <xdr:colOff>246063</xdr:colOff>
      <xdr:row>35</xdr:row>
      <xdr:rowOff>7939</xdr:rowOff>
    </xdr:from>
    <xdr:ext cx="2730499" cy="754584"/>
    <xdr:sp macro="" textlink="">
      <xdr:nvSpPr>
        <xdr:cNvPr id="2" name="TextBox 1"/>
        <xdr:cNvSpPr txBox="1"/>
      </xdr:nvSpPr>
      <xdr:spPr>
        <a:xfrm>
          <a:off x="6627813" y="7056439"/>
          <a:ext cx="2730499" cy="75458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r>
            <a:rPr lang="en-US" sz="1400"/>
            <a:t>Balancing Operating Reserves</a:t>
          </a:r>
          <a:r>
            <a:rPr lang="en-US" sz="1400" baseline="0"/>
            <a:t> makes the unit whole to the Incremental Costs @ RT MW Used</a:t>
          </a:r>
        </a:p>
      </xdr:txBody>
    </xdr:sp>
    <xdr:clientData/>
  </xdr:oneCellAnchor>
  <xdr:twoCellAnchor>
    <xdr:from>
      <xdr:col>6</xdr:col>
      <xdr:colOff>309563</xdr:colOff>
      <xdr:row>149</xdr:row>
      <xdr:rowOff>1</xdr:rowOff>
    </xdr:from>
    <xdr:to>
      <xdr:col>14</xdr:col>
      <xdr:colOff>55563</xdr:colOff>
      <xdr:row>155</xdr:row>
      <xdr:rowOff>95251</xdr:rowOff>
    </xdr:to>
    <xdr:sp macro="" textlink="">
      <xdr:nvSpPr>
        <xdr:cNvPr id="8" name="Rounded Rectangular Callout 7"/>
        <xdr:cNvSpPr/>
      </xdr:nvSpPr>
      <xdr:spPr>
        <a:xfrm>
          <a:off x="4548188" y="32781876"/>
          <a:ext cx="5429250" cy="1238250"/>
        </a:xfrm>
        <a:prstGeom prst="wedgeRoundRectCallout">
          <a:avLst>
            <a:gd name="adj1" fmla="val 28262"/>
            <a:gd name="adj2" fmla="val -6714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OR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OR Segment.</a:t>
          </a:r>
        </a:p>
      </xdr:txBody>
    </xdr:sp>
    <xdr:clientData/>
  </xdr:twoCellAnchor>
  <xdr:twoCellAnchor>
    <xdr:from>
      <xdr:col>5</xdr:col>
      <xdr:colOff>246053</xdr:colOff>
      <xdr:row>97</xdr:row>
      <xdr:rowOff>198907</xdr:rowOff>
    </xdr:from>
    <xdr:to>
      <xdr:col>13</xdr:col>
      <xdr:colOff>6528</xdr:colOff>
      <xdr:row>105</xdr:row>
      <xdr:rowOff>0</xdr:rowOff>
    </xdr:to>
    <xdr:sp macro="" textlink="">
      <xdr:nvSpPr>
        <xdr:cNvPr id="9" name="Rounded Rectangular Callout 8"/>
        <xdr:cNvSpPr/>
      </xdr:nvSpPr>
      <xdr:spPr>
        <a:xfrm>
          <a:off x="3778241" y="21177720"/>
          <a:ext cx="5499287" cy="1325093"/>
        </a:xfrm>
        <a:prstGeom prst="wedgeRoundRectCallout">
          <a:avLst>
            <a:gd name="adj1" fmla="val 26588"/>
            <a:gd name="adj2" fmla="val -6553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400">
              <a:solidFill>
                <a:schemeClr val="tx1"/>
              </a:solidFill>
            </a:rPr>
            <a:t>If positive number, represents revenue that can be used to offset losses in other intervals in the same Operating Reserve Segment.</a:t>
          </a:r>
        </a:p>
        <a:p>
          <a:pPr algn="l"/>
          <a:endParaRPr lang="en-US" sz="1400">
            <a:solidFill>
              <a:schemeClr val="tx1"/>
            </a:solidFill>
          </a:endParaRPr>
        </a:p>
        <a:p>
          <a:pPr algn="l"/>
          <a:r>
            <a:rPr lang="en-US" sz="1400">
              <a:solidFill>
                <a:schemeClr val="tx1"/>
              </a:solidFill>
            </a:rPr>
            <a:t>If negative, represents losses that can be offset by revenue earned in other intervals in the same Operating Reserve Segment.</a:t>
          </a:r>
        </a:p>
      </xdr:txBody>
    </xdr:sp>
    <xdr:clientData/>
  </xdr:twoCellAnchor>
  <xdr:twoCellAnchor>
    <xdr:from>
      <xdr:col>7</xdr:col>
      <xdr:colOff>404813</xdr:colOff>
      <xdr:row>47</xdr:row>
      <xdr:rowOff>103187</xdr:rowOff>
    </xdr:from>
    <xdr:to>
      <xdr:col>14</xdr:col>
      <xdr:colOff>666751</xdr:colOff>
      <xdr:row>53</xdr:row>
      <xdr:rowOff>182562</xdr:rowOff>
    </xdr:to>
    <xdr:sp macro="" textlink="">
      <xdr:nvSpPr>
        <xdr:cNvPr id="10" name="Rounded Rectangular Callout 9"/>
        <xdr:cNvSpPr/>
      </xdr:nvSpPr>
      <xdr:spPr>
        <a:xfrm>
          <a:off x="5175251" y="9850437"/>
          <a:ext cx="5413375" cy="1174750"/>
        </a:xfrm>
        <a:prstGeom prst="wedgeRoundRectCallout">
          <a:avLst>
            <a:gd name="adj1" fmla="val 19613"/>
            <a:gd name="adj2" fmla="val -73781"/>
            <a:gd name="adj3" fmla="val 16667"/>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US" sz="1200">
              <a:solidFill>
                <a:schemeClr val="tx1"/>
              </a:solidFill>
            </a:rPr>
            <a:t>If positive number, represents revenue that can be used to offset losses in other intervals in the same Operating Reserve Segment.</a:t>
          </a:r>
        </a:p>
        <a:p>
          <a:pPr algn="l"/>
          <a:endParaRPr lang="en-US" sz="1200">
            <a:solidFill>
              <a:schemeClr val="tx1"/>
            </a:solidFill>
          </a:endParaRPr>
        </a:p>
        <a:p>
          <a:pPr algn="l"/>
          <a:r>
            <a:rPr lang="en-US" sz="1200">
              <a:solidFill>
                <a:schemeClr val="tx1"/>
              </a:solidFill>
            </a:rPr>
            <a:t>If negative, represents losses that can be offset by revenue earned in other intervals in the same Operating Reserve Segment.</a:t>
          </a:r>
        </a:p>
      </xdr:txBody>
    </xdr:sp>
    <xdr:clientData/>
  </xdr:twoCellAnchor>
  <xdr:oneCellAnchor>
    <xdr:from>
      <xdr:col>9</xdr:col>
      <xdr:colOff>365125</xdr:colOff>
      <xdr:row>86</xdr:row>
      <xdr:rowOff>4763</xdr:rowOff>
    </xdr:from>
    <xdr:ext cx="2730499" cy="749821"/>
    <xdr:sp macro="" textlink="">
      <xdr:nvSpPr>
        <xdr:cNvPr id="11" name="TextBox 10"/>
        <xdr:cNvSpPr txBox="1"/>
      </xdr:nvSpPr>
      <xdr:spPr>
        <a:xfrm>
          <a:off x="6746875" y="1855946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9</xdr:col>
      <xdr:colOff>365125</xdr:colOff>
      <xdr:row>137</xdr:row>
      <xdr:rowOff>4763</xdr:rowOff>
    </xdr:from>
    <xdr:ext cx="2730499" cy="749821"/>
    <xdr:sp macro="" textlink="">
      <xdr:nvSpPr>
        <xdr:cNvPr id="12" name="TextBox 11"/>
        <xdr:cNvSpPr txBox="1"/>
      </xdr:nvSpPr>
      <xdr:spPr>
        <a:xfrm>
          <a:off x="6746875" y="29551313"/>
          <a:ext cx="2730499" cy="749821"/>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r>
            <a:rPr lang="en-US" sz="1400"/>
            <a:t>Balancing Operating Reserves</a:t>
          </a:r>
          <a:r>
            <a:rPr lang="en-US" sz="1400" baseline="0"/>
            <a:t> makes the unit whole to the Incremental Costs @ RT MW Used</a:t>
          </a:r>
        </a:p>
      </xdr:txBody>
    </xdr:sp>
    <xdr:clientData/>
  </xdr:oneCellAnchor>
  <xdr:oneCellAnchor>
    <xdr:from>
      <xdr:col>0</xdr:col>
      <xdr:colOff>0</xdr:colOff>
      <xdr:row>157</xdr:row>
      <xdr:rowOff>0</xdr:rowOff>
    </xdr:from>
    <xdr:ext cx="8937624" cy="2349500"/>
    <xdr:sp macro="" textlink="">
      <xdr:nvSpPr>
        <xdr:cNvPr id="13" name="TextBox 12"/>
        <xdr:cNvSpPr txBox="1"/>
      </xdr:nvSpPr>
      <xdr:spPr>
        <a:xfrm>
          <a:off x="0" y="34305875"/>
          <a:ext cx="8937624" cy="2349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100">
              <a:solidFill>
                <a:schemeClr val="lt1"/>
              </a:solidFill>
              <a:effectLst/>
              <a:latin typeface="+mn-lt"/>
              <a:ea typeface="+mn-ea"/>
              <a:cs typeface="+mn-cs"/>
            </a:rPr>
            <a:t/>
          </a:r>
          <a:br>
            <a:rPr lang="en-US" sz="1100">
              <a:solidFill>
                <a:schemeClr val="lt1"/>
              </a:solidFill>
              <a:effectLst/>
              <a:latin typeface="+mn-lt"/>
              <a:ea typeface="+mn-ea"/>
              <a:cs typeface="+mn-cs"/>
            </a:rPr>
          </a:br>
          <a:r>
            <a:rPr lang="en-US" sz="1800">
              <a:solidFill>
                <a:schemeClr val="lt1"/>
              </a:solidFill>
              <a:effectLst/>
              <a:latin typeface="+mn-lt"/>
              <a:ea typeface="+mn-ea"/>
              <a:cs typeface="+mn-cs"/>
            </a:rPr>
            <a:t>Scenario 1 the</a:t>
          </a:r>
          <a:r>
            <a:rPr lang="en-US" sz="1800" baseline="0">
              <a:solidFill>
                <a:schemeClr val="lt1"/>
              </a:solidFill>
              <a:effectLst/>
              <a:latin typeface="+mn-lt"/>
              <a:ea typeface="+mn-ea"/>
              <a:cs typeface="+mn-cs"/>
            </a:rPr>
            <a:t> resource does not require an operating reserve payment. The resource made</a:t>
          </a:r>
        </a:p>
        <a:p>
          <a:r>
            <a:rPr lang="en-US" sz="1800" baseline="0">
              <a:solidFill>
                <a:schemeClr val="lt1"/>
              </a:solidFill>
              <a:effectLst/>
              <a:latin typeface="+mn-lt"/>
              <a:ea typeface="+mn-ea"/>
              <a:cs typeface="+mn-cs"/>
            </a:rPr>
            <a:t>enough revenues to cover its incremental cost, plus no load and start costs.</a:t>
          </a:r>
        </a:p>
        <a:p>
          <a:endParaRPr lang="en-US" sz="1800">
            <a:effectLst/>
          </a:endParaRPr>
        </a:p>
        <a:p>
          <a:r>
            <a:rPr lang="en-US" sz="1800" baseline="0">
              <a:solidFill>
                <a:schemeClr val="lt1"/>
              </a:solidFill>
              <a:effectLst/>
              <a:latin typeface="+mn-lt"/>
              <a:ea typeface="+mn-ea"/>
              <a:cs typeface="+mn-cs"/>
            </a:rPr>
            <a:t>Scenario 2 and 3 pay uplift. </a:t>
          </a:r>
          <a:r>
            <a:rPr lang="en-US" sz="1800" baseline="0">
              <a:solidFill>
                <a:schemeClr val="bg1"/>
              </a:solidFill>
              <a:effectLst/>
              <a:latin typeface="+mn-lt"/>
              <a:ea typeface="+mn-ea"/>
              <a:cs typeface="+mn-cs"/>
            </a:rPr>
            <a:t>This is because the resource did not make the expected revenues</a:t>
          </a:r>
        </a:p>
        <a:p>
          <a:r>
            <a:rPr lang="en-US" sz="1800" baseline="0">
              <a:solidFill>
                <a:schemeClr val="bg1"/>
              </a:solidFill>
              <a:effectLst/>
              <a:latin typeface="+mn-lt"/>
              <a:ea typeface="+mn-ea"/>
              <a:cs typeface="+mn-cs"/>
            </a:rPr>
            <a:t>to cover its no load and start cost. Current rules limit the balancing revenues in the BOR </a:t>
          </a:r>
        </a:p>
        <a:p>
          <a:r>
            <a:rPr lang="en-US" sz="1800" baseline="0">
              <a:solidFill>
                <a:schemeClr val="bg1"/>
              </a:solidFill>
              <a:effectLst/>
              <a:latin typeface="+mn-lt"/>
              <a:ea typeface="+mn-ea"/>
              <a:cs typeface="+mn-cs"/>
            </a:rPr>
            <a:t>calculation to actual and not to the MW desired by PJM. In this example, the uplift paid results</a:t>
          </a:r>
        </a:p>
        <a:p>
          <a:r>
            <a:rPr lang="en-US" sz="1800" baseline="0">
              <a:solidFill>
                <a:schemeClr val="bg1"/>
              </a:solidFill>
              <a:effectLst/>
              <a:latin typeface="+mn-lt"/>
              <a:ea typeface="+mn-ea"/>
              <a:cs typeface="+mn-cs"/>
            </a:rPr>
            <a:t>from the resource undergenerating. If the resource followed dispatch, uplift would be zero.</a:t>
          </a:r>
          <a:endParaRPr lang="en-US" sz="1800">
            <a:solidFill>
              <a:schemeClr val="bg1"/>
            </a:solidFill>
            <a:effectLst/>
          </a:endParaRPr>
        </a:p>
        <a:p>
          <a:endParaRPr lang="en-US" sz="1000" baseline="0"/>
        </a:p>
      </xdr:txBody>
    </xdr:sp>
    <xdr:clientData/>
  </xdr:oneCellAnchor>
  <xdr:oneCellAnchor>
    <xdr:from>
      <xdr:col>0</xdr:col>
      <xdr:colOff>0</xdr:colOff>
      <xdr:row>232</xdr:row>
      <xdr:rowOff>13854</xdr:rowOff>
    </xdr:from>
    <xdr:ext cx="15976022" cy="2403765"/>
    <xdr:sp macro="" textlink="">
      <xdr:nvSpPr>
        <xdr:cNvPr id="14" name="TextBox 13"/>
        <xdr:cNvSpPr txBox="1"/>
      </xdr:nvSpPr>
      <xdr:spPr>
        <a:xfrm>
          <a:off x="0" y="47749690"/>
          <a:ext cx="15976022" cy="24037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noAutofit/>
        </a:bodyPr>
        <a:lstStyle/>
        <a:p>
          <a:r>
            <a:rPr lang="en-US" sz="1800"/>
            <a:t>Take</a:t>
          </a:r>
          <a:r>
            <a:rPr lang="en-US" sz="1800" baseline="0"/>
            <a:t> Away:</a:t>
          </a:r>
          <a:r>
            <a:rPr lang="en-US" sz="1800"/>
            <a:t/>
          </a:r>
          <a:br>
            <a:rPr lang="en-US" sz="1800"/>
          </a:br>
          <a:r>
            <a:rPr lang="en-US" sz="1800"/>
            <a:t>In this scenario,</a:t>
          </a:r>
          <a:r>
            <a:rPr lang="en-US" sz="1800" baseline="0"/>
            <a:t> the resource would receive a $0 Balancing Operating Reserve Credit. This credit would be from the Tracking Desired calcualtion (Step 1). Even though</a:t>
          </a:r>
        </a:p>
        <a:p>
          <a:r>
            <a:rPr lang="en-US" sz="1800" baseline="0"/>
            <a:t>the resource has less cost with the RT MW calculation, the revenue that the resource would have received, if it had followed dispatch, out paced the increase in cost </a:t>
          </a:r>
        </a:p>
        <a:p>
          <a:r>
            <a:rPr lang="en-US" sz="1800" baseline="0"/>
            <a:t>from the increased MW and yielded additional profit for with each additional MW. The increase in revenue in the tracking desired operating reserve credit calculation </a:t>
          </a:r>
        </a:p>
        <a:p>
          <a:r>
            <a:rPr lang="en-US" sz="1800" baseline="0"/>
            <a:t>covered the total cost of the resource, inclusive of start up and no load cost. It would have had a profit of $250 if it had followed dispatch.  The under generation </a:t>
          </a:r>
        </a:p>
        <a:p>
          <a:r>
            <a:rPr lang="en-US" sz="1800" baseline="0"/>
            <a:t>results in a loss of $350, since although LMP was greater than the resource's incremental offer, the profits weren't sufficient to offset the resource's startup and no </a:t>
          </a:r>
        </a:p>
        <a:p>
          <a:r>
            <a:rPr lang="en-US" sz="1800" baseline="0"/>
            <a:t>load costs.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tabSelected="1" zoomScale="110" zoomScaleNormal="110" workbookViewId="0">
      <selection activeCell="I3" sqref="I3"/>
    </sheetView>
  </sheetViews>
  <sheetFormatPr defaultRowHeight="15" x14ac:dyDescent="0.25"/>
  <cols>
    <col min="4" max="4" width="17.7109375" customWidth="1"/>
    <col min="5" max="6" width="12.7109375" bestFit="1" customWidth="1"/>
    <col min="7" max="7" width="13.42578125" bestFit="1" customWidth="1"/>
    <col min="8" max="8" width="12.28515625" bestFit="1" customWidth="1"/>
    <col min="9" max="9" width="12.7109375" bestFit="1" customWidth="1"/>
    <col min="10" max="10" width="11.7109375" bestFit="1" customWidth="1"/>
    <col min="11" max="11" width="12.28515625" bestFit="1" customWidth="1"/>
    <col min="12" max="13" width="11.7109375" bestFit="1" customWidth="1"/>
    <col min="14" max="14" width="13.85546875" bestFit="1" customWidth="1"/>
    <col min="15" max="15" width="17.5703125" customWidth="1"/>
    <col min="16" max="17" width="11.7109375" bestFit="1" customWidth="1"/>
    <col min="18" max="18" width="15.140625" customWidth="1"/>
    <col min="19" max="19" width="11.7109375" bestFit="1" customWidth="1"/>
    <col min="20" max="20" width="13.42578125" bestFit="1" customWidth="1"/>
    <col min="21" max="21" width="12.7109375" bestFit="1" customWidth="1"/>
    <col min="22" max="22" width="12.28515625" bestFit="1" customWidth="1"/>
    <col min="23" max="23" width="11.7109375" bestFit="1" customWidth="1"/>
  </cols>
  <sheetData>
    <row r="1" spans="1:23" ht="63" customHeight="1" x14ac:dyDescent="0.25">
      <c r="A1" s="218" t="s">
        <v>118</v>
      </c>
      <c r="B1" s="218"/>
      <c r="C1" s="218"/>
      <c r="D1" s="218"/>
      <c r="E1" s="218"/>
      <c r="F1" s="218"/>
      <c r="G1" s="218"/>
      <c r="H1" s="218"/>
      <c r="I1" s="218"/>
      <c r="J1" s="218"/>
      <c r="K1" s="218"/>
      <c r="L1" s="218"/>
      <c r="M1" s="218"/>
      <c r="N1" s="218"/>
      <c r="O1" s="218"/>
    </row>
    <row r="2" spans="1:23" x14ac:dyDescent="0.25">
      <c r="A2" s="178"/>
    </row>
    <row r="3" spans="1:23" ht="15.75" thickBot="1" x14ac:dyDescent="0.3">
      <c r="A3" s="178"/>
    </row>
    <row r="4" spans="1:23" ht="15.75" thickBot="1" x14ac:dyDescent="0.3">
      <c r="A4" s="227" t="s">
        <v>85</v>
      </c>
      <c r="B4" s="228"/>
      <c r="C4" s="228"/>
      <c r="D4" s="228"/>
      <c r="E4" s="228"/>
      <c r="F4" s="228"/>
      <c r="G4" s="228"/>
      <c r="H4" s="228"/>
      <c r="I4" s="228"/>
      <c r="J4" s="228"/>
      <c r="K4" s="228"/>
      <c r="L4" s="228"/>
      <c r="M4" s="228"/>
      <c r="N4" s="228"/>
      <c r="O4" s="229"/>
      <c r="P4" s="154"/>
      <c r="Q4" s="190"/>
      <c r="R4" s="190"/>
      <c r="S4" s="190"/>
      <c r="T4" s="190"/>
      <c r="U4" s="190"/>
      <c r="V4" s="190"/>
      <c r="W4" s="190"/>
    </row>
    <row r="5" spans="1:23" x14ac:dyDescent="0.25">
      <c r="A5" s="235" t="s">
        <v>78</v>
      </c>
      <c r="B5" s="236"/>
      <c r="C5" s="236"/>
      <c r="D5" s="236"/>
      <c r="E5" s="191" t="s">
        <v>3</v>
      </c>
      <c r="F5" s="191" t="s">
        <v>3</v>
      </c>
      <c r="G5" s="191" t="s">
        <v>3</v>
      </c>
      <c r="H5" s="191" t="s">
        <v>3</v>
      </c>
      <c r="I5" s="191" t="s">
        <v>3</v>
      </c>
      <c r="J5" s="191" t="s">
        <v>3</v>
      </c>
      <c r="K5" s="192" t="s">
        <v>3</v>
      </c>
      <c r="L5" s="5"/>
      <c r="M5" s="5"/>
      <c r="N5" s="5"/>
      <c r="O5" s="13"/>
    </row>
    <row r="6" spans="1:23" ht="15.75" thickBot="1" x14ac:dyDescent="0.3">
      <c r="A6" s="233"/>
      <c r="B6" s="234"/>
      <c r="C6" s="234"/>
      <c r="D6" s="234"/>
      <c r="E6" s="193" t="s">
        <v>111</v>
      </c>
      <c r="F6" s="193" t="s">
        <v>112</v>
      </c>
      <c r="G6" s="193" t="s">
        <v>113</v>
      </c>
      <c r="H6" s="193" t="s">
        <v>114</v>
      </c>
      <c r="I6" s="193" t="s">
        <v>115</v>
      </c>
      <c r="J6" s="193" t="s">
        <v>116</v>
      </c>
      <c r="K6" s="194" t="s">
        <v>117</v>
      </c>
      <c r="L6" s="5"/>
      <c r="M6" s="5"/>
      <c r="N6" s="5"/>
      <c r="O6" s="13"/>
    </row>
    <row r="7" spans="1:23" ht="15" customHeight="1" x14ac:dyDescent="0.25">
      <c r="A7" s="221" t="s">
        <v>27</v>
      </c>
      <c r="B7" s="222"/>
      <c r="C7" s="222"/>
      <c r="D7" s="222"/>
      <c r="E7" s="195">
        <v>100</v>
      </c>
      <c r="F7" s="195">
        <v>75</v>
      </c>
      <c r="G7" s="195">
        <v>50</v>
      </c>
      <c r="H7" s="195">
        <v>50</v>
      </c>
      <c r="I7" s="195">
        <v>50</v>
      </c>
      <c r="J7" s="195">
        <v>50</v>
      </c>
      <c r="K7" s="195">
        <v>50</v>
      </c>
      <c r="L7" s="5"/>
      <c r="M7" s="5"/>
      <c r="N7" s="5"/>
      <c r="O7" s="13"/>
    </row>
    <row r="8" spans="1:23" x14ac:dyDescent="0.25">
      <c r="A8" s="211"/>
      <c r="B8" s="212"/>
      <c r="C8" s="212"/>
      <c r="D8" s="212"/>
      <c r="E8" s="196"/>
      <c r="F8" s="196"/>
      <c r="G8" s="196"/>
      <c r="H8" s="196"/>
      <c r="I8" s="196"/>
      <c r="J8" s="196"/>
      <c r="K8" s="196"/>
      <c r="L8" s="5"/>
      <c r="M8" s="5"/>
      <c r="N8" s="5"/>
      <c r="O8" s="13"/>
    </row>
    <row r="9" spans="1:23" ht="30.75" customHeight="1" x14ac:dyDescent="0.25">
      <c r="A9" s="221" t="s">
        <v>87</v>
      </c>
      <c r="B9" s="222"/>
      <c r="C9" s="222"/>
      <c r="D9" s="222"/>
      <c r="E9" s="197">
        <v>4500</v>
      </c>
      <c r="F9" s="197">
        <v>1875</v>
      </c>
      <c r="G9" s="197">
        <v>500</v>
      </c>
      <c r="H9" s="197">
        <v>250</v>
      </c>
      <c r="I9" s="197">
        <v>750</v>
      </c>
      <c r="J9" s="197">
        <v>1000</v>
      </c>
      <c r="K9" s="197">
        <v>0</v>
      </c>
      <c r="L9" s="5"/>
      <c r="M9" s="5"/>
      <c r="N9" s="5"/>
      <c r="O9" s="13"/>
    </row>
    <row r="10" spans="1:23" x14ac:dyDescent="0.25">
      <c r="A10" s="198"/>
      <c r="B10" s="199"/>
      <c r="C10" s="199"/>
      <c r="D10" s="199"/>
      <c r="E10" s="197"/>
      <c r="F10" s="197"/>
      <c r="G10" s="197"/>
      <c r="H10" s="197"/>
      <c r="I10" s="197"/>
      <c r="J10" s="197"/>
      <c r="K10" s="197"/>
      <c r="L10" s="5"/>
      <c r="M10" s="5"/>
      <c r="N10" s="5"/>
      <c r="O10" s="13"/>
    </row>
    <row r="11" spans="1:23" x14ac:dyDescent="0.25">
      <c r="A11" s="221" t="str">
        <f>"RT Incremental Cost"</f>
        <v>RT Incremental Cost</v>
      </c>
      <c r="B11" s="222"/>
      <c r="C11" s="222"/>
      <c r="D11" s="222"/>
      <c r="E11" s="197">
        <v>2250</v>
      </c>
      <c r="F11" s="197">
        <v>1562.5</v>
      </c>
      <c r="G11" s="197">
        <v>1000</v>
      </c>
      <c r="H11" s="197">
        <v>1000</v>
      </c>
      <c r="I11" s="197">
        <v>1000</v>
      </c>
      <c r="J11" s="197">
        <v>1000</v>
      </c>
      <c r="K11" s="197">
        <v>1000</v>
      </c>
      <c r="L11" s="5"/>
      <c r="M11" s="5"/>
      <c r="N11" s="5"/>
      <c r="O11" s="13"/>
    </row>
    <row r="12" spans="1:23" x14ac:dyDescent="0.25">
      <c r="A12" s="221" t="s">
        <v>80</v>
      </c>
      <c r="B12" s="222"/>
      <c r="C12" s="222"/>
      <c r="D12" s="222"/>
      <c r="E12" s="200">
        <v>100</v>
      </c>
      <c r="F12" s="200">
        <v>100</v>
      </c>
      <c r="G12" s="200">
        <v>100</v>
      </c>
      <c r="H12" s="200">
        <v>100</v>
      </c>
      <c r="I12" s="200">
        <v>100</v>
      </c>
      <c r="J12" s="200">
        <v>100</v>
      </c>
      <c r="K12" s="200">
        <v>100</v>
      </c>
      <c r="L12" s="5"/>
      <c r="M12" s="5"/>
      <c r="N12" s="5"/>
      <c r="O12" s="13"/>
    </row>
    <row r="13" spans="1:23" ht="15.75" thickBot="1" x14ac:dyDescent="0.3">
      <c r="A13" s="221" t="s">
        <v>81</v>
      </c>
      <c r="B13" s="222"/>
      <c r="C13" s="222"/>
      <c r="D13" s="222"/>
      <c r="E13" s="197">
        <v>1500</v>
      </c>
      <c r="F13" s="197">
        <v>0</v>
      </c>
      <c r="G13" s="197">
        <v>0</v>
      </c>
      <c r="H13" s="197">
        <v>0</v>
      </c>
      <c r="I13" s="197">
        <v>0</v>
      </c>
      <c r="J13" s="197">
        <v>0</v>
      </c>
      <c r="K13" s="197">
        <v>0</v>
      </c>
      <c r="L13" s="5"/>
      <c r="M13" s="188" t="s">
        <v>97</v>
      </c>
      <c r="N13" s="5"/>
      <c r="O13" s="13"/>
      <c r="Q13" s="213" t="s">
        <v>104</v>
      </c>
    </row>
    <row r="14" spans="1:23" x14ac:dyDescent="0.25">
      <c r="A14" s="201"/>
      <c r="B14" s="202"/>
      <c r="C14" s="202"/>
      <c r="D14" s="202"/>
      <c r="E14" s="203"/>
      <c r="F14" s="203"/>
      <c r="G14" s="203"/>
      <c r="H14" s="203"/>
      <c r="I14" s="203"/>
      <c r="J14" s="203"/>
      <c r="K14" s="203"/>
      <c r="L14" s="5"/>
      <c r="M14" s="48" t="s">
        <v>100</v>
      </c>
      <c r="N14" s="48"/>
      <c r="O14" s="5"/>
      <c r="P14" s="14"/>
      <c r="Q14" s="223" t="s">
        <v>110</v>
      </c>
      <c r="R14" s="223"/>
      <c r="S14" s="224"/>
    </row>
    <row r="15" spans="1:23" ht="15.75" thickBot="1" x14ac:dyDescent="0.3">
      <c r="A15" s="219" t="s">
        <v>82</v>
      </c>
      <c r="B15" s="220"/>
      <c r="C15" s="220"/>
      <c r="D15" s="220"/>
      <c r="E15" s="204">
        <f>(E9-E11-E12)/12-E13</f>
        <v>-1320.8333333333333</v>
      </c>
      <c r="F15" s="204">
        <f t="shared" ref="F15:K15" si="0">(F9-F11-F12)/12-F13</f>
        <v>17.708333333333332</v>
      </c>
      <c r="G15" s="204">
        <f t="shared" si="0"/>
        <v>-50</v>
      </c>
      <c r="H15" s="204">
        <f t="shared" si="0"/>
        <v>-70.833333333333329</v>
      </c>
      <c r="I15" s="204">
        <f t="shared" si="0"/>
        <v>-29.166666666666668</v>
      </c>
      <c r="J15" s="204">
        <f t="shared" si="0"/>
        <v>-8.3333333333333339</v>
      </c>
      <c r="K15" s="204">
        <f t="shared" si="0"/>
        <v>-91.666666666666671</v>
      </c>
      <c r="L15" s="18"/>
      <c r="M15" s="204">
        <f>MAX(SUM(E15:K15)*-1,0)</f>
        <v>1553.125</v>
      </c>
      <c r="N15" s="18"/>
      <c r="O15" s="18"/>
      <c r="P15" s="16"/>
      <c r="Q15" s="225"/>
      <c r="R15" s="225"/>
      <c r="S15" s="226"/>
    </row>
    <row r="16" spans="1:23" ht="15" customHeight="1" thickBot="1" x14ac:dyDescent="0.3">
      <c r="P16" s="5"/>
      <c r="Q16" s="214"/>
      <c r="R16" s="214"/>
      <c r="S16" s="215"/>
    </row>
    <row r="17" spans="1:19" ht="15.75" thickBot="1" x14ac:dyDescent="0.3">
      <c r="A17" s="227" t="s">
        <v>88</v>
      </c>
      <c r="B17" s="228"/>
      <c r="C17" s="228"/>
      <c r="D17" s="228"/>
      <c r="E17" s="228"/>
      <c r="F17" s="228"/>
      <c r="G17" s="228"/>
      <c r="H17" s="228"/>
      <c r="I17" s="228"/>
      <c r="J17" s="228"/>
      <c r="K17" s="228"/>
      <c r="L17" s="228"/>
      <c r="M17" s="228"/>
      <c r="N17" s="228"/>
      <c r="O17" s="229"/>
      <c r="P17" s="16"/>
      <c r="Q17" s="230" t="s">
        <v>101</v>
      </c>
      <c r="R17" s="230"/>
      <c r="S17" s="215">
        <f>MIN(M15,M28)</f>
        <v>1553.125</v>
      </c>
    </row>
    <row r="18" spans="1:19" ht="15.75" thickBot="1" x14ac:dyDescent="0.3">
      <c r="A18" s="231" t="s">
        <v>78</v>
      </c>
      <c r="B18" s="232"/>
      <c r="C18" s="232"/>
      <c r="D18" s="232"/>
      <c r="E18" s="196" t="s">
        <v>3</v>
      </c>
      <c r="F18" s="196" t="s">
        <v>3</v>
      </c>
      <c r="G18" s="196" t="s">
        <v>3</v>
      </c>
      <c r="H18" s="196" t="s">
        <v>3</v>
      </c>
      <c r="I18" s="196" t="s">
        <v>3</v>
      </c>
      <c r="J18" s="196" t="s">
        <v>3</v>
      </c>
      <c r="K18" s="205" t="s">
        <v>3</v>
      </c>
      <c r="L18" s="5"/>
      <c r="M18" s="5"/>
      <c r="N18" s="5"/>
      <c r="O18" s="5"/>
      <c r="P18" s="24"/>
      <c r="Q18" s="216"/>
      <c r="R18" s="216"/>
      <c r="S18" s="217"/>
    </row>
    <row r="19" spans="1:19" ht="15.75" thickBot="1" x14ac:dyDescent="0.3">
      <c r="A19" s="233"/>
      <c r="B19" s="234"/>
      <c r="C19" s="234"/>
      <c r="D19" s="234"/>
      <c r="E19" s="193" t="s">
        <v>111</v>
      </c>
      <c r="F19" s="193" t="s">
        <v>112</v>
      </c>
      <c r="G19" s="193" t="s">
        <v>113</v>
      </c>
      <c r="H19" s="193" t="s">
        <v>114</v>
      </c>
      <c r="I19" s="193" t="s">
        <v>115</v>
      </c>
      <c r="J19" s="193" t="s">
        <v>116</v>
      </c>
      <c r="K19" s="194" t="s">
        <v>117</v>
      </c>
      <c r="L19" s="5"/>
      <c r="M19" s="5"/>
      <c r="N19" s="5"/>
      <c r="O19" s="13"/>
      <c r="R19" s="206"/>
      <c r="S19" s="207"/>
    </row>
    <row r="20" spans="1:19" ht="14.25" customHeight="1" x14ac:dyDescent="0.25">
      <c r="A20" s="221" t="s">
        <v>102</v>
      </c>
      <c r="B20" s="222"/>
      <c r="C20" s="222"/>
      <c r="D20" s="222"/>
      <c r="E20" s="195">
        <v>100</v>
      </c>
      <c r="F20" s="195">
        <v>80</v>
      </c>
      <c r="G20" s="195">
        <v>65</v>
      </c>
      <c r="H20" s="195">
        <v>55</v>
      </c>
      <c r="I20" s="195">
        <v>60</v>
      </c>
      <c r="J20" s="195">
        <v>60</v>
      </c>
      <c r="K20" s="195">
        <v>45</v>
      </c>
      <c r="L20" s="5"/>
      <c r="M20" s="5"/>
      <c r="N20" s="5"/>
      <c r="O20" s="13"/>
    </row>
    <row r="21" spans="1:19" x14ac:dyDescent="0.25">
      <c r="A21" s="211"/>
      <c r="B21" s="212"/>
      <c r="C21" s="212"/>
      <c r="D21" s="212"/>
      <c r="E21" s="196"/>
      <c r="F21" s="196"/>
      <c r="G21" s="196"/>
      <c r="H21" s="196"/>
      <c r="I21" s="196"/>
      <c r="J21" s="196"/>
      <c r="K21" s="196"/>
      <c r="L21" s="5"/>
      <c r="M21" s="5"/>
      <c r="N21" s="5"/>
      <c r="O21" s="13"/>
    </row>
    <row r="22" spans="1:19" x14ac:dyDescent="0.25">
      <c r="A22" s="221" t="s">
        <v>91</v>
      </c>
      <c r="B22" s="222"/>
      <c r="C22" s="222"/>
      <c r="D22" s="222"/>
      <c r="E22" s="197">
        <v>4500</v>
      </c>
      <c r="F22" s="197">
        <v>2125</v>
      </c>
      <c r="G22" s="197">
        <v>650</v>
      </c>
      <c r="H22" s="197">
        <v>275</v>
      </c>
      <c r="I22" s="197">
        <v>900</v>
      </c>
      <c r="J22" s="197">
        <v>1200</v>
      </c>
      <c r="K22" s="197">
        <v>0</v>
      </c>
      <c r="L22" s="5"/>
      <c r="M22" s="5"/>
      <c r="N22" s="5"/>
      <c r="O22" s="13"/>
    </row>
    <row r="23" spans="1:19" ht="14.25" customHeight="1" x14ac:dyDescent="0.25">
      <c r="A23" s="210"/>
      <c r="B23" s="208"/>
      <c r="C23" s="208"/>
      <c r="D23" s="208"/>
      <c r="E23" s="197"/>
      <c r="F23" s="197"/>
      <c r="G23" s="197"/>
      <c r="H23" s="197"/>
      <c r="I23" s="197"/>
      <c r="J23" s="197"/>
      <c r="K23" s="197"/>
      <c r="L23" s="5"/>
      <c r="M23" s="5"/>
      <c r="N23" s="5"/>
      <c r="O23" s="13"/>
    </row>
    <row r="24" spans="1:19" x14ac:dyDescent="0.25">
      <c r="A24" s="221" t="str">
        <f>"RT Incremental Cost"</f>
        <v>RT Incremental Cost</v>
      </c>
      <c r="B24" s="222"/>
      <c r="C24" s="222"/>
      <c r="D24" s="222"/>
      <c r="E24" s="197">
        <v>2250</v>
      </c>
      <c r="F24" s="197">
        <v>1837.5</v>
      </c>
      <c r="G24" s="197">
        <v>1337.5</v>
      </c>
      <c r="H24" s="197">
        <v>1112.5</v>
      </c>
      <c r="I24" s="197">
        <v>1225</v>
      </c>
      <c r="J24" s="197">
        <v>1225</v>
      </c>
      <c r="K24" s="197">
        <v>900</v>
      </c>
      <c r="L24" s="5"/>
      <c r="M24" s="5"/>
      <c r="N24" s="5"/>
      <c r="O24" s="13"/>
    </row>
    <row r="25" spans="1:19" x14ac:dyDescent="0.25">
      <c r="A25" s="221" t="s">
        <v>80</v>
      </c>
      <c r="B25" s="222"/>
      <c r="C25" s="222"/>
      <c r="D25" s="222"/>
      <c r="E25" s="200">
        <v>100</v>
      </c>
      <c r="F25" s="200">
        <v>100</v>
      </c>
      <c r="G25" s="200">
        <v>100</v>
      </c>
      <c r="H25" s="200">
        <v>100</v>
      </c>
      <c r="I25" s="200">
        <v>100</v>
      </c>
      <c r="J25" s="200">
        <v>100</v>
      </c>
      <c r="K25" s="200">
        <v>100</v>
      </c>
      <c r="L25" s="5"/>
      <c r="M25" s="5"/>
      <c r="N25" s="5"/>
      <c r="O25" s="13"/>
    </row>
    <row r="26" spans="1:19" x14ac:dyDescent="0.25">
      <c r="A26" s="221" t="s">
        <v>81</v>
      </c>
      <c r="B26" s="222"/>
      <c r="C26" s="222"/>
      <c r="D26" s="222"/>
      <c r="E26" s="197">
        <v>1500</v>
      </c>
      <c r="F26" s="197">
        <v>0</v>
      </c>
      <c r="G26" s="197">
        <v>0</v>
      </c>
      <c r="H26" s="197">
        <v>0</v>
      </c>
      <c r="I26" s="197">
        <v>0</v>
      </c>
      <c r="J26" s="197">
        <v>0</v>
      </c>
      <c r="K26" s="197">
        <v>0</v>
      </c>
      <c r="L26" s="5"/>
      <c r="M26" s="188" t="s">
        <v>99</v>
      </c>
      <c r="N26" s="5"/>
      <c r="O26" s="13"/>
    </row>
    <row r="27" spans="1:19" x14ac:dyDescent="0.25">
      <c r="A27" s="201"/>
      <c r="B27" s="202"/>
      <c r="C27" s="202"/>
      <c r="D27" s="202"/>
      <c r="E27" s="203"/>
      <c r="F27" s="203"/>
      <c r="G27" s="203"/>
      <c r="H27" s="203"/>
      <c r="I27" s="203"/>
      <c r="J27" s="203"/>
      <c r="K27" s="203"/>
      <c r="L27" s="5"/>
      <c r="M27" s="48" t="s">
        <v>103</v>
      </c>
      <c r="N27" s="5"/>
      <c r="O27" s="13"/>
    </row>
    <row r="28" spans="1:19" ht="15.75" thickBot="1" x14ac:dyDescent="0.3">
      <c r="A28" s="219" t="s">
        <v>82</v>
      </c>
      <c r="B28" s="220"/>
      <c r="C28" s="220"/>
      <c r="D28" s="220"/>
      <c r="E28" s="204">
        <f>(E22-E24-E25)/12-E26</f>
        <v>-1320.8333333333333</v>
      </c>
      <c r="F28" s="204">
        <f t="shared" ref="F28:K28" si="1">(F22-F24-F25)/12-F26</f>
        <v>15.625</v>
      </c>
      <c r="G28" s="204">
        <f t="shared" si="1"/>
        <v>-65.625</v>
      </c>
      <c r="H28" s="204">
        <f t="shared" si="1"/>
        <v>-78.125</v>
      </c>
      <c r="I28" s="204">
        <f t="shared" si="1"/>
        <v>-35.416666666666664</v>
      </c>
      <c r="J28" s="204">
        <f t="shared" si="1"/>
        <v>-10.416666666666666</v>
      </c>
      <c r="K28" s="204">
        <f t="shared" si="1"/>
        <v>-83.333333333333329</v>
      </c>
      <c r="L28" s="18"/>
      <c r="M28" s="204">
        <f>MAX(SUM(E28:K28)*-1,0)</f>
        <v>1578.125</v>
      </c>
      <c r="N28" s="18"/>
      <c r="O28" s="23"/>
    </row>
    <row r="31" spans="1:19" x14ac:dyDescent="0.25">
      <c r="M31" s="32"/>
    </row>
    <row r="62" spans="17:17" x14ac:dyDescent="0.25">
      <c r="Q62" s="32"/>
    </row>
  </sheetData>
  <mergeCells count="19">
    <mergeCell ref="A7:D7"/>
    <mergeCell ref="A9:D9"/>
    <mergeCell ref="A11:D11"/>
    <mergeCell ref="A1:O1"/>
    <mergeCell ref="A28:D28"/>
    <mergeCell ref="A13:D13"/>
    <mergeCell ref="Q14:S15"/>
    <mergeCell ref="A15:D15"/>
    <mergeCell ref="A17:O17"/>
    <mergeCell ref="Q17:R17"/>
    <mergeCell ref="A18:D19"/>
    <mergeCell ref="A20:D20"/>
    <mergeCell ref="A22:D22"/>
    <mergeCell ref="A24:D24"/>
    <mergeCell ref="A25:D25"/>
    <mergeCell ref="A26:D26"/>
    <mergeCell ref="A12:D12"/>
    <mergeCell ref="A4:O4"/>
    <mergeCell ref="A5:D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44"/>
  <sheetViews>
    <sheetView topLeftCell="A180" zoomScale="110" zoomScaleNormal="110" workbookViewId="0">
      <selection activeCell="K231" sqref="K231:R232"/>
    </sheetView>
  </sheetViews>
  <sheetFormatPr defaultRowHeight="15" x14ac:dyDescent="0.25"/>
  <cols>
    <col min="1" max="1" width="21.85546875" bestFit="1" customWidth="1"/>
    <col min="2" max="2" width="9.28515625" bestFit="1" customWidth="1"/>
    <col min="3" max="3" width="4.85546875" bestFit="1" customWidth="1"/>
    <col min="4" max="4" width="8.28515625" bestFit="1" customWidth="1"/>
    <col min="5" max="5" width="8" customWidth="1"/>
    <col min="6" max="6" width="10.5703125" customWidth="1"/>
    <col min="7" max="7" width="8" customWidth="1"/>
    <col min="8" max="8" width="11.28515625" customWidth="1"/>
    <col min="9" max="9" width="13" bestFit="1" customWidth="1"/>
    <col min="10" max="10" width="10" customWidth="1"/>
    <col min="11" max="11" width="8.28515625" customWidth="1"/>
    <col min="12" max="12" width="11.85546875" customWidth="1"/>
    <col min="13" max="14" width="12" customWidth="1"/>
    <col min="15" max="15" width="12" bestFit="1" customWidth="1"/>
    <col min="16" max="17" width="8.42578125" customWidth="1"/>
    <col min="18" max="18" width="10.5703125" customWidth="1"/>
    <col min="19" max="19" width="9" customWidth="1"/>
    <col min="20" max="20" width="13.85546875" customWidth="1"/>
    <col min="21" max="21" width="12" bestFit="1" customWidth="1"/>
    <col min="27" max="27" width="10.85546875" bestFit="1" customWidth="1"/>
  </cols>
  <sheetData>
    <row r="1" spans="1:20" s="82" customFormat="1" ht="18.75" customHeight="1" x14ac:dyDescent="0.25">
      <c r="A1" s="294" t="s">
        <v>63</v>
      </c>
      <c r="B1" s="294"/>
      <c r="C1" s="294"/>
      <c r="D1" s="294"/>
      <c r="E1" s="294"/>
      <c r="F1" s="294"/>
      <c r="G1" s="294"/>
      <c r="H1" s="294"/>
      <c r="I1" s="294"/>
      <c r="J1" s="294"/>
      <c r="K1" s="294"/>
      <c r="L1" s="294"/>
      <c r="M1" s="294"/>
      <c r="N1" s="294"/>
      <c r="O1" s="294"/>
      <c r="P1" s="294"/>
      <c r="Q1" s="294"/>
      <c r="R1" s="294"/>
      <c r="S1" s="294"/>
      <c r="T1" s="294"/>
    </row>
    <row r="2" spans="1:20" ht="15" customHeight="1" x14ac:dyDescent="0.25">
      <c r="A2" s="294"/>
      <c r="B2" s="294"/>
      <c r="C2" s="294"/>
      <c r="D2" s="294"/>
      <c r="E2" s="294"/>
      <c r="F2" s="294"/>
      <c r="G2" s="294"/>
      <c r="H2" s="294"/>
      <c r="I2" s="294"/>
      <c r="J2" s="294"/>
      <c r="K2" s="294"/>
      <c r="L2" s="294"/>
      <c r="M2" s="294"/>
      <c r="N2" s="294"/>
      <c r="O2" s="294"/>
      <c r="P2" s="294"/>
      <c r="Q2" s="294"/>
      <c r="R2" s="294"/>
      <c r="S2" s="294"/>
      <c r="T2" s="294"/>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265" t="s">
        <v>61</v>
      </c>
      <c r="B5" s="265"/>
      <c r="C5" s="265"/>
      <c r="D5" s="265"/>
      <c r="E5" s="265"/>
      <c r="F5" s="265"/>
      <c r="G5" s="265"/>
      <c r="H5" s="265"/>
      <c r="I5" s="265"/>
      <c r="J5" s="265"/>
      <c r="K5" s="265"/>
      <c r="L5" s="265"/>
      <c r="M5" s="265"/>
      <c r="N5" s="265"/>
      <c r="O5" s="265"/>
      <c r="P5" s="265"/>
      <c r="Q5" s="265"/>
      <c r="R5" s="265"/>
      <c r="S5" s="265"/>
      <c r="T5" s="265"/>
    </row>
    <row r="6" spans="1:20" s="83" customFormat="1" ht="15.75" thickBot="1" x14ac:dyDescent="0.3">
      <c r="A6" s="265"/>
      <c r="B6" s="265"/>
      <c r="C6" s="265"/>
      <c r="D6" s="265"/>
      <c r="E6" s="265"/>
      <c r="F6" s="265"/>
      <c r="G6" s="265"/>
      <c r="H6" s="265"/>
      <c r="I6" s="265"/>
      <c r="J6" s="265"/>
      <c r="K6" s="265"/>
      <c r="L6" s="265"/>
      <c r="M6" s="265"/>
      <c r="N6" s="265"/>
      <c r="O6" s="265"/>
      <c r="P6" s="265"/>
      <c r="Q6" s="265"/>
      <c r="R6" s="265"/>
      <c r="S6" s="265"/>
      <c r="T6" s="265"/>
    </row>
    <row r="7" spans="1:20" ht="15.75" thickBot="1" x14ac:dyDescent="0.3">
      <c r="A7" s="227" t="s">
        <v>0</v>
      </c>
      <c r="B7" s="228"/>
      <c r="C7" s="228"/>
      <c r="D7" s="229"/>
      <c r="E7" s="235" t="s">
        <v>1</v>
      </c>
      <c r="F7" s="236"/>
      <c r="G7" s="249"/>
      <c r="H7" s="227" t="s">
        <v>2</v>
      </c>
      <c r="I7" s="228"/>
      <c r="J7" s="228"/>
      <c r="K7" s="229"/>
      <c r="L7" s="227" t="s">
        <v>32</v>
      </c>
      <c r="M7" s="228"/>
      <c r="N7" s="229"/>
    </row>
    <row r="8" spans="1:20" ht="45" customHeight="1" thickBot="1" x14ac:dyDescent="0.3">
      <c r="A8" s="106" t="s">
        <v>3</v>
      </c>
      <c r="B8" s="62" t="s">
        <v>33</v>
      </c>
      <c r="C8" s="62" t="s">
        <v>34</v>
      </c>
      <c r="D8" s="63" t="s">
        <v>4</v>
      </c>
      <c r="E8" s="106" t="s">
        <v>5</v>
      </c>
      <c r="F8" s="62" t="s">
        <v>6</v>
      </c>
      <c r="G8" s="63"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0</v>
      </c>
      <c r="G9" s="8">
        <f>IF(E9&gt;0,IF(E9=B9,D9,IF(AND(E9&gt;B9,E9&lt;=C9),0+(E9-B9)*((D9-0)/(C9-B9)),0)),0)</f>
        <v>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235" t="s">
        <v>39</v>
      </c>
      <c r="B13" s="236"/>
      <c r="C13" s="236"/>
      <c r="D13" s="236"/>
      <c r="E13" s="236"/>
      <c r="F13" s="249"/>
      <c r="H13" s="268" t="s">
        <v>40</v>
      </c>
      <c r="I13" s="269"/>
      <c r="J13" s="269"/>
      <c r="K13" s="269"/>
      <c r="L13" s="269"/>
      <c r="M13" s="270"/>
      <c r="O13" s="268" t="s">
        <v>41</v>
      </c>
      <c r="P13" s="269"/>
      <c r="Q13" s="269"/>
      <c r="R13" s="269"/>
      <c r="S13" s="269"/>
      <c r="T13" s="270"/>
    </row>
    <row r="14" spans="1:20" ht="30.75" thickBot="1" x14ac:dyDescent="0.3">
      <c r="A14" s="70" t="s">
        <v>3</v>
      </c>
      <c r="B14" s="62" t="s">
        <v>33</v>
      </c>
      <c r="C14" s="62" t="s">
        <v>34</v>
      </c>
      <c r="D14" s="62" t="s">
        <v>36</v>
      </c>
      <c r="E14" s="62" t="s">
        <v>7</v>
      </c>
      <c r="F14" s="63" t="s">
        <v>48</v>
      </c>
      <c r="H14" s="70" t="s">
        <v>3</v>
      </c>
      <c r="I14" s="62" t="s">
        <v>50</v>
      </c>
      <c r="J14" s="62" t="s">
        <v>51</v>
      </c>
      <c r="K14" s="62" t="s">
        <v>36</v>
      </c>
      <c r="L14" s="62" t="s">
        <v>47</v>
      </c>
      <c r="M14" s="63" t="s">
        <v>48</v>
      </c>
      <c r="O14" s="27" t="s">
        <v>3</v>
      </c>
      <c r="P14" s="67" t="s">
        <v>33</v>
      </c>
      <c r="Q14" s="67" t="s">
        <v>34</v>
      </c>
      <c r="R14" s="67" t="s">
        <v>36</v>
      </c>
      <c r="S14" s="67" t="s">
        <v>7</v>
      </c>
      <c r="T14" s="107" t="s">
        <v>48</v>
      </c>
    </row>
    <row r="15" spans="1:20" x14ac:dyDescent="0.25">
      <c r="A15" s="4">
        <v>1</v>
      </c>
      <c r="B15" s="5">
        <v>0</v>
      </c>
      <c r="C15" s="5">
        <f>IF(AND(B23&gt;B9,B23&lt;C9),B23,IF(B23&gt;=C9,C9,0))</f>
        <v>0</v>
      </c>
      <c r="D15" s="29">
        <f>MIN(D9,F9)</f>
        <v>0</v>
      </c>
      <c r="E15" s="29">
        <f>IF(AND(B$23&gt;B9,B$23&lt;C9),G9,IF(B$23&gt;=C9,D9,0))</f>
        <v>0</v>
      </c>
      <c r="F15" s="30">
        <f>(C15-B15)*(D15+E15)/2</f>
        <v>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266" t="s">
        <v>37</v>
      </c>
      <c r="B21" s="266"/>
      <c r="C21" s="266"/>
      <c r="D21" s="267"/>
      <c r="E21" s="277" t="s">
        <v>44</v>
      </c>
      <c r="F21" s="278"/>
      <c r="G21" s="278"/>
      <c r="H21" s="278"/>
      <c r="I21" s="278"/>
      <c r="J21" s="278"/>
      <c r="K21" s="278"/>
      <c r="L21" s="278"/>
      <c r="M21" s="279"/>
      <c r="O21" s="274" t="s">
        <v>42</v>
      </c>
      <c r="P21" s="275"/>
      <c r="Q21" s="275"/>
      <c r="R21" s="275"/>
      <c r="S21" s="275"/>
      <c r="T21" s="276"/>
    </row>
    <row r="22" spans="1:20" ht="15.75" thickBot="1" x14ac:dyDescent="0.3">
      <c r="A22" s="263" t="s">
        <v>10</v>
      </c>
      <c r="B22" s="264"/>
      <c r="E22" s="227" t="s">
        <v>11</v>
      </c>
      <c r="F22" s="228"/>
      <c r="G22" s="228"/>
      <c r="H22" s="228"/>
      <c r="I22" s="228"/>
      <c r="J22" s="228"/>
      <c r="K22" s="228"/>
      <c r="L22" s="228"/>
      <c r="M22" s="229"/>
      <c r="O22" s="271" t="s">
        <v>11</v>
      </c>
      <c r="P22" s="272"/>
      <c r="Q22" s="272"/>
      <c r="R22" s="272"/>
      <c r="S22" s="272"/>
      <c r="T22" s="273"/>
    </row>
    <row r="23" spans="1:20" x14ac:dyDescent="0.25">
      <c r="A23" s="4" t="s">
        <v>5</v>
      </c>
      <c r="B23" s="13">
        <v>0</v>
      </c>
      <c r="E23" s="261" t="s">
        <v>12</v>
      </c>
      <c r="F23" s="262"/>
      <c r="G23" s="262"/>
      <c r="H23" s="262"/>
      <c r="I23" s="99"/>
      <c r="J23" s="10"/>
      <c r="K23" s="10"/>
      <c r="L23" s="10"/>
      <c r="M23" s="26"/>
      <c r="O23" s="16" t="s">
        <v>12</v>
      </c>
      <c r="P23" s="29"/>
      <c r="Q23" s="5"/>
      <c r="R23" s="5"/>
      <c r="S23" s="5"/>
      <c r="T23" s="13"/>
    </row>
    <row r="24" spans="1:20" ht="15.75" thickBot="1" x14ac:dyDescent="0.3">
      <c r="A24" s="17" t="s">
        <v>13</v>
      </c>
      <c r="B24" s="19">
        <v>0</v>
      </c>
      <c r="E24" s="240" t="s">
        <v>14</v>
      </c>
      <c r="F24" s="241"/>
      <c r="G24" s="241"/>
      <c r="H24" s="241"/>
      <c r="I24" s="42">
        <f>B23*B24</f>
        <v>0</v>
      </c>
      <c r="J24" s="5"/>
      <c r="K24" s="5"/>
      <c r="L24" s="5"/>
      <c r="M24" s="13"/>
      <c r="O24" s="245" t="s">
        <v>14</v>
      </c>
      <c r="P24" s="246"/>
      <c r="Q24" s="246"/>
      <c r="R24" s="246"/>
      <c r="S24" s="246"/>
      <c r="T24" s="56">
        <f>I24</f>
        <v>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240" t="s">
        <v>15</v>
      </c>
      <c r="F27" s="241"/>
      <c r="G27" s="241"/>
      <c r="H27" s="241"/>
      <c r="I27" s="43">
        <f>M28</f>
        <v>0</v>
      </c>
      <c r="J27" s="5"/>
      <c r="K27" s="35" t="s">
        <v>16</v>
      </c>
      <c r="L27" s="36">
        <f>F19</f>
        <v>0</v>
      </c>
      <c r="M27" s="105" t="s">
        <v>17</v>
      </c>
      <c r="O27" s="245" t="s">
        <v>15</v>
      </c>
      <c r="P27" s="246"/>
      <c r="Q27" s="246"/>
      <c r="R27" s="246"/>
      <c r="S27" s="246"/>
      <c r="T27" s="88">
        <f>I27</f>
        <v>0</v>
      </c>
    </row>
    <row r="28" spans="1:20" ht="15.75" thickBot="1" x14ac:dyDescent="0.3">
      <c r="A28" s="266" t="s">
        <v>37</v>
      </c>
      <c r="B28" s="266"/>
      <c r="C28" s="266"/>
      <c r="D28" s="267"/>
      <c r="E28" s="85"/>
      <c r="F28" s="86"/>
      <c r="G28" s="86"/>
      <c r="H28" s="86"/>
      <c r="I28" s="5"/>
      <c r="J28" s="5"/>
      <c r="K28" s="37" t="s">
        <v>18</v>
      </c>
      <c r="L28" s="38">
        <f>I24</f>
        <v>0</v>
      </c>
      <c r="M28" s="39">
        <f>MAX(L27-L28,0)</f>
        <v>0</v>
      </c>
      <c r="O28" s="16"/>
      <c r="P28" s="5"/>
      <c r="Q28" s="5"/>
      <c r="R28" s="5"/>
      <c r="S28" s="5"/>
      <c r="T28" s="13"/>
    </row>
    <row r="29" spans="1:20" x14ac:dyDescent="0.25">
      <c r="A29" s="263" t="s">
        <v>22</v>
      </c>
      <c r="B29" s="264"/>
      <c r="E29" s="240" t="str">
        <f>"DA Incremental Cost @ DA MW ("&amp;$B23&amp;" MW)"</f>
        <v>DA Incremental Cost @ DA MW (0 MW)</v>
      </c>
      <c r="F29" s="241"/>
      <c r="G29" s="241"/>
      <c r="H29" s="241"/>
      <c r="I29" s="44">
        <f>F19</f>
        <v>0</v>
      </c>
      <c r="J29" s="5"/>
      <c r="K29" s="29"/>
      <c r="L29" s="5"/>
      <c r="M29" s="13"/>
      <c r="O29" s="245" t="str">
        <f>"DA Incremental Cost @ DA MW ("&amp;$B23&amp;" MW)"</f>
        <v>DA Incremental Cost @ DA MW (0 MW)</v>
      </c>
      <c r="P29" s="246"/>
      <c r="Q29" s="246"/>
      <c r="R29" s="246"/>
      <c r="S29" s="246"/>
      <c r="T29" s="89">
        <f>I29</f>
        <v>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15</v>
      </c>
      <c r="D31" s="32"/>
      <c r="E31" s="240" t="s">
        <v>19</v>
      </c>
      <c r="F31" s="241"/>
      <c r="G31" s="241"/>
      <c r="H31" s="241"/>
      <c r="I31" s="40">
        <f>I24+I27-I29</f>
        <v>0</v>
      </c>
      <c r="J31" s="5"/>
      <c r="K31" s="29"/>
      <c r="L31" s="45"/>
      <c r="M31" s="13"/>
      <c r="O31" s="245" t="s">
        <v>19</v>
      </c>
      <c r="P31" s="246"/>
      <c r="Q31" s="246"/>
      <c r="R31" s="246"/>
      <c r="S31" s="246"/>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227" t="s">
        <v>20</v>
      </c>
      <c r="F35" s="228"/>
      <c r="G35" s="228"/>
      <c r="H35" s="228"/>
      <c r="I35" s="228"/>
      <c r="J35" s="228"/>
      <c r="K35" s="228"/>
      <c r="L35" s="228"/>
      <c r="M35" s="229"/>
      <c r="N35" s="5"/>
      <c r="O35" s="227" t="s">
        <v>20</v>
      </c>
      <c r="P35" s="228"/>
      <c r="Q35" s="228"/>
      <c r="R35" s="228"/>
      <c r="S35" s="228"/>
      <c r="T35" s="229"/>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240" t="s">
        <v>21</v>
      </c>
      <c r="F37" s="241"/>
      <c r="G37" s="241"/>
      <c r="H37" s="241"/>
      <c r="I37" s="29">
        <f>(B30-B23)*B31</f>
        <v>750</v>
      </c>
      <c r="J37" s="29"/>
      <c r="K37" s="29"/>
      <c r="L37" s="29"/>
      <c r="M37" s="13"/>
      <c r="N37" s="5"/>
      <c r="O37" s="245" t="s">
        <v>21</v>
      </c>
      <c r="P37" s="246"/>
      <c r="Q37" s="246"/>
      <c r="R37" s="246"/>
      <c r="S37" s="246"/>
      <c r="T37" s="30">
        <f>I37</f>
        <v>750</v>
      </c>
    </row>
    <row r="38" spans="1:20" ht="15.75" thickBot="1" x14ac:dyDescent="0.3">
      <c r="E38" s="85"/>
      <c r="F38" s="86"/>
      <c r="G38" s="86"/>
      <c r="H38" s="86"/>
      <c r="I38" s="5"/>
      <c r="J38" s="5"/>
      <c r="K38" s="5"/>
      <c r="L38" s="5"/>
      <c r="M38" s="30"/>
      <c r="N38" s="5"/>
      <c r="O38" s="16"/>
      <c r="P38" s="5"/>
      <c r="Q38" s="5"/>
      <c r="R38" s="5"/>
      <c r="S38" s="5"/>
      <c r="T38" s="13"/>
    </row>
    <row r="39" spans="1:20" x14ac:dyDescent="0.25">
      <c r="E39" s="240" t="s">
        <v>23</v>
      </c>
      <c r="F39" s="241"/>
      <c r="G39" s="241"/>
      <c r="H39" s="241"/>
      <c r="I39" s="29">
        <f>MAX(M44*-1,0)</f>
        <v>250</v>
      </c>
      <c r="J39" s="29"/>
      <c r="K39" s="256" t="s">
        <v>30</v>
      </c>
      <c r="L39" s="257"/>
      <c r="M39" s="258"/>
      <c r="N39" s="5"/>
      <c r="O39" s="245" t="s">
        <v>23</v>
      </c>
      <c r="P39" s="246"/>
      <c r="Q39" s="246"/>
      <c r="R39" s="246"/>
      <c r="S39" s="246"/>
      <c r="T39" s="30">
        <f>I39</f>
        <v>250</v>
      </c>
    </row>
    <row r="40" spans="1:20" x14ac:dyDescent="0.25">
      <c r="E40" s="92"/>
      <c r="F40" s="67"/>
      <c r="G40" s="67"/>
      <c r="H40" s="67"/>
      <c r="I40" s="76"/>
      <c r="J40" s="76"/>
      <c r="K40" s="259" t="s">
        <v>24</v>
      </c>
      <c r="L40" s="260"/>
      <c r="M40" s="56">
        <f>I24</f>
        <v>0</v>
      </c>
      <c r="N40" s="5"/>
      <c r="O40" s="75"/>
      <c r="P40" s="76"/>
      <c r="Q40" s="76"/>
      <c r="R40" s="76"/>
      <c r="S40" s="76"/>
      <c r="T40" s="77"/>
    </row>
    <row r="41" spans="1:20" ht="30" customHeight="1" x14ac:dyDescent="0.25">
      <c r="E41" s="291" t="str">
        <f>"Incremental Cost @ RT MW Used ("&amp;$B35&amp;" MW)"</f>
        <v>Incremental Cost @ RT MW Used (50 MW)</v>
      </c>
      <c r="F41" s="292"/>
      <c r="G41" s="292"/>
      <c r="H41" s="292"/>
      <c r="I41" s="8">
        <f>M43</f>
        <v>1000</v>
      </c>
      <c r="J41" s="8"/>
      <c r="K41" s="259" t="s">
        <v>17</v>
      </c>
      <c r="L41" s="260"/>
      <c r="M41" s="56">
        <f>I27</f>
        <v>0</v>
      </c>
      <c r="N41" s="5"/>
      <c r="O41" s="245" t="str">
        <f>"Incremental Cost @ Actual RT MW ("&amp;$B30&amp;" MW)"</f>
        <v>Incremental Cost @ Actual RT MW (50 MW)</v>
      </c>
      <c r="P41" s="246"/>
      <c r="Q41" s="246"/>
      <c r="R41" s="246"/>
      <c r="S41" s="246"/>
      <c r="T41" s="6">
        <f>T19</f>
        <v>1000</v>
      </c>
    </row>
    <row r="42" spans="1:20" x14ac:dyDescent="0.25">
      <c r="E42" s="93"/>
      <c r="F42" s="100"/>
      <c r="G42" s="100"/>
      <c r="H42" s="100"/>
      <c r="I42" s="48"/>
      <c r="J42" s="48"/>
      <c r="K42" s="289" t="s">
        <v>25</v>
      </c>
      <c r="L42" s="290"/>
      <c r="M42" s="30">
        <f>(B34-B23)*B31</f>
        <v>750</v>
      </c>
      <c r="N42" s="5"/>
      <c r="O42" s="47"/>
      <c r="P42" s="87"/>
      <c r="Q42" s="87"/>
      <c r="R42" s="87"/>
      <c r="S42" s="87"/>
      <c r="T42" s="90"/>
    </row>
    <row r="43" spans="1:20" ht="15.75" thickBot="1" x14ac:dyDescent="0.3">
      <c r="E43" s="287" t="s">
        <v>26</v>
      </c>
      <c r="F43" s="288"/>
      <c r="G43" s="288"/>
      <c r="H43" s="288"/>
      <c r="I43" s="50">
        <f>I24+I27+I37+I39-I41</f>
        <v>0</v>
      </c>
      <c r="J43" s="104"/>
      <c r="K43" s="245" t="s">
        <v>46</v>
      </c>
      <c r="L43" s="246"/>
      <c r="M43" s="30">
        <f>M19</f>
        <v>1000</v>
      </c>
      <c r="N43" s="5"/>
      <c r="O43" s="245" t="s">
        <v>26</v>
      </c>
      <c r="P43" s="246"/>
      <c r="Q43" s="246"/>
      <c r="R43" s="246"/>
      <c r="S43" s="246"/>
      <c r="T43" s="91">
        <f>T24+T27+T37+T39-T41</f>
        <v>0</v>
      </c>
    </row>
    <row r="44" spans="1:20" ht="30.75" customHeight="1" thickTop="1" thickBot="1" x14ac:dyDescent="0.3">
      <c r="E44" s="49"/>
      <c r="F44" s="8"/>
      <c r="G44" s="8"/>
      <c r="H44" s="8"/>
      <c r="I44" s="8"/>
      <c r="J44" s="8"/>
      <c r="K44" s="247" t="s">
        <v>70</v>
      </c>
      <c r="L44" s="248"/>
      <c r="M44" s="103">
        <f>M40+M41+M42-M43</f>
        <v>-250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28"/>
      <c r="H46" s="5"/>
      <c r="I46" s="29"/>
      <c r="J46" s="5"/>
    </row>
    <row r="47" spans="1:20" x14ac:dyDescent="0.25">
      <c r="D47" s="33"/>
      <c r="E47" s="8"/>
      <c r="F47" s="8"/>
      <c r="G47" s="28"/>
      <c r="H47" s="5"/>
      <c r="I47" s="29"/>
      <c r="J47" s="5"/>
    </row>
    <row r="48" spans="1:20" x14ac:dyDescent="0.25">
      <c r="A48" s="95"/>
      <c r="D48" s="33"/>
      <c r="E48" s="8"/>
      <c r="F48" s="8"/>
      <c r="G48" s="28"/>
      <c r="H48" s="5"/>
      <c r="I48" s="29"/>
      <c r="J48" s="5"/>
    </row>
    <row r="49" spans="1:23" ht="4.5" customHeight="1" x14ac:dyDescent="0.25">
      <c r="A49" s="98"/>
      <c r="D49" s="33"/>
      <c r="E49" s="8"/>
      <c r="F49" s="8"/>
      <c r="G49" s="28"/>
      <c r="H49" s="5"/>
      <c r="I49" s="29"/>
      <c r="J49" s="5"/>
    </row>
    <row r="50" spans="1:23" ht="22.5" customHeight="1" x14ac:dyDescent="0.25">
      <c r="A50" s="98"/>
      <c r="D50" s="33"/>
      <c r="E50" s="8"/>
      <c r="F50" s="8"/>
      <c r="G50" s="28"/>
      <c r="H50" s="5"/>
      <c r="I50" s="29"/>
      <c r="J50" s="5"/>
    </row>
    <row r="51" spans="1:23" ht="14.25" customHeight="1" x14ac:dyDescent="0.25">
      <c r="A51" s="98"/>
      <c r="D51" s="33"/>
      <c r="E51" s="8"/>
      <c r="F51" s="8"/>
      <c r="G51" s="28"/>
      <c r="H51" s="5"/>
      <c r="I51" s="29"/>
      <c r="J51" s="5"/>
    </row>
    <row r="52" spans="1:23" x14ac:dyDescent="0.25">
      <c r="A52" s="95"/>
      <c r="D52" s="33"/>
      <c r="E52" s="8"/>
      <c r="F52" s="8"/>
      <c r="G52" s="28"/>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286" t="s">
        <v>45</v>
      </c>
      <c r="B56" s="286"/>
      <c r="C56" s="286"/>
      <c r="D56" s="286"/>
      <c r="E56" s="286"/>
      <c r="F56" s="286"/>
      <c r="G56" s="286"/>
      <c r="H56" s="286"/>
      <c r="I56" s="286"/>
      <c r="J56" s="286"/>
      <c r="K56" s="286"/>
      <c r="L56" s="286"/>
      <c r="M56" s="286"/>
      <c r="N56" s="286"/>
      <c r="O56" s="286"/>
      <c r="P56" s="286"/>
      <c r="Q56" s="286"/>
      <c r="R56" s="286"/>
      <c r="S56" s="286"/>
      <c r="T56" s="286"/>
      <c r="U56" s="95"/>
      <c r="V56" s="95"/>
      <c r="W56" s="95"/>
    </row>
    <row r="57" spans="1:23" s="83" customFormat="1" ht="24" customHeight="1" thickBot="1" x14ac:dyDescent="0.3">
      <c r="A57" s="286"/>
      <c r="B57" s="286"/>
      <c r="C57" s="286"/>
      <c r="D57" s="286"/>
      <c r="E57" s="286"/>
      <c r="F57" s="286"/>
      <c r="G57" s="286"/>
      <c r="H57" s="286"/>
      <c r="I57" s="286"/>
      <c r="J57" s="286"/>
      <c r="K57" s="286"/>
      <c r="L57" s="286"/>
      <c r="M57" s="286"/>
      <c r="N57" s="286"/>
      <c r="O57" s="286"/>
      <c r="P57" s="286"/>
      <c r="Q57" s="286"/>
      <c r="R57" s="286"/>
      <c r="S57" s="286"/>
      <c r="T57" s="286"/>
      <c r="U57" s="95"/>
      <c r="V57" s="95"/>
      <c r="W57" s="95"/>
    </row>
    <row r="58" spans="1:23" ht="15.75" thickBot="1" x14ac:dyDescent="0.3">
      <c r="A58" s="250" t="s">
        <v>0</v>
      </c>
      <c r="B58" s="251"/>
      <c r="C58" s="251"/>
      <c r="D58" s="252"/>
      <c r="E58" s="235" t="s">
        <v>1</v>
      </c>
      <c r="F58" s="236"/>
      <c r="G58" s="249"/>
      <c r="H58" s="227" t="s">
        <v>2</v>
      </c>
      <c r="I58" s="228"/>
      <c r="J58" s="228"/>
      <c r="K58" s="229"/>
      <c r="L58" s="227" t="s">
        <v>32</v>
      </c>
      <c r="M58" s="228"/>
      <c r="N58" s="229"/>
    </row>
    <row r="59" spans="1:23" ht="64.5" customHeight="1" thickBot="1" x14ac:dyDescent="0.3">
      <c r="A59" s="1" t="s">
        <v>3</v>
      </c>
      <c r="B59" s="62" t="s">
        <v>33</v>
      </c>
      <c r="C59" s="62" t="s">
        <v>34</v>
      </c>
      <c r="D59" s="2" t="s">
        <v>4</v>
      </c>
      <c r="E59" s="1" t="s">
        <v>5</v>
      </c>
      <c r="F59" s="62" t="s">
        <v>6</v>
      </c>
      <c r="G59" s="63" t="s">
        <v>7</v>
      </c>
      <c r="H59" s="69" t="s">
        <v>38</v>
      </c>
      <c r="I59" s="65" t="s">
        <v>8</v>
      </c>
      <c r="J59" s="65" t="s">
        <v>6</v>
      </c>
      <c r="K59" s="66" t="s">
        <v>7</v>
      </c>
      <c r="L59" s="3" t="s">
        <v>5</v>
      </c>
      <c r="M59" s="65" t="s">
        <v>49</v>
      </c>
      <c r="N59" s="66" t="s">
        <v>47</v>
      </c>
    </row>
    <row r="60" spans="1:23" x14ac:dyDescent="0.25">
      <c r="A60" s="4">
        <v>1</v>
      </c>
      <c r="B60" s="5">
        <v>0</v>
      </c>
      <c r="C60" s="5">
        <v>50</v>
      </c>
      <c r="D60" s="6">
        <v>20</v>
      </c>
      <c r="E60" s="7">
        <f>IF(AND(B$74&gt;B60,B$74&lt;=C60),B$74,0)</f>
        <v>0</v>
      </c>
      <c r="F60" s="8">
        <f>IF(B74&gt;0,D60,0)</f>
        <v>0</v>
      </c>
      <c r="G60" s="8">
        <f>IF(E60&gt;0,IF(E60=B60,D60,IF(AND(E60&gt;B60,E60&lt;=C60),D60+(E60-B60)*((D60-D60)/(C60-B60)),0)),0)</f>
        <v>0</v>
      </c>
      <c r="H60" s="14">
        <f>IF(AND(MIN(B$81,B$84)&gt;B60,MIN(B$81,B$84)&lt;=C60),MIN(B$81,B$84),0)</f>
        <v>0</v>
      </c>
      <c r="I60" s="15">
        <f>IF(AND(B$86&gt;B60,B$86&lt;=C60),B$86,0)</f>
        <v>0</v>
      </c>
      <c r="J60" s="9">
        <f>IF(B81&gt;0,D60,0)</f>
        <v>20</v>
      </c>
      <c r="K60" s="11">
        <f>IF(H60&gt;0,IF(H60=B60,D60,IF(AND(H60&gt;B60,H60&lt;=C60),D60+(H60-B60)*((D60-D60)/(C60-B60)),0)),0)</f>
        <v>0</v>
      </c>
      <c r="L60" s="14">
        <f>IF(AND(B81&gt;B60,B81&lt;=C60),B81,0)</f>
        <v>0</v>
      </c>
      <c r="M60" s="9">
        <f>IF(B81&gt;0,D60,0)</f>
        <v>20</v>
      </c>
      <c r="N60" s="11">
        <f>IF(L60&gt;0,IF(L60=B60,D60,IF(AND(L60&gt;B60,L60&lt;=C60),D60+(L60-B60)*((D60-D60)/(C60-B60)),0)),0)</f>
        <v>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75</v>
      </c>
      <c r="I61" s="12">
        <f t="shared" ref="I61:I62" si="7">IF(AND(B$86&gt;B61,B$86&lt;=C61),B$86,0)</f>
        <v>75</v>
      </c>
      <c r="J61" s="5">
        <v>0</v>
      </c>
      <c r="K61" s="6">
        <f>IF(H61&gt;0,IF(H61=B61,D61,IF(AND(H61&gt;B61,H61&lt;=C61),D60+(H61-B61)*((D61-D60)/(C61-B61)),0)),0)</f>
        <v>25</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100</v>
      </c>
      <c r="M62" s="21">
        <v>0</v>
      </c>
      <c r="N62" s="19">
        <f>IF(L62&gt;0,IF(L62=B62,D62,IF(AND(L62&gt;B62,L62&lt;=C62),D62+(L62-B62)*((D62-D62)/(C62-B62)),0)),0)</f>
        <v>30</v>
      </c>
    </row>
    <row r="63" spans="1:23" ht="15.75" thickBot="1" x14ac:dyDescent="0.3">
      <c r="J63" s="25"/>
    </row>
    <row r="64" spans="1:23" ht="15.75" thickBot="1" x14ac:dyDescent="0.3">
      <c r="A64" s="227" t="s">
        <v>39</v>
      </c>
      <c r="B64" s="228"/>
      <c r="C64" s="228"/>
      <c r="D64" s="228"/>
      <c r="E64" s="228"/>
      <c r="F64" s="229"/>
      <c r="H64" s="253" t="s">
        <v>40</v>
      </c>
      <c r="I64" s="254"/>
      <c r="J64" s="254"/>
      <c r="K64" s="254"/>
      <c r="L64" s="254"/>
      <c r="M64" s="255"/>
      <c r="O64" s="253" t="s">
        <v>41</v>
      </c>
      <c r="P64" s="254"/>
      <c r="Q64" s="254"/>
      <c r="R64" s="254"/>
      <c r="S64" s="254"/>
      <c r="T64" s="255"/>
    </row>
    <row r="65" spans="1:20" ht="30.75" thickBot="1" x14ac:dyDescent="0.3">
      <c r="A65" s="106" t="s">
        <v>3</v>
      </c>
      <c r="B65" s="62" t="s">
        <v>33</v>
      </c>
      <c r="C65" s="62" t="s">
        <v>34</v>
      </c>
      <c r="D65" s="62" t="s">
        <v>49</v>
      </c>
      <c r="E65" s="62" t="s">
        <v>47</v>
      </c>
      <c r="F65" s="63" t="s">
        <v>48</v>
      </c>
      <c r="H65" s="106" t="s">
        <v>3</v>
      </c>
      <c r="I65" s="62" t="s">
        <v>50</v>
      </c>
      <c r="J65" s="62" t="s">
        <v>51</v>
      </c>
      <c r="K65" s="62" t="s">
        <v>49</v>
      </c>
      <c r="L65" s="62" t="s">
        <v>47</v>
      </c>
      <c r="M65" s="63" t="s">
        <v>48</v>
      </c>
      <c r="O65" s="106" t="s">
        <v>3</v>
      </c>
      <c r="P65" s="62" t="s">
        <v>33</v>
      </c>
      <c r="Q65" s="62" t="s">
        <v>34</v>
      </c>
      <c r="R65" s="62" t="s">
        <v>49</v>
      </c>
      <c r="S65" s="62" t="s">
        <v>47</v>
      </c>
      <c r="T65" s="63" t="s">
        <v>48</v>
      </c>
    </row>
    <row r="66" spans="1:20" x14ac:dyDescent="0.25">
      <c r="A66" s="4">
        <v>1</v>
      </c>
      <c r="B66" s="5">
        <v>0</v>
      </c>
      <c r="C66" s="5">
        <f>IF(AND(B74&gt;B60,B74&lt;C60),B74,IF(B74&gt;=C60,C60,0))</f>
        <v>0</v>
      </c>
      <c r="D66" s="29">
        <f>MIN(D60,F60)</f>
        <v>0</v>
      </c>
      <c r="E66" s="29">
        <f>IF(AND(B$74&gt;B60,B$74&lt;C60),G60,IF(B$74&gt;=C60,D60,0))</f>
        <v>0</v>
      </c>
      <c r="F66" s="30">
        <f>(C66-B66)*(D66+E66)/2</f>
        <v>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IF(B$74&gt;B61,C66,0)</f>
        <v>0</v>
      </c>
      <c r="C67" s="5">
        <f>IF(AND(B$74&gt;B61,B$74&lt;C61),B$74,IF(B$74&gt;=C61,C61,0))</f>
        <v>0</v>
      </c>
      <c r="D67" s="29">
        <f>IF(B67&lt;&gt;0,E66,0)</f>
        <v>0</v>
      </c>
      <c r="E67" s="29">
        <f>IF(AND(B$74&gt;B61,B$74&lt;C61),G61,IF(B$74&gt;=C61,D61,0))</f>
        <v>0</v>
      </c>
      <c r="F67" s="30">
        <f t="shared" ref="F67:F69" si="8">(C67-B67)*(D67+E67)/2</f>
        <v>0</v>
      </c>
      <c r="H67" s="4">
        <v>2</v>
      </c>
      <c r="I67" s="5">
        <f>IF(MAX(I$60:I$62)&gt;B61,C60,0)</f>
        <v>50</v>
      </c>
      <c r="J67" s="5">
        <f>IF(AND(MAX(I$60:I$62)&gt;B61,MAX(I$60:I$62)&lt;C61),MAX(I$60:I$62),IF(MAX(I$60:I$62)&gt;=C61,C61,0))</f>
        <v>75</v>
      </c>
      <c r="K67" s="29">
        <f>IF(I67&lt;&gt;0,L66,0)</f>
        <v>20</v>
      </c>
      <c r="L67" s="29">
        <f t="shared" ref="L67:L69" si="9">IF(AND(MAX(I$60:I$62)&gt;B61,MAX(I$60:I$62)&lt;C61),K61,IF(MAX(I$60:I$62)&gt;=C61,D61,0))</f>
        <v>25</v>
      </c>
      <c r="M67" s="30">
        <f t="shared" ref="M67:M69" si="10">(J67-I67)*(K67+L67)/2</f>
        <v>562.5</v>
      </c>
      <c r="O67" s="4">
        <v>2</v>
      </c>
      <c r="P67" s="5">
        <f>IF(B$81&gt;B61,Q66,0)</f>
        <v>50</v>
      </c>
      <c r="Q67" s="5">
        <f t="shared" ref="Q67:Q69" si="11">IF(AND(B$81&gt;B61,B$81&lt;C61),B$81,IF(B$81&gt;=C61,C61,0))</f>
        <v>75</v>
      </c>
      <c r="R67" s="29">
        <f>IF(P67&lt;&gt;0,S66,0)</f>
        <v>20</v>
      </c>
      <c r="S67" s="29">
        <f t="shared" ref="S67:S69" si="12">IF(AND(B$81&gt;B61,B$81&lt;C61),N61,IF(B$81&gt;=C61,D61,0))</f>
        <v>25</v>
      </c>
      <c r="T67" s="30">
        <f t="shared" ref="T67:T69" si="13">(Q67-P67)*(R67+S67)/2</f>
        <v>562.5</v>
      </c>
    </row>
    <row r="68" spans="1:20" x14ac:dyDescent="0.25">
      <c r="A68" s="4">
        <v>3</v>
      </c>
      <c r="B68" s="5">
        <f>IF(B$74&gt;B62,C67,0)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75</v>
      </c>
      <c r="Q68" s="5">
        <f t="shared" si="11"/>
        <v>100</v>
      </c>
      <c r="R68" s="29">
        <f>IF(P68&lt;&gt;0,S67,0)</f>
        <v>25</v>
      </c>
      <c r="S68" s="29">
        <f t="shared" si="12"/>
        <v>30</v>
      </c>
      <c r="T68" s="30">
        <f t="shared" si="13"/>
        <v>687.5</v>
      </c>
    </row>
    <row r="69" spans="1:20" x14ac:dyDescent="0.25">
      <c r="A69" s="4">
        <v>4</v>
      </c>
      <c r="B69" s="5">
        <f>IF(B$74&gt;B63,C68,0)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0</v>
      </c>
      <c r="H70" s="24"/>
      <c r="I70" s="18"/>
      <c r="J70" s="18"/>
      <c r="K70" s="21"/>
      <c r="L70" s="21"/>
      <c r="M70" s="31">
        <f>SUM(M66:M69)</f>
        <v>1562.5</v>
      </c>
      <c r="O70" s="24"/>
      <c r="P70" s="18"/>
      <c r="Q70" s="18"/>
      <c r="R70" s="21"/>
      <c r="S70" s="21"/>
      <c r="T70" s="31">
        <f>SUM(T66:T69)</f>
        <v>2250</v>
      </c>
    </row>
    <row r="71" spans="1:20" ht="15.75" thickBot="1" x14ac:dyDescent="0.3"/>
    <row r="72" spans="1:20" ht="15.75" customHeight="1" thickBot="1" x14ac:dyDescent="0.3">
      <c r="A72" s="68" t="s">
        <v>37</v>
      </c>
      <c r="E72" s="277" t="s">
        <v>44</v>
      </c>
      <c r="F72" s="278"/>
      <c r="G72" s="278"/>
      <c r="H72" s="278"/>
      <c r="I72" s="278"/>
      <c r="J72" s="278"/>
      <c r="K72" s="278"/>
      <c r="L72" s="278"/>
      <c r="M72" s="279"/>
      <c r="O72" s="274" t="s">
        <v>42</v>
      </c>
      <c r="P72" s="275"/>
      <c r="Q72" s="275"/>
      <c r="R72" s="275"/>
      <c r="S72" s="275"/>
      <c r="T72" s="276"/>
    </row>
    <row r="73" spans="1:20" ht="15.75" thickBot="1" x14ac:dyDescent="0.3">
      <c r="A73" s="263" t="s">
        <v>10</v>
      </c>
      <c r="B73" s="264"/>
      <c r="E73" s="227" t="s">
        <v>11</v>
      </c>
      <c r="F73" s="228"/>
      <c r="G73" s="228"/>
      <c r="H73" s="228"/>
      <c r="I73" s="228"/>
      <c r="J73" s="228"/>
      <c r="K73" s="228"/>
      <c r="L73" s="228"/>
      <c r="M73" s="229"/>
      <c r="O73" s="280" t="s">
        <v>11</v>
      </c>
      <c r="P73" s="281"/>
      <c r="Q73" s="281"/>
      <c r="R73" s="281"/>
      <c r="S73" s="281"/>
      <c r="T73" s="282"/>
    </row>
    <row r="74" spans="1:20" x14ac:dyDescent="0.25">
      <c r="A74" s="4" t="s">
        <v>5</v>
      </c>
      <c r="B74" s="13">
        <v>0</v>
      </c>
      <c r="E74" s="261" t="s">
        <v>12</v>
      </c>
      <c r="F74" s="262"/>
      <c r="G74" s="262"/>
      <c r="H74" s="262"/>
      <c r="I74" s="99"/>
      <c r="J74" s="10"/>
      <c r="K74" s="10"/>
      <c r="L74" s="10"/>
      <c r="M74" s="26"/>
      <c r="O74" s="16" t="s">
        <v>12</v>
      </c>
      <c r="P74" s="29"/>
      <c r="Q74" s="5"/>
      <c r="R74" s="5"/>
      <c r="S74" s="5"/>
      <c r="T74" s="13"/>
    </row>
    <row r="75" spans="1:20" ht="15.75" thickBot="1" x14ac:dyDescent="0.3">
      <c r="A75" s="17" t="s">
        <v>13</v>
      </c>
      <c r="B75" s="19">
        <v>0</v>
      </c>
      <c r="E75" s="240" t="s">
        <v>14</v>
      </c>
      <c r="F75" s="241"/>
      <c r="G75" s="241"/>
      <c r="H75" s="241"/>
      <c r="I75" s="42">
        <f>B74*B75</f>
        <v>0</v>
      </c>
      <c r="J75" s="5"/>
      <c r="K75" s="5"/>
      <c r="L75" s="5"/>
      <c r="M75" s="13"/>
      <c r="O75" s="245" t="s">
        <v>14</v>
      </c>
      <c r="P75" s="246"/>
      <c r="Q75" s="246"/>
      <c r="R75" s="246"/>
      <c r="S75" s="246"/>
      <c r="T75" s="56">
        <f>I75</f>
        <v>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240" t="s">
        <v>15</v>
      </c>
      <c r="F78" s="241"/>
      <c r="G78" s="241"/>
      <c r="H78" s="241"/>
      <c r="I78" s="43">
        <f>M79</f>
        <v>0</v>
      </c>
      <c r="J78" s="5"/>
      <c r="K78" s="35" t="s">
        <v>16</v>
      </c>
      <c r="L78" s="36">
        <f>F70</f>
        <v>0</v>
      </c>
      <c r="M78" s="105" t="s">
        <v>17</v>
      </c>
      <c r="O78" s="245" t="s">
        <v>15</v>
      </c>
      <c r="P78" s="246"/>
      <c r="Q78" s="246"/>
      <c r="R78" s="246"/>
      <c r="S78" s="246"/>
      <c r="T78" s="88">
        <f>I78</f>
        <v>0</v>
      </c>
    </row>
    <row r="79" spans="1:20" ht="15.75" thickBot="1" x14ac:dyDescent="0.3">
      <c r="A79" s="68" t="s">
        <v>37</v>
      </c>
      <c r="E79" s="85"/>
      <c r="F79" s="86"/>
      <c r="G79" s="86"/>
      <c r="H79" s="86"/>
      <c r="I79" s="5"/>
      <c r="J79" s="5"/>
      <c r="K79" s="37" t="s">
        <v>18</v>
      </c>
      <c r="L79" s="38">
        <f>I75</f>
        <v>0</v>
      </c>
      <c r="M79" s="39">
        <f>MAX(L78-L79,0)</f>
        <v>0</v>
      </c>
      <c r="O79" s="16"/>
      <c r="P79" s="5"/>
      <c r="Q79" s="5"/>
      <c r="R79" s="5"/>
      <c r="S79" s="5"/>
      <c r="T79" s="13"/>
    </row>
    <row r="80" spans="1:20" x14ac:dyDescent="0.25">
      <c r="A80" s="263" t="s">
        <v>22</v>
      </c>
      <c r="B80" s="264"/>
      <c r="E80" s="240" t="str">
        <f>"DA Incremental Cost @ DA MW ("&amp;$B74&amp;" MW)"</f>
        <v>DA Incremental Cost @ DA MW (0 MW)</v>
      </c>
      <c r="F80" s="241"/>
      <c r="G80" s="241"/>
      <c r="H80" s="241"/>
      <c r="I80" s="44">
        <f>F70</f>
        <v>0</v>
      </c>
      <c r="J80" s="5"/>
      <c r="K80" s="29"/>
      <c r="L80" s="5"/>
      <c r="M80" s="13"/>
      <c r="O80" s="245" t="str">
        <f>"DA Incremental Cost @ DA MW ("&amp;$B74&amp;" MW)"</f>
        <v>DA Incremental Cost @ DA MW (0 MW)</v>
      </c>
      <c r="P80" s="246"/>
      <c r="Q80" s="246"/>
      <c r="R80" s="246"/>
      <c r="S80" s="246"/>
      <c r="T80" s="89">
        <f>I80</f>
        <v>0</v>
      </c>
    </row>
    <row r="81" spans="1:20" x14ac:dyDescent="0.25">
      <c r="A81" s="16" t="s">
        <v>43</v>
      </c>
      <c r="B81" s="13">
        <v>100</v>
      </c>
      <c r="E81" s="85"/>
      <c r="F81" s="86"/>
      <c r="G81" s="86"/>
      <c r="H81" s="86"/>
      <c r="I81" s="5"/>
      <c r="J81" s="5"/>
      <c r="K81" s="5"/>
      <c r="L81" s="29"/>
      <c r="M81" s="13"/>
      <c r="O81" s="16"/>
      <c r="P81" s="5"/>
      <c r="Q81" s="5"/>
      <c r="R81" s="5"/>
      <c r="S81" s="5"/>
      <c r="T81" s="13"/>
    </row>
    <row r="82" spans="1:20" ht="15.75" thickBot="1" x14ac:dyDescent="0.3">
      <c r="A82" s="16" t="s">
        <v>13</v>
      </c>
      <c r="B82" s="6">
        <v>15</v>
      </c>
      <c r="D82" s="32"/>
      <c r="E82" s="240" t="s">
        <v>19</v>
      </c>
      <c r="F82" s="241"/>
      <c r="G82" s="241"/>
      <c r="H82" s="241"/>
      <c r="I82" s="40">
        <f>I75+I78-I80</f>
        <v>0</v>
      </c>
      <c r="J82" s="5"/>
      <c r="K82" s="29"/>
      <c r="L82" s="45"/>
      <c r="M82" s="13"/>
      <c r="O82" s="245" t="s">
        <v>19</v>
      </c>
      <c r="P82" s="246"/>
      <c r="Q82" s="246"/>
      <c r="R82" s="246"/>
      <c r="S82" s="246"/>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75</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100</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75</v>
      </c>
      <c r="E86" s="227" t="s">
        <v>20</v>
      </c>
      <c r="F86" s="228"/>
      <c r="G86" s="228"/>
      <c r="H86" s="228"/>
      <c r="I86" s="228"/>
      <c r="J86" s="228"/>
      <c r="K86" s="228"/>
      <c r="L86" s="228"/>
      <c r="M86" s="229"/>
      <c r="O86" s="283" t="s">
        <v>20</v>
      </c>
      <c r="P86" s="284"/>
      <c r="Q86" s="284"/>
      <c r="R86" s="284"/>
      <c r="S86" s="284"/>
      <c r="T86" s="285"/>
    </row>
    <row r="87" spans="1:20" x14ac:dyDescent="0.25">
      <c r="E87" s="85" t="s">
        <v>12</v>
      </c>
      <c r="F87" s="86"/>
      <c r="G87" s="86"/>
      <c r="H87" s="86"/>
      <c r="I87" s="5"/>
      <c r="J87" s="5"/>
      <c r="K87" s="5"/>
      <c r="L87" s="5"/>
      <c r="M87" s="13"/>
      <c r="O87" s="16" t="s">
        <v>12</v>
      </c>
      <c r="P87" s="5"/>
      <c r="Q87" s="5"/>
      <c r="R87" s="5"/>
      <c r="S87" s="5"/>
      <c r="T87" s="13"/>
    </row>
    <row r="88" spans="1:20" x14ac:dyDescent="0.25">
      <c r="E88" s="240" t="s">
        <v>21</v>
      </c>
      <c r="F88" s="241"/>
      <c r="G88" s="241"/>
      <c r="H88" s="241"/>
      <c r="I88" s="29">
        <f>(B81-B74)*B82</f>
        <v>1500</v>
      </c>
      <c r="J88" s="29"/>
      <c r="K88" s="29"/>
      <c r="L88" s="29"/>
      <c r="M88" s="13"/>
      <c r="O88" s="245" t="s">
        <v>21</v>
      </c>
      <c r="P88" s="246"/>
      <c r="Q88" s="246"/>
      <c r="R88" s="246"/>
      <c r="S88" s="246"/>
      <c r="T88" s="30">
        <f>I88</f>
        <v>1500</v>
      </c>
    </row>
    <row r="89" spans="1:20" ht="15.75" thickBot="1" x14ac:dyDescent="0.3">
      <c r="E89" s="85"/>
      <c r="F89" s="86"/>
      <c r="G89" s="86"/>
      <c r="H89" s="86"/>
      <c r="I89" s="5"/>
      <c r="J89" s="5"/>
      <c r="K89" s="5"/>
      <c r="L89" s="5"/>
      <c r="M89" s="30"/>
      <c r="O89" s="16"/>
      <c r="P89" s="5"/>
      <c r="Q89" s="5"/>
      <c r="R89" s="5"/>
      <c r="S89" s="5"/>
      <c r="T89" s="13"/>
    </row>
    <row r="90" spans="1:20" x14ac:dyDescent="0.25">
      <c r="E90" s="240" t="s">
        <v>23</v>
      </c>
      <c r="F90" s="241"/>
      <c r="G90" s="241"/>
      <c r="H90" s="241"/>
      <c r="I90" s="29">
        <f>MAX(M95*-1,0)</f>
        <v>62.5</v>
      </c>
      <c r="J90" s="29"/>
      <c r="K90" s="256" t="s">
        <v>30</v>
      </c>
      <c r="L90" s="257"/>
      <c r="M90" s="258"/>
      <c r="O90" s="245" t="s">
        <v>23</v>
      </c>
      <c r="P90" s="246"/>
      <c r="Q90" s="246"/>
      <c r="R90" s="246"/>
      <c r="S90" s="246"/>
      <c r="T90" s="30">
        <f>I90</f>
        <v>62.5</v>
      </c>
    </row>
    <row r="91" spans="1:20" x14ac:dyDescent="0.25">
      <c r="E91" s="92"/>
      <c r="F91" s="67"/>
      <c r="G91" s="67"/>
      <c r="H91" s="67"/>
      <c r="I91" s="76"/>
      <c r="J91" s="76"/>
      <c r="K91" s="259" t="s">
        <v>24</v>
      </c>
      <c r="L91" s="260"/>
      <c r="M91" s="56">
        <f>I75</f>
        <v>0</v>
      </c>
      <c r="O91" s="75"/>
      <c r="P91" s="76"/>
      <c r="Q91" s="76"/>
      <c r="R91" s="76"/>
      <c r="S91" s="76"/>
      <c r="T91" s="77"/>
    </row>
    <row r="92" spans="1:20" x14ac:dyDescent="0.25">
      <c r="E92" s="291" t="str">
        <f>"Incremental Cost @ RT MW Used ("&amp;$B86&amp;" MW)"</f>
        <v>Incremental Cost @ RT MW Used (75 MW)</v>
      </c>
      <c r="F92" s="292"/>
      <c r="G92" s="292"/>
      <c r="H92" s="292"/>
      <c r="I92" s="8">
        <f>M94</f>
        <v>1562.5</v>
      </c>
      <c r="J92" s="8"/>
      <c r="K92" s="259" t="s">
        <v>17</v>
      </c>
      <c r="L92" s="260"/>
      <c r="M92" s="56">
        <f>I78</f>
        <v>0</v>
      </c>
      <c r="O92" s="245" t="str">
        <f>"Incremental Cost @ Actual RT MW ("&amp;$B81&amp;" MW)"</f>
        <v>Incremental Cost @ Actual RT MW (100 MW)</v>
      </c>
      <c r="P92" s="246"/>
      <c r="Q92" s="246"/>
      <c r="R92" s="246"/>
      <c r="S92" s="246"/>
      <c r="T92" s="6">
        <f>T70</f>
        <v>2250</v>
      </c>
    </row>
    <row r="93" spans="1:20" x14ac:dyDescent="0.25">
      <c r="E93" s="93"/>
      <c r="F93" s="100"/>
      <c r="G93" s="100"/>
      <c r="H93" s="100"/>
      <c r="I93" s="48"/>
      <c r="J93" s="48"/>
      <c r="K93" s="289" t="s">
        <v>25</v>
      </c>
      <c r="L93" s="290"/>
      <c r="M93" s="30">
        <f>(B85-B74)*B82</f>
        <v>1500</v>
      </c>
      <c r="O93" s="47"/>
      <c r="P93" s="87"/>
      <c r="Q93" s="87"/>
      <c r="R93" s="87"/>
      <c r="S93" s="87"/>
      <c r="T93" s="90"/>
    </row>
    <row r="94" spans="1:20" ht="15.75" thickBot="1" x14ac:dyDescent="0.3">
      <c r="E94" s="287" t="s">
        <v>26</v>
      </c>
      <c r="F94" s="288"/>
      <c r="G94" s="288"/>
      <c r="H94" s="288"/>
      <c r="I94" s="50">
        <f>I75+I78+I88+I90-I92</f>
        <v>0</v>
      </c>
      <c r="J94" s="104"/>
      <c r="K94" s="245" t="s">
        <v>46</v>
      </c>
      <c r="L94" s="246"/>
      <c r="M94" s="30">
        <f>M70</f>
        <v>1562.5</v>
      </c>
      <c r="O94" s="245" t="s">
        <v>26</v>
      </c>
      <c r="P94" s="246"/>
      <c r="Q94" s="246"/>
      <c r="R94" s="246"/>
      <c r="S94" s="246"/>
      <c r="T94" s="91">
        <f>T75+T78+T88+T90-T92</f>
        <v>-687.5</v>
      </c>
    </row>
    <row r="95" spans="1:20" ht="29.25" customHeight="1" thickTop="1" thickBot="1" x14ac:dyDescent="0.3">
      <c r="E95" s="49"/>
      <c r="F95" s="8"/>
      <c r="G95" s="8"/>
      <c r="H95" s="8"/>
      <c r="I95" s="8"/>
      <c r="J95" s="8"/>
      <c r="K95" s="247" t="s">
        <v>70</v>
      </c>
      <c r="L95" s="248"/>
      <c r="M95" s="103">
        <f>M91+M92+M93-M94</f>
        <v>-62.5</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28"/>
      <c r="H97" s="5"/>
      <c r="I97" s="29"/>
      <c r="J97" s="5"/>
    </row>
    <row r="98" spans="1:23" x14ac:dyDescent="0.25">
      <c r="D98" s="33"/>
      <c r="E98" s="8"/>
      <c r="F98" s="8"/>
      <c r="G98" s="28"/>
      <c r="H98" s="5"/>
      <c r="I98" s="29"/>
      <c r="J98" s="5"/>
    </row>
    <row r="99" spans="1:23" x14ac:dyDescent="0.25">
      <c r="D99" s="33"/>
      <c r="E99" s="8"/>
      <c r="F99" s="8"/>
      <c r="G99" s="28"/>
      <c r="H99" s="5"/>
      <c r="I99" s="29"/>
      <c r="J99" s="5"/>
    </row>
    <row r="100" spans="1:23" ht="13.5" customHeight="1" x14ac:dyDescent="0.25">
      <c r="D100" s="33"/>
      <c r="E100" s="8"/>
      <c r="F100" s="8"/>
      <c r="G100" s="28"/>
      <c r="H100" s="5"/>
      <c r="I100" s="29"/>
      <c r="J100" s="5"/>
    </row>
    <row r="101" spans="1:23" x14ac:dyDescent="0.25">
      <c r="D101" s="33"/>
      <c r="E101" s="8"/>
      <c r="F101" s="8"/>
      <c r="G101" s="28"/>
      <c r="H101" s="5"/>
      <c r="I101" s="29"/>
      <c r="J101" s="5"/>
    </row>
    <row r="102" spans="1:23" x14ac:dyDescent="0.25">
      <c r="D102" s="33"/>
      <c r="E102" s="8"/>
      <c r="F102" s="8"/>
      <c r="G102" s="28"/>
      <c r="H102" s="5"/>
      <c r="I102" s="29"/>
      <c r="J102" s="5"/>
    </row>
    <row r="103" spans="1:23" x14ac:dyDescent="0.25">
      <c r="D103" s="33"/>
      <c r="E103" s="8"/>
      <c r="F103" s="8"/>
      <c r="G103" s="28"/>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73"/>
      <c r="E106" s="54"/>
      <c r="F106" s="54"/>
      <c r="G106" s="73"/>
      <c r="H106" s="53"/>
      <c r="I106" s="55"/>
      <c r="J106" s="53"/>
      <c r="K106" s="53"/>
      <c r="L106" s="53"/>
      <c r="M106" s="53"/>
      <c r="N106" s="53"/>
      <c r="O106" s="53"/>
      <c r="P106" s="53"/>
      <c r="Q106" s="53"/>
      <c r="R106" s="53"/>
      <c r="S106" s="53"/>
      <c r="T106" s="53"/>
    </row>
    <row r="107" spans="1:23" x14ac:dyDescent="0.25">
      <c r="A107" s="295" t="s">
        <v>52</v>
      </c>
      <c r="B107" s="295"/>
      <c r="C107" s="295"/>
      <c r="D107" s="295"/>
      <c r="E107" s="295"/>
      <c r="F107" s="295"/>
      <c r="G107" s="295"/>
      <c r="H107" s="295"/>
      <c r="I107" s="295"/>
      <c r="J107" s="295"/>
      <c r="K107" s="295"/>
      <c r="L107" s="295"/>
      <c r="M107" s="295"/>
      <c r="N107" s="295"/>
      <c r="O107" s="295"/>
      <c r="P107" s="295"/>
      <c r="Q107" s="295"/>
      <c r="R107" s="295"/>
      <c r="S107" s="295"/>
      <c r="T107" s="295"/>
    </row>
    <row r="108" spans="1:23" s="83" customFormat="1" ht="15.75" thickBot="1" x14ac:dyDescent="0.3">
      <c r="A108" s="296"/>
      <c r="B108" s="296"/>
      <c r="C108" s="296"/>
      <c r="D108" s="296"/>
      <c r="E108" s="296"/>
      <c r="F108" s="296"/>
      <c r="G108" s="296"/>
      <c r="H108" s="296"/>
      <c r="I108" s="296"/>
      <c r="J108" s="296"/>
      <c r="K108" s="296"/>
      <c r="L108" s="296"/>
      <c r="M108" s="296"/>
      <c r="N108" s="296"/>
      <c r="O108" s="296"/>
      <c r="P108" s="296"/>
      <c r="Q108" s="296"/>
      <c r="R108" s="296"/>
      <c r="S108" s="296"/>
      <c r="T108" s="296"/>
      <c r="U108" s="95"/>
      <c r="V108" s="95"/>
      <c r="W108" s="95"/>
    </row>
    <row r="109" spans="1:23" ht="15.75" thickBot="1" x14ac:dyDescent="0.3">
      <c r="A109" s="250" t="s">
        <v>0</v>
      </c>
      <c r="B109" s="251"/>
      <c r="C109" s="251"/>
      <c r="D109" s="252"/>
      <c r="E109" s="235" t="s">
        <v>1</v>
      </c>
      <c r="F109" s="236"/>
      <c r="G109" s="249"/>
      <c r="H109" s="227" t="s">
        <v>2</v>
      </c>
      <c r="I109" s="228"/>
      <c r="J109" s="228"/>
      <c r="K109" s="229"/>
      <c r="L109" s="227" t="s">
        <v>32</v>
      </c>
      <c r="M109" s="228"/>
      <c r="N109" s="229"/>
    </row>
    <row r="110" spans="1:23" ht="60.75" customHeight="1" thickBot="1" x14ac:dyDescent="0.3">
      <c r="A110" s="70" t="s">
        <v>3</v>
      </c>
      <c r="B110" s="62" t="s">
        <v>33</v>
      </c>
      <c r="C110" s="62" t="s">
        <v>34</v>
      </c>
      <c r="D110" s="71" t="s">
        <v>4</v>
      </c>
      <c r="E110" s="70" t="s">
        <v>5</v>
      </c>
      <c r="F110" s="62" t="s">
        <v>6</v>
      </c>
      <c r="G110" s="63" t="s">
        <v>7</v>
      </c>
      <c r="H110" s="69" t="s">
        <v>38</v>
      </c>
      <c r="I110" s="65" t="s">
        <v>8</v>
      </c>
      <c r="J110" s="65" t="s">
        <v>6</v>
      </c>
      <c r="K110" s="66" t="s">
        <v>7</v>
      </c>
      <c r="L110" s="72" t="s">
        <v>5</v>
      </c>
      <c r="M110" s="65" t="s">
        <v>49</v>
      </c>
      <c r="N110" s="66" t="s">
        <v>47</v>
      </c>
    </row>
    <row r="111" spans="1:23" x14ac:dyDescent="0.25">
      <c r="A111" s="4">
        <v>1</v>
      </c>
      <c r="B111" s="5">
        <v>0</v>
      </c>
      <c r="C111" s="5">
        <v>50</v>
      </c>
      <c r="D111" s="6">
        <v>20</v>
      </c>
      <c r="E111" s="7">
        <f>IF(AND(B$74&gt;B111,B$74&lt;=C111),B$74,0)</f>
        <v>0</v>
      </c>
      <c r="F111" s="8">
        <f>IF(B125&gt;0,D111,0)</f>
        <v>0</v>
      </c>
      <c r="G111" s="8">
        <f>IF(E111&gt;0,IF(E111=B111,D111,IF(AND(E111&gt;B111,E111&lt;=C111),D111+(E111-B111)*((D111-D111)/(C111-B111)),0)),0)</f>
        <v>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0</v>
      </c>
      <c r="M111" s="9">
        <f>IF(B132&gt;0,D111,0)</f>
        <v>20</v>
      </c>
      <c r="N111" s="11">
        <f>IF(L111&gt;0,IF(L111=B111,D111,IF(AND(L111&gt;B111,L111&lt;=C111),D111+(L111-B111)*((D111-D111)/(C111-B111)),0)),0)</f>
        <v>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IF(L112&gt;0,IF(L112=B112,D112,IF(AND(L112&gt;B112,L112&lt;=C112),D111+(L112-B112)*((D112-D111)/(C112-B112)),0)),0)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100</v>
      </c>
      <c r="M113" s="21">
        <v>0</v>
      </c>
      <c r="N113" s="19">
        <f>IF(L113&gt;0,IF(L113=B113,D113,IF(AND(L113&gt;B113,L113&lt;=C113),D112+(L113-B113)*((D113-D112)/(C113-B113)),0)),0)</f>
        <v>30</v>
      </c>
    </row>
    <row r="114" spans="1:20" ht="15.75" thickBot="1" x14ac:dyDescent="0.3">
      <c r="J114" s="25"/>
    </row>
    <row r="115" spans="1:20" ht="15.75" thickBot="1" x14ac:dyDescent="0.3">
      <c r="A115" s="235" t="s">
        <v>1</v>
      </c>
      <c r="B115" s="236"/>
      <c r="C115" s="10"/>
      <c r="D115" s="10"/>
      <c r="E115" s="10"/>
      <c r="F115" s="26"/>
      <c r="H115" s="235" t="s">
        <v>9</v>
      </c>
      <c r="I115" s="236"/>
      <c r="J115" s="236"/>
      <c r="K115" s="236"/>
      <c r="L115" s="236"/>
      <c r="M115" s="249"/>
      <c r="O115" s="235" t="s">
        <v>31</v>
      </c>
      <c r="P115" s="236"/>
      <c r="Q115" s="236"/>
      <c r="R115" s="236"/>
      <c r="S115" s="236"/>
      <c r="T115" s="249"/>
    </row>
    <row r="116" spans="1:20" ht="30.75" thickBot="1" x14ac:dyDescent="0.3">
      <c r="A116" s="106" t="s">
        <v>3</v>
      </c>
      <c r="B116" s="62" t="s">
        <v>33</v>
      </c>
      <c r="C116" s="62" t="s">
        <v>34</v>
      </c>
      <c r="D116" s="62" t="s">
        <v>49</v>
      </c>
      <c r="E116" s="62" t="s">
        <v>47</v>
      </c>
      <c r="F116" s="63" t="s">
        <v>48</v>
      </c>
      <c r="H116" s="106" t="s">
        <v>3</v>
      </c>
      <c r="I116" s="62" t="s">
        <v>50</v>
      </c>
      <c r="J116" s="62" t="s">
        <v>51</v>
      </c>
      <c r="K116" s="62" t="s">
        <v>49</v>
      </c>
      <c r="L116" s="62" t="s">
        <v>47</v>
      </c>
      <c r="M116" s="63" t="s">
        <v>48</v>
      </c>
      <c r="O116" s="106" t="s">
        <v>3</v>
      </c>
      <c r="P116" s="62" t="s">
        <v>33</v>
      </c>
      <c r="Q116" s="62" t="s">
        <v>34</v>
      </c>
      <c r="R116" s="62" t="s">
        <v>49</v>
      </c>
      <c r="S116" s="62" t="s">
        <v>47</v>
      </c>
      <c r="T116" s="63" t="s">
        <v>48</v>
      </c>
    </row>
    <row r="117" spans="1:20" x14ac:dyDescent="0.25">
      <c r="A117" s="4">
        <v>1</v>
      </c>
      <c r="B117" s="5">
        <v>0</v>
      </c>
      <c r="C117" s="5">
        <f>IF(AND(B125&gt;B111,B125&lt;C111),B125,IF(B125&gt;=C111,C111,0))</f>
        <v>0</v>
      </c>
      <c r="D117" s="29">
        <f>MIN(D111,F111)</f>
        <v>0</v>
      </c>
      <c r="E117" s="29">
        <f>IF(AND(B$125&gt;B111,B$125&lt;C111),G111,IF(B$125&gt;=C111,D111,0))</f>
        <v>0</v>
      </c>
      <c r="F117" s="30">
        <f>(C117-B117)*(D117+E117)/2</f>
        <v>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IF(B$125&gt;B112,C117,0)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50</v>
      </c>
      <c r="Q118" s="5">
        <f t="shared" ref="Q118:Q120" si="23">IF(AND(B$132&gt;B112,B$132&lt;C112),B$132,IF(B$132&gt;=C112,C112,0))</f>
        <v>75</v>
      </c>
      <c r="R118" s="29">
        <f>IF(P118&lt;&gt;0,S117,0)</f>
        <v>20</v>
      </c>
      <c r="S118" s="29">
        <f t="shared" ref="S118:S119" si="24">IF(AND(B$132&gt;B112,B$132&lt;C112),N112,IF(B$132&gt;=C112,D112,0))</f>
        <v>25</v>
      </c>
      <c r="T118" s="30">
        <f t="shared" ref="T118:T120" si="25">(Q118-P118)*(R118+S118)/2</f>
        <v>562.5</v>
      </c>
    </row>
    <row r="119" spans="1:20" x14ac:dyDescent="0.25">
      <c r="A119" s="4">
        <v>3</v>
      </c>
      <c r="B119" s="5">
        <f>IF(B$125&gt;B113,C118,0)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75</v>
      </c>
      <c r="Q119" s="5">
        <f t="shared" si="23"/>
        <v>100</v>
      </c>
      <c r="R119" s="29">
        <f>IF(P119&lt;&gt;0,S118,0)</f>
        <v>25</v>
      </c>
      <c r="S119" s="29">
        <f t="shared" si="24"/>
        <v>30</v>
      </c>
      <c r="T119" s="30">
        <f t="shared" si="25"/>
        <v>687.5</v>
      </c>
    </row>
    <row r="120" spans="1:20" x14ac:dyDescent="0.25">
      <c r="A120" s="4">
        <v>4</v>
      </c>
      <c r="B120" s="5">
        <f>IF(B$125&gt;B114,C119,0)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0</v>
      </c>
      <c r="H121" s="24"/>
      <c r="I121" s="18"/>
      <c r="J121" s="18"/>
      <c r="K121" s="21"/>
      <c r="L121" s="21"/>
      <c r="M121" s="31">
        <f>SUM(M117:M120)</f>
        <v>1000</v>
      </c>
      <c r="O121" s="24"/>
      <c r="P121" s="18"/>
      <c r="Q121" s="18"/>
      <c r="R121" s="21"/>
      <c r="S121" s="21"/>
      <c r="T121" s="31">
        <f>SUM(T117:T120)</f>
        <v>2250</v>
      </c>
    </row>
    <row r="122" spans="1:20" ht="15.75" thickBot="1" x14ac:dyDescent="0.3"/>
    <row r="123" spans="1:20" ht="15.75" customHeight="1" thickBot="1" x14ac:dyDescent="0.3">
      <c r="A123" s="68" t="s">
        <v>37</v>
      </c>
      <c r="E123" s="277" t="s">
        <v>44</v>
      </c>
      <c r="F123" s="278"/>
      <c r="G123" s="278"/>
      <c r="H123" s="278"/>
      <c r="I123" s="278"/>
      <c r="J123" s="278"/>
      <c r="K123" s="278"/>
      <c r="L123" s="278"/>
      <c r="M123" s="279"/>
      <c r="O123" s="274" t="s">
        <v>42</v>
      </c>
      <c r="P123" s="275"/>
      <c r="Q123" s="275"/>
      <c r="R123" s="275"/>
      <c r="S123" s="275"/>
      <c r="T123" s="276"/>
    </row>
    <row r="124" spans="1:20" ht="15.75" thickBot="1" x14ac:dyDescent="0.3">
      <c r="A124" s="263" t="s">
        <v>10</v>
      </c>
      <c r="B124" s="264"/>
      <c r="E124" s="227" t="s">
        <v>11</v>
      </c>
      <c r="F124" s="228"/>
      <c r="G124" s="228"/>
      <c r="H124" s="228"/>
      <c r="I124" s="228"/>
      <c r="J124" s="228"/>
      <c r="K124" s="228"/>
      <c r="L124" s="228"/>
      <c r="M124" s="229"/>
      <c r="O124" s="280" t="s">
        <v>11</v>
      </c>
      <c r="P124" s="281"/>
      <c r="Q124" s="281"/>
      <c r="R124" s="281"/>
      <c r="S124" s="281"/>
      <c r="T124" s="282"/>
    </row>
    <row r="125" spans="1:20" x14ac:dyDescent="0.25">
      <c r="A125" s="4" t="s">
        <v>5</v>
      </c>
      <c r="B125" s="13">
        <v>0</v>
      </c>
      <c r="E125" s="261" t="s">
        <v>12</v>
      </c>
      <c r="F125" s="262"/>
      <c r="G125" s="262"/>
      <c r="H125" s="262"/>
      <c r="I125" s="99"/>
      <c r="J125" s="10"/>
      <c r="K125" s="10"/>
      <c r="L125" s="10"/>
      <c r="M125" s="26"/>
      <c r="O125" s="16" t="s">
        <v>12</v>
      </c>
      <c r="P125" s="29"/>
      <c r="Q125" s="5"/>
      <c r="R125" s="5"/>
      <c r="S125" s="5"/>
      <c r="T125" s="13"/>
    </row>
    <row r="126" spans="1:20" ht="15.75" thickBot="1" x14ac:dyDescent="0.3">
      <c r="A126" s="17" t="s">
        <v>13</v>
      </c>
      <c r="B126" s="19">
        <v>0</v>
      </c>
      <c r="E126" s="240" t="s">
        <v>14</v>
      </c>
      <c r="F126" s="241"/>
      <c r="G126" s="241"/>
      <c r="H126" s="241"/>
      <c r="I126" s="42">
        <f>B125*B126</f>
        <v>0</v>
      </c>
      <c r="J126" s="5"/>
      <c r="K126" s="5"/>
      <c r="L126" s="5"/>
      <c r="M126" s="13"/>
      <c r="O126" s="245" t="s">
        <v>14</v>
      </c>
      <c r="P126" s="246"/>
      <c r="Q126" s="246"/>
      <c r="R126" s="246"/>
      <c r="S126" s="246"/>
      <c r="T126" s="56">
        <f>I126</f>
        <v>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240" t="s">
        <v>15</v>
      </c>
      <c r="F129" s="241"/>
      <c r="G129" s="241"/>
      <c r="H129" s="241"/>
      <c r="I129" s="43">
        <f>M130</f>
        <v>0</v>
      </c>
      <c r="J129" s="5"/>
      <c r="K129" s="35" t="s">
        <v>16</v>
      </c>
      <c r="L129" s="36">
        <f>F121</f>
        <v>0</v>
      </c>
      <c r="M129" s="105" t="s">
        <v>17</v>
      </c>
      <c r="O129" s="245" t="s">
        <v>15</v>
      </c>
      <c r="P129" s="246"/>
      <c r="Q129" s="246"/>
      <c r="R129" s="246"/>
      <c r="S129" s="246"/>
      <c r="T129" s="88">
        <f>I129</f>
        <v>0</v>
      </c>
    </row>
    <row r="130" spans="1:20" ht="15.75" thickBot="1" x14ac:dyDescent="0.3">
      <c r="A130" s="68" t="s">
        <v>37</v>
      </c>
      <c r="E130" s="85"/>
      <c r="F130" s="86"/>
      <c r="G130" s="86"/>
      <c r="H130" s="86"/>
      <c r="I130" s="5"/>
      <c r="J130" s="5"/>
      <c r="K130" s="37" t="s">
        <v>18</v>
      </c>
      <c r="L130" s="38">
        <f>I126</f>
        <v>0</v>
      </c>
      <c r="M130" s="39">
        <f>MAX(L129-L130,0)</f>
        <v>0</v>
      </c>
      <c r="O130" s="16"/>
      <c r="P130" s="5"/>
      <c r="Q130" s="5"/>
      <c r="R130" s="5"/>
      <c r="S130" s="5"/>
      <c r="T130" s="13"/>
    </row>
    <row r="131" spans="1:20" x14ac:dyDescent="0.25">
      <c r="A131" s="263" t="s">
        <v>22</v>
      </c>
      <c r="B131" s="264"/>
      <c r="E131" s="240" t="str">
        <f>"DA Incremental Cost @ DA MW ("&amp;$B125&amp;" MW)"</f>
        <v>DA Incremental Cost @ DA MW (0 MW)</v>
      </c>
      <c r="F131" s="241"/>
      <c r="G131" s="241"/>
      <c r="H131" s="241"/>
      <c r="I131" s="44">
        <f>F121</f>
        <v>0</v>
      </c>
      <c r="J131" s="5"/>
      <c r="K131" s="29"/>
      <c r="L131" s="5"/>
      <c r="M131" s="13"/>
      <c r="O131" s="245" t="str">
        <f>"DA Incremental Cost @ DA MW ("&amp;$B125&amp;" MW)"</f>
        <v>DA Incremental Cost @ DA MW (0 MW)</v>
      </c>
      <c r="P131" s="246"/>
      <c r="Q131" s="246"/>
      <c r="R131" s="246"/>
      <c r="S131" s="246"/>
      <c r="T131" s="89">
        <f>I131</f>
        <v>0</v>
      </c>
    </row>
    <row r="132" spans="1:20" x14ac:dyDescent="0.25">
      <c r="A132" s="16" t="s">
        <v>43</v>
      </c>
      <c r="B132" s="13">
        <v>100</v>
      </c>
      <c r="E132" s="85"/>
      <c r="F132" s="86"/>
      <c r="G132" s="86"/>
      <c r="H132" s="86"/>
      <c r="I132" s="5"/>
      <c r="J132" s="5"/>
      <c r="K132" s="5"/>
      <c r="L132" s="29"/>
      <c r="M132" s="13"/>
      <c r="O132" s="16"/>
      <c r="P132" s="5"/>
      <c r="Q132" s="5"/>
      <c r="R132" s="5"/>
      <c r="S132" s="5"/>
      <c r="T132" s="13"/>
    </row>
    <row r="133" spans="1:20" ht="15.75" thickBot="1" x14ac:dyDescent="0.3">
      <c r="A133" s="16" t="s">
        <v>13</v>
      </c>
      <c r="B133" s="6">
        <v>15</v>
      </c>
      <c r="D133" s="32"/>
      <c r="E133" s="240" t="s">
        <v>19</v>
      </c>
      <c r="F133" s="241"/>
      <c r="G133" s="241"/>
      <c r="H133" s="241"/>
      <c r="I133" s="40">
        <f>I126+I129-I131</f>
        <v>0</v>
      </c>
      <c r="J133" s="5"/>
      <c r="K133" s="29"/>
      <c r="L133" s="45"/>
      <c r="M133" s="13"/>
      <c r="O133" s="245" t="s">
        <v>19</v>
      </c>
      <c r="P133" s="246"/>
      <c r="Q133" s="246"/>
      <c r="R133" s="246"/>
      <c r="S133" s="246"/>
      <c r="T133" s="31">
        <f>T126+T129-T131</f>
        <v>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75</v>
      </c>
      <c r="E135" s="24"/>
      <c r="F135" s="46"/>
      <c r="G135" s="18"/>
      <c r="H135" s="46"/>
      <c r="I135" s="18"/>
      <c r="J135" s="18"/>
      <c r="K135" s="18"/>
      <c r="L135" s="18"/>
      <c r="M135" s="23"/>
      <c r="O135" s="16"/>
      <c r="P135" s="29"/>
      <c r="Q135" s="5"/>
      <c r="R135" s="5"/>
      <c r="S135" s="5"/>
      <c r="T135" s="13"/>
    </row>
    <row r="136" spans="1:20" ht="15.75" thickBot="1" x14ac:dyDescent="0.3">
      <c r="A136" s="16" t="s">
        <v>28</v>
      </c>
      <c r="B136" s="13">
        <f>IF(B125=0,B132,MAX(MIN(B135,B125),B132))</f>
        <v>100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227" t="s">
        <v>20</v>
      </c>
      <c r="F137" s="228"/>
      <c r="G137" s="228"/>
      <c r="H137" s="228"/>
      <c r="I137" s="228"/>
      <c r="J137" s="228"/>
      <c r="K137" s="228"/>
      <c r="L137" s="228"/>
      <c r="M137" s="229"/>
      <c r="O137" s="283" t="s">
        <v>20</v>
      </c>
      <c r="P137" s="284"/>
      <c r="Q137" s="284"/>
      <c r="R137" s="284"/>
      <c r="S137" s="284"/>
      <c r="T137" s="285"/>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240" t="s">
        <v>21</v>
      </c>
      <c r="F139" s="241"/>
      <c r="G139" s="241"/>
      <c r="H139" s="241"/>
      <c r="I139" s="29">
        <f>(B132-B125)*B133</f>
        <v>1500</v>
      </c>
      <c r="J139" s="29"/>
      <c r="K139" s="29"/>
      <c r="L139" s="29"/>
      <c r="M139" s="13"/>
      <c r="O139" s="245" t="s">
        <v>21</v>
      </c>
      <c r="P139" s="246"/>
      <c r="Q139" s="246"/>
      <c r="R139" s="246"/>
      <c r="S139" s="246"/>
      <c r="T139" s="30">
        <f>I139</f>
        <v>1500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240" t="s">
        <v>23</v>
      </c>
      <c r="F141" s="241"/>
      <c r="G141" s="241"/>
      <c r="H141" s="241"/>
      <c r="I141" s="29">
        <f>MAX(M146*-1,0)</f>
        <v>0</v>
      </c>
      <c r="J141" s="29"/>
      <c r="K141" s="256" t="s">
        <v>30</v>
      </c>
      <c r="L141" s="257"/>
      <c r="M141" s="258"/>
      <c r="O141" s="245" t="s">
        <v>23</v>
      </c>
      <c r="P141" s="246"/>
      <c r="Q141" s="246"/>
      <c r="R141" s="246"/>
      <c r="S141" s="246"/>
      <c r="T141" s="30">
        <f>I141</f>
        <v>0</v>
      </c>
    </row>
    <row r="142" spans="1:20" x14ac:dyDescent="0.25">
      <c r="E142" s="92"/>
      <c r="F142" s="67"/>
      <c r="G142" s="67"/>
      <c r="H142" s="67"/>
      <c r="I142" s="76"/>
      <c r="J142" s="76"/>
      <c r="K142" s="259" t="s">
        <v>24</v>
      </c>
      <c r="L142" s="260"/>
      <c r="M142" s="56">
        <f>I126</f>
        <v>0</v>
      </c>
      <c r="O142" s="75"/>
      <c r="P142" s="76"/>
      <c r="Q142" s="76"/>
      <c r="R142" s="76"/>
      <c r="S142" s="76"/>
      <c r="T142" s="77"/>
    </row>
    <row r="143" spans="1:20" x14ac:dyDescent="0.25">
      <c r="E143" s="291" t="str">
        <f>"Incremental Cost @ RT MW Used ("&amp;$B137&amp;" MW)"</f>
        <v>Incremental Cost @ RT MW Used (50 MW)</v>
      </c>
      <c r="F143" s="292"/>
      <c r="G143" s="292"/>
      <c r="H143" s="292"/>
      <c r="I143" s="8">
        <f>M145</f>
        <v>1000</v>
      </c>
      <c r="J143" s="8"/>
      <c r="K143" s="259" t="s">
        <v>17</v>
      </c>
      <c r="L143" s="260"/>
      <c r="M143" s="56">
        <f>I129</f>
        <v>0</v>
      </c>
      <c r="O143" s="245" t="str">
        <f>"Incremental Cost @ Actual RT MW ("&amp;$B132&amp;" MW)"</f>
        <v>Incremental Cost @ Actual RT MW (100 MW)</v>
      </c>
      <c r="P143" s="246"/>
      <c r="Q143" s="246"/>
      <c r="R143" s="246"/>
      <c r="S143" s="246"/>
      <c r="T143" s="6">
        <f>T121</f>
        <v>2250</v>
      </c>
    </row>
    <row r="144" spans="1:20" x14ac:dyDescent="0.25">
      <c r="E144" s="93"/>
      <c r="F144" s="100"/>
      <c r="G144" s="100"/>
      <c r="H144" s="100"/>
      <c r="I144" s="48"/>
      <c r="J144" s="48"/>
      <c r="K144" s="289" t="s">
        <v>25</v>
      </c>
      <c r="L144" s="290"/>
      <c r="M144" s="30">
        <f>(B136-B125)*B133</f>
        <v>1500</v>
      </c>
      <c r="O144" s="47"/>
      <c r="P144" s="87"/>
      <c r="Q144" s="87"/>
      <c r="R144" s="87"/>
      <c r="S144" s="87"/>
      <c r="T144" s="90"/>
    </row>
    <row r="145" spans="4:20" ht="15.75" thickBot="1" x14ac:dyDescent="0.3">
      <c r="E145" s="287" t="s">
        <v>26</v>
      </c>
      <c r="F145" s="288"/>
      <c r="G145" s="288"/>
      <c r="H145" s="288"/>
      <c r="I145" s="50">
        <f>I126+I129+I139+I141-I143</f>
        <v>500</v>
      </c>
      <c r="J145" s="104"/>
      <c r="K145" s="245" t="s">
        <v>46</v>
      </c>
      <c r="L145" s="246"/>
      <c r="M145" s="30">
        <f>M121</f>
        <v>1000</v>
      </c>
      <c r="O145" s="245" t="s">
        <v>26</v>
      </c>
      <c r="P145" s="246"/>
      <c r="Q145" s="246"/>
      <c r="R145" s="246"/>
      <c r="S145" s="246"/>
      <c r="T145" s="91">
        <f>T126+T129+T139+T141-T143</f>
        <v>-750</v>
      </c>
    </row>
    <row r="146" spans="4:20" ht="30" customHeight="1" thickTop="1" thickBot="1" x14ac:dyDescent="0.3">
      <c r="E146" s="49"/>
      <c r="F146" s="8"/>
      <c r="G146" s="8"/>
      <c r="H146" s="8"/>
      <c r="I146" s="8"/>
      <c r="J146" s="8"/>
      <c r="K146" s="247" t="s">
        <v>70</v>
      </c>
      <c r="L146" s="248"/>
      <c r="M146" s="103">
        <f>M142+M143+M144-M145</f>
        <v>500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row r="180" spans="1:27" ht="18" customHeight="1" x14ac:dyDescent="0.25">
      <c r="A180" s="286" t="s">
        <v>92</v>
      </c>
      <c r="B180" s="286"/>
      <c r="C180" s="286"/>
      <c r="D180" s="286"/>
      <c r="E180" s="286"/>
      <c r="F180" s="286"/>
      <c r="G180" s="286"/>
      <c r="H180" s="286"/>
      <c r="I180" s="286"/>
      <c r="J180" s="286"/>
      <c r="K180" s="286"/>
      <c r="L180" s="286"/>
      <c r="M180" s="286"/>
      <c r="N180" s="286"/>
      <c r="O180" s="286"/>
      <c r="P180" s="286"/>
      <c r="Q180" s="286"/>
      <c r="R180" s="286"/>
      <c r="S180" s="286"/>
      <c r="T180" s="286"/>
    </row>
    <row r="181" spans="1:27" ht="24" customHeight="1" thickBot="1" x14ac:dyDescent="0.3">
      <c r="A181" s="293"/>
      <c r="B181" s="293"/>
      <c r="C181" s="293"/>
      <c r="D181" s="293"/>
      <c r="E181" s="293"/>
      <c r="F181" s="293"/>
      <c r="G181" s="293"/>
      <c r="H181" s="293"/>
      <c r="I181" s="293"/>
      <c r="J181" s="293"/>
      <c r="K181" s="293"/>
      <c r="L181" s="293"/>
      <c r="M181" s="293"/>
      <c r="N181" s="293"/>
      <c r="O181" s="293"/>
      <c r="P181" s="293"/>
      <c r="Q181" s="293"/>
      <c r="R181" s="293"/>
      <c r="S181" s="293"/>
      <c r="T181" s="293"/>
    </row>
    <row r="182" spans="1:27" ht="15.75" thickBot="1" x14ac:dyDescent="0.3">
      <c r="A182" s="250" t="s">
        <v>0</v>
      </c>
      <c r="B182" s="251"/>
      <c r="C182" s="251"/>
      <c r="D182" s="252"/>
      <c r="E182" s="235" t="s">
        <v>1</v>
      </c>
      <c r="F182" s="236"/>
      <c r="G182" s="249"/>
      <c r="H182" s="227" t="s">
        <v>89</v>
      </c>
      <c r="I182" s="228"/>
      <c r="J182" s="228"/>
      <c r="K182" s="229"/>
      <c r="L182" s="227" t="s">
        <v>32</v>
      </c>
      <c r="M182" s="228"/>
      <c r="N182" s="229"/>
      <c r="O182" s="227" t="s">
        <v>71</v>
      </c>
      <c r="P182" s="228"/>
      <c r="Q182" s="229"/>
    </row>
    <row r="183" spans="1:27" ht="45.75" thickBot="1" x14ac:dyDescent="0.3">
      <c r="A183" s="125" t="s">
        <v>3</v>
      </c>
      <c r="B183" s="129" t="s">
        <v>33</v>
      </c>
      <c r="C183" s="129" t="s">
        <v>34</v>
      </c>
      <c r="D183" s="126" t="s">
        <v>4</v>
      </c>
      <c r="E183" s="125" t="s">
        <v>5</v>
      </c>
      <c r="F183" s="129" t="s">
        <v>6</v>
      </c>
      <c r="G183" s="130" t="s">
        <v>7</v>
      </c>
      <c r="H183" s="69" t="s">
        <v>38</v>
      </c>
      <c r="I183" s="65" t="s">
        <v>8</v>
      </c>
      <c r="J183" s="65" t="s">
        <v>6</v>
      </c>
      <c r="K183" s="66" t="s">
        <v>7</v>
      </c>
      <c r="L183" s="127" t="s">
        <v>5</v>
      </c>
      <c r="M183" s="65" t="s">
        <v>49</v>
      </c>
      <c r="N183" s="66" t="s">
        <v>47</v>
      </c>
      <c r="O183" s="127" t="s">
        <v>5</v>
      </c>
      <c r="P183" s="65" t="s">
        <v>49</v>
      </c>
      <c r="Q183" s="66" t="s">
        <v>47</v>
      </c>
    </row>
    <row r="184" spans="1:27" x14ac:dyDescent="0.25">
      <c r="A184" s="4">
        <v>1</v>
      </c>
      <c r="B184" s="5">
        <v>0</v>
      </c>
      <c r="C184" s="5">
        <v>50</v>
      </c>
      <c r="D184" s="6">
        <v>20</v>
      </c>
      <c r="E184" s="7">
        <f>IF(AND(B$198&gt;B184,B$198&lt;=C184),B$198,0)</f>
        <v>0</v>
      </c>
      <c r="F184" s="8">
        <f>IF(B198&gt;0,D184,0)</f>
        <v>0</v>
      </c>
      <c r="G184" s="8">
        <f>IF(E184&gt;0,IF(E184=B184,D184,IF(AND(E184&gt;B184,E184&lt;=C184),D184+(E184-B184)*((D184-D184)/(C184-B184)),0)),0)</f>
        <v>0</v>
      </c>
      <c r="H184" s="14">
        <f>IF(AND(MIN(B$205,B$134)&gt;B184,MIN(B$205,B$207)&lt;=C184),MIN(B$205,B$207),0)</f>
        <v>50</v>
      </c>
      <c r="I184" s="15">
        <f>IF(AND(B$210&gt;B184,B$210&lt;=C184),B$210,0)</f>
        <v>50</v>
      </c>
      <c r="J184" s="9">
        <f>IF(B205&gt;0,D184,0)</f>
        <v>20</v>
      </c>
      <c r="K184" s="11">
        <f>IF(H184&gt;0,IF(H184=B184,D184,IF(AND(H184&gt;B184,H184&lt;=C184),D184+(H184-B184)*((D184-D184)/(C184-B184)),0)),0)</f>
        <v>20</v>
      </c>
      <c r="L184" s="14">
        <f>IF(AND(B205&gt;B184,B205&lt;=C184),B205,0)</f>
        <v>0</v>
      </c>
      <c r="M184" s="9">
        <f>IF(B205&gt;0,D184,0)</f>
        <v>20</v>
      </c>
      <c r="N184" s="11">
        <f>IF(L184&gt;0,IF(L184=B184,D184,IF(AND(L184&gt;B184,L184&lt;=C184),D184+(L184-B184)*((D184-D184)/(C184-B184)),0)),0)</f>
        <v>0</v>
      </c>
      <c r="O184" s="14">
        <f>IF(AND(B207&gt;B184,B207&lt;=C184),B207,0)</f>
        <v>50</v>
      </c>
      <c r="P184" s="9">
        <f>IF(B205&gt;0,D184,0)</f>
        <v>20</v>
      </c>
      <c r="Q184" s="11">
        <f>IF(O184&gt;0,IF(O184=B184,D184,IF(AND(O184&gt;B184,O184&lt;=C184),D184+(O184-B184)*((D184-D184)/(C184-B184)),0)),0)</f>
        <v>20</v>
      </c>
    </row>
    <row r="185" spans="1:27" x14ac:dyDescent="0.25">
      <c r="A185" s="4">
        <v>2</v>
      </c>
      <c r="B185" s="5">
        <v>50</v>
      </c>
      <c r="C185" s="5">
        <v>75</v>
      </c>
      <c r="D185" s="6">
        <v>25</v>
      </c>
      <c r="E185" s="7">
        <f>IF(AND(B198&gt;B185,B198&lt;=C185),B198,0)</f>
        <v>0</v>
      </c>
      <c r="F185" s="8">
        <v>0</v>
      </c>
      <c r="G185" s="8">
        <f>IF(E185&gt;0,IF(AND(E185&gt;B185,E185&lt;C185),D184+(E185-B185)*((D185-D184)/(C185-B185)),0),0)</f>
        <v>0</v>
      </c>
      <c r="H185" s="16">
        <f>IF(AND(MIN(B$205,B$207)&gt;B185,MIN(B$205,B$207)&lt;=C185),MIN(B$205,B$207),0)</f>
        <v>0</v>
      </c>
      <c r="I185" s="12">
        <f>IF(AND(B$210&gt;B185,B$210&lt;=C185),B$210,0)</f>
        <v>0</v>
      </c>
      <c r="J185" s="5">
        <v>0</v>
      </c>
      <c r="K185" s="6">
        <f>IF(H185&gt;0,IF(H185=B185,D185,IF(AND(H185&gt;B185,H185&lt;=C185),D184+(H185-B185)*((D185-D184)/(C185-B185)),0)),0)</f>
        <v>0</v>
      </c>
      <c r="L185" s="16">
        <f>IF(AND(B205&gt;B185,B205&lt;=C185),B205,0)</f>
        <v>0</v>
      </c>
      <c r="M185" s="8">
        <v>0</v>
      </c>
      <c r="N185" s="6">
        <f>IF(L185&gt;0,IF(L185=B185,D185,IF(AND(L185&gt;B185,L185&lt;=C185),D184+(L185-B185)*((D185-D184)/(C185-B185)),0)),0)</f>
        <v>0</v>
      </c>
      <c r="O185" s="16">
        <f>IF(AND(B207&gt;B185,B207&lt;=C185),B207,0)</f>
        <v>0</v>
      </c>
      <c r="P185" s="8">
        <v>0</v>
      </c>
      <c r="Q185" s="6">
        <f>IF(O185&gt;0,IF(O185=B185,D185,IF(AND(O185&gt;B185,O185&lt;=C185),D184+(O185-B185)*((D185-D184)/(C185-B185)),0)),0)</f>
        <v>0</v>
      </c>
    </row>
    <row r="186" spans="1:27" ht="15.75" thickBot="1" x14ac:dyDescent="0.3">
      <c r="A186" s="17">
        <v>3</v>
      </c>
      <c r="B186" s="18">
        <v>75</v>
      </c>
      <c r="C186" s="18">
        <v>100</v>
      </c>
      <c r="D186" s="19">
        <v>30</v>
      </c>
      <c r="E186" s="20">
        <f>IF(AND(B198&gt;B186,B198&lt;=C186),B198,0)</f>
        <v>0</v>
      </c>
      <c r="F186" s="21">
        <v>0</v>
      </c>
      <c r="G186" s="21">
        <f>IF(E186&gt;0,IF(E186=C186,D186,IF(AND(E186&gt;B186,E186&lt;C186),D185+(E186-B186)*((D186-D185)/(C186-B186)),IF(E186&gt;C186,D186,0))),0)</f>
        <v>0</v>
      </c>
      <c r="H186" s="24">
        <f>IF(AND(MIN(B$205,B$207)&gt;B186,MIN(B$205,B$207)&lt;=C186),MIN(B$205,B$207),0)</f>
        <v>0</v>
      </c>
      <c r="I186" s="22">
        <f>IF(B210&gt;C186,B210,IF(AND(B$210&gt;B186,B$210&lt;=C186),B$210,0))</f>
        <v>0</v>
      </c>
      <c r="J186" s="18">
        <v>0</v>
      </c>
      <c r="K186" s="19">
        <f>IF(AND(I186&gt;C186,H186=C186),D186,IF(AND(I186&gt;0,H186&lt;&gt;I186),MAX(K184:K185),IF(H186&gt;0,IF(H186=B186,D186,IF(AND(H186&gt;B186,H186&lt;=C186),D185+(H186-B186)*((D186-D185)/(C186-B186)),0)),0)))</f>
        <v>0</v>
      </c>
      <c r="L186" s="24">
        <f>IF(AND(B205&gt;B186,B205&lt;=C186),B205,IF(B205&gt;C186,B205,0))</f>
        <v>100</v>
      </c>
      <c r="M186" s="21">
        <v>0</v>
      </c>
      <c r="N186" s="19">
        <f>IF(L186&gt;0,IF(L186=B186,D186,IF(AND(L186&gt;B186,L186&lt;=C186),D185+(L186-B186)*((D186-D185)/(C186-B186)),IF(L186&gt;C186,D186,0))),0)</f>
        <v>30</v>
      </c>
      <c r="O186" s="24">
        <f>IF(AND(B207&gt;B186,B207&lt;=C186),B207,IF(B205&gt;C186,B207,0))</f>
        <v>0</v>
      </c>
      <c r="P186" s="21">
        <v>0</v>
      </c>
      <c r="Q186" s="19">
        <f>IF(O186&gt;0,IF(O186=B186,D186,IF(AND(O186&gt;B186,O186&lt;=C186),D185+(O186-B186)*((D186-D185)/(C186-B186)),IF(O186&gt;C186,D186,0))),0)</f>
        <v>0</v>
      </c>
    </row>
    <row r="187" spans="1:27" ht="15.75" thickBot="1" x14ac:dyDescent="0.3">
      <c r="J187" s="25"/>
    </row>
    <row r="188" spans="1:27" ht="15.75" thickBot="1" x14ac:dyDescent="0.3">
      <c r="A188" s="227" t="s">
        <v>1</v>
      </c>
      <c r="B188" s="228"/>
      <c r="C188" s="228"/>
      <c r="D188" s="228"/>
      <c r="E188" s="228"/>
      <c r="F188" s="229"/>
      <c r="H188" s="235" t="s">
        <v>94</v>
      </c>
      <c r="I188" s="236"/>
      <c r="J188" s="236"/>
      <c r="K188" s="236"/>
      <c r="L188" s="236"/>
      <c r="M188" s="249"/>
      <c r="O188" s="235" t="s">
        <v>31</v>
      </c>
      <c r="P188" s="236"/>
      <c r="Q188" s="236"/>
      <c r="R188" s="236"/>
      <c r="S188" s="236"/>
      <c r="T188" s="249"/>
      <c r="V188" s="235" t="s">
        <v>86</v>
      </c>
      <c r="W188" s="236"/>
      <c r="X188" s="236"/>
      <c r="Y188" s="236"/>
      <c r="Z188" s="236"/>
      <c r="AA188" s="249"/>
    </row>
    <row r="189" spans="1:27" ht="30.75" thickBot="1" x14ac:dyDescent="0.3">
      <c r="A189" s="128" t="s">
        <v>3</v>
      </c>
      <c r="B189" s="129" t="s">
        <v>33</v>
      </c>
      <c r="C189" s="129" t="s">
        <v>34</v>
      </c>
      <c r="D189" s="129" t="s">
        <v>49</v>
      </c>
      <c r="E189" s="129" t="s">
        <v>47</v>
      </c>
      <c r="F189" s="130" t="s">
        <v>48</v>
      </c>
      <c r="H189" s="128" t="s">
        <v>3</v>
      </c>
      <c r="I189" s="129" t="s">
        <v>50</v>
      </c>
      <c r="J189" s="129" t="s">
        <v>51</v>
      </c>
      <c r="K189" s="129" t="s">
        <v>49</v>
      </c>
      <c r="L189" s="129" t="s">
        <v>47</v>
      </c>
      <c r="M189" s="130" t="s">
        <v>48</v>
      </c>
      <c r="O189" s="128" t="s">
        <v>3</v>
      </c>
      <c r="P189" s="129" t="s">
        <v>33</v>
      </c>
      <c r="Q189" s="129" t="s">
        <v>34</v>
      </c>
      <c r="R189" s="129" t="s">
        <v>49</v>
      </c>
      <c r="S189" s="129" t="s">
        <v>47</v>
      </c>
      <c r="T189" s="130" t="s">
        <v>48</v>
      </c>
      <c r="V189" s="131" t="s">
        <v>3</v>
      </c>
      <c r="W189" s="132" t="s">
        <v>33</v>
      </c>
      <c r="X189" s="132" t="s">
        <v>34</v>
      </c>
      <c r="Y189" s="132" t="s">
        <v>49</v>
      </c>
      <c r="Z189" s="132" t="s">
        <v>47</v>
      </c>
      <c r="AA189" s="133" t="s">
        <v>48</v>
      </c>
    </row>
    <row r="190" spans="1:27" x14ac:dyDescent="0.25">
      <c r="A190" s="4">
        <v>1</v>
      </c>
      <c r="B190" s="5">
        <v>0</v>
      </c>
      <c r="C190" s="5">
        <f>IF(AND(B198&gt;B184,B198&lt;C184),B198,IF(B198&gt;=C184,C184,0))</f>
        <v>0</v>
      </c>
      <c r="D190" s="29">
        <f>MIN(D184,F184)</f>
        <v>0</v>
      </c>
      <c r="E190" s="29">
        <f>IF(AND(B$198&gt;B184,B$198&lt;C184),G184,IF(B$198&gt;=C184,D184,0))</f>
        <v>0</v>
      </c>
      <c r="F190" s="30">
        <f>(C190-B190)*(D190+E190)/2</f>
        <v>0</v>
      </c>
      <c r="H190" s="4">
        <v>1</v>
      </c>
      <c r="I190" s="5">
        <v>0</v>
      </c>
      <c r="J190" s="5">
        <f>IF(AND(MAX(I$184:I$186)&gt;B184,MAX(I$184:I$186)&lt;C184),MAX(I$184:I$186),IF(MAX(I$184:I$186)&gt;=C184,C184,0))</f>
        <v>50</v>
      </c>
      <c r="K190" s="29">
        <f>MIN(D184,J184)</f>
        <v>20</v>
      </c>
      <c r="L190" s="29">
        <f>IF(AND(MAX(I$184:I$186)&gt;B184,MAX(I$184:I$186)&lt;C184),K184,IF(MAX(I$184:I$186)&gt;=C184,D184,0))</f>
        <v>20</v>
      </c>
      <c r="M190" s="30">
        <f>(J190-I190)*(K190+L190)/2</f>
        <v>1000</v>
      </c>
      <c r="O190" s="4">
        <v>1</v>
      </c>
      <c r="P190" s="5">
        <v>0</v>
      </c>
      <c r="Q190" s="5">
        <f>IF(AND(B$205&gt;B184,B$205&lt;C184),B$205,IF(B$205&gt;=C184,C184,0))</f>
        <v>50</v>
      </c>
      <c r="R190" s="29">
        <f>MIN(D184,M184)</f>
        <v>20</v>
      </c>
      <c r="S190" s="29">
        <f>IF(AND(B$205&gt;B184,B$205&lt;C184),N184,IF(B$205&gt;=C184,D184,0))</f>
        <v>20</v>
      </c>
      <c r="T190" s="30">
        <f>(Q190-P190)*(R190+S190)/2</f>
        <v>1000</v>
      </c>
      <c r="V190" s="4">
        <v>1</v>
      </c>
      <c r="W190" s="5">
        <v>0</v>
      </c>
      <c r="X190" s="5">
        <f>IF(AND(B$207&gt;B184,B$207&lt;C184),B$207,IF(B$207&gt;=C184,C184,0))</f>
        <v>50</v>
      </c>
      <c r="Y190" s="29">
        <f>MIN(D184,P184)</f>
        <v>20</v>
      </c>
      <c r="Z190" s="29">
        <f>IF(AND(B207&gt;B184,B207&lt;C184),Q184,IF(B207&gt;=C184,D184,0))</f>
        <v>20</v>
      </c>
      <c r="AA190" s="30">
        <f>(X190-W190)*(Y190+Z190)/2</f>
        <v>1000</v>
      </c>
    </row>
    <row r="191" spans="1:27" x14ac:dyDescent="0.25">
      <c r="A191" s="4">
        <v>2</v>
      </c>
      <c r="B191" s="5">
        <f>IF(B$198&gt;B185,C190,0)</f>
        <v>0</v>
      </c>
      <c r="C191" s="5">
        <f>IF(AND(B$198&gt;B185,B$198&lt;C185),B$198,IF(B$198&gt;=C185,C185,0))</f>
        <v>0</v>
      </c>
      <c r="D191" s="29">
        <f>IF(B191&lt;&gt;0,E190,0)</f>
        <v>0</v>
      </c>
      <c r="E191" s="29">
        <f>IF(AND(B$198&gt;B185,B$198&lt;C185),G185,IF(B$198&gt;=C185,D185,0))</f>
        <v>0</v>
      </c>
      <c r="F191" s="30">
        <f t="shared" ref="F191:F193" si="30">(C191-B191)*(D191+E191)/2</f>
        <v>0</v>
      </c>
      <c r="H191" s="4">
        <v>2</v>
      </c>
      <c r="I191" s="5">
        <f>IF(MAX(I$184:I$186)&gt;B185,C184,0)</f>
        <v>0</v>
      </c>
      <c r="J191" s="5">
        <f>IF(AND(MAX(I$184:I$186)&gt;B185,MAX(I$184:I$186)&lt;C185),MAX(I$184:I$186),IF(MAX(I$184:I$186)&gt;=C185,C185,0))</f>
        <v>0</v>
      </c>
      <c r="K191" s="29">
        <f>IF(I191&lt;&gt;0,L190,0)</f>
        <v>0</v>
      </c>
      <c r="L191" s="29">
        <f>IF(AND(MAX(I$184:I$186)&gt;B185,MAX(I$184:I$186)&lt;C185),K185,IF(MAX(I$184:I$186)&gt;=C185,D185,0))</f>
        <v>0</v>
      </c>
      <c r="M191" s="30">
        <f t="shared" ref="M191:M193" si="31">(J191-I191)*(K191+L191)/2</f>
        <v>0</v>
      </c>
      <c r="O191" s="4">
        <v>2</v>
      </c>
      <c r="P191" s="5">
        <f>IF(B$205&gt;B185,Q190,0)</f>
        <v>50</v>
      </c>
      <c r="Q191" s="5">
        <f>IF(AND(B$205&gt;B185,B$205&lt;C185),B$205,IF(B$205&gt;=C185,C185,0))</f>
        <v>75</v>
      </c>
      <c r="R191" s="29">
        <f>IF(P191&lt;&gt;0,S190,0)</f>
        <v>20</v>
      </c>
      <c r="S191" s="29">
        <f>IF(AND(B$205&gt;B185,B$205&lt;C185),N185,IF(B$205&gt;=C185,D185,0))</f>
        <v>25</v>
      </c>
      <c r="T191" s="30">
        <f t="shared" ref="T191:T193" si="32">(Q191-P191)*(R191+S191)/2</f>
        <v>562.5</v>
      </c>
      <c r="V191" s="4">
        <v>2</v>
      </c>
      <c r="W191" s="5">
        <f>IF(B$207&gt;B185,X190,0)</f>
        <v>0</v>
      </c>
      <c r="X191" s="5">
        <f>IF(AND(B$207&gt;B185,B$207&lt;C185),B$207,IF(B$207&gt;=C185,C185,0))</f>
        <v>0</v>
      </c>
      <c r="Y191" s="29">
        <f>IF(W191&lt;&gt;0,Z190,0)</f>
        <v>0</v>
      </c>
      <c r="Z191" s="29">
        <f>IF(AND(B207&gt;B185,B207&lt;C185),Q185,IF(B207&gt;=C185,D185,0))</f>
        <v>0</v>
      </c>
      <c r="AA191" s="30">
        <f t="shared" ref="AA191:AA193" si="33">(X191-W191)*(Y191+Z191)/2</f>
        <v>0</v>
      </c>
    </row>
    <row r="192" spans="1:27" x14ac:dyDescent="0.25">
      <c r="A192" s="4">
        <v>3</v>
      </c>
      <c r="B192" s="5">
        <f>IF(B$198&gt;B186,C191,0)</f>
        <v>0</v>
      </c>
      <c r="C192" s="5">
        <f>IF(AND(B$198&gt;B186,B$198&lt;C186),B$198,IF(B$198&gt;=C186,C186,0))</f>
        <v>0</v>
      </c>
      <c r="D192" s="29">
        <f t="shared" ref="D192:D193" si="34">IF(B192&lt;&gt;0,E191,0)</f>
        <v>0</v>
      </c>
      <c r="E192" s="29">
        <f>IF(AND(B$198&gt;B186,B$198&lt;C186),G186,IF(B$198&gt;=C186,D186,0))</f>
        <v>0</v>
      </c>
      <c r="F192" s="30">
        <f t="shared" si="30"/>
        <v>0</v>
      </c>
      <c r="H192" s="4">
        <v>3</v>
      </c>
      <c r="I192" s="5">
        <f>IF(MAX(I$184:I$186)&gt;B186,C185,0)</f>
        <v>0</v>
      </c>
      <c r="J192" s="5">
        <f>IF(AND(MAX(I$184:I$186)&gt;B186,MAX(I$184:I$186)&lt;C186),MAX(I$184:I$186),IF(MAX(I$184:I$186)&gt;=C186,C186,0))</f>
        <v>0</v>
      </c>
      <c r="K192" s="29">
        <f>IF(I192&lt;&gt;0,L191,0)</f>
        <v>0</v>
      </c>
      <c r="L192" s="29">
        <f>IF(AND(MAX(I$184:I$186)&gt;B186,MAX(I$184:I$186)&lt;C186),K186,IF(MAX(I$184:I$186)&gt;=C186,D186,0))</f>
        <v>0</v>
      </c>
      <c r="M192" s="30">
        <f t="shared" si="31"/>
        <v>0</v>
      </c>
      <c r="O192" s="4">
        <v>3</v>
      </c>
      <c r="P192" s="5">
        <f>IF(B$205&gt;B186,Q191,0)</f>
        <v>75</v>
      </c>
      <c r="Q192" s="5">
        <f>IF(AND(B$205&gt;B186,B$205&lt;C186),B$205,IF(B$205&gt;=C186,C186,0))</f>
        <v>100</v>
      </c>
      <c r="R192" s="29">
        <f>IF(P192&lt;&gt;0,S191,0)</f>
        <v>25</v>
      </c>
      <c r="S192" s="29">
        <f>IF(AND(B$205&gt;B186,B$205&lt;C186),N186,IF(B$205&gt;=C186,D186,0))</f>
        <v>30</v>
      </c>
      <c r="T192" s="30">
        <f t="shared" si="32"/>
        <v>687.5</v>
      </c>
      <c r="V192" s="4">
        <v>3</v>
      </c>
      <c r="W192" s="5">
        <f t="shared" ref="W192" si="35">IF(B$207&gt;B186,X191,0)</f>
        <v>0</v>
      </c>
      <c r="X192" s="5">
        <f>IF(AND(B$207&gt;B186,B$207&lt;C186),B$207,IF(B$207&gt;=C186,C186,0))</f>
        <v>0</v>
      </c>
      <c r="Y192" s="29">
        <f>IF(W192&lt;&gt;0,Z191,0)</f>
        <v>0</v>
      </c>
      <c r="Z192" s="29">
        <f>IF(AND(B207&gt;B186,B207&lt;C186),Q186,IF(B207&gt;=C186,D186,0))</f>
        <v>0</v>
      </c>
      <c r="AA192" s="30">
        <f t="shared" si="33"/>
        <v>0</v>
      </c>
    </row>
    <row r="193" spans="1:27" x14ac:dyDescent="0.25">
      <c r="A193" s="4">
        <v>4</v>
      </c>
      <c r="B193" s="5">
        <f>IF(B$198&gt;B187,C192,0)</f>
        <v>0</v>
      </c>
      <c r="C193" s="5">
        <f>IF(AND(B$198&gt;B187,B$198&lt;C187),B$198,IF(B$198&gt;=C187,C187,0))</f>
        <v>0</v>
      </c>
      <c r="D193" s="29">
        <f t="shared" si="34"/>
        <v>0</v>
      </c>
      <c r="E193" s="29">
        <f>IF(AND(B$198&gt;B187,B$198&lt;C187),G187,IF(B$198&gt;=C187,D187,0))</f>
        <v>0</v>
      </c>
      <c r="F193" s="30">
        <f t="shared" si="30"/>
        <v>0</v>
      </c>
      <c r="H193" s="4">
        <v>4</v>
      </c>
      <c r="I193" s="5">
        <f>IF(MAX(I$184:I$186)&gt;C186,C186,0)</f>
        <v>0</v>
      </c>
      <c r="J193" s="5">
        <f>IF(AND(MAX(I$184:I$186)&gt;B186,MAX(I$184:I$186)&lt;C186),MAX(I$184:I$186),IF(MAX(I$184:I$186)&gt;C186,MAX(I$184:I$186),0))</f>
        <v>0</v>
      </c>
      <c r="K193" s="29">
        <f>IF(I193&lt;&gt;0,L192,0)</f>
        <v>0</v>
      </c>
      <c r="L193" s="29">
        <f>IF(AND(MAX(I$184:I$186)&gt;B186,MAX(I$184:I$186)&lt;C186),K186,IF(MAX(I$184:I$186)&gt;=C186,D186,0))</f>
        <v>0</v>
      </c>
      <c r="M193" s="30">
        <f t="shared" si="31"/>
        <v>0</v>
      </c>
      <c r="O193" s="4">
        <v>4</v>
      </c>
      <c r="P193" s="5">
        <f>IF(B$205&gt;C186,Q192,0)</f>
        <v>0</v>
      </c>
      <c r="Q193" s="5">
        <f>IF(B$205&gt;C186,B$205,IF(AND(B$205&gt;B187,B$205&lt;C187),B$205,IF(B$205&gt;=C187,C187,0)))</f>
        <v>0</v>
      </c>
      <c r="R193" s="29">
        <f>IF(P193&lt;&gt;0,S192,0)</f>
        <v>0</v>
      </c>
      <c r="S193" s="29">
        <f>IF(Q193&gt;0,IF(B$205&gt;=C187,N186,IF(AND(B$205&gt;B187,B$205&lt;C187),N186,0)),0)</f>
        <v>0</v>
      </c>
      <c r="T193" s="30">
        <f t="shared" si="32"/>
        <v>0</v>
      </c>
      <c r="V193" s="4">
        <v>4</v>
      </c>
      <c r="W193" s="5">
        <f>IF(B$207&gt;C186,X192,0)</f>
        <v>0</v>
      </c>
      <c r="X193" s="5">
        <f>IF(B$207&gt;C186,B$207,IF(AND(B$207&gt;B187,B$207&lt;C187),B$207,IF(B$207&gt;=C187,C187,0)))</f>
        <v>0</v>
      </c>
      <c r="Y193" s="29">
        <f>IF(W193&lt;&gt;0,Z192,0)</f>
        <v>0</v>
      </c>
      <c r="Z193" s="29">
        <f>IF(X193&gt;0,IF(B$207&gt;=C187,N186,IF(AND(B$207&gt;B187,B$207&lt;C187),N186,0)),0)</f>
        <v>0</v>
      </c>
      <c r="AA193" s="30">
        <f t="shared" si="33"/>
        <v>0</v>
      </c>
    </row>
    <row r="194" spans="1:27" ht="15.75" thickBot="1" x14ac:dyDescent="0.3">
      <c r="A194" s="24"/>
      <c r="B194" s="18"/>
      <c r="C194" s="18"/>
      <c r="D194" s="21"/>
      <c r="E194" s="21"/>
      <c r="F194" s="31">
        <f>SUM(F190:F193)</f>
        <v>0</v>
      </c>
      <c r="H194" s="24"/>
      <c r="I194" s="18"/>
      <c r="J194" s="18"/>
      <c r="K194" s="21"/>
      <c r="L194" s="21"/>
      <c r="M194" s="31">
        <f>SUM(M190:M193)</f>
        <v>1000</v>
      </c>
      <c r="O194" s="24"/>
      <c r="P194" s="18"/>
      <c r="Q194" s="18"/>
      <c r="R194" s="21"/>
      <c r="S194" s="21"/>
      <c r="T194" s="31">
        <f>SUM(T190:T193)</f>
        <v>2250</v>
      </c>
      <c r="V194" s="24"/>
      <c r="W194" s="18"/>
      <c r="X194" s="18"/>
      <c r="Y194" s="21"/>
      <c r="Z194" s="21"/>
      <c r="AA194" s="31">
        <f>SUM(AA190:AA193)</f>
        <v>1000</v>
      </c>
    </row>
    <row r="195" spans="1:27" ht="15.75" thickBot="1" x14ac:dyDescent="0.3"/>
    <row r="196" spans="1:27" ht="15.75" customHeight="1" thickBot="1" x14ac:dyDescent="0.3">
      <c r="A196" s="68" t="s">
        <v>37</v>
      </c>
      <c r="E196" s="227" t="s">
        <v>75</v>
      </c>
      <c r="F196" s="228"/>
      <c r="G196" s="228"/>
      <c r="H196" s="228"/>
      <c r="I196" s="229"/>
      <c r="J196" s="152"/>
      <c r="K196" s="152"/>
      <c r="L196" s="152"/>
      <c r="M196" s="152"/>
      <c r="N196" s="45"/>
      <c r="O196" s="153"/>
      <c r="P196" s="153"/>
      <c r="Q196" s="153"/>
      <c r="R196" s="153"/>
      <c r="S196" s="153"/>
      <c r="T196" s="153"/>
    </row>
    <row r="197" spans="1:27" ht="15.75" thickBot="1" x14ac:dyDescent="0.3">
      <c r="A197" s="263" t="s">
        <v>10</v>
      </c>
      <c r="B197" s="264"/>
      <c r="E197" s="227" t="s">
        <v>78</v>
      </c>
      <c r="F197" s="228"/>
      <c r="G197" s="228"/>
      <c r="H197" s="228"/>
      <c r="I197" s="139" t="s">
        <v>74</v>
      </c>
      <c r="J197" s="146"/>
      <c r="K197" s="146"/>
      <c r="L197" s="146"/>
      <c r="M197" s="146"/>
      <c r="N197" s="45"/>
      <c r="O197" s="154"/>
      <c r="P197" s="154"/>
      <c r="Q197" s="154"/>
      <c r="R197" s="154"/>
      <c r="S197" s="154"/>
      <c r="T197" s="154"/>
    </row>
    <row r="198" spans="1:27" x14ac:dyDescent="0.25">
      <c r="A198" s="4" t="s">
        <v>5</v>
      </c>
      <c r="B198" s="13">
        <v>0</v>
      </c>
      <c r="E198" s="245" t="s">
        <v>76</v>
      </c>
      <c r="F198" s="246"/>
      <c r="G198" s="246"/>
      <c r="H198" s="246"/>
      <c r="I198" s="123">
        <f>B198*B199</f>
        <v>0</v>
      </c>
      <c r="J198" s="45"/>
      <c r="K198" s="45"/>
      <c r="L198" s="45"/>
      <c r="M198" s="45"/>
      <c r="N198" s="45"/>
      <c r="O198" s="45"/>
      <c r="P198" s="140"/>
      <c r="Q198" s="45"/>
      <c r="R198" s="45"/>
      <c r="S198" s="45"/>
      <c r="T198" s="45"/>
    </row>
    <row r="199" spans="1:27" ht="15.75" customHeight="1" thickBot="1" x14ac:dyDescent="0.3">
      <c r="A199" s="17" t="s">
        <v>13</v>
      </c>
      <c r="B199" s="19">
        <v>0</v>
      </c>
      <c r="E199" s="137"/>
      <c r="F199" s="142"/>
      <c r="G199" s="142"/>
      <c r="H199" s="142"/>
      <c r="I199" s="123"/>
      <c r="J199" s="45"/>
      <c r="K199" s="45"/>
      <c r="L199" s="45"/>
      <c r="M199" s="45"/>
      <c r="N199" s="45"/>
      <c r="O199" s="143"/>
      <c r="P199" s="143"/>
      <c r="Q199" s="143"/>
      <c r="R199" s="143"/>
      <c r="S199" s="143"/>
      <c r="T199" s="140"/>
    </row>
    <row r="200" spans="1:27" x14ac:dyDescent="0.25">
      <c r="A200" s="14" t="s">
        <v>55</v>
      </c>
      <c r="B200" s="26">
        <v>0</v>
      </c>
      <c r="E200" s="240" t="str">
        <f>"DA Incremental Cost @ "&amp;B198&amp;" MW"</f>
        <v>DA Incremental Cost @ 0 MW</v>
      </c>
      <c r="F200" s="241"/>
      <c r="G200" s="241"/>
      <c r="H200" s="241"/>
      <c r="I200" s="123">
        <f>F194</f>
        <v>0</v>
      </c>
      <c r="J200" s="45"/>
      <c r="K200" s="45"/>
      <c r="L200" s="45"/>
      <c r="M200" s="45"/>
      <c r="N200" s="45"/>
      <c r="O200" s="45"/>
      <c r="P200" s="45"/>
      <c r="Q200" s="45"/>
      <c r="R200" s="45"/>
      <c r="S200" s="45"/>
      <c r="T200" s="45"/>
    </row>
    <row r="201" spans="1:27" ht="15.75" thickBot="1" x14ac:dyDescent="0.3">
      <c r="A201" s="24" t="s">
        <v>56</v>
      </c>
      <c r="B201" s="23">
        <v>0</v>
      </c>
      <c r="C201" s="32"/>
      <c r="D201" s="32"/>
      <c r="E201" s="240" t="s">
        <v>77</v>
      </c>
      <c r="F201" s="241"/>
      <c r="G201" s="241"/>
      <c r="H201" s="241"/>
      <c r="I201" s="147">
        <f>B201</f>
        <v>0</v>
      </c>
      <c r="J201" s="45"/>
      <c r="K201" s="45"/>
      <c r="L201" s="45"/>
      <c r="M201" s="45"/>
      <c r="N201" s="45"/>
      <c r="O201" s="45"/>
      <c r="P201" s="45"/>
      <c r="Q201" s="45"/>
      <c r="R201" s="45"/>
      <c r="S201" s="45"/>
      <c r="T201" s="45"/>
    </row>
    <row r="202" spans="1:27" x14ac:dyDescent="0.25">
      <c r="C202" s="32"/>
      <c r="E202" s="240" t="s">
        <v>72</v>
      </c>
      <c r="F202" s="241"/>
      <c r="G202" s="241"/>
      <c r="H202" s="241"/>
      <c r="I202" s="123">
        <f>B200</f>
        <v>0</v>
      </c>
      <c r="J202" s="45"/>
      <c r="K202" s="45"/>
      <c r="L202" s="140"/>
      <c r="M202" s="155"/>
      <c r="N202" s="45"/>
      <c r="O202" s="143"/>
      <c r="P202" s="143"/>
      <c r="Q202" s="143"/>
      <c r="R202" s="143"/>
      <c r="S202" s="143"/>
      <c r="T202" s="140"/>
    </row>
    <row r="203" spans="1:27" ht="15.75" thickBot="1" x14ac:dyDescent="0.3">
      <c r="A203" s="68" t="s">
        <v>37</v>
      </c>
      <c r="E203" s="85"/>
      <c r="F203" s="144"/>
      <c r="G203" s="144"/>
      <c r="H203" s="144"/>
      <c r="I203" s="141"/>
      <c r="J203" s="45"/>
      <c r="K203" s="45"/>
      <c r="L203" s="140"/>
      <c r="M203" s="140"/>
      <c r="N203" s="45"/>
      <c r="O203" s="45"/>
      <c r="P203" s="45"/>
      <c r="Q203" s="45"/>
      <c r="R203" s="45"/>
      <c r="S203" s="45"/>
      <c r="T203" s="45"/>
    </row>
    <row r="204" spans="1:27" ht="15" customHeight="1" x14ac:dyDescent="0.25">
      <c r="A204" s="263" t="s">
        <v>22</v>
      </c>
      <c r="B204" s="264"/>
      <c r="E204" s="240" t="s">
        <v>73</v>
      </c>
      <c r="F204" s="241"/>
      <c r="G204" s="241"/>
      <c r="H204" s="241"/>
      <c r="I204" s="158">
        <f>I198-I200-I201-I202</f>
        <v>0</v>
      </c>
      <c r="J204" s="45"/>
      <c r="K204" s="140"/>
      <c r="L204" s="45"/>
      <c r="M204" s="45"/>
      <c r="N204" s="45"/>
      <c r="O204" s="143"/>
      <c r="P204" s="143"/>
      <c r="Q204" s="143"/>
      <c r="R204" s="143"/>
      <c r="S204" s="143"/>
      <c r="T204" s="140"/>
    </row>
    <row r="205" spans="1:27" x14ac:dyDescent="0.25">
      <c r="A205" s="16" t="s">
        <v>43</v>
      </c>
      <c r="B205" s="13">
        <v>100</v>
      </c>
      <c r="E205" s="137"/>
      <c r="F205" s="138"/>
      <c r="G205" s="138"/>
      <c r="H205" s="138"/>
      <c r="I205" s="123"/>
      <c r="J205" s="45"/>
      <c r="K205" s="45"/>
      <c r="L205" s="140"/>
      <c r="M205" s="45"/>
      <c r="N205" s="45"/>
      <c r="O205" s="45"/>
      <c r="P205" s="45"/>
      <c r="Q205" s="45"/>
      <c r="R205" s="45"/>
      <c r="S205" s="45"/>
      <c r="T205" s="45"/>
    </row>
    <row r="206" spans="1:27" ht="15.75" customHeight="1" thickBot="1" x14ac:dyDescent="0.3">
      <c r="A206" s="16" t="s">
        <v>13</v>
      </c>
      <c r="B206" s="6">
        <v>15</v>
      </c>
      <c r="D206" s="32"/>
      <c r="E206" s="240" t="s">
        <v>83</v>
      </c>
      <c r="F206" s="241"/>
      <c r="G206" s="241"/>
      <c r="H206" s="241"/>
      <c r="I206" s="151">
        <f>MAX(I204*-1,0)</f>
        <v>0</v>
      </c>
      <c r="J206" s="45"/>
      <c r="K206" s="140"/>
      <c r="L206" s="45"/>
      <c r="M206" s="45"/>
      <c r="N206" s="45"/>
      <c r="O206" s="143"/>
      <c r="P206" s="143"/>
      <c r="Q206" s="143"/>
      <c r="R206" s="143"/>
      <c r="S206" s="143"/>
      <c r="T206" s="140"/>
    </row>
    <row r="207" spans="1:27" ht="16.5" thickTop="1" thickBot="1" x14ac:dyDescent="0.3">
      <c r="A207" s="16" t="s">
        <v>27</v>
      </c>
      <c r="B207" s="13">
        <v>50</v>
      </c>
      <c r="E207" s="156"/>
      <c r="F207" s="157"/>
      <c r="G207" s="157"/>
      <c r="H207" s="157"/>
      <c r="I207" s="145"/>
      <c r="J207" s="45"/>
      <c r="K207" s="45"/>
      <c r="L207" s="45"/>
      <c r="M207" s="45"/>
      <c r="N207" s="45"/>
      <c r="O207" s="45"/>
      <c r="P207" s="45"/>
      <c r="Q207" s="45"/>
      <c r="R207" s="45"/>
      <c r="S207" s="45"/>
      <c r="T207" s="45"/>
    </row>
    <row r="208" spans="1:27" x14ac:dyDescent="0.25">
      <c r="A208" s="16" t="s">
        <v>29</v>
      </c>
      <c r="B208" s="13">
        <v>75</v>
      </c>
      <c r="E208" s="124"/>
      <c r="F208" s="142"/>
      <c r="G208" s="142"/>
      <c r="H208" s="142"/>
      <c r="I208" s="140"/>
      <c r="J208" s="45"/>
      <c r="K208" s="45"/>
      <c r="L208" s="45"/>
      <c r="M208" s="45"/>
      <c r="N208" s="45"/>
      <c r="O208" s="45"/>
      <c r="P208" s="140"/>
      <c r="Q208" s="45"/>
      <c r="R208" s="45"/>
      <c r="S208" s="45"/>
      <c r="T208" s="45"/>
    </row>
    <row r="209" spans="1:21" ht="15.75" thickBot="1" x14ac:dyDescent="0.3">
      <c r="A209" s="16" t="s">
        <v>28</v>
      </c>
      <c r="B209" s="13">
        <f>IF(AND(B206&lt;0,B205&gt;B198,B198&gt;0),B198,IF(AND(B198=0,B206&lt;0),MIN(B207,B205),IF(B198=0,B205,MAX(MIN(B207,B198),B205))))</f>
        <v>100</v>
      </c>
      <c r="E209" s="243" t="s">
        <v>98</v>
      </c>
      <c r="F209" s="243"/>
      <c r="G209" s="243"/>
      <c r="H209" s="243"/>
      <c r="I209" s="243"/>
      <c r="J209" s="188"/>
      <c r="K209" s="244" t="s">
        <v>97</v>
      </c>
      <c r="L209" s="244"/>
      <c r="M209" s="244"/>
      <c r="N209" s="244"/>
      <c r="O209" s="244"/>
      <c r="P209" s="188"/>
      <c r="Q209" s="244" t="s">
        <v>99</v>
      </c>
      <c r="R209" s="244"/>
      <c r="S209" s="244"/>
      <c r="T209" s="244"/>
      <c r="U209" s="244"/>
    </row>
    <row r="210" spans="1:21" ht="15.75" thickBot="1" x14ac:dyDescent="0.3">
      <c r="A210" s="24" t="s">
        <v>8</v>
      </c>
      <c r="B210" s="23">
        <f>IF(AND(B207*0.9&lt;=B205,B207*1.1&gt;=B205),B205,MIN(B207,B205))</f>
        <v>50</v>
      </c>
      <c r="E210" s="227" t="s">
        <v>90</v>
      </c>
      <c r="F210" s="228"/>
      <c r="G210" s="228"/>
      <c r="H210" s="228"/>
      <c r="I210" s="229"/>
      <c r="J210" s="146"/>
      <c r="K210" s="227" t="s">
        <v>85</v>
      </c>
      <c r="L210" s="228"/>
      <c r="M210" s="228"/>
      <c r="N210" s="228"/>
      <c r="O210" s="229"/>
      <c r="P210" s="154"/>
      <c r="Q210" s="227" t="s">
        <v>88</v>
      </c>
      <c r="R210" s="228"/>
      <c r="S210" s="228"/>
      <c r="T210" s="228"/>
      <c r="U210" s="229"/>
    </row>
    <row r="211" spans="1:21" ht="15.75" thickBot="1" x14ac:dyDescent="0.3">
      <c r="A211" s="14" t="s">
        <v>55</v>
      </c>
      <c r="B211" s="26">
        <v>0</v>
      </c>
      <c r="E211" s="227" t="s">
        <v>78</v>
      </c>
      <c r="F211" s="228"/>
      <c r="G211" s="228"/>
      <c r="H211" s="228"/>
      <c r="I211" s="139" t="s">
        <v>74</v>
      </c>
      <c r="J211" s="45"/>
      <c r="K211" s="227" t="s">
        <v>78</v>
      </c>
      <c r="L211" s="228"/>
      <c r="M211" s="228"/>
      <c r="N211" s="228"/>
      <c r="O211" s="139" t="s">
        <v>74</v>
      </c>
      <c r="P211" s="45"/>
      <c r="Q211" s="227" t="s">
        <v>78</v>
      </c>
      <c r="R211" s="228"/>
      <c r="S211" s="228"/>
      <c r="T211" s="228"/>
      <c r="U211" s="139" t="s">
        <v>74</v>
      </c>
    </row>
    <row r="212" spans="1:21" ht="15.75" customHeight="1" thickBot="1" x14ac:dyDescent="0.3">
      <c r="A212" s="24" t="s">
        <v>56</v>
      </c>
      <c r="B212" s="23">
        <v>0</v>
      </c>
      <c r="E212" s="245" t="s">
        <v>76</v>
      </c>
      <c r="F212" s="246"/>
      <c r="G212" s="246"/>
      <c r="H212" s="246"/>
      <c r="I212" s="160">
        <f>I198</f>
        <v>0</v>
      </c>
      <c r="J212" s="140"/>
      <c r="K212" s="245" t="s">
        <v>76</v>
      </c>
      <c r="L212" s="246"/>
      <c r="M212" s="246"/>
      <c r="N212" s="246"/>
      <c r="O212" s="160">
        <f>I198</f>
        <v>0</v>
      </c>
      <c r="P212" s="143"/>
      <c r="Q212" s="245" t="s">
        <v>76</v>
      </c>
      <c r="R212" s="246"/>
      <c r="S212" s="246"/>
      <c r="T212" s="246"/>
      <c r="U212" s="160">
        <f>I198</f>
        <v>0</v>
      </c>
    </row>
    <row r="213" spans="1:21" x14ac:dyDescent="0.25">
      <c r="E213" s="75"/>
      <c r="F213" s="76"/>
      <c r="G213" s="76"/>
      <c r="H213" s="76"/>
      <c r="I213" s="161"/>
      <c r="J213" s="45"/>
      <c r="K213" s="75"/>
      <c r="L213" s="76"/>
      <c r="M213" s="76"/>
      <c r="N213" s="76"/>
      <c r="O213" s="161"/>
      <c r="P213" s="45"/>
      <c r="Q213" s="75"/>
      <c r="R213" s="76"/>
      <c r="S213" s="76"/>
      <c r="T213" s="76"/>
      <c r="U213" s="161"/>
    </row>
    <row r="214" spans="1:21" ht="15" customHeight="1" x14ac:dyDescent="0.25">
      <c r="E214" s="240" t="s">
        <v>83</v>
      </c>
      <c r="F214" s="241"/>
      <c r="G214" s="241"/>
      <c r="H214" s="241"/>
      <c r="I214" s="160">
        <f>I206</f>
        <v>0</v>
      </c>
      <c r="J214" s="140"/>
      <c r="K214" s="240" t="s">
        <v>83</v>
      </c>
      <c r="L214" s="241"/>
      <c r="M214" s="241"/>
      <c r="N214" s="241"/>
      <c r="O214" s="160">
        <f>I206</f>
        <v>0</v>
      </c>
      <c r="P214" s="143"/>
      <c r="Q214" s="240" t="s">
        <v>83</v>
      </c>
      <c r="R214" s="241"/>
      <c r="S214" s="241"/>
      <c r="T214" s="241"/>
      <c r="U214" s="160">
        <f>I206</f>
        <v>0</v>
      </c>
    </row>
    <row r="215" spans="1:21" x14ac:dyDescent="0.25">
      <c r="B215" s="166"/>
      <c r="E215" s="75"/>
      <c r="F215" s="76"/>
      <c r="G215" s="76"/>
      <c r="H215" s="76"/>
      <c r="I215" s="159"/>
      <c r="J215" s="146"/>
      <c r="K215" s="75"/>
      <c r="L215" s="76"/>
      <c r="M215" s="76"/>
      <c r="N215" s="76"/>
      <c r="O215" s="159"/>
      <c r="P215" s="146"/>
      <c r="Q215" s="75"/>
      <c r="R215" s="76"/>
      <c r="S215" s="76"/>
      <c r="T215" s="76"/>
      <c r="U215" s="159"/>
    </row>
    <row r="216" spans="1:21" ht="26.25" customHeight="1" x14ac:dyDescent="0.25">
      <c r="B216" s="166"/>
      <c r="E216" s="240" t="s">
        <v>79</v>
      </c>
      <c r="F216" s="241"/>
      <c r="G216" s="241"/>
      <c r="H216" s="241"/>
      <c r="I216" s="123">
        <f>(B209-B198)*B206</f>
        <v>1500</v>
      </c>
      <c r="J216" s="104"/>
      <c r="K216" s="247" t="s">
        <v>87</v>
      </c>
      <c r="L216" s="248"/>
      <c r="M216" s="248"/>
      <c r="N216" s="248"/>
      <c r="O216" s="123">
        <f>(B207-B198)*B206</f>
        <v>750</v>
      </c>
      <c r="P216" s="143"/>
      <c r="Q216" s="240" t="s">
        <v>91</v>
      </c>
      <c r="R216" s="241"/>
      <c r="S216" s="241"/>
      <c r="T216" s="241"/>
      <c r="U216" s="123">
        <f>(B205-B198)*B206</f>
        <v>1500</v>
      </c>
    </row>
    <row r="217" spans="1:21" x14ac:dyDescent="0.25">
      <c r="E217" s="137"/>
      <c r="F217" s="142"/>
      <c r="G217" s="142"/>
      <c r="H217" s="142"/>
      <c r="I217" s="123"/>
      <c r="J217" s="149"/>
      <c r="K217" s="137"/>
      <c r="L217" s="142"/>
      <c r="M217" s="142"/>
      <c r="N217" s="142"/>
      <c r="O217" s="123"/>
      <c r="P217" s="150"/>
      <c r="Q217" s="137"/>
      <c r="R217" s="142"/>
      <c r="S217" s="142"/>
      <c r="T217" s="142"/>
      <c r="U217" s="123"/>
    </row>
    <row r="218" spans="1:21" ht="15.75" customHeight="1" x14ac:dyDescent="0.25">
      <c r="E218" s="240" t="str">
        <f>"RT Incremental Cost @ "&amp;B210&amp;" MW"</f>
        <v>RT Incremental Cost @ 50 MW</v>
      </c>
      <c r="F218" s="241"/>
      <c r="G218" s="241"/>
      <c r="H218" s="241"/>
      <c r="I218" s="123">
        <f>M194</f>
        <v>1000</v>
      </c>
      <c r="J218" s="104"/>
      <c r="K218" s="240" t="str">
        <f>"RT Incremental Cost @ "&amp;B210&amp;" MW"</f>
        <v>RT Incremental Cost @ 50 MW</v>
      </c>
      <c r="L218" s="241"/>
      <c r="M218" s="241"/>
      <c r="N218" s="241"/>
      <c r="O218" s="123">
        <f>AA194</f>
        <v>1000</v>
      </c>
      <c r="P218" s="143"/>
      <c r="Q218" s="240" t="str">
        <f>"RT Incremental Cost @ "&amp;B205&amp;" MW"</f>
        <v>RT Incremental Cost @ 100 MW</v>
      </c>
      <c r="R218" s="241"/>
      <c r="S218" s="241"/>
      <c r="T218" s="241"/>
      <c r="U218" s="123">
        <f>T194</f>
        <v>2250</v>
      </c>
    </row>
    <row r="219" spans="1:21" ht="16.5" customHeight="1" x14ac:dyDescent="0.25">
      <c r="E219" s="240" t="s">
        <v>80</v>
      </c>
      <c r="F219" s="241"/>
      <c r="G219" s="241"/>
      <c r="H219" s="241"/>
      <c r="I219" s="147">
        <f>B212</f>
        <v>0</v>
      </c>
      <c r="J219" s="104"/>
      <c r="K219" s="240" t="s">
        <v>80</v>
      </c>
      <c r="L219" s="241"/>
      <c r="M219" s="241"/>
      <c r="N219" s="241"/>
      <c r="O219" s="147">
        <f>B212</f>
        <v>0</v>
      </c>
      <c r="P219" s="45"/>
      <c r="Q219" s="240" t="s">
        <v>80</v>
      </c>
      <c r="R219" s="241"/>
      <c r="S219" s="241"/>
      <c r="T219" s="241"/>
      <c r="U219" s="147">
        <f>B212</f>
        <v>0</v>
      </c>
    </row>
    <row r="220" spans="1:21" x14ac:dyDescent="0.25">
      <c r="D220" s="33"/>
      <c r="E220" s="240" t="s">
        <v>81</v>
      </c>
      <c r="F220" s="241"/>
      <c r="G220" s="241"/>
      <c r="H220" s="241"/>
      <c r="I220" s="123">
        <f>B211</f>
        <v>0</v>
      </c>
      <c r="J220" s="104"/>
      <c r="K220" s="240" t="s">
        <v>81</v>
      </c>
      <c r="L220" s="241"/>
      <c r="M220" s="241"/>
      <c r="N220" s="241"/>
      <c r="O220" s="123">
        <f>B211</f>
        <v>0</v>
      </c>
      <c r="P220" s="45"/>
      <c r="Q220" s="240" t="s">
        <v>81</v>
      </c>
      <c r="R220" s="241"/>
      <c r="S220" s="241"/>
      <c r="T220" s="241"/>
      <c r="U220" s="123">
        <f>B211</f>
        <v>0</v>
      </c>
    </row>
    <row r="221" spans="1:21" x14ac:dyDescent="0.25">
      <c r="E221" s="85"/>
      <c r="F221" s="144"/>
      <c r="G221" s="144"/>
      <c r="H221" s="144"/>
      <c r="I221" s="141"/>
      <c r="K221" s="85"/>
      <c r="L221" s="144"/>
      <c r="M221" s="144"/>
      <c r="N221" s="144"/>
      <c r="O221" s="141"/>
      <c r="Q221" s="85"/>
      <c r="R221" s="144"/>
      <c r="S221" s="144"/>
      <c r="T221" s="144"/>
      <c r="U221" s="141"/>
    </row>
    <row r="222" spans="1:21" x14ac:dyDescent="0.25">
      <c r="E222" s="240" t="s">
        <v>82</v>
      </c>
      <c r="F222" s="241"/>
      <c r="G222" s="241"/>
      <c r="H222" s="241"/>
      <c r="I222" s="158">
        <f>I212+I216-I218-I219-I220</f>
        <v>500</v>
      </c>
      <c r="K222" s="240" t="s">
        <v>82</v>
      </c>
      <c r="L222" s="241"/>
      <c r="M222" s="241"/>
      <c r="N222" s="241"/>
      <c r="O222" s="158">
        <f>O212+O216-O218-O219-O220</f>
        <v>-250</v>
      </c>
      <c r="Q222" s="240" t="s">
        <v>82</v>
      </c>
      <c r="R222" s="241"/>
      <c r="S222" s="241"/>
      <c r="T222" s="241"/>
      <c r="U222" s="158">
        <f>U212+U216-U218-U219-U220</f>
        <v>-750</v>
      </c>
    </row>
    <row r="223" spans="1:21" x14ac:dyDescent="0.25">
      <c r="E223" s="93"/>
      <c r="F223" s="148"/>
      <c r="G223" s="148"/>
      <c r="H223" s="148"/>
      <c r="I223" s="162"/>
      <c r="K223" s="93"/>
      <c r="L223" s="148"/>
      <c r="M223" s="148"/>
      <c r="N223" s="148"/>
      <c r="O223" s="162"/>
      <c r="Q223" s="93"/>
      <c r="R223" s="148"/>
      <c r="S223" s="148"/>
      <c r="T223" s="148"/>
      <c r="U223" s="162"/>
    </row>
    <row r="224" spans="1:21" ht="15.75" thickBot="1" x14ac:dyDescent="0.3">
      <c r="E224" s="240" t="s">
        <v>84</v>
      </c>
      <c r="F224" s="241"/>
      <c r="G224" s="241"/>
      <c r="H224" s="241"/>
      <c r="I224" s="163">
        <f>MAX(MAX(I222*-1,0)-I214,0)</f>
        <v>0</v>
      </c>
      <c r="K224" s="240" t="s">
        <v>84</v>
      </c>
      <c r="L224" s="241"/>
      <c r="M224" s="241"/>
      <c r="N224" s="241"/>
      <c r="O224" s="163">
        <f>MAX(MAX(O222*-1,0)-O214,0)</f>
        <v>250</v>
      </c>
      <c r="Q224" s="240" t="s">
        <v>84</v>
      </c>
      <c r="R224" s="241"/>
      <c r="S224" s="241"/>
      <c r="T224" s="241"/>
      <c r="U224" s="163">
        <f>MAX(MAX(U222*-1,0)-U214,0)</f>
        <v>750</v>
      </c>
    </row>
    <row r="225" spans="1:21" ht="16.5" thickTop="1" thickBot="1" x14ac:dyDescent="0.3">
      <c r="E225" s="51"/>
      <c r="F225" s="164"/>
      <c r="G225" s="164"/>
      <c r="H225" s="164"/>
      <c r="I225" s="165"/>
      <c r="K225" s="51"/>
      <c r="L225" s="164"/>
      <c r="M225" s="164"/>
      <c r="N225" s="164"/>
      <c r="O225" s="165"/>
      <c r="Q225" s="51"/>
      <c r="R225" s="164"/>
      <c r="S225" s="164"/>
      <c r="T225" s="164"/>
      <c r="U225" s="165"/>
    </row>
    <row r="226" spans="1:21" x14ac:dyDescent="0.25">
      <c r="E226" s="237"/>
      <c r="F226" s="237"/>
      <c r="G226" s="237"/>
      <c r="H226" s="237"/>
      <c r="I226" s="237"/>
      <c r="K226" s="238"/>
      <c r="L226" s="238"/>
      <c r="M226" s="238"/>
      <c r="N226" s="238"/>
      <c r="O226" s="238"/>
      <c r="Q226" s="238"/>
      <c r="R226" s="238"/>
      <c r="S226" s="238"/>
      <c r="T226" s="238"/>
      <c r="U226" s="238"/>
    </row>
    <row r="227" spans="1:21" x14ac:dyDescent="0.25">
      <c r="E227" s="239"/>
      <c r="F227" s="239"/>
      <c r="G227" s="239"/>
      <c r="H227" s="239"/>
      <c r="I227" s="239"/>
      <c r="K227" s="239"/>
      <c r="L227" s="239"/>
      <c r="M227" s="239"/>
      <c r="N227" s="239"/>
      <c r="O227" s="239"/>
      <c r="Q227" s="239"/>
      <c r="R227" s="239"/>
      <c r="S227" s="239"/>
      <c r="T227" s="239"/>
      <c r="U227" s="239"/>
    </row>
    <row r="228" spans="1:21" x14ac:dyDescent="0.25">
      <c r="L228" s="178"/>
    </row>
    <row r="229" spans="1:21" x14ac:dyDescent="0.25">
      <c r="K229" s="209" t="s">
        <v>105</v>
      </c>
      <c r="L229" s="178"/>
    </row>
    <row r="230" spans="1:21" x14ac:dyDescent="0.25">
      <c r="J230" s="41" t="s">
        <v>96</v>
      </c>
      <c r="K230" s="242" t="s">
        <v>93</v>
      </c>
      <c r="L230" s="242"/>
      <c r="M230" s="242"/>
      <c r="N230" s="32">
        <f>MIN(O224,U224)</f>
        <v>250</v>
      </c>
    </row>
    <row r="231" spans="1:21" x14ac:dyDescent="0.25">
      <c r="K231" s="297" t="s">
        <v>106</v>
      </c>
      <c r="L231" s="297"/>
      <c r="M231" s="297"/>
      <c r="N231" s="297"/>
      <c r="O231" s="297"/>
      <c r="P231" s="297"/>
      <c r="Q231" s="297"/>
      <c r="R231" s="297"/>
      <c r="S231" s="177"/>
    </row>
    <row r="232" spans="1:21" x14ac:dyDescent="0.25">
      <c r="A232" s="178"/>
      <c r="K232" s="297"/>
      <c r="L232" s="297"/>
      <c r="M232" s="297"/>
      <c r="N232" s="297"/>
      <c r="O232" s="297"/>
      <c r="P232" s="297"/>
      <c r="Q232" s="297"/>
      <c r="R232" s="297"/>
      <c r="S232" s="177"/>
    </row>
    <row r="244" spans="23:23" x14ac:dyDescent="0.25">
      <c r="W244" s="189"/>
    </row>
  </sheetData>
  <mergeCells count="181">
    <mergeCell ref="O182:Q182"/>
    <mergeCell ref="A188:F188"/>
    <mergeCell ref="E222:H222"/>
    <mergeCell ref="E218:H218"/>
    <mergeCell ref="E220:H220"/>
    <mergeCell ref="E210:I210"/>
    <mergeCell ref="E211:H211"/>
    <mergeCell ref="E216:H216"/>
    <mergeCell ref="E219:H219"/>
    <mergeCell ref="A197:B197"/>
    <mergeCell ref="E198:H198"/>
    <mergeCell ref="E202:H202"/>
    <mergeCell ref="A204:B204"/>
    <mergeCell ref="E204:H204"/>
    <mergeCell ref="E200:H200"/>
    <mergeCell ref="E201:H201"/>
    <mergeCell ref="E197:H197"/>
    <mergeCell ref="E206:H206"/>
    <mergeCell ref="E212:H212"/>
    <mergeCell ref="E214:H214"/>
    <mergeCell ref="E196:I196"/>
    <mergeCell ref="Q222:T222"/>
    <mergeCell ref="K210:O210"/>
    <mergeCell ref="K211:N211"/>
    <mergeCell ref="K146:L146"/>
    <mergeCell ref="A107:T108"/>
    <mergeCell ref="K142:L142"/>
    <mergeCell ref="E143:H143"/>
    <mergeCell ref="K143:L143"/>
    <mergeCell ref="K144:L144"/>
    <mergeCell ref="E145:H145"/>
    <mergeCell ref="K145:L145"/>
    <mergeCell ref="E133:H133"/>
    <mergeCell ref="E137:M137"/>
    <mergeCell ref="E139:H139"/>
    <mergeCell ref="E141:H141"/>
    <mergeCell ref="K141:M141"/>
    <mergeCell ref="O141:S141"/>
    <mergeCell ref="O143:S143"/>
    <mergeCell ref="O145:S145"/>
    <mergeCell ref="O139:S139"/>
    <mergeCell ref="O129:S129"/>
    <mergeCell ref="O131:S131"/>
    <mergeCell ref="O133:S133"/>
    <mergeCell ref="O115:T115"/>
    <mergeCell ref="O124:T124"/>
    <mergeCell ref="O137:T137"/>
    <mergeCell ref="O126:S126"/>
    <mergeCell ref="A180:T181"/>
    <mergeCell ref="A182:D182"/>
    <mergeCell ref="E182:G182"/>
    <mergeCell ref="H182:K182"/>
    <mergeCell ref="L182:N182"/>
    <mergeCell ref="H188:M188"/>
    <mergeCell ref="O188:T188"/>
    <mergeCell ref="A1:T2"/>
    <mergeCell ref="A124:B124"/>
    <mergeCell ref="A131:B131"/>
    <mergeCell ref="A73:B73"/>
    <mergeCell ref="A80:B80"/>
    <mergeCell ref="E123:M123"/>
    <mergeCell ref="E124:M124"/>
    <mergeCell ref="E125:H125"/>
    <mergeCell ref="E126:H126"/>
    <mergeCell ref="E129:H129"/>
    <mergeCell ref="E131:H131"/>
    <mergeCell ref="E92:H92"/>
    <mergeCell ref="K92:L92"/>
    <mergeCell ref="K93:L93"/>
    <mergeCell ref="E94:H94"/>
    <mergeCell ref="K94:L94"/>
    <mergeCell ref="E86:M86"/>
    <mergeCell ref="E37:H37"/>
    <mergeCell ref="E39:H39"/>
    <mergeCell ref="E43:H43"/>
    <mergeCell ref="K39:M39"/>
    <mergeCell ref="K40:L40"/>
    <mergeCell ref="K41:L41"/>
    <mergeCell ref="K42:L42"/>
    <mergeCell ref="K43:L43"/>
    <mergeCell ref="K44:L44"/>
    <mergeCell ref="E41:H41"/>
    <mergeCell ref="O64:T64"/>
    <mergeCell ref="O73:T73"/>
    <mergeCell ref="O86:T86"/>
    <mergeCell ref="O123:T123"/>
    <mergeCell ref="O72:T72"/>
    <mergeCell ref="K95:L95"/>
    <mergeCell ref="E22:M22"/>
    <mergeCell ref="E23:H23"/>
    <mergeCell ref="E24:H24"/>
    <mergeCell ref="E27:H27"/>
    <mergeCell ref="E29:H29"/>
    <mergeCell ref="E31:H31"/>
    <mergeCell ref="E35:M35"/>
    <mergeCell ref="O88:S88"/>
    <mergeCell ref="O90:S90"/>
    <mergeCell ref="O92:S92"/>
    <mergeCell ref="O94:S94"/>
    <mergeCell ref="A56:T57"/>
    <mergeCell ref="O75:S75"/>
    <mergeCell ref="O78:S78"/>
    <mergeCell ref="O80:S80"/>
    <mergeCell ref="O82:S82"/>
    <mergeCell ref="E72:M72"/>
    <mergeCell ref="E73:M73"/>
    <mergeCell ref="O31:S31"/>
    <mergeCell ref="O37:S37"/>
    <mergeCell ref="O39:S39"/>
    <mergeCell ref="O41:S41"/>
    <mergeCell ref="O43:S43"/>
    <mergeCell ref="A29:B29"/>
    <mergeCell ref="A5:T6"/>
    <mergeCell ref="A21:D21"/>
    <mergeCell ref="A28:D28"/>
    <mergeCell ref="O24:S24"/>
    <mergeCell ref="A7:D7"/>
    <mergeCell ref="E7:G7"/>
    <mergeCell ref="H7:K7"/>
    <mergeCell ref="A13:F13"/>
    <mergeCell ref="A22:B22"/>
    <mergeCell ref="O13:T13"/>
    <mergeCell ref="L7:N7"/>
    <mergeCell ref="O22:T22"/>
    <mergeCell ref="O35:T35"/>
    <mergeCell ref="O21:T21"/>
    <mergeCell ref="H13:M13"/>
    <mergeCell ref="O27:S27"/>
    <mergeCell ref="O29:S29"/>
    <mergeCell ref="E21:M21"/>
    <mergeCell ref="A58:D58"/>
    <mergeCell ref="E58:G58"/>
    <mergeCell ref="H58:K58"/>
    <mergeCell ref="H64:M64"/>
    <mergeCell ref="A64:F64"/>
    <mergeCell ref="A109:D109"/>
    <mergeCell ref="E109:G109"/>
    <mergeCell ref="H109:K109"/>
    <mergeCell ref="A115:B115"/>
    <mergeCell ref="H115:M115"/>
    <mergeCell ref="L109:N109"/>
    <mergeCell ref="L58:N58"/>
    <mergeCell ref="E82:H82"/>
    <mergeCell ref="E88:H88"/>
    <mergeCell ref="E90:H90"/>
    <mergeCell ref="K90:M90"/>
    <mergeCell ref="K91:L91"/>
    <mergeCell ref="E74:H74"/>
    <mergeCell ref="E75:H75"/>
    <mergeCell ref="E78:H78"/>
    <mergeCell ref="E80:H80"/>
    <mergeCell ref="K222:N222"/>
    <mergeCell ref="V188:AA188"/>
    <mergeCell ref="Q210:U210"/>
    <mergeCell ref="Q211:T211"/>
    <mergeCell ref="Q212:T212"/>
    <mergeCell ref="Q214:T214"/>
    <mergeCell ref="Q216:T216"/>
    <mergeCell ref="Q218:T218"/>
    <mergeCell ref="Q219:T219"/>
    <mergeCell ref="Q220:T220"/>
    <mergeCell ref="E209:I209"/>
    <mergeCell ref="K209:O209"/>
    <mergeCell ref="Q209:U209"/>
    <mergeCell ref="K212:N212"/>
    <mergeCell ref="K214:N214"/>
    <mergeCell ref="K216:N216"/>
    <mergeCell ref="K218:N218"/>
    <mergeCell ref="K219:N219"/>
    <mergeCell ref="K220:N220"/>
    <mergeCell ref="K231:R232"/>
    <mergeCell ref="E226:I226"/>
    <mergeCell ref="K226:O226"/>
    <mergeCell ref="Q226:U226"/>
    <mergeCell ref="E227:I227"/>
    <mergeCell ref="K227:O227"/>
    <mergeCell ref="Q227:U227"/>
    <mergeCell ref="Q224:T224"/>
    <mergeCell ref="K230:M230"/>
    <mergeCell ref="E224:H224"/>
    <mergeCell ref="K224:N224"/>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30"/>
  <sheetViews>
    <sheetView topLeftCell="A178" zoomScale="110" zoomScaleNormal="110" workbookViewId="0">
      <selection activeCell="A228" sqref="A228"/>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11.42578125" bestFit="1" customWidth="1"/>
    <col min="15" max="15" width="14.28515625" customWidth="1"/>
    <col min="16" max="16" width="9.5703125" customWidth="1"/>
    <col min="17" max="17" width="8.42578125" customWidth="1"/>
    <col min="18" max="18" width="10.5703125" customWidth="1"/>
    <col min="19" max="19" width="9" customWidth="1"/>
    <col min="20" max="20" width="13.85546875" customWidth="1"/>
    <col min="21" max="21" width="12.5703125" bestFit="1" customWidth="1"/>
    <col min="27" max="27" width="10.85546875" bestFit="1" customWidth="1"/>
  </cols>
  <sheetData>
    <row r="1" spans="1:20" s="82" customFormat="1" ht="18.75" customHeight="1" x14ac:dyDescent="0.25">
      <c r="A1" s="294" t="s">
        <v>64</v>
      </c>
      <c r="B1" s="294"/>
      <c r="C1" s="294"/>
      <c r="D1" s="294"/>
      <c r="E1" s="294"/>
      <c r="F1" s="294"/>
      <c r="G1" s="294"/>
      <c r="H1" s="294"/>
      <c r="I1" s="294"/>
      <c r="J1" s="294"/>
      <c r="K1" s="294"/>
      <c r="L1" s="294"/>
      <c r="M1" s="294"/>
      <c r="N1" s="294"/>
      <c r="O1" s="294"/>
      <c r="P1" s="294"/>
      <c r="Q1" s="294"/>
      <c r="R1" s="294"/>
      <c r="S1" s="294"/>
      <c r="T1" s="294"/>
    </row>
    <row r="2" spans="1:20" ht="15" customHeight="1" x14ac:dyDescent="0.25">
      <c r="A2" s="294"/>
      <c r="B2" s="294"/>
      <c r="C2" s="294"/>
      <c r="D2" s="294"/>
      <c r="E2" s="294"/>
      <c r="F2" s="294"/>
      <c r="G2" s="294"/>
      <c r="H2" s="294"/>
      <c r="I2" s="294"/>
      <c r="J2" s="294"/>
      <c r="K2" s="294"/>
      <c r="L2" s="294"/>
      <c r="M2" s="294"/>
      <c r="N2" s="294"/>
      <c r="O2" s="294"/>
      <c r="P2" s="294"/>
      <c r="Q2" s="294"/>
      <c r="R2" s="294"/>
      <c r="S2" s="294"/>
      <c r="T2" s="294"/>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265" t="s">
        <v>62</v>
      </c>
      <c r="B5" s="265"/>
      <c r="C5" s="265"/>
      <c r="D5" s="265"/>
      <c r="E5" s="265"/>
      <c r="F5" s="265"/>
      <c r="G5" s="265"/>
      <c r="H5" s="265"/>
      <c r="I5" s="265"/>
      <c r="J5" s="265"/>
      <c r="K5" s="265"/>
      <c r="L5" s="265"/>
      <c r="M5" s="265"/>
      <c r="N5" s="265"/>
      <c r="O5" s="265"/>
      <c r="P5" s="265"/>
      <c r="Q5" s="265"/>
      <c r="R5" s="265"/>
      <c r="S5" s="265"/>
      <c r="T5" s="265"/>
    </row>
    <row r="6" spans="1:20" s="83" customFormat="1" ht="15.75" thickBot="1" x14ac:dyDescent="0.3">
      <c r="A6" s="265"/>
      <c r="B6" s="265"/>
      <c r="C6" s="265"/>
      <c r="D6" s="265"/>
      <c r="E6" s="265"/>
      <c r="F6" s="265"/>
      <c r="G6" s="265"/>
      <c r="H6" s="265"/>
      <c r="I6" s="265"/>
      <c r="J6" s="265"/>
      <c r="K6" s="265"/>
      <c r="L6" s="265"/>
      <c r="M6" s="265"/>
      <c r="N6" s="265"/>
      <c r="O6" s="265"/>
      <c r="P6" s="265"/>
      <c r="Q6" s="265"/>
      <c r="R6" s="265"/>
      <c r="S6" s="265"/>
      <c r="T6" s="265"/>
    </row>
    <row r="7" spans="1:20" ht="15.75" thickBot="1" x14ac:dyDescent="0.3">
      <c r="A7" s="227" t="s">
        <v>0</v>
      </c>
      <c r="B7" s="228"/>
      <c r="C7" s="228"/>
      <c r="D7" s="229"/>
      <c r="E7" s="235" t="s">
        <v>1</v>
      </c>
      <c r="F7" s="236"/>
      <c r="G7" s="249"/>
      <c r="H7" s="227" t="s">
        <v>2</v>
      </c>
      <c r="I7" s="228"/>
      <c r="J7" s="228"/>
      <c r="K7" s="229"/>
      <c r="L7" s="227" t="s">
        <v>32</v>
      </c>
      <c r="M7" s="228"/>
      <c r="N7" s="229"/>
    </row>
    <row r="8" spans="1:20" ht="45" customHeight="1" thickBot="1" x14ac:dyDescent="0.3">
      <c r="A8" s="106" t="s">
        <v>3</v>
      </c>
      <c r="B8" s="96" t="s">
        <v>33</v>
      </c>
      <c r="C8" s="96" t="s">
        <v>34</v>
      </c>
      <c r="D8" s="97" t="s">
        <v>4</v>
      </c>
      <c r="E8" s="106" t="s">
        <v>5</v>
      </c>
      <c r="F8" s="96" t="s">
        <v>6</v>
      </c>
      <c r="G8" s="97"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0</v>
      </c>
      <c r="G9" s="8">
        <f>IF(E9&gt;0,IF(E9=B9,D9,IF(AND(E9&gt;B9,E9&lt;=C9),0+(E9-B9)*((D9-0)/(C9-B9)),0)),0)</f>
        <v>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235" t="s">
        <v>39</v>
      </c>
      <c r="B13" s="236"/>
      <c r="C13" s="236"/>
      <c r="D13" s="236"/>
      <c r="E13" s="236"/>
      <c r="F13" s="249"/>
      <c r="H13" s="268" t="s">
        <v>40</v>
      </c>
      <c r="I13" s="269"/>
      <c r="J13" s="269"/>
      <c r="K13" s="269"/>
      <c r="L13" s="269"/>
      <c r="M13" s="270"/>
      <c r="O13" s="268" t="s">
        <v>41</v>
      </c>
      <c r="P13" s="269"/>
      <c r="Q13" s="269"/>
      <c r="R13" s="269"/>
      <c r="S13" s="269"/>
      <c r="T13" s="270"/>
    </row>
    <row r="14" spans="1:20" ht="30.75" thickBot="1" x14ac:dyDescent="0.3">
      <c r="A14" s="80" t="s">
        <v>3</v>
      </c>
      <c r="B14" s="96" t="s">
        <v>33</v>
      </c>
      <c r="C14" s="96" t="s">
        <v>34</v>
      </c>
      <c r="D14" s="96" t="s">
        <v>36</v>
      </c>
      <c r="E14" s="96" t="s">
        <v>7</v>
      </c>
      <c r="F14" s="97" t="s">
        <v>48</v>
      </c>
      <c r="H14" s="80" t="s">
        <v>3</v>
      </c>
      <c r="I14" s="96" t="s">
        <v>33</v>
      </c>
      <c r="J14" s="96" t="s">
        <v>34</v>
      </c>
      <c r="K14" s="96" t="s">
        <v>36</v>
      </c>
      <c r="L14" s="96" t="s">
        <v>47</v>
      </c>
      <c r="M14" s="97" t="s">
        <v>48</v>
      </c>
      <c r="O14" s="75" t="s">
        <v>3</v>
      </c>
      <c r="P14" s="67" t="s">
        <v>33</v>
      </c>
      <c r="Q14" s="67" t="s">
        <v>34</v>
      </c>
      <c r="R14" s="67" t="s">
        <v>36</v>
      </c>
      <c r="S14" s="67" t="s">
        <v>7</v>
      </c>
      <c r="T14" s="107" t="s">
        <v>48</v>
      </c>
    </row>
    <row r="15" spans="1:20" x14ac:dyDescent="0.25">
      <c r="A15" s="4">
        <v>1</v>
      </c>
      <c r="B15" s="5">
        <v>0</v>
      </c>
      <c r="C15" s="5">
        <f>IF(AND(B23&gt;B9,B23&lt;C9),B23,IF(B23&gt;=C9,C9,0))</f>
        <v>0</v>
      </c>
      <c r="D15" s="29">
        <f>MIN(D9,F9)</f>
        <v>0</v>
      </c>
      <c r="E15" s="29">
        <f>IF(AND(B$23&gt;B9,B$23&lt;C9),G9,IF(B$23&gt;=C9,D9,0))</f>
        <v>0</v>
      </c>
      <c r="F15" s="30">
        <f>(C15-B15)*(D15+E15)/2</f>
        <v>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266" t="s">
        <v>37</v>
      </c>
      <c r="B21" s="266"/>
      <c r="C21" s="266"/>
      <c r="D21" s="267"/>
      <c r="E21" s="277" t="s">
        <v>44</v>
      </c>
      <c r="F21" s="278"/>
      <c r="G21" s="278"/>
      <c r="H21" s="278"/>
      <c r="I21" s="278"/>
      <c r="J21" s="278"/>
      <c r="K21" s="278"/>
      <c r="L21" s="278"/>
      <c r="M21" s="279"/>
      <c r="O21" s="274" t="s">
        <v>42</v>
      </c>
      <c r="P21" s="275"/>
      <c r="Q21" s="275"/>
      <c r="R21" s="275"/>
      <c r="S21" s="275"/>
      <c r="T21" s="276"/>
    </row>
    <row r="22" spans="1:20" ht="15.75" thickBot="1" x14ac:dyDescent="0.3">
      <c r="A22" s="263" t="s">
        <v>10</v>
      </c>
      <c r="B22" s="264"/>
      <c r="E22" s="227" t="s">
        <v>11</v>
      </c>
      <c r="F22" s="228"/>
      <c r="G22" s="228"/>
      <c r="H22" s="228"/>
      <c r="I22" s="228"/>
      <c r="J22" s="228"/>
      <c r="K22" s="228"/>
      <c r="L22" s="228"/>
      <c r="M22" s="229"/>
      <c r="O22" s="271" t="s">
        <v>11</v>
      </c>
      <c r="P22" s="272"/>
      <c r="Q22" s="272"/>
      <c r="R22" s="272"/>
      <c r="S22" s="272"/>
      <c r="T22" s="273"/>
    </row>
    <row r="23" spans="1:20" x14ac:dyDescent="0.25">
      <c r="A23" s="4" t="s">
        <v>5</v>
      </c>
      <c r="B23" s="13">
        <v>0</v>
      </c>
      <c r="E23" s="261" t="s">
        <v>12</v>
      </c>
      <c r="F23" s="262"/>
      <c r="G23" s="262"/>
      <c r="H23" s="262"/>
      <c r="I23" s="99"/>
      <c r="J23" s="10"/>
      <c r="K23" s="10"/>
      <c r="L23" s="10"/>
      <c r="M23" s="26"/>
      <c r="O23" s="16" t="s">
        <v>12</v>
      </c>
      <c r="P23" s="29"/>
      <c r="Q23" s="5"/>
      <c r="R23" s="5"/>
      <c r="S23" s="5"/>
      <c r="T23" s="13"/>
    </row>
    <row r="24" spans="1:20" ht="15.75" thickBot="1" x14ac:dyDescent="0.3">
      <c r="A24" s="17" t="s">
        <v>13</v>
      </c>
      <c r="B24" s="19">
        <v>0</v>
      </c>
      <c r="E24" s="240" t="s">
        <v>14</v>
      </c>
      <c r="F24" s="241"/>
      <c r="G24" s="241"/>
      <c r="H24" s="241"/>
      <c r="I24" s="42">
        <f>B23*B24</f>
        <v>0</v>
      </c>
      <c r="J24" s="5"/>
      <c r="K24" s="5"/>
      <c r="L24" s="5"/>
      <c r="M24" s="13"/>
      <c r="O24" s="245" t="s">
        <v>14</v>
      </c>
      <c r="P24" s="246"/>
      <c r="Q24" s="246"/>
      <c r="R24" s="246"/>
      <c r="S24" s="246"/>
      <c r="T24" s="56">
        <f>I24</f>
        <v>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240" t="s">
        <v>15</v>
      </c>
      <c r="F27" s="241"/>
      <c r="G27" s="241"/>
      <c r="H27" s="241"/>
      <c r="I27" s="43">
        <f>M28</f>
        <v>0</v>
      </c>
      <c r="J27" s="5"/>
      <c r="K27" s="35" t="s">
        <v>16</v>
      </c>
      <c r="L27" s="36">
        <f>F19</f>
        <v>0</v>
      </c>
      <c r="M27" s="105" t="s">
        <v>17</v>
      </c>
      <c r="O27" s="245" t="s">
        <v>15</v>
      </c>
      <c r="P27" s="246"/>
      <c r="Q27" s="246"/>
      <c r="R27" s="246"/>
      <c r="S27" s="246"/>
      <c r="T27" s="88">
        <f>I27</f>
        <v>0</v>
      </c>
    </row>
    <row r="28" spans="1:20" ht="15.75" thickBot="1" x14ac:dyDescent="0.3">
      <c r="A28" s="266" t="s">
        <v>37</v>
      </c>
      <c r="B28" s="266"/>
      <c r="C28" s="266"/>
      <c r="D28" s="267"/>
      <c r="E28" s="85"/>
      <c r="F28" s="86"/>
      <c r="G28" s="86"/>
      <c r="H28" s="86"/>
      <c r="I28" s="5"/>
      <c r="J28" s="5"/>
      <c r="K28" s="37" t="s">
        <v>18</v>
      </c>
      <c r="L28" s="38">
        <f>I24</f>
        <v>0</v>
      </c>
      <c r="M28" s="39">
        <f>MAX(L27-L28,0)</f>
        <v>0</v>
      </c>
      <c r="O28" s="16"/>
      <c r="P28" s="5"/>
      <c r="Q28" s="5"/>
      <c r="R28" s="5"/>
      <c r="S28" s="5"/>
      <c r="T28" s="13"/>
    </row>
    <row r="29" spans="1:20" x14ac:dyDescent="0.25">
      <c r="A29" s="263" t="s">
        <v>22</v>
      </c>
      <c r="B29" s="264"/>
      <c r="E29" s="240" t="str">
        <f>"DA Incremental Cost @ DA MW ("&amp;$B23&amp;" MW)"</f>
        <v>DA Incremental Cost @ DA MW (0 MW)</v>
      </c>
      <c r="F29" s="241"/>
      <c r="G29" s="241"/>
      <c r="H29" s="241"/>
      <c r="I29" s="44">
        <f>F19</f>
        <v>0</v>
      </c>
      <c r="J29" s="5"/>
      <c r="K29" s="29"/>
      <c r="L29" s="5"/>
      <c r="M29" s="13"/>
      <c r="O29" s="245" t="str">
        <f>"DA Incremental Cost @ DA MW ("&amp;$B23&amp;" MW)"</f>
        <v>DA Incremental Cost @ DA MW (0 MW)</v>
      </c>
      <c r="P29" s="246"/>
      <c r="Q29" s="246"/>
      <c r="R29" s="246"/>
      <c r="S29" s="246"/>
      <c r="T29" s="89">
        <f>I29</f>
        <v>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-100</v>
      </c>
      <c r="D31" s="32"/>
      <c r="E31" s="240" t="s">
        <v>19</v>
      </c>
      <c r="F31" s="241"/>
      <c r="G31" s="241"/>
      <c r="H31" s="241"/>
      <c r="I31" s="40">
        <f>I24+I27-I29</f>
        <v>0</v>
      </c>
      <c r="J31" s="5"/>
      <c r="K31" s="29"/>
      <c r="L31" s="45"/>
      <c r="M31" s="13"/>
      <c r="O31" s="245" t="s">
        <v>19</v>
      </c>
      <c r="P31" s="246"/>
      <c r="Q31" s="246"/>
      <c r="R31" s="246"/>
      <c r="S31" s="246"/>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227" t="s">
        <v>20</v>
      </c>
      <c r="F35" s="228"/>
      <c r="G35" s="228"/>
      <c r="H35" s="228"/>
      <c r="I35" s="228"/>
      <c r="J35" s="228"/>
      <c r="K35" s="228"/>
      <c r="L35" s="228"/>
      <c r="M35" s="229"/>
      <c r="N35" s="5"/>
      <c r="O35" s="227" t="s">
        <v>20</v>
      </c>
      <c r="P35" s="228"/>
      <c r="Q35" s="228"/>
      <c r="R35" s="228"/>
      <c r="S35" s="228"/>
      <c r="T35" s="229"/>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240" t="s">
        <v>21</v>
      </c>
      <c r="F37" s="241"/>
      <c r="G37" s="241"/>
      <c r="H37" s="241"/>
      <c r="I37" s="29">
        <f>(B30-B23)*B31</f>
        <v>-5000</v>
      </c>
      <c r="J37" s="29"/>
      <c r="K37" s="29"/>
      <c r="L37" s="29"/>
      <c r="M37" s="13"/>
      <c r="N37" s="5"/>
      <c r="O37" s="245" t="s">
        <v>21</v>
      </c>
      <c r="P37" s="246"/>
      <c r="Q37" s="246"/>
      <c r="R37" s="246"/>
      <c r="S37" s="246"/>
      <c r="T37" s="30">
        <f>I37</f>
        <v>-5000</v>
      </c>
    </row>
    <row r="38" spans="1:20" ht="15.75" thickBot="1" x14ac:dyDescent="0.3">
      <c r="E38" s="85"/>
      <c r="F38" s="86"/>
      <c r="G38" s="86"/>
      <c r="H38" s="86"/>
      <c r="I38" s="5"/>
      <c r="J38" s="5"/>
      <c r="K38" s="5"/>
      <c r="L38" s="5"/>
      <c r="M38" s="30"/>
      <c r="N38" s="5"/>
      <c r="O38" s="16"/>
      <c r="P38" s="5"/>
      <c r="Q38" s="5"/>
      <c r="R38" s="5"/>
      <c r="S38" s="5"/>
      <c r="T38" s="13"/>
    </row>
    <row r="39" spans="1:20" x14ac:dyDescent="0.25">
      <c r="E39" s="240" t="s">
        <v>23</v>
      </c>
      <c r="F39" s="241"/>
      <c r="G39" s="241"/>
      <c r="H39" s="241"/>
      <c r="I39" s="29">
        <f>MAX(M44*-1,0)</f>
        <v>6000</v>
      </c>
      <c r="J39" s="29"/>
      <c r="K39" s="256" t="s">
        <v>30</v>
      </c>
      <c r="L39" s="257"/>
      <c r="M39" s="258"/>
      <c r="N39" s="5"/>
      <c r="O39" s="245" t="s">
        <v>23</v>
      </c>
      <c r="P39" s="246"/>
      <c r="Q39" s="246"/>
      <c r="R39" s="246"/>
      <c r="S39" s="246"/>
      <c r="T39" s="30">
        <f>I39</f>
        <v>6000</v>
      </c>
    </row>
    <row r="40" spans="1:20" x14ac:dyDescent="0.25">
      <c r="E40" s="92"/>
      <c r="F40" s="67"/>
      <c r="G40" s="67"/>
      <c r="H40" s="67"/>
      <c r="I40" s="76"/>
      <c r="J40" s="76"/>
      <c r="K40" s="259" t="s">
        <v>24</v>
      </c>
      <c r="L40" s="260"/>
      <c r="M40" s="56">
        <f>I24</f>
        <v>0</v>
      </c>
      <c r="N40" s="5"/>
      <c r="O40" s="75"/>
      <c r="P40" s="76"/>
      <c r="Q40" s="76"/>
      <c r="R40" s="76"/>
      <c r="S40" s="76"/>
      <c r="T40" s="77"/>
    </row>
    <row r="41" spans="1:20" ht="30" customHeight="1" x14ac:dyDescent="0.25">
      <c r="E41" s="291" t="str">
        <f>"Incremental Cost @ RT MW Used ("&amp;$B35&amp;" MW)"</f>
        <v>Incremental Cost @ RT MW Used (50 MW)</v>
      </c>
      <c r="F41" s="292"/>
      <c r="G41" s="292"/>
      <c r="H41" s="292"/>
      <c r="I41" s="8">
        <f>M43</f>
        <v>1000</v>
      </c>
      <c r="J41" s="8"/>
      <c r="K41" s="259" t="s">
        <v>17</v>
      </c>
      <c r="L41" s="260"/>
      <c r="M41" s="56">
        <f>I27</f>
        <v>0</v>
      </c>
      <c r="N41" s="5"/>
      <c r="O41" s="245" t="str">
        <f>"Incremental Cost @ Actual RT MW ("&amp;$B30&amp;" MW)"</f>
        <v>Incremental Cost @ Actual RT MW (50 MW)</v>
      </c>
      <c r="P41" s="246"/>
      <c r="Q41" s="246"/>
      <c r="R41" s="246"/>
      <c r="S41" s="246"/>
      <c r="T41" s="6">
        <f>T19</f>
        <v>1000</v>
      </c>
    </row>
    <row r="42" spans="1:20" x14ac:dyDescent="0.25">
      <c r="E42" s="93"/>
      <c r="F42" s="100"/>
      <c r="G42" s="100"/>
      <c r="H42" s="100"/>
      <c r="I42" s="48"/>
      <c r="J42" s="48"/>
      <c r="K42" s="289" t="s">
        <v>25</v>
      </c>
      <c r="L42" s="290"/>
      <c r="M42" s="30">
        <f>(B34-B23)*B31</f>
        <v>-5000</v>
      </c>
      <c r="N42" s="5"/>
      <c r="O42" s="47"/>
      <c r="P42" s="87"/>
      <c r="Q42" s="87"/>
      <c r="R42" s="87"/>
      <c r="S42" s="87"/>
      <c r="T42" s="90"/>
    </row>
    <row r="43" spans="1:20" ht="15.75" thickBot="1" x14ac:dyDescent="0.3">
      <c r="E43" s="287" t="s">
        <v>26</v>
      </c>
      <c r="F43" s="288"/>
      <c r="G43" s="288"/>
      <c r="H43" s="288"/>
      <c r="I43" s="50">
        <f>I24+I27+I37+I39-I41</f>
        <v>0</v>
      </c>
      <c r="J43" s="104"/>
      <c r="K43" s="245" t="s">
        <v>46</v>
      </c>
      <c r="L43" s="246"/>
      <c r="M43" s="30">
        <f>M19</f>
        <v>1000</v>
      </c>
      <c r="N43" s="5"/>
      <c r="O43" s="245" t="s">
        <v>26</v>
      </c>
      <c r="P43" s="246"/>
      <c r="Q43" s="246"/>
      <c r="R43" s="246"/>
      <c r="S43" s="246"/>
      <c r="T43" s="91">
        <f>T24+T27+T37+T39-T41</f>
        <v>0</v>
      </c>
    </row>
    <row r="44" spans="1:20" ht="30.75" customHeight="1" thickTop="1" thickBot="1" x14ac:dyDescent="0.3">
      <c r="E44" s="49"/>
      <c r="F44" s="8"/>
      <c r="G44" s="8"/>
      <c r="H44" s="8"/>
      <c r="I44" s="8"/>
      <c r="J44" s="8"/>
      <c r="K44" s="247" t="s">
        <v>70</v>
      </c>
      <c r="L44" s="248"/>
      <c r="M44" s="103">
        <f>M40+M41+M42-M43</f>
        <v>-6000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286" t="s">
        <v>45</v>
      </c>
      <c r="B56" s="286"/>
      <c r="C56" s="286"/>
      <c r="D56" s="286"/>
      <c r="E56" s="286"/>
      <c r="F56" s="286"/>
      <c r="G56" s="286"/>
      <c r="H56" s="286"/>
      <c r="I56" s="286"/>
      <c r="J56" s="286"/>
      <c r="K56" s="286"/>
      <c r="L56" s="286"/>
      <c r="M56" s="286"/>
      <c r="N56" s="286"/>
      <c r="O56" s="286"/>
      <c r="P56" s="286"/>
      <c r="Q56" s="286"/>
      <c r="R56" s="286"/>
      <c r="S56" s="286"/>
      <c r="T56" s="286"/>
      <c r="U56" s="95"/>
      <c r="V56" s="95"/>
      <c r="W56" s="95"/>
    </row>
    <row r="57" spans="1:23" s="83" customFormat="1" ht="24" customHeight="1" thickBot="1" x14ac:dyDescent="0.3">
      <c r="A57" s="286"/>
      <c r="B57" s="286"/>
      <c r="C57" s="286"/>
      <c r="D57" s="286"/>
      <c r="E57" s="286"/>
      <c r="F57" s="286"/>
      <c r="G57" s="286"/>
      <c r="H57" s="286"/>
      <c r="I57" s="286"/>
      <c r="J57" s="286"/>
      <c r="K57" s="286"/>
      <c r="L57" s="286"/>
      <c r="M57" s="286"/>
      <c r="N57" s="286"/>
      <c r="O57" s="286"/>
      <c r="P57" s="286"/>
      <c r="Q57" s="286"/>
      <c r="R57" s="286"/>
      <c r="S57" s="286"/>
      <c r="T57" s="286"/>
      <c r="U57" s="95"/>
      <c r="V57" s="95"/>
      <c r="W57" s="95"/>
    </row>
    <row r="58" spans="1:23" ht="15.75" thickBot="1" x14ac:dyDescent="0.3">
      <c r="A58" s="250" t="s">
        <v>0</v>
      </c>
      <c r="B58" s="251"/>
      <c r="C58" s="251"/>
      <c r="D58" s="252"/>
      <c r="E58" s="235" t="s">
        <v>1</v>
      </c>
      <c r="F58" s="236"/>
      <c r="G58" s="249"/>
      <c r="H58" s="227" t="s">
        <v>2</v>
      </c>
      <c r="I58" s="228"/>
      <c r="J58" s="228"/>
      <c r="K58" s="229"/>
      <c r="L58" s="227" t="s">
        <v>32</v>
      </c>
      <c r="M58" s="228"/>
      <c r="N58" s="229"/>
    </row>
    <row r="59" spans="1:23" ht="64.5" customHeight="1" thickBot="1" x14ac:dyDescent="0.3">
      <c r="A59" s="80" t="s">
        <v>3</v>
      </c>
      <c r="B59" s="96" t="s">
        <v>33</v>
      </c>
      <c r="C59" s="96" t="s">
        <v>34</v>
      </c>
      <c r="D59" s="81" t="s">
        <v>4</v>
      </c>
      <c r="E59" s="80" t="s">
        <v>5</v>
      </c>
      <c r="F59" s="96" t="s">
        <v>6</v>
      </c>
      <c r="G59" s="97" t="s">
        <v>7</v>
      </c>
      <c r="H59" s="69" t="s">
        <v>38</v>
      </c>
      <c r="I59" s="65" t="s">
        <v>53</v>
      </c>
      <c r="J59" s="65" t="s">
        <v>6</v>
      </c>
      <c r="K59" s="66" t="s">
        <v>7</v>
      </c>
      <c r="L59" s="79" t="s">
        <v>5</v>
      </c>
      <c r="M59" s="65" t="s">
        <v>49</v>
      </c>
      <c r="N59" s="66" t="s">
        <v>47</v>
      </c>
    </row>
    <row r="60" spans="1:23" x14ac:dyDescent="0.25">
      <c r="A60" s="4">
        <v>1</v>
      </c>
      <c r="B60" s="5">
        <v>0</v>
      </c>
      <c r="C60" s="5">
        <v>50</v>
      </c>
      <c r="D60" s="6">
        <v>20</v>
      </c>
      <c r="E60" s="7">
        <f>IF(AND(B$74&gt;B60,B$74&lt;=C60),B$74,0)</f>
        <v>0</v>
      </c>
      <c r="F60" s="8">
        <f>IF(B74&gt;0,D60,0)</f>
        <v>0</v>
      </c>
      <c r="G60" s="8">
        <f>IF(E60&gt;0,IF(E60=B60,D60,IF(AND(E60&gt;B60,E60&lt;=C60),D60+(E60-B60)*((D60-D60)/(C60-B60)),0)),0)</f>
        <v>0</v>
      </c>
      <c r="H60" s="14">
        <f>IF(AND(MIN(B$81,B$84)&gt;B60,MIN(B$81,B$84)&lt;=C60),MIN(B$81,B$84),0)</f>
        <v>0</v>
      </c>
      <c r="I60" s="15">
        <f>IF(AND(B$86&gt;B60,B$86&lt;=C60),B$86,0)</f>
        <v>0</v>
      </c>
      <c r="J60" s="9">
        <f>IF(B81&gt;0,D60,0)</f>
        <v>20</v>
      </c>
      <c r="K60" s="11">
        <f>IF(H60&gt;0,IF(H60=B60,D60,IF(AND(H60&gt;B60,H60&lt;=C60),D60+(H60-B60)*((D60-D60)/(C60-B60)),0)),0)</f>
        <v>0</v>
      </c>
      <c r="L60" s="14">
        <f>IF(AND(B81&gt;B60,B81&lt;=C60),B81,0)</f>
        <v>0</v>
      </c>
      <c r="M60" s="9">
        <f>IF(B81&gt;0,D60,0)</f>
        <v>20</v>
      </c>
      <c r="N60" s="11">
        <f>IF(L60&gt;0,IF(L60=B60,D60,IF(AND(L60&gt;B60,L60&lt;=C60),D60+(L60-B60)*((D60-D60)/(C60-B60)),0)),0)</f>
        <v>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75</v>
      </c>
      <c r="I61" s="12">
        <f t="shared" ref="I61:I62" si="7">IF(AND(B$86&gt;B61,B$86&lt;=C61),B$86,0)</f>
        <v>75</v>
      </c>
      <c r="J61" s="5">
        <v>0</v>
      </c>
      <c r="K61" s="6">
        <f>IF(H61&gt;0,IF(H61=B61,D61,IF(AND(H61&gt;B61,H61&lt;=C61),D60+(H61-B61)*((D61-D60)/(C61-B61)),0)),0)</f>
        <v>25</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100</v>
      </c>
      <c r="M62" s="21">
        <v>0</v>
      </c>
      <c r="N62" s="19">
        <f>IF(L62&gt;0,IF(L62=B62,D62,IF(AND(L62&gt;B62,L62&lt;=C62),D62+(L62-B62)*((D62-D62)/(C62-B62)),0)),0)</f>
        <v>30</v>
      </c>
    </row>
    <row r="63" spans="1:23" ht="15.75" thickBot="1" x14ac:dyDescent="0.3">
      <c r="J63" s="25"/>
    </row>
    <row r="64" spans="1:23" ht="15.75" thickBot="1" x14ac:dyDescent="0.3">
      <c r="A64" s="227" t="s">
        <v>39</v>
      </c>
      <c r="B64" s="228"/>
      <c r="C64" s="228"/>
      <c r="D64" s="228"/>
      <c r="E64" s="228"/>
      <c r="F64" s="229"/>
      <c r="H64" s="253" t="s">
        <v>40</v>
      </c>
      <c r="I64" s="254"/>
      <c r="J64" s="254"/>
      <c r="K64" s="254"/>
      <c r="L64" s="254"/>
      <c r="M64" s="255"/>
      <c r="O64" s="253" t="s">
        <v>41</v>
      </c>
      <c r="P64" s="254"/>
      <c r="Q64" s="254"/>
      <c r="R64" s="254"/>
      <c r="S64" s="254"/>
      <c r="T64" s="255"/>
    </row>
    <row r="65" spans="1:20" ht="30.75" thickBot="1" x14ac:dyDescent="0.3">
      <c r="A65" s="106" t="s">
        <v>3</v>
      </c>
      <c r="B65" s="96" t="s">
        <v>33</v>
      </c>
      <c r="C65" s="96" t="s">
        <v>34</v>
      </c>
      <c r="D65" s="96" t="s">
        <v>49</v>
      </c>
      <c r="E65" s="96" t="s">
        <v>47</v>
      </c>
      <c r="F65" s="97" t="s">
        <v>48</v>
      </c>
      <c r="H65" s="106" t="s">
        <v>3</v>
      </c>
      <c r="I65" s="96" t="s">
        <v>50</v>
      </c>
      <c r="J65" s="96" t="s">
        <v>51</v>
      </c>
      <c r="K65" s="96" t="s">
        <v>49</v>
      </c>
      <c r="L65" s="96" t="s">
        <v>47</v>
      </c>
      <c r="M65" s="97" t="s">
        <v>48</v>
      </c>
      <c r="O65" s="106" t="s">
        <v>3</v>
      </c>
      <c r="P65" s="96" t="s">
        <v>33</v>
      </c>
      <c r="Q65" s="96" t="s">
        <v>34</v>
      </c>
      <c r="R65" s="96" t="s">
        <v>49</v>
      </c>
      <c r="S65" s="96" t="s">
        <v>47</v>
      </c>
      <c r="T65" s="97" t="s">
        <v>48</v>
      </c>
    </row>
    <row r="66" spans="1:20" x14ac:dyDescent="0.25">
      <c r="A66" s="4">
        <v>1</v>
      </c>
      <c r="B66" s="5">
        <v>0</v>
      </c>
      <c r="C66" s="5">
        <f>IF(AND(B74&gt;B60,B74&lt;C60),B74,IF(B74&gt;=C60,C60,0))</f>
        <v>0</v>
      </c>
      <c r="D66" s="29">
        <f>MIN(D60,F60)</f>
        <v>0</v>
      </c>
      <c r="E66" s="29">
        <f>IF(AND(B$74&gt;B60,B$74&lt;C60),G60,IF(B$74&gt;=C60,D60,0))</f>
        <v>0</v>
      </c>
      <c r="F66" s="30">
        <f>(C66-B66)*(D66+E66)/2</f>
        <v>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IF(B$74&gt;B61,C66,0)</f>
        <v>0</v>
      </c>
      <c r="C67" s="5">
        <f>IF(AND(B$74&gt;B61,B$74&lt;C61),B$74,IF(B$74&gt;=C61,C61,0))</f>
        <v>0</v>
      </c>
      <c r="D67" s="29">
        <f>IF(B67&lt;&gt;0,E66,0)</f>
        <v>0</v>
      </c>
      <c r="E67" s="29">
        <f>IF(AND(B$74&gt;B61,B$74&lt;C61),G61,IF(B$74&gt;=C61,D61,0))</f>
        <v>0</v>
      </c>
      <c r="F67" s="30">
        <f t="shared" ref="F67:F69" si="8">(C67-B67)*(D67+E67)/2</f>
        <v>0</v>
      </c>
      <c r="H67" s="4">
        <v>2</v>
      </c>
      <c r="I67" s="5">
        <f>IF(MAX(I$60:I$62)&gt;B61,C60,0)</f>
        <v>50</v>
      </c>
      <c r="J67" s="5">
        <f>IF(AND(MAX(I$60:I$62)&gt;B61,MAX(I$60:I$62)&lt;C61),MAX(I$60:I$62),IF(MAX(I$60:I$62)&gt;=C61,C61,0))</f>
        <v>75</v>
      </c>
      <c r="K67" s="29">
        <f>IF(I67&lt;&gt;0,L66,0)</f>
        <v>20</v>
      </c>
      <c r="L67" s="29">
        <f t="shared" ref="L67:L69" si="9">IF(AND(MAX(I$60:I$62)&gt;B61,MAX(I$60:I$62)&lt;C61),K61,IF(MAX(I$60:I$62)&gt;=C61,D61,0))</f>
        <v>25</v>
      </c>
      <c r="M67" s="30">
        <f t="shared" ref="M67:M69" si="10">(J67-I67)*(K67+L67)/2</f>
        <v>562.5</v>
      </c>
      <c r="O67" s="4">
        <v>2</v>
      </c>
      <c r="P67" s="5">
        <f>IF(B$81&gt;B61,Q66,0)</f>
        <v>50</v>
      </c>
      <c r="Q67" s="5">
        <f t="shared" ref="Q67:Q69" si="11">IF(AND(B$81&gt;B61,B$81&lt;C61),B$81,IF(B$81&gt;=C61,C61,0))</f>
        <v>75</v>
      </c>
      <c r="R67" s="29">
        <f>IF(P67&lt;&gt;0,S66,0)</f>
        <v>20</v>
      </c>
      <c r="S67" s="29">
        <f t="shared" ref="S67:S69" si="12">IF(AND(B$81&gt;B61,B$81&lt;C61),N61,IF(B$81&gt;=C61,D61,0))</f>
        <v>25</v>
      </c>
      <c r="T67" s="30">
        <f t="shared" ref="T67:T69" si="13">(Q67-P67)*(R67+S67)/2</f>
        <v>562.5</v>
      </c>
    </row>
    <row r="68" spans="1:20" x14ac:dyDescent="0.25">
      <c r="A68" s="4">
        <v>3</v>
      </c>
      <c r="B68" s="5">
        <f>IF(B$74&gt;B62,C67,0)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75</v>
      </c>
      <c r="Q68" s="5">
        <f t="shared" si="11"/>
        <v>100</v>
      </c>
      <c r="R68" s="29">
        <f>IF(P68&lt;&gt;0,S67,0)</f>
        <v>25</v>
      </c>
      <c r="S68" s="29">
        <f t="shared" si="12"/>
        <v>30</v>
      </c>
      <c r="T68" s="30">
        <f t="shared" si="13"/>
        <v>687.5</v>
      </c>
    </row>
    <row r="69" spans="1:20" x14ac:dyDescent="0.25">
      <c r="A69" s="4">
        <v>4</v>
      </c>
      <c r="B69" s="5">
        <f>IF(B$74&gt;B63,C68,0)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0</v>
      </c>
      <c r="H70" s="24"/>
      <c r="I70" s="18"/>
      <c r="J70" s="18"/>
      <c r="K70" s="21"/>
      <c r="L70" s="21"/>
      <c r="M70" s="31">
        <f>SUM(M66:M69)</f>
        <v>1562.5</v>
      </c>
      <c r="O70" s="24"/>
      <c r="P70" s="18"/>
      <c r="Q70" s="18"/>
      <c r="R70" s="21"/>
      <c r="S70" s="21"/>
      <c r="T70" s="31">
        <f>SUM(T66:T69)</f>
        <v>2250</v>
      </c>
    </row>
    <row r="71" spans="1:20" ht="15.75" thickBot="1" x14ac:dyDescent="0.3"/>
    <row r="72" spans="1:20" ht="15.75" customHeight="1" thickBot="1" x14ac:dyDescent="0.3">
      <c r="A72" s="68" t="s">
        <v>37</v>
      </c>
      <c r="E72" s="277" t="s">
        <v>44</v>
      </c>
      <c r="F72" s="278"/>
      <c r="G72" s="278"/>
      <c r="H72" s="278"/>
      <c r="I72" s="278"/>
      <c r="J72" s="278"/>
      <c r="K72" s="278"/>
      <c r="L72" s="278"/>
      <c r="M72" s="279"/>
      <c r="O72" s="274" t="s">
        <v>42</v>
      </c>
      <c r="P72" s="275"/>
      <c r="Q72" s="275"/>
      <c r="R72" s="275"/>
      <c r="S72" s="275"/>
      <c r="T72" s="276"/>
    </row>
    <row r="73" spans="1:20" ht="15.75" thickBot="1" x14ac:dyDescent="0.3">
      <c r="A73" s="263" t="s">
        <v>10</v>
      </c>
      <c r="B73" s="264"/>
      <c r="E73" s="227" t="s">
        <v>11</v>
      </c>
      <c r="F73" s="228"/>
      <c r="G73" s="228"/>
      <c r="H73" s="228"/>
      <c r="I73" s="228"/>
      <c r="J73" s="228"/>
      <c r="K73" s="228"/>
      <c r="L73" s="228"/>
      <c r="M73" s="229"/>
      <c r="O73" s="280" t="s">
        <v>11</v>
      </c>
      <c r="P73" s="281"/>
      <c r="Q73" s="281"/>
      <c r="R73" s="281"/>
      <c r="S73" s="281"/>
      <c r="T73" s="282"/>
    </row>
    <row r="74" spans="1:20" x14ac:dyDescent="0.25">
      <c r="A74" s="4" t="s">
        <v>5</v>
      </c>
      <c r="B74" s="13">
        <v>0</v>
      </c>
      <c r="E74" s="261" t="s">
        <v>12</v>
      </c>
      <c r="F74" s="262"/>
      <c r="G74" s="262"/>
      <c r="H74" s="262"/>
      <c r="I74" s="99"/>
      <c r="J74" s="10"/>
      <c r="K74" s="10"/>
      <c r="L74" s="10"/>
      <c r="M74" s="26"/>
      <c r="O74" s="16" t="s">
        <v>12</v>
      </c>
      <c r="P74" s="29"/>
      <c r="Q74" s="5"/>
      <c r="R74" s="5"/>
      <c r="S74" s="5"/>
      <c r="T74" s="13"/>
    </row>
    <row r="75" spans="1:20" ht="15.75" thickBot="1" x14ac:dyDescent="0.3">
      <c r="A75" s="17" t="s">
        <v>13</v>
      </c>
      <c r="B75" s="19">
        <v>0</v>
      </c>
      <c r="E75" s="240" t="s">
        <v>14</v>
      </c>
      <c r="F75" s="241"/>
      <c r="G75" s="241"/>
      <c r="H75" s="241"/>
      <c r="I75" s="42">
        <f>B74*B75</f>
        <v>0</v>
      </c>
      <c r="J75" s="5"/>
      <c r="K75" s="5"/>
      <c r="L75" s="5"/>
      <c r="M75" s="13"/>
      <c r="O75" s="245" t="s">
        <v>14</v>
      </c>
      <c r="P75" s="246"/>
      <c r="Q75" s="246"/>
      <c r="R75" s="246"/>
      <c r="S75" s="246"/>
      <c r="T75" s="56">
        <f>I75</f>
        <v>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240" t="s">
        <v>15</v>
      </c>
      <c r="F78" s="241"/>
      <c r="G78" s="241"/>
      <c r="H78" s="241"/>
      <c r="I78" s="43">
        <f>M79</f>
        <v>0</v>
      </c>
      <c r="J78" s="5"/>
      <c r="K78" s="35" t="s">
        <v>16</v>
      </c>
      <c r="L78" s="36">
        <f>F70</f>
        <v>0</v>
      </c>
      <c r="M78" s="105" t="s">
        <v>17</v>
      </c>
      <c r="O78" s="245" t="s">
        <v>15</v>
      </c>
      <c r="P78" s="246"/>
      <c r="Q78" s="246"/>
      <c r="R78" s="246"/>
      <c r="S78" s="246"/>
      <c r="T78" s="88">
        <f>I78</f>
        <v>0</v>
      </c>
    </row>
    <row r="79" spans="1:20" ht="15.75" thickBot="1" x14ac:dyDescent="0.3">
      <c r="A79" s="68" t="s">
        <v>37</v>
      </c>
      <c r="E79" s="85"/>
      <c r="F79" s="86"/>
      <c r="G79" s="86"/>
      <c r="H79" s="86"/>
      <c r="I79" s="5"/>
      <c r="J79" s="5"/>
      <c r="K79" s="37" t="s">
        <v>18</v>
      </c>
      <c r="L79" s="38">
        <f>I75</f>
        <v>0</v>
      </c>
      <c r="M79" s="39">
        <f>MAX(L78-L79,0)</f>
        <v>0</v>
      </c>
      <c r="O79" s="16"/>
      <c r="P79" s="5"/>
      <c r="Q79" s="5"/>
      <c r="R79" s="5"/>
      <c r="S79" s="5"/>
      <c r="T79" s="13"/>
    </row>
    <row r="80" spans="1:20" x14ac:dyDescent="0.25">
      <c r="A80" s="263" t="s">
        <v>22</v>
      </c>
      <c r="B80" s="264"/>
      <c r="E80" s="240" t="str">
        <f>"DA Incremental Cost @ DA MW ("&amp;$B74&amp;" MW)"</f>
        <v>DA Incremental Cost @ DA MW (0 MW)</v>
      </c>
      <c r="F80" s="241"/>
      <c r="G80" s="241"/>
      <c r="H80" s="241"/>
      <c r="I80" s="44">
        <f>F70</f>
        <v>0</v>
      </c>
      <c r="J80" s="5"/>
      <c r="K80" s="29"/>
      <c r="L80" s="5"/>
      <c r="M80" s="13"/>
      <c r="O80" s="245" t="str">
        <f>"DA Incremental Cost @ DA MW ("&amp;$B74&amp;" MW)"</f>
        <v>DA Incremental Cost @ DA MW (0 MW)</v>
      </c>
      <c r="P80" s="246"/>
      <c r="Q80" s="246"/>
      <c r="R80" s="246"/>
      <c r="S80" s="246"/>
      <c r="T80" s="89">
        <f>I80</f>
        <v>0</v>
      </c>
    </row>
    <row r="81" spans="1:20" x14ac:dyDescent="0.25">
      <c r="A81" s="16" t="s">
        <v>43</v>
      </c>
      <c r="B81" s="13">
        <v>100</v>
      </c>
      <c r="E81" s="85"/>
      <c r="F81" s="86"/>
      <c r="G81" s="86"/>
      <c r="H81" s="86"/>
      <c r="I81" s="5"/>
      <c r="J81" s="5"/>
      <c r="K81" s="5"/>
      <c r="L81" s="29"/>
      <c r="M81" s="13"/>
      <c r="O81" s="16"/>
      <c r="P81" s="5"/>
      <c r="Q81" s="5"/>
      <c r="R81" s="5"/>
      <c r="S81" s="5"/>
      <c r="T81" s="13"/>
    </row>
    <row r="82" spans="1:20" ht="15.75" thickBot="1" x14ac:dyDescent="0.3">
      <c r="A82" s="16" t="s">
        <v>13</v>
      </c>
      <c r="B82" s="6">
        <v>-100</v>
      </c>
      <c r="D82" s="32"/>
      <c r="E82" s="240" t="s">
        <v>19</v>
      </c>
      <c r="F82" s="241"/>
      <c r="G82" s="241"/>
      <c r="H82" s="241"/>
      <c r="I82" s="40">
        <f>I75+I78-I80</f>
        <v>0</v>
      </c>
      <c r="J82" s="5"/>
      <c r="K82" s="29"/>
      <c r="L82" s="45"/>
      <c r="M82" s="13"/>
      <c r="O82" s="245" t="s">
        <v>19</v>
      </c>
      <c r="P82" s="246"/>
      <c r="Q82" s="246"/>
      <c r="R82" s="246"/>
      <c r="S82" s="246"/>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75</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100</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75</v>
      </c>
      <c r="E86" s="227" t="s">
        <v>20</v>
      </c>
      <c r="F86" s="228"/>
      <c r="G86" s="228"/>
      <c r="H86" s="228"/>
      <c r="I86" s="228"/>
      <c r="J86" s="228"/>
      <c r="K86" s="228"/>
      <c r="L86" s="228"/>
      <c r="M86" s="229"/>
      <c r="O86" s="283" t="s">
        <v>20</v>
      </c>
      <c r="P86" s="284"/>
      <c r="Q86" s="284"/>
      <c r="R86" s="284"/>
      <c r="S86" s="284"/>
      <c r="T86" s="285"/>
    </row>
    <row r="87" spans="1:20" x14ac:dyDescent="0.25">
      <c r="E87" s="85" t="s">
        <v>12</v>
      </c>
      <c r="F87" s="86"/>
      <c r="G87" s="86"/>
      <c r="H87" s="86"/>
      <c r="I87" s="5"/>
      <c r="J87" s="5"/>
      <c r="K87" s="5"/>
      <c r="L87" s="5"/>
      <c r="M87" s="13"/>
      <c r="O87" s="16" t="s">
        <v>12</v>
      </c>
      <c r="P87" s="5"/>
      <c r="Q87" s="5"/>
      <c r="R87" s="5"/>
      <c r="S87" s="5"/>
      <c r="T87" s="13"/>
    </row>
    <row r="88" spans="1:20" x14ac:dyDescent="0.25">
      <c r="E88" s="240" t="s">
        <v>21</v>
      </c>
      <c r="F88" s="241"/>
      <c r="G88" s="241"/>
      <c r="H88" s="241"/>
      <c r="I88" s="29">
        <f>(B81-B74)*B82</f>
        <v>-10000</v>
      </c>
      <c r="J88" s="29"/>
      <c r="K88" s="29"/>
      <c r="L88" s="29"/>
      <c r="M88" s="13"/>
      <c r="O88" s="245" t="s">
        <v>21</v>
      </c>
      <c r="P88" s="246"/>
      <c r="Q88" s="246"/>
      <c r="R88" s="246"/>
      <c r="S88" s="246"/>
      <c r="T88" s="30">
        <f>I88</f>
        <v>-10000</v>
      </c>
    </row>
    <row r="89" spans="1:20" ht="15.75" thickBot="1" x14ac:dyDescent="0.3">
      <c r="E89" s="85"/>
      <c r="F89" s="86"/>
      <c r="G89" s="86"/>
      <c r="H89" s="86"/>
      <c r="I89" s="5"/>
      <c r="J89" s="5"/>
      <c r="K89" s="5"/>
      <c r="L89" s="5"/>
      <c r="M89" s="30"/>
      <c r="O89" s="16"/>
      <c r="P89" s="5"/>
      <c r="Q89" s="5"/>
      <c r="R89" s="5"/>
      <c r="S89" s="5"/>
      <c r="T89" s="13"/>
    </row>
    <row r="90" spans="1:20" x14ac:dyDescent="0.25">
      <c r="E90" s="240" t="s">
        <v>23</v>
      </c>
      <c r="F90" s="241"/>
      <c r="G90" s="241"/>
      <c r="H90" s="241"/>
      <c r="I90" s="29">
        <f>MAX(M95*-1,0)</f>
        <v>11562.5</v>
      </c>
      <c r="J90" s="29"/>
      <c r="K90" s="256" t="s">
        <v>30</v>
      </c>
      <c r="L90" s="257"/>
      <c r="M90" s="258"/>
      <c r="O90" s="245" t="s">
        <v>23</v>
      </c>
      <c r="P90" s="246"/>
      <c r="Q90" s="246"/>
      <c r="R90" s="246"/>
      <c r="S90" s="246"/>
      <c r="T90" s="30">
        <f>I90</f>
        <v>11562.5</v>
      </c>
    </row>
    <row r="91" spans="1:20" x14ac:dyDescent="0.25">
      <c r="E91" s="92"/>
      <c r="F91" s="67"/>
      <c r="G91" s="67"/>
      <c r="H91" s="67"/>
      <c r="I91" s="76"/>
      <c r="J91" s="76"/>
      <c r="K91" s="259" t="s">
        <v>24</v>
      </c>
      <c r="L91" s="260"/>
      <c r="M91" s="56">
        <f>I75</f>
        <v>0</v>
      </c>
      <c r="O91" s="75"/>
      <c r="P91" s="76"/>
      <c r="Q91" s="76"/>
      <c r="R91" s="76"/>
      <c r="S91" s="76"/>
      <c r="T91" s="77"/>
    </row>
    <row r="92" spans="1:20" x14ac:dyDescent="0.25">
      <c r="E92" s="291" t="str">
        <f>"Incremental Cost @ RT MW Used ("&amp;$B86&amp;" MW)"</f>
        <v>Incremental Cost @ RT MW Used (75 MW)</v>
      </c>
      <c r="F92" s="292"/>
      <c r="G92" s="292"/>
      <c r="H92" s="292"/>
      <c r="I92" s="8">
        <f>M94</f>
        <v>1562.5</v>
      </c>
      <c r="J92" s="8"/>
      <c r="K92" s="259" t="s">
        <v>17</v>
      </c>
      <c r="L92" s="260"/>
      <c r="M92" s="56">
        <f>I78</f>
        <v>0</v>
      </c>
      <c r="O92" s="245" t="str">
        <f>"Incremental Cost @ Actual RT MW ("&amp;$B81&amp;" MW)"</f>
        <v>Incremental Cost @ Actual RT MW (100 MW)</v>
      </c>
      <c r="P92" s="246"/>
      <c r="Q92" s="246"/>
      <c r="R92" s="246"/>
      <c r="S92" s="246"/>
      <c r="T92" s="6">
        <f>T70</f>
        <v>2250</v>
      </c>
    </row>
    <row r="93" spans="1:20" x14ac:dyDescent="0.25">
      <c r="E93" s="93"/>
      <c r="F93" s="100"/>
      <c r="G93" s="100"/>
      <c r="H93" s="100"/>
      <c r="I93" s="48"/>
      <c r="J93" s="48"/>
      <c r="K93" s="289" t="s">
        <v>25</v>
      </c>
      <c r="L93" s="290"/>
      <c r="M93" s="30">
        <f>(B85-B74)*B82</f>
        <v>-10000</v>
      </c>
      <c r="O93" s="47"/>
      <c r="P93" s="87"/>
      <c r="Q93" s="87"/>
      <c r="R93" s="87"/>
      <c r="S93" s="87"/>
      <c r="T93" s="90"/>
    </row>
    <row r="94" spans="1:20" ht="15.75" thickBot="1" x14ac:dyDescent="0.3">
      <c r="E94" s="287" t="s">
        <v>26</v>
      </c>
      <c r="F94" s="288"/>
      <c r="G94" s="288"/>
      <c r="H94" s="288"/>
      <c r="I94" s="50">
        <f>I75+I78+I88+I90-I92</f>
        <v>0</v>
      </c>
      <c r="J94" s="104"/>
      <c r="K94" s="245" t="s">
        <v>46</v>
      </c>
      <c r="L94" s="246"/>
      <c r="M94" s="30">
        <f>M70</f>
        <v>1562.5</v>
      </c>
      <c r="O94" s="245" t="s">
        <v>26</v>
      </c>
      <c r="P94" s="246"/>
      <c r="Q94" s="246"/>
      <c r="R94" s="246"/>
      <c r="S94" s="246"/>
      <c r="T94" s="91">
        <f>T75+T78+T88+T90-T92</f>
        <v>-687.5</v>
      </c>
    </row>
    <row r="95" spans="1:20" ht="29.25" customHeight="1" thickTop="1" thickBot="1" x14ac:dyDescent="0.3">
      <c r="E95" s="49"/>
      <c r="F95" s="8"/>
      <c r="G95" s="8"/>
      <c r="H95" s="8"/>
      <c r="I95" s="8"/>
      <c r="J95" s="8"/>
      <c r="K95" s="247" t="s">
        <v>70</v>
      </c>
      <c r="L95" s="248"/>
      <c r="M95" s="103">
        <f>M91+M92+M93-M94</f>
        <v>-11562.5</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78"/>
      <c r="E106" s="54"/>
      <c r="F106" s="54"/>
      <c r="G106" s="78"/>
      <c r="H106" s="53"/>
      <c r="I106" s="55"/>
      <c r="J106" s="53"/>
      <c r="K106" s="53"/>
      <c r="L106" s="53"/>
      <c r="M106" s="53"/>
      <c r="N106" s="53"/>
      <c r="O106" s="53"/>
      <c r="P106" s="53"/>
      <c r="Q106" s="53"/>
      <c r="R106" s="53"/>
      <c r="S106" s="53"/>
      <c r="T106" s="53"/>
    </row>
    <row r="107" spans="1:23" x14ac:dyDescent="0.25">
      <c r="A107" s="295" t="s">
        <v>54</v>
      </c>
      <c r="B107" s="295"/>
      <c r="C107" s="295"/>
      <c r="D107" s="295"/>
      <c r="E107" s="295"/>
      <c r="F107" s="295"/>
      <c r="G107" s="295"/>
      <c r="H107" s="295"/>
      <c r="I107" s="295"/>
      <c r="J107" s="295"/>
      <c r="K107" s="295"/>
      <c r="L107" s="295"/>
      <c r="M107" s="295"/>
      <c r="N107" s="295"/>
      <c r="O107" s="295"/>
      <c r="P107" s="295"/>
      <c r="Q107" s="295"/>
      <c r="R107" s="295"/>
      <c r="S107" s="295"/>
      <c r="T107" s="295"/>
    </row>
    <row r="108" spans="1:23" s="83" customFormat="1" ht="15.75" thickBot="1" x14ac:dyDescent="0.3">
      <c r="A108" s="296"/>
      <c r="B108" s="296"/>
      <c r="C108" s="296"/>
      <c r="D108" s="296"/>
      <c r="E108" s="296"/>
      <c r="F108" s="296"/>
      <c r="G108" s="296"/>
      <c r="H108" s="296"/>
      <c r="I108" s="296"/>
      <c r="J108" s="296"/>
      <c r="K108" s="296"/>
      <c r="L108" s="296"/>
      <c r="M108" s="296"/>
      <c r="N108" s="296"/>
      <c r="O108" s="296"/>
      <c r="P108" s="296"/>
      <c r="Q108" s="296"/>
      <c r="R108" s="296"/>
      <c r="S108" s="296"/>
      <c r="T108" s="296"/>
      <c r="U108" s="95"/>
      <c r="V108" s="95"/>
      <c r="W108" s="95"/>
    </row>
    <row r="109" spans="1:23" ht="15.75" thickBot="1" x14ac:dyDescent="0.3">
      <c r="A109" s="250" t="s">
        <v>0</v>
      </c>
      <c r="B109" s="251"/>
      <c r="C109" s="251"/>
      <c r="D109" s="252"/>
      <c r="E109" s="235" t="s">
        <v>1</v>
      </c>
      <c r="F109" s="236"/>
      <c r="G109" s="249"/>
      <c r="H109" s="227" t="s">
        <v>2</v>
      </c>
      <c r="I109" s="228"/>
      <c r="J109" s="228"/>
      <c r="K109" s="229"/>
      <c r="L109" s="227" t="s">
        <v>32</v>
      </c>
      <c r="M109" s="228"/>
      <c r="N109" s="229"/>
    </row>
    <row r="110" spans="1:23" ht="60.75" customHeight="1" thickBot="1" x14ac:dyDescent="0.3">
      <c r="A110" s="80" t="s">
        <v>3</v>
      </c>
      <c r="B110" s="96" t="s">
        <v>33</v>
      </c>
      <c r="C110" s="96" t="s">
        <v>34</v>
      </c>
      <c r="D110" s="81" t="s">
        <v>4</v>
      </c>
      <c r="E110" s="80" t="s">
        <v>5</v>
      </c>
      <c r="F110" s="96" t="s">
        <v>6</v>
      </c>
      <c r="G110" s="97" t="s">
        <v>7</v>
      </c>
      <c r="H110" s="69" t="s">
        <v>38</v>
      </c>
      <c r="I110" s="65" t="s">
        <v>8</v>
      </c>
      <c r="J110" s="65" t="s">
        <v>6</v>
      </c>
      <c r="K110" s="66" t="s">
        <v>7</v>
      </c>
      <c r="L110" s="79" t="s">
        <v>5</v>
      </c>
      <c r="M110" s="65" t="s">
        <v>49</v>
      </c>
      <c r="N110" s="66" t="s">
        <v>47</v>
      </c>
    </row>
    <row r="111" spans="1:23" x14ac:dyDescent="0.25">
      <c r="A111" s="4">
        <v>1</v>
      </c>
      <c r="B111" s="5">
        <v>0</v>
      </c>
      <c r="C111" s="5">
        <v>50</v>
      </c>
      <c r="D111" s="6">
        <v>20</v>
      </c>
      <c r="E111" s="7">
        <f>IF(AND(B$74&gt;B111,B$74&lt;=C111),B$74,0)</f>
        <v>0</v>
      </c>
      <c r="F111" s="8">
        <f>IF(B125&gt;0,D111,0)</f>
        <v>0</v>
      </c>
      <c r="G111" s="8">
        <f>IF(E111&gt;0,IF(E111=B111,D111,IF(AND(E111&gt;B111,E111&lt;=C111),D111+(E111-B111)*((D111-D111)/(C111-B111)),0)),0)</f>
        <v>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0</v>
      </c>
      <c r="M111" s="9">
        <f>IF(B132&gt;0,D111,0)</f>
        <v>20</v>
      </c>
      <c r="N111" s="11">
        <f>IF(L111&gt;0,IF(L111=B111,D111,IF(AND(L111&gt;B111,L111&lt;=C111),D111+(L111-B111)*((D111-D111)/(C111-B111)),0)),0)</f>
        <v>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100</v>
      </c>
      <c r="M113" s="21">
        <v>0</v>
      </c>
      <c r="N113" s="19">
        <f>IF(L113&gt;0,IF(L113=B113,D113,IF(AND(L113&gt;B113,L113&lt;=C113),D113+(L113-B113)*((D113-D113)/(C113-B113)),0)),0)</f>
        <v>30</v>
      </c>
    </row>
    <row r="114" spans="1:20" ht="15.75" thickBot="1" x14ac:dyDescent="0.3">
      <c r="J114" s="25"/>
    </row>
    <row r="115" spans="1:20" ht="15.75" thickBot="1" x14ac:dyDescent="0.3">
      <c r="A115" s="235" t="s">
        <v>1</v>
      </c>
      <c r="B115" s="236"/>
      <c r="C115" s="10"/>
      <c r="D115" s="10"/>
      <c r="E115" s="10"/>
      <c r="F115" s="26"/>
      <c r="H115" s="235" t="s">
        <v>9</v>
      </c>
      <c r="I115" s="236"/>
      <c r="J115" s="236"/>
      <c r="K115" s="236"/>
      <c r="L115" s="236"/>
      <c r="M115" s="249"/>
      <c r="O115" s="235" t="s">
        <v>31</v>
      </c>
      <c r="P115" s="236"/>
      <c r="Q115" s="236"/>
      <c r="R115" s="236"/>
      <c r="S115" s="236"/>
      <c r="T115" s="249"/>
    </row>
    <row r="116" spans="1:20" ht="30.75" thickBot="1" x14ac:dyDescent="0.3">
      <c r="A116" s="106" t="s">
        <v>3</v>
      </c>
      <c r="B116" s="96" t="s">
        <v>33</v>
      </c>
      <c r="C116" s="96" t="s">
        <v>34</v>
      </c>
      <c r="D116" s="96" t="s">
        <v>49</v>
      </c>
      <c r="E116" s="96" t="s">
        <v>47</v>
      </c>
      <c r="F116" s="97" t="s">
        <v>48</v>
      </c>
      <c r="H116" s="106" t="s">
        <v>3</v>
      </c>
      <c r="I116" s="96" t="s">
        <v>50</v>
      </c>
      <c r="J116" s="96" t="s">
        <v>51</v>
      </c>
      <c r="K116" s="96" t="s">
        <v>49</v>
      </c>
      <c r="L116" s="96" t="s">
        <v>47</v>
      </c>
      <c r="M116" s="97" t="s">
        <v>48</v>
      </c>
      <c r="O116" s="106" t="s">
        <v>3</v>
      </c>
      <c r="P116" s="96" t="s">
        <v>33</v>
      </c>
      <c r="Q116" s="96" t="s">
        <v>34</v>
      </c>
      <c r="R116" s="96" t="s">
        <v>49</v>
      </c>
      <c r="S116" s="96" t="s">
        <v>47</v>
      </c>
      <c r="T116" s="97" t="s">
        <v>48</v>
      </c>
    </row>
    <row r="117" spans="1:20" x14ac:dyDescent="0.25">
      <c r="A117" s="4">
        <v>1</v>
      </c>
      <c r="B117" s="5">
        <v>0</v>
      </c>
      <c r="C117" s="5">
        <f>IF(AND(B125&gt;B111,B125&lt;C111),B125,IF(B125&gt;=C111,C111,0))</f>
        <v>0</v>
      </c>
      <c r="D117" s="29">
        <f>MIN(D111,F111)</f>
        <v>0</v>
      </c>
      <c r="E117" s="29">
        <f>IF(AND(B$125&gt;B111,B$125&lt;C111),G111,IF(B$125&gt;=C111,D111,0))</f>
        <v>0</v>
      </c>
      <c r="F117" s="30">
        <f>(C117-B117)*(D117+E117)/2</f>
        <v>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IF(B$125&gt;B112,C117,0)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50</v>
      </c>
      <c r="Q118" s="5">
        <f t="shared" ref="Q118:Q120" si="23">IF(AND(B$132&gt;B112,B$132&lt;C112),B$132,IF(B$132&gt;=C112,C112,0))</f>
        <v>75</v>
      </c>
      <c r="R118" s="29">
        <f>IF(P118&lt;&gt;0,S117,0)</f>
        <v>20</v>
      </c>
      <c r="S118" s="29">
        <f t="shared" ref="S118:S119" si="24">IF(AND(B$132&gt;B112,B$132&lt;C112),N112,IF(B$132&gt;=C112,D112,0))</f>
        <v>25</v>
      </c>
      <c r="T118" s="30">
        <f t="shared" ref="T118:T120" si="25">(Q118-P118)*(R118+S118)/2</f>
        <v>562.5</v>
      </c>
    </row>
    <row r="119" spans="1:20" x14ac:dyDescent="0.25">
      <c r="A119" s="4">
        <v>3</v>
      </c>
      <c r="B119" s="5">
        <f>IF(B$125&gt;B113,C118,0)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75</v>
      </c>
      <c r="Q119" s="5">
        <f t="shared" si="23"/>
        <v>100</v>
      </c>
      <c r="R119" s="29">
        <f>IF(P119&lt;&gt;0,S118,0)</f>
        <v>25</v>
      </c>
      <c r="S119" s="29">
        <f t="shared" si="24"/>
        <v>30</v>
      </c>
      <c r="T119" s="30">
        <f t="shared" si="25"/>
        <v>687.5</v>
      </c>
    </row>
    <row r="120" spans="1:20" x14ac:dyDescent="0.25">
      <c r="A120" s="4">
        <v>4</v>
      </c>
      <c r="B120" s="5">
        <f>IF(B$125&gt;B114,C119,0)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0</v>
      </c>
      <c r="H121" s="24"/>
      <c r="I121" s="18"/>
      <c r="J121" s="18"/>
      <c r="K121" s="21"/>
      <c r="L121" s="21"/>
      <c r="M121" s="31">
        <f>SUM(M117:M120)</f>
        <v>1000</v>
      </c>
      <c r="O121" s="24"/>
      <c r="P121" s="18"/>
      <c r="Q121" s="18"/>
      <c r="R121" s="21"/>
      <c r="S121" s="21"/>
      <c r="T121" s="31">
        <f>SUM(T117:T120)</f>
        <v>2250</v>
      </c>
    </row>
    <row r="122" spans="1:20" ht="15.75" thickBot="1" x14ac:dyDescent="0.3"/>
    <row r="123" spans="1:20" ht="15.75" customHeight="1" thickBot="1" x14ac:dyDescent="0.3">
      <c r="A123" s="68" t="s">
        <v>37</v>
      </c>
      <c r="E123" s="277" t="s">
        <v>44</v>
      </c>
      <c r="F123" s="278"/>
      <c r="G123" s="278"/>
      <c r="H123" s="278"/>
      <c r="I123" s="278"/>
      <c r="J123" s="278"/>
      <c r="K123" s="278"/>
      <c r="L123" s="278"/>
      <c r="M123" s="279"/>
      <c r="O123" s="274" t="s">
        <v>42</v>
      </c>
      <c r="P123" s="275"/>
      <c r="Q123" s="275"/>
      <c r="R123" s="275"/>
      <c r="S123" s="275"/>
      <c r="T123" s="276"/>
    </row>
    <row r="124" spans="1:20" ht="15.75" thickBot="1" x14ac:dyDescent="0.3">
      <c r="A124" s="263" t="s">
        <v>10</v>
      </c>
      <c r="B124" s="264"/>
      <c r="E124" s="227" t="s">
        <v>11</v>
      </c>
      <c r="F124" s="228"/>
      <c r="G124" s="228"/>
      <c r="H124" s="228"/>
      <c r="I124" s="228"/>
      <c r="J124" s="228"/>
      <c r="K124" s="228"/>
      <c r="L124" s="228"/>
      <c r="M124" s="229"/>
      <c r="O124" s="280" t="s">
        <v>11</v>
      </c>
      <c r="P124" s="281"/>
      <c r="Q124" s="281"/>
      <c r="R124" s="281"/>
      <c r="S124" s="281"/>
      <c r="T124" s="282"/>
    </row>
    <row r="125" spans="1:20" x14ac:dyDescent="0.25">
      <c r="A125" s="4" t="s">
        <v>5</v>
      </c>
      <c r="B125" s="13">
        <v>0</v>
      </c>
      <c r="E125" s="261" t="s">
        <v>12</v>
      </c>
      <c r="F125" s="262"/>
      <c r="G125" s="262"/>
      <c r="H125" s="262"/>
      <c r="I125" s="99"/>
      <c r="J125" s="10"/>
      <c r="K125" s="10"/>
      <c r="L125" s="10"/>
      <c r="M125" s="26"/>
      <c r="O125" s="16" t="s">
        <v>12</v>
      </c>
      <c r="P125" s="29"/>
      <c r="Q125" s="5"/>
      <c r="R125" s="5"/>
      <c r="S125" s="5"/>
      <c r="T125" s="13"/>
    </row>
    <row r="126" spans="1:20" ht="15.75" thickBot="1" x14ac:dyDescent="0.3">
      <c r="A126" s="17" t="s">
        <v>13</v>
      </c>
      <c r="B126" s="19">
        <v>0</v>
      </c>
      <c r="E126" s="240" t="s">
        <v>14</v>
      </c>
      <c r="F126" s="241"/>
      <c r="G126" s="241"/>
      <c r="H126" s="241"/>
      <c r="I126" s="42">
        <f>B125*B126</f>
        <v>0</v>
      </c>
      <c r="J126" s="5"/>
      <c r="K126" s="5"/>
      <c r="L126" s="5"/>
      <c r="M126" s="13"/>
      <c r="O126" s="245" t="s">
        <v>14</v>
      </c>
      <c r="P126" s="246"/>
      <c r="Q126" s="246"/>
      <c r="R126" s="246"/>
      <c r="S126" s="246"/>
      <c r="T126" s="56">
        <f>I126</f>
        <v>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240" t="s">
        <v>15</v>
      </c>
      <c r="F129" s="241"/>
      <c r="G129" s="241"/>
      <c r="H129" s="241"/>
      <c r="I129" s="43">
        <f>M130</f>
        <v>0</v>
      </c>
      <c r="J129" s="5"/>
      <c r="K129" s="35" t="s">
        <v>16</v>
      </c>
      <c r="L129" s="36">
        <f>F121</f>
        <v>0</v>
      </c>
      <c r="M129" s="105" t="s">
        <v>17</v>
      </c>
      <c r="O129" s="245" t="s">
        <v>15</v>
      </c>
      <c r="P129" s="246"/>
      <c r="Q129" s="246"/>
      <c r="R129" s="246"/>
      <c r="S129" s="246"/>
      <c r="T129" s="88">
        <f>I129</f>
        <v>0</v>
      </c>
    </row>
    <row r="130" spans="1:20" ht="15.75" thickBot="1" x14ac:dyDescent="0.3">
      <c r="A130" s="68" t="s">
        <v>37</v>
      </c>
      <c r="E130" s="85"/>
      <c r="F130" s="86"/>
      <c r="G130" s="86"/>
      <c r="H130" s="86"/>
      <c r="I130" s="5"/>
      <c r="J130" s="5"/>
      <c r="K130" s="37" t="s">
        <v>18</v>
      </c>
      <c r="L130" s="38">
        <f>I126</f>
        <v>0</v>
      </c>
      <c r="M130" s="39">
        <f>MAX(L129-L130,0)</f>
        <v>0</v>
      </c>
      <c r="O130" s="16"/>
      <c r="P130" s="5"/>
      <c r="Q130" s="5"/>
      <c r="R130" s="5"/>
      <c r="S130" s="5"/>
      <c r="T130" s="13"/>
    </row>
    <row r="131" spans="1:20" x14ac:dyDescent="0.25">
      <c r="A131" s="263" t="s">
        <v>22</v>
      </c>
      <c r="B131" s="264"/>
      <c r="E131" s="240" t="str">
        <f>"DA Incremental Cost @ DA MW ("&amp;$B125&amp;" MW)"</f>
        <v>DA Incremental Cost @ DA MW (0 MW)</v>
      </c>
      <c r="F131" s="241"/>
      <c r="G131" s="241"/>
      <c r="H131" s="241"/>
      <c r="I131" s="44">
        <f>F121</f>
        <v>0</v>
      </c>
      <c r="J131" s="5"/>
      <c r="K131" s="29"/>
      <c r="L131" s="5"/>
      <c r="M131" s="13"/>
      <c r="O131" s="245" t="str">
        <f>"DA Incremental Cost @ DA MW ("&amp;$B125&amp;" MW)"</f>
        <v>DA Incremental Cost @ DA MW (0 MW)</v>
      </c>
      <c r="P131" s="246"/>
      <c r="Q131" s="246"/>
      <c r="R131" s="246"/>
      <c r="S131" s="246"/>
      <c r="T131" s="89">
        <f>I131</f>
        <v>0</v>
      </c>
    </row>
    <row r="132" spans="1:20" x14ac:dyDescent="0.25">
      <c r="A132" s="16" t="s">
        <v>43</v>
      </c>
      <c r="B132" s="13">
        <v>100</v>
      </c>
      <c r="E132" s="85"/>
      <c r="F132" s="86"/>
      <c r="G132" s="86"/>
      <c r="H132" s="86"/>
      <c r="I132" s="5"/>
      <c r="J132" s="5"/>
      <c r="K132" s="5"/>
      <c r="L132" s="29"/>
      <c r="M132" s="13"/>
      <c r="O132" s="16"/>
      <c r="P132" s="5"/>
      <c r="Q132" s="5"/>
      <c r="R132" s="5"/>
      <c r="S132" s="5"/>
      <c r="T132" s="13"/>
    </row>
    <row r="133" spans="1:20" ht="15.75" thickBot="1" x14ac:dyDescent="0.3">
      <c r="A133" s="16" t="s">
        <v>13</v>
      </c>
      <c r="B133" s="6">
        <v>-100</v>
      </c>
      <c r="D133" s="32"/>
      <c r="E133" s="240" t="s">
        <v>19</v>
      </c>
      <c r="F133" s="241"/>
      <c r="G133" s="241"/>
      <c r="H133" s="241"/>
      <c r="I133" s="40">
        <f>I126+I129-I131</f>
        <v>0</v>
      </c>
      <c r="J133" s="5"/>
      <c r="K133" s="29"/>
      <c r="L133" s="45"/>
      <c r="M133" s="13"/>
      <c r="O133" s="245" t="s">
        <v>19</v>
      </c>
      <c r="P133" s="246"/>
      <c r="Q133" s="246"/>
      <c r="R133" s="246"/>
      <c r="S133" s="246"/>
      <c r="T133" s="31">
        <f>T126+T129-T131</f>
        <v>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75</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50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227" t="s">
        <v>20</v>
      </c>
      <c r="F137" s="228"/>
      <c r="G137" s="228"/>
      <c r="H137" s="228"/>
      <c r="I137" s="228"/>
      <c r="J137" s="228"/>
      <c r="K137" s="228"/>
      <c r="L137" s="228"/>
      <c r="M137" s="229"/>
      <c r="O137" s="283" t="s">
        <v>20</v>
      </c>
      <c r="P137" s="284"/>
      <c r="Q137" s="284"/>
      <c r="R137" s="284"/>
      <c r="S137" s="284"/>
      <c r="T137" s="285"/>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240" t="s">
        <v>21</v>
      </c>
      <c r="F139" s="241"/>
      <c r="G139" s="241"/>
      <c r="H139" s="241"/>
      <c r="I139" s="29">
        <f>(B132-B125)*B133</f>
        <v>-10000</v>
      </c>
      <c r="J139" s="29"/>
      <c r="K139" s="29"/>
      <c r="L139" s="29"/>
      <c r="M139" s="13"/>
      <c r="O139" s="245" t="s">
        <v>21</v>
      </c>
      <c r="P139" s="246"/>
      <c r="Q139" s="246"/>
      <c r="R139" s="246"/>
      <c r="S139" s="246"/>
      <c r="T139" s="30">
        <f>I139</f>
        <v>-10000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240" t="s">
        <v>23</v>
      </c>
      <c r="F141" s="241"/>
      <c r="G141" s="241"/>
      <c r="H141" s="241"/>
      <c r="I141" s="29">
        <f>MAX(M146*-1,0)</f>
        <v>6000</v>
      </c>
      <c r="J141" s="29"/>
      <c r="K141" s="256" t="s">
        <v>30</v>
      </c>
      <c r="L141" s="257"/>
      <c r="M141" s="258"/>
      <c r="O141" s="245" t="s">
        <v>23</v>
      </c>
      <c r="P141" s="246"/>
      <c r="Q141" s="246"/>
      <c r="R141" s="246"/>
      <c r="S141" s="246"/>
      <c r="T141" s="30">
        <f>I141</f>
        <v>6000</v>
      </c>
    </row>
    <row r="142" spans="1:20" x14ac:dyDescent="0.25">
      <c r="E142" s="92"/>
      <c r="F142" s="67"/>
      <c r="G142" s="67"/>
      <c r="H142" s="67"/>
      <c r="I142" s="76"/>
      <c r="J142" s="76"/>
      <c r="K142" s="259" t="s">
        <v>24</v>
      </c>
      <c r="L142" s="260"/>
      <c r="M142" s="56">
        <f>I126</f>
        <v>0</v>
      </c>
      <c r="O142" s="75"/>
      <c r="P142" s="76"/>
      <c r="Q142" s="76"/>
      <c r="R142" s="76"/>
      <c r="S142" s="76"/>
      <c r="T142" s="77"/>
    </row>
    <row r="143" spans="1:20" x14ac:dyDescent="0.25">
      <c r="E143" s="291" t="str">
        <f>"Incremental Cost @ RT MW Used ("&amp;$B137&amp;" MW)"</f>
        <v>Incremental Cost @ RT MW Used (50 MW)</v>
      </c>
      <c r="F143" s="292"/>
      <c r="G143" s="292"/>
      <c r="H143" s="292"/>
      <c r="I143" s="8">
        <f>M145</f>
        <v>1000</v>
      </c>
      <c r="J143" s="8"/>
      <c r="K143" s="259" t="s">
        <v>17</v>
      </c>
      <c r="L143" s="260"/>
      <c r="M143" s="56">
        <f>I129</f>
        <v>0</v>
      </c>
      <c r="O143" s="245" t="str">
        <f>"Incremental Cost @ Actual RT MW ("&amp;$B132&amp;" MW)"</f>
        <v>Incremental Cost @ Actual RT MW (100 MW)</v>
      </c>
      <c r="P143" s="246"/>
      <c r="Q143" s="246"/>
      <c r="R143" s="246"/>
      <c r="S143" s="246"/>
      <c r="T143" s="6">
        <f>T121</f>
        <v>2250</v>
      </c>
    </row>
    <row r="144" spans="1:20" x14ac:dyDescent="0.25">
      <c r="E144" s="93"/>
      <c r="F144" s="100"/>
      <c r="G144" s="100"/>
      <c r="H144" s="100"/>
      <c r="I144" s="48"/>
      <c r="J144" s="48"/>
      <c r="K144" s="289" t="s">
        <v>25</v>
      </c>
      <c r="L144" s="290"/>
      <c r="M144" s="30">
        <f>(B136-B125)*B133</f>
        <v>-5000</v>
      </c>
      <c r="O144" s="47"/>
      <c r="P144" s="87"/>
      <c r="Q144" s="87"/>
      <c r="R144" s="87"/>
      <c r="S144" s="87"/>
      <c r="T144" s="90"/>
    </row>
    <row r="145" spans="4:20" ht="15.75" thickBot="1" x14ac:dyDescent="0.3">
      <c r="E145" s="287" t="s">
        <v>26</v>
      </c>
      <c r="F145" s="288"/>
      <c r="G145" s="288"/>
      <c r="H145" s="288"/>
      <c r="I145" s="50">
        <f>I126+I129+I139+I141-I143</f>
        <v>-5000</v>
      </c>
      <c r="J145" s="104"/>
      <c r="K145" s="245" t="s">
        <v>46</v>
      </c>
      <c r="L145" s="246"/>
      <c r="M145" s="30">
        <f>M121</f>
        <v>1000</v>
      </c>
      <c r="O145" s="245" t="s">
        <v>26</v>
      </c>
      <c r="P145" s="246"/>
      <c r="Q145" s="246"/>
      <c r="R145" s="246"/>
      <c r="S145" s="246"/>
      <c r="T145" s="91">
        <f>T126+T129+T139+T141-T143</f>
        <v>-6250</v>
      </c>
    </row>
    <row r="146" spans="4:20" ht="30" customHeight="1" thickTop="1" thickBot="1" x14ac:dyDescent="0.3">
      <c r="E146" s="49"/>
      <c r="F146" s="8"/>
      <c r="G146" s="8"/>
      <c r="H146" s="8"/>
      <c r="I146" s="8"/>
      <c r="J146" s="8"/>
      <c r="K146" s="247" t="s">
        <v>70</v>
      </c>
      <c r="L146" s="248"/>
      <c r="M146" s="103">
        <f>M142+M143+M144-M145</f>
        <v>-6000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row r="178" spans="1:27" ht="15" customHeight="1" x14ac:dyDescent="0.25">
      <c r="A178" s="286" t="s">
        <v>92</v>
      </c>
      <c r="B178" s="286"/>
      <c r="C178" s="286"/>
      <c r="D178" s="286"/>
      <c r="E178" s="286"/>
      <c r="F178" s="286"/>
      <c r="G178" s="286"/>
      <c r="H178" s="286"/>
      <c r="I178" s="286"/>
      <c r="J178" s="286"/>
      <c r="K178" s="286"/>
      <c r="L178" s="286"/>
      <c r="M178" s="286"/>
      <c r="N178" s="286"/>
      <c r="O178" s="286"/>
      <c r="P178" s="286"/>
      <c r="Q178" s="286"/>
      <c r="R178" s="286"/>
      <c r="S178" s="286"/>
      <c r="T178" s="286"/>
      <c r="U178" s="286"/>
      <c r="V178" s="286"/>
      <c r="W178" s="286"/>
      <c r="X178" s="286"/>
      <c r="Y178" s="286"/>
      <c r="Z178" s="286"/>
      <c r="AA178" s="286"/>
    </row>
    <row r="179" spans="1:27" ht="27" customHeight="1" thickBot="1" x14ac:dyDescent="0.3">
      <c r="A179" s="286"/>
      <c r="B179" s="286"/>
      <c r="C179" s="286"/>
      <c r="D179" s="286"/>
      <c r="E179" s="286"/>
      <c r="F179" s="286"/>
      <c r="G179" s="286"/>
      <c r="H179" s="286"/>
      <c r="I179" s="286"/>
      <c r="J179" s="286"/>
      <c r="K179" s="286"/>
      <c r="L179" s="286"/>
      <c r="M179" s="286"/>
      <c r="N179" s="286"/>
      <c r="O179" s="286"/>
      <c r="P179" s="286"/>
      <c r="Q179" s="286"/>
      <c r="R179" s="286"/>
      <c r="S179" s="286"/>
      <c r="T179" s="286"/>
      <c r="U179" s="286"/>
      <c r="V179" s="286"/>
      <c r="W179" s="286"/>
      <c r="X179" s="286"/>
      <c r="Y179" s="286"/>
      <c r="Z179" s="286"/>
      <c r="AA179" s="286"/>
    </row>
    <row r="180" spans="1:27" ht="15.75" thickBot="1" x14ac:dyDescent="0.3">
      <c r="A180" s="250" t="s">
        <v>0</v>
      </c>
      <c r="B180" s="251"/>
      <c r="C180" s="251"/>
      <c r="D180" s="252"/>
      <c r="E180" s="235" t="s">
        <v>1</v>
      </c>
      <c r="F180" s="236"/>
      <c r="G180" s="249"/>
      <c r="H180" s="227" t="s">
        <v>89</v>
      </c>
      <c r="I180" s="228"/>
      <c r="J180" s="228"/>
      <c r="K180" s="229"/>
      <c r="L180" s="227" t="s">
        <v>32</v>
      </c>
      <c r="M180" s="228"/>
      <c r="N180" s="229"/>
      <c r="O180" s="227" t="s">
        <v>71</v>
      </c>
      <c r="P180" s="228"/>
      <c r="Q180" s="229"/>
      <c r="R180" s="227"/>
      <c r="S180" s="228"/>
      <c r="T180" s="229"/>
    </row>
    <row r="181" spans="1:27" ht="45.75" thickBot="1" x14ac:dyDescent="0.3">
      <c r="A181" s="135" t="s">
        <v>3</v>
      </c>
      <c r="B181" s="132" t="s">
        <v>33</v>
      </c>
      <c r="C181" s="132" t="s">
        <v>34</v>
      </c>
      <c r="D181" s="136" t="s">
        <v>4</v>
      </c>
      <c r="E181" s="135" t="s">
        <v>5</v>
      </c>
      <c r="F181" s="132" t="s">
        <v>6</v>
      </c>
      <c r="G181" s="133" t="s">
        <v>7</v>
      </c>
      <c r="H181" s="69" t="s">
        <v>38</v>
      </c>
      <c r="I181" s="65" t="s">
        <v>8</v>
      </c>
      <c r="J181" s="65" t="s">
        <v>6</v>
      </c>
      <c r="K181" s="66" t="s">
        <v>7</v>
      </c>
      <c r="L181" s="134" t="s">
        <v>5</v>
      </c>
      <c r="M181" s="65" t="s">
        <v>49</v>
      </c>
      <c r="N181" s="66" t="s">
        <v>47</v>
      </c>
      <c r="O181" s="134" t="s">
        <v>5</v>
      </c>
      <c r="P181" s="65" t="s">
        <v>49</v>
      </c>
      <c r="Q181" s="66" t="s">
        <v>47</v>
      </c>
      <c r="R181" s="134"/>
      <c r="S181" s="65"/>
      <c r="T181" s="66"/>
    </row>
    <row r="182" spans="1:27" x14ac:dyDescent="0.25">
      <c r="A182" s="4">
        <v>1</v>
      </c>
      <c r="B182" s="5">
        <v>0</v>
      </c>
      <c r="C182" s="5">
        <v>50</v>
      </c>
      <c r="D182" s="6">
        <v>20</v>
      </c>
      <c r="E182" s="7">
        <f>IF(AND(B$196&gt;B182,B$196&lt;=C182),B$196,0)</f>
        <v>0</v>
      </c>
      <c r="F182" s="8">
        <f>IF(B196&gt;0,D182,0)</f>
        <v>0</v>
      </c>
      <c r="G182" s="8">
        <f>IF(E182&gt;0,IF(E182=B182,D182,IF(AND(E182&gt;B182,E182&lt;=C182),D182+(E182-B182)*((D182-D182)/(C182-B182)),0)),0)</f>
        <v>0</v>
      </c>
      <c r="H182" s="14">
        <f>IF(AND(MIN(B$132,B$134)&gt;B182,MIN(B$132,B$134)&lt;=C182),MIN(B$132,B$134),0)</f>
        <v>50</v>
      </c>
      <c r="I182" s="15">
        <f>IF(AND(B$137&gt;B182,B$137&lt;=C182),B$137,0)</f>
        <v>50</v>
      </c>
      <c r="J182" s="9">
        <f>IF(B203&gt;0,D182,0)</f>
        <v>20</v>
      </c>
      <c r="K182" s="11">
        <f>IF(H182&gt;0,IF(H182=B182,D182,IF(AND(H182&gt;B182,H182&lt;=C182),D182+(H182-B182)*((D182-D182)/(C182-B182)),0)),0)</f>
        <v>20</v>
      </c>
      <c r="L182" s="14">
        <f>IF(AND(B203&gt;B182,B203&lt;=C182),B203,0)</f>
        <v>0</v>
      </c>
      <c r="M182" s="9">
        <f>IF(B203&gt;0,D182,0)</f>
        <v>20</v>
      </c>
      <c r="N182" s="11">
        <f>IF(L182&gt;0,IF(L182=B182,D182,IF(AND(L182&gt;B182,L182&lt;=C182),D182+(L182-B182)*((D182-D182)/(C182-B182)),0)),0)</f>
        <v>0</v>
      </c>
      <c r="O182" s="14">
        <f>IF(AND(B205&gt;B182,B205&lt;=C182),B205,0)</f>
        <v>50</v>
      </c>
      <c r="P182" s="9">
        <f>IF(B203&gt;0,D182,0)</f>
        <v>20</v>
      </c>
      <c r="Q182" s="11">
        <f>IF(O182&gt;0,IF(O182=B182,D182,IF(AND(O182&gt;B182,O182&lt;=C182),D182+(O182-B182)*((D182-D182)/(C182-B182)),0)),0)</f>
        <v>20</v>
      </c>
      <c r="R182" s="14"/>
      <c r="S182" s="9"/>
      <c r="T182" s="11"/>
    </row>
    <row r="183" spans="1:27" x14ac:dyDescent="0.25">
      <c r="A183" s="4">
        <v>2</v>
      </c>
      <c r="B183" s="5">
        <v>50</v>
      </c>
      <c r="C183" s="5">
        <v>75</v>
      </c>
      <c r="D183" s="6">
        <v>25</v>
      </c>
      <c r="E183" s="7">
        <f>IF(AND(B196&gt;B183,B196&lt;=C183),B196,0)</f>
        <v>0</v>
      </c>
      <c r="F183" s="8">
        <v>0</v>
      </c>
      <c r="G183" s="8">
        <f>IF(E183&gt;0,IF(AND(E183&gt;B183,E183&lt;C183),D182+(E183-B183)*((D183-D182)/(C183-B183)),0),0)</f>
        <v>0</v>
      </c>
      <c r="H183" s="16">
        <f t="shared" ref="H183:H184" si="30">IF(AND(MIN(B$132,B$134)&gt;B183,MIN(B$132,B$134)&lt;=C183),MIN(B$132,B$134),0)</f>
        <v>0</v>
      </c>
      <c r="I183" s="12">
        <f>IF(AND(B$137&gt;B183,B$137&lt;=C183),B$137,0)</f>
        <v>0</v>
      </c>
      <c r="J183" s="5">
        <v>0</v>
      </c>
      <c r="K183" s="6">
        <f>IF(H183&gt;0,IF(H183=B183,D183,IF(AND(H183&gt;B183,H183&lt;=C183),D182+(H183-B183)*((D183-D182)/(C183-B183)),0)),0)</f>
        <v>0</v>
      </c>
      <c r="L183" s="16">
        <f>IF(AND(B203&gt;B183,B203&lt;=C183),B203,0)</f>
        <v>0</v>
      </c>
      <c r="M183" s="8">
        <v>0</v>
      </c>
      <c r="N183" s="6">
        <f>IF(L183&gt;0,IF(L183=B183,D183,IF(AND(L183&gt;B183,L183&lt;=C183),D183+(L183-B183)*((D183-D183)/(C183-B183)),0)),0)</f>
        <v>0</v>
      </c>
      <c r="O183" s="16">
        <f>IF(AND(B205&gt;B183,B205&lt;=C183),B205,0)</f>
        <v>0</v>
      </c>
      <c r="P183" s="8">
        <v>0</v>
      </c>
      <c r="Q183" s="6">
        <f>IF(O183&gt;0,IF(O183=B183,D183,IF(AND(O183&gt;B183,O183&lt;=C183),D182+(O183-B183)*((D183-D182)/(C183-B183)),0)),0)</f>
        <v>0</v>
      </c>
      <c r="R183" s="16"/>
      <c r="S183" s="8"/>
      <c r="T183" s="6"/>
    </row>
    <row r="184" spans="1:27" ht="15.75" thickBot="1" x14ac:dyDescent="0.3">
      <c r="A184" s="17">
        <v>3</v>
      </c>
      <c r="B184" s="18">
        <v>75</v>
      </c>
      <c r="C184" s="18">
        <v>100</v>
      </c>
      <c r="D184" s="19">
        <v>30</v>
      </c>
      <c r="E184" s="20">
        <f>IF(AND(B196&gt;B184,B196&lt;=C184),B196,0)</f>
        <v>0</v>
      </c>
      <c r="F184" s="21">
        <v>0</v>
      </c>
      <c r="G184" s="21">
        <f>IF(E184&gt;0,IF(E184=C184,D184,IF(AND(E184&gt;B184,E184&lt;C184),D183+(E184-B184)*((D184-D183)/(C184-B184)),IF(E184&gt;C184,D184,0))),0)</f>
        <v>0</v>
      </c>
      <c r="H184" s="24">
        <f t="shared" si="30"/>
        <v>0</v>
      </c>
      <c r="I184" s="22">
        <f>IF(AND(B$137&gt;B184,B$137&lt;=C184),B$137,0)</f>
        <v>0</v>
      </c>
      <c r="J184" s="18">
        <v>0</v>
      </c>
      <c r="K184" s="19">
        <f>IF(AND(I184&gt;0,H184&lt;&gt;I184),MAX(K182:K183),IF(H184&gt;0,IF(H184=B184,D184,IF(AND(H184&gt;B184,H184&lt;=C184),D183+(H184-B184)*((D184-D183)/(C184-B184)),0)),0))</f>
        <v>0</v>
      </c>
      <c r="L184" s="24">
        <f>IF(AND(B203&gt;B184,B203&lt;=C184),B203,IF(B203&gt;C184,B203,0))</f>
        <v>100</v>
      </c>
      <c r="M184" s="21">
        <v>0</v>
      </c>
      <c r="N184" s="19">
        <f>IF(L184&gt;0,IF(L184=B184,D184,IF(AND(L184&gt;B184,L184&lt;=C184),D184+(L184-B184)*((D184-D184)/(C184-B184)),IF(L184&gt;C184,D184,0))),0)</f>
        <v>30</v>
      </c>
      <c r="O184" s="24">
        <f>IF(AND(B205&gt;B184,B205&lt;=C184),B205,IF(B203&gt;C184,B205,0))</f>
        <v>0</v>
      </c>
      <c r="P184" s="21">
        <v>0</v>
      </c>
      <c r="Q184" s="19">
        <f>IF(O184&gt;0,IF(O184=B184,D184,IF(AND(O184&gt;B184,O184&lt;=C184),D184+(O184-B184)*((D184-D184)/(C184-B184)),IF(O184&gt;C184,D184,0))),0)</f>
        <v>0</v>
      </c>
      <c r="R184" s="24"/>
      <c r="S184" s="21"/>
      <c r="T184" s="19"/>
    </row>
    <row r="185" spans="1:27" ht="15.75" thickBot="1" x14ac:dyDescent="0.3">
      <c r="J185" s="25"/>
    </row>
    <row r="186" spans="1:27" ht="15.75" thickBot="1" x14ac:dyDescent="0.3">
      <c r="A186" s="227" t="s">
        <v>1</v>
      </c>
      <c r="B186" s="228"/>
      <c r="C186" s="228"/>
      <c r="D186" s="228"/>
      <c r="E186" s="228"/>
      <c r="F186" s="229"/>
      <c r="H186" s="235" t="s">
        <v>94</v>
      </c>
      <c r="I186" s="236"/>
      <c r="J186" s="236"/>
      <c r="K186" s="236"/>
      <c r="L186" s="236"/>
      <c r="M186" s="249"/>
      <c r="O186" s="235" t="s">
        <v>31</v>
      </c>
      <c r="P186" s="236"/>
      <c r="Q186" s="236"/>
      <c r="R186" s="236"/>
      <c r="S186" s="236"/>
      <c r="T186" s="249"/>
      <c r="V186" s="235" t="s">
        <v>86</v>
      </c>
      <c r="W186" s="236"/>
      <c r="X186" s="236"/>
      <c r="Y186" s="236"/>
      <c r="Z186" s="236"/>
      <c r="AA186" s="249"/>
    </row>
    <row r="187" spans="1:27" ht="30.75" thickBot="1" x14ac:dyDescent="0.3">
      <c r="A187" s="131" t="s">
        <v>3</v>
      </c>
      <c r="B187" s="132" t="s">
        <v>33</v>
      </c>
      <c r="C187" s="132" t="s">
        <v>34</v>
      </c>
      <c r="D187" s="132" t="s">
        <v>49</v>
      </c>
      <c r="E187" s="132" t="s">
        <v>47</v>
      </c>
      <c r="F187" s="133" t="s">
        <v>48</v>
      </c>
      <c r="H187" s="131" t="s">
        <v>3</v>
      </c>
      <c r="I187" s="132" t="s">
        <v>50</v>
      </c>
      <c r="J187" s="132" t="s">
        <v>51</v>
      </c>
      <c r="K187" s="132" t="s">
        <v>49</v>
      </c>
      <c r="L187" s="132" t="s">
        <v>47</v>
      </c>
      <c r="M187" s="133" t="s">
        <v>48</v>
      </c>
      <c r="O187" s="131" t="s">
        <v>3</v>
      </c>
      <c r="P187" s="132" t="s">
        <v>33</v>
      </c>
      <c r="Q187" s="132" t="s">
        <v>34</v>
      </c>
      <c r="R187" s="132" t="s">
        <v>49</v>
      </c>
      <c r="S187" s="132" t="s">
        <v>47</v>
      </c>
      <c r="T187" s="133" t="s">
        <v>48</v>
      </c>
      <c r="V187" s="131" t="s">
        <v>3</v>
      </c>
      <c r="W187" s="132" t="s">
        <v>33</v>
      </c>
      <c r="X187" s="132" t="s">
        <v>34</v>
      </c>
      <c r="Y187" s="132" t="s">
        <v>49</v>
      </c>
      <c r="Z187" s="132" t="s">
        <v>47</v>
      </c>
      <c r="AA187" s="133" t="s">
        <v>48</v>
      </c>
    </row>
    <row r="188" spans="1:27" x14ac:dyDescent="0.25">
      <c r="A188" s="4">
        <v>1</v>
      </c>
      <c r="B188" s="5">
        <v>0</v>
      </c>
      <c r="C188" s="5">
        <f>IF(AND(B196&gt;B182,B196&lt;C182),B196,IF(B196&gt;=C182,C182,0))</f>
        <v>0</v>
      </c>
      <c r="D188" s="29">
        <f>MIN(D182,F182)</f>
        <v>0</v>
      </c>
      <c r="E188" s="29">
        <f>IF(AND(B$196&gt;B182,B$196&lt;C182),G182,IF(B$196&gt;=C182,D182,0))</f>
        <v>0</v>
      </c>
      <c r="F188" s="30">
        <f>(C188-B188)*(D188+E188)/2</f>
        <v>0</v>
      </c>
      <c r="H188" s="4">
        <v>1</v>
      </c>
      <c r="I188" s="5">
        <v>0</v>
      </c>
      <c r="J188" s="5">
        <f>IF(AND(MAX(I$111:I$113)&gt;B182,MAX(I$111:I$113)&lt;C182),MAX(I$111:I$113),IF(MAX(I$111:I$113)&gt;=C182,C182,0))</f>
        <v>50</v>
      </c>
      <c r="K188" s="29">
        <f>MIN(D182,J182)</f>
        <v>20</v>
      </c>
      <c r="L188" s="29">
        <f>IF(AND(MAX(I$111:I$113)&gt;B182,MAX(I$111:I$113)&lt;C182),K182,IF(MAX(I$111:I$113)&gt;=C182,D182,0))</f>
        <v>20</v>
      </c>
      <c r="M188" s="30">
        <f>(J188-I188)*(K188+L188)/2</f>
        <v>1000</v>
      </c>
      <c r="O188" s="4">
        <v>1</v>
      </c>
      <c r="P188" s="5">
        <v>0</v>
      </c>
      <c r="Q188" s="5">
        <f>IF(AND(B$203&gt;B182,B$203&lt;C182),B$203,IF(B$203&gt;=C182,C182,0))</f>
        <v>50</v>
      </c>
      <c r="R188" s="29">
        <f>MIN(D182,M182)</f>
        <v>20</v>
      </c>
      <c r="S188" s="29">
        <f>IF(AND(B$203&gt;B182,B$203&lt;C182),N182,IF(B$203&gt;=C182,D182,0))</f>
        <v>20</v>
      </c>
      <c r="T188" s="30">
        <f>(Q188-P188)*(R188+S188)/2</f>
        <v>1000</v>
      </c>
      <c r="V188" s="4">
        <v>1</v>
      </c>
      <c r="W188" s="5">
        <v>0</v>
      </c>
      <c r="X188" s="5">
        <f>IF(AND(B$205&gt;H182,B$205&lt;I182),B$205,IF(B$205&gt;=I182,I182,0))</f>
        <v>50</v>
      </c>
      <c r="Y188" s="29">
        <f>MIN(D182,P182)</f>
        <v>20</v>
      </c>
      <c r="Z188" s="29">
        <f>IF(AND(B205&gt;B182,B205&lt;C182),Q182,IF(B205&gt;=C182,D182,0))</f>
        <v>20</v>
      </c>
      <c r="AA188" s="30">
        <f>(X188-W188)*(Y188+Z188)/2</f>
        <v>1000</v>
      </c>
    </row>
    <row r="189" spans="1:27" x14ac:dyDescent="0.25">
      <c r="A189" s="4">
        <v>2</v>
      </c>
      <c r="B189" s="5">
        <f>IF(B$196&gt;B183,C188,0)</f>
        <v>0</v>
      </c>
      <c r="C189" s="5">
        <f>IF(AND(B$196&gt;B183,B$196&lt;C183),B$196,IF(B$196&gt;=C183,C183,0))</f>
        <v>0</v>
      </c>
      <c r="D189" s="29">
        <f>IF(B189&lt;&gt;0,E188,0)</f>
        <v>0</v>
      </c>
      <c r="E189" s="29">
        <f>IF(AND(B$196&gt;B183,B$196&lt;C183),G183,IF(B$196&gt;=C183,D183,0))</f>
        <v>0</v>
      </c>
      <c r="F189" s="30">
        <f t="shared" ref="F189:F191" si="31">(C189-B189)*(D189+E189)/2</f>
        <v>0</v>
      </c>
      <c r="H189" s="4">
        <v>2</v>
      </c>
      <c r="I189" s="5">
        <f>IF(MAX(I$111:I$113)&gt;B183,C182,0)</f>
        <v>0</v>
      </c>
      <c r="J189" s="5">
        <f t="shared" ref="J189:J191" si="32">IF(AND(MAX(I$111:I$113)&gt;B183,MAX(I$111:I$113)&lt;C183),MAX(I$111:I$113),IF(MAX(I$111:I$113)&gt;=C183,C183,0))</f>
        <v>0</v>
      </c>
      <c r="K189" s="29">
        <f>IF(I189&lt;&gt;0,L188,0)</f>
        <v>0</v>
      </c>
      <c r="L189" s="29">
        <f t="shared" ref="L189:L191" si="33">IF(AND(MAX(I$111:I$113)&gt;B183,MAX(I$111:I$113)&lt;C183),K183,IF(MAX(I$111:I$113)&gt;=C183,D183,0))</f>
        <v>0</v>
      </c>
      <c r="M189" s="30">
        <f t="shared" ref="M189:M191" si="34">(J189-I189)*(K189+L189)/2</f>
        <v>0</v>
      </c>
      <c r="O189" s="4">
        <v>2</v>
      </c>
      <c r="P189" s="5">
        <f>IF(B$203&gt;B183,Q188,0)</f>
        <v>50</v>
      </c>
      <c r="Q189" s="5">
        <f>IF(AND(B$203&gt;B183,B$203&lt;C183),B$203,IF(B$203&gt;=C183,C183,0))</f>
        <v>75</v>
      </c>
      <c r="R189" s="29">
        <f>IF(P189&lt;&gt;0,S188,0)</f>
        <v>20</v>
      </c>
      <c r="S189" s="29">
        <f>IF(AND(B$203&gt;B183,B$203&lt;C183),N183,IF(B$203&gt;=C183,D183,0))</f>
        <v>25</v>
      </c>
      <c r="T189" s="30">
        <f t="shared" ref="T189:T191" si="35">(Q189-P189)*(R189+S189)/2</f>
        <v>562.5</v>
      </c>
      <c r="V189" s="4">
        <v>2</v>
      </c>
      <c r="W189" s="5">
        <f>IF(B$205&gt;B183,X188,0)</f>
        <v>0</v>
      </c>
      <c r="X189" s="5">
        <f>IF(AND(B$205&gt;B183,B$205&lt;C183),B$205,IF(B$205&gt;=C183,C183,0))</f>
        <v>0</v>
      </c>
      <c r="Y189" s="29">
        <f>IF(W189&lt;&gt;0,Z188,0)</f>
        <v>0</v>
      </c>
      <c r="Z189" s="29">
        <f>IF(AND(B205&gt;B183,B205&lt;C183),Q183,IF(B205&gt;=C183,D183,0))</f>
        <v>0</v>
      </c>
      <c r="AA189" s="30">
        <f t="shared" ref="AA189:AA191" si="36">(X189-W189)*(Y189+Z189)/2</f>
        <v>0</v>
      </c>
    </row>
    <row r="190" spans="1:27" x14ac:dyDescent="0.25">
      <c r="A190" s="4">
        <v>3</v>
      </c>
      <c r="B190" s="5">
        <f>IF(B$196&gt;B184,C189,0)</f>
        <v>0</v>
      </c>
      <c r="C190" s="5">
        <f>IF(AND(B$196&gt;B184,B$196&lt;C184),B$196,IF(B$196&gt;=C184,C184,0))</f>
        <v>0</v>
      </c>
      <c r="D190" s="29">
        <f t="shared" ref="D190:D191" si="37">IF(B190&lt;&gt;0,E189,0)</f>
        <v>0</v>
      </c>
      <c r="E190" s="29">
        <f>IF(AND(B$196&gt;B184,B$196&lt;C184),G184,IF(B$196&gt;=C184,D184,0))</f>
        <v>0</v>
      </c>
      <c r="F190" s="30">
        <f t="shared" si="31"/>
        <v>0</v>
      </c>
      <c r="H190" s="4">
        <v>3</v>
      </c>
      <c r="I190" s="5">
        <f t="shared" ref="I190" si="38">IF(MAX(I$111:I$113)&gt;B184,C183,0)</f>
        <v>0</v>
      </c>
      <c r="J190" s="5">
        <f t="shared" si="32"/>
        <v>0</v>
      </c>
      <c r="K190" s="29">
        <f>IF(I190&lt;&gt;0,L189,0)</f>
        <v>0</v>
      </c>
      <c r="L190" s="29">
        <f t="shared" si="33"/>
        <v>0</v>
      </c>
      <c r="M190" s="30">
        <f t="shared" si="34"/>
        <v>0</v>
      </c>
      <c r="O190" s="4">
        <v>3</v>
      </c>
      <c r="P190" s="5">
        <f>IF(B$203&gt;B184,Q189,0)</f>
        <v>75</v>
      </c>
      <c r="Q190" s="5">
        <f>IF(AND(B$203&gt;B184,B$203&lt;C184),B$203,IF(B$203&gt;=C184,C184,0))</f>
        <v>100</v>
      </c>
      <c r="R190" s="29">
        <f>IF(P190&lt;&gt;0,S189,0)</f>
        <v>25</v>
      </c>
      <c r="S190" s="29">
        <f>IF(AND(B$203&gt;B184,B$203&lt;C184),N184,IF(B$203&gt;=C184,D184,0))</f>
        <v>30</v>
      </c>
      <c r="T190" s="30">
        <f t="shared" si="35"/>
        <v>687.5</v>
      </c>
      <c r="V190" s="4">
        <v>3</v>
      </c>
      <c r="W190" s="5">
        <f>IF(B$205&gt;I184,X189,0)</f>
        <v>0</v>
      </c>
      <c r="X190" s="5">
        <f>IF(AND(B$205&gt;B184,B$205&lt;C184),B$205,IF(B$205&gt;=C184,C184,0))</f>
        <v>0</v>
      </c>
      <c r="Y190" s="29">
        <f>IF(W190&lt;&gt;0,Z189,0)</f>
        <v>0</v>
      </c>
      <c r="Z190" s="29">
        <f>IF(AND(B205&gt;B184,B205&lt;C184),Q184,IF(B205&gt;=C184,D184,0))</f>
        <v>0</v>
      </c>
      <c r="AA190" s="30">
        <f t="shared" si="36"/>
        <v>0</v>
      </c>
    </row>
    <row r="191" spans="1:27" x14ac:dyDescent="0.25">
      <c r="A191" s="4">
        <v>4</v>
      </c>
      <c r="B191" s="5">
        <f>IF(B$196&gt;B185,C190,0)</f>
        <v>0</v>
      </c>
      <c r="C191" s="5">
        <f>IF(AND(B$196&gt;B185,B$196&lt;C185),B$196,IF(B$196&gt;=C185,C185,0))</f>
        <v>0</v>
      </c>
      <c r="D191" s="29">
        <f t="shared" si="37"/>
        <v>0</v>
      </c>
      <c r="E191" s="29">
        <f>IF(AND(B$196&gt;B185,B$196&lt;C185),G185,IF(B$196&gt;=C185,D185,0))</f>
        <v>0</v>
      </c>
      <c r="F191" s="30">
        <f t="shared" si="31"/>
        <v>0</v>
      </c>
      <c r="H191" s="4">
        <v>4</v>
      </c>
      <c r="I191" s="5">
        <f>IF(MAX(I$111:I$113)&gt;C184,C184,0)</f>
        <v>0</v>
      </c>
      <c r="J191" s="5">
        <f t="shared" si="32"/>
        <v>0</v>
      </c>
      <c r="K191" s="29">
        <f>IF(I191&lt;&gt;0,L190,0)</f>
        <v>0</v>
      </c>
      <c r="L191" s="29">
        <f t="shared" si="33"/>
        <v>0</v>
      </c>
      <c r="M191" s="30">
        <f t="shared" si="34"/>
        <v>0</v>
      </c>
      <c r="O191" s="4">
        <v>4</v>
      </c>
      <c r="P191" s="5">
        <f>IF(B$203&gt;C184,Q190,0)</f>
        <v>0</v>
      </c>
      <c r="Q191" s="5">
        <f>IF(B$203&gt;C184,B$203,IF(AND(B$203&gt;B185,B$203&lt;C185),B$203,IF(B$203&gt;=C185,C185,0)))</f>
        <v>0</v>
      </c>
      <c r="R191" s="29">
        <f>IF(P191&lt;&gt;0,S190,0)</f>
        <v>0</v>
      </c>
      <c r="S191" s="29">
        <f>IF(Q191&gt;0,IF(B$203&gt;=C185,N184,IF(AND(B$203&gt;B185,B$203&lt;C185),N184,0)),0)</f>
        <v>0</v>
      </c>
      <c r="T191" s="30">
        <f t="shared" si="35"/>
        <v>0</v>
      </c>
      <c r="V191" s="4">
        <v>4</v>
      </c>
      <c r="W191" s="5">
        <f>IF(B$205&gt;C184,X190,0)</f>
        <v>0</v>
      </c>
      <c r="X191" s="5">
        <f>IF(B$205&gt;C184,B$205,IF(AND(B$205&gt;B185,B$205&lt;C185),B$205,IF(B$205&gt;=C185,C185,0)))</f>
        <v>0</v>
      </c>
      <c r="Y191" s="29">
        <f>IF(W191&lt;&gt;0,Z190,0)</f>
        <v>0</v>
      </c>
      <c r="Z191" s="29">
        <f>IF(X191&gt;0,IF(B$205&gt;=C185,N184,IF(AND(B$205&gt;B185,B$205&lt;C185),N184,0)),0)</f>
        <v>0</v>
      </c>
      <c r="AA191" s="30">
        <f t="shared" si="36"/>
        <v>0</v>
      </c>
    </row>
    <row r="192" spans="1:27" ht="15.75" thickBot="1" x14ac:dyDescent="0.3">
      <c r="A192" s="24"/>
      <c r="B192" s="18"/>
      <c r="C192" s="18"/>
      <c r="D192" s="21"/>
      <c r="E192" s="21"/>
      <c r="F192" s="31">
        <f>SUM(F188:F191)</f>
        <v>0</v>
      </c>
      <c r="H192" s="24"/>
      <c r="I192" s="18"/>
      <c r="J192" s="18"/>
      <c r="K192" s="21"/>
      <c r="L192" s="21"/>
      <c r="M192" s="31">
        <f>SUM(M188:M191)</f>
        <v>1000</v>
      </c>
      <c r="O192" s="24"/>
      <c r="P192" s="18"/>
      <c r="Q192" s="18"/>
      <c r="R192" s="21"/>
      <c r="S192" s="21"/>
      <c r="T192" s="31">
        <f>SUM(T188:T191)</f>
        <v>2250</v>
      </c>
      <c r="V192" s="24"/>
      <c r="W192" s="18"/>
      <c r="X192" s="18"/>
      <c r="Y192" s="21"/>
      <c r="Z192" s="21"/>
      <c r="AA192" s="31">
        <f>SUM(AA188:AA191)</f>
        <v>1000</v>
      </c>
    </row>
    <row r="193" spans="1:21" ht="15.75" thickBot="1" x14ac:dyDescent="0.3"/>
    <row r="194" spans="1:21" ht="15.75" thickBot="1" x14ac:dyDescent="0.3">
      <c r="A194" s="68" t="s">
        <v>37</v>
      </c>
      <c r="E194" s="227" t="s">
        <v>75</v>
      </c>
      <c r="F194" s="228"/>
      <c r="G194" s="228"/>
      <c r="H194" s="228"/>
      <c r="I194" s="229"/>
      <c r="J194" s="152"/>
      <c r="K194" s="152"/>
      <c r="L194" s="152"/>
      <c r="M194" s="152"/>
      <c r="N194" s="45"/>
      <c r="O194" s="153"/>
      <c r="P194" s="153"/>
      <c r="Q194" s="153"/>
      <c r="R194" s="153"/>
      <c r="S194" s="153"/>
      <c r="T194" s="153"/>
    </row>
    <row r="195" spans="1:21" ht="15.75" thickBot="1" x14ac:dyDescent="0.3">
      <c r="A195" s="263" t="s">
        <v>10</v>
      </c>
      <c r="B195" s="264"/>
      <c r="E195" s="227" t="s">
        <v>78</v>
      </c>
      <c r="F195" s="228"/>
      <c r="G195" s="228"/>
      <c r="H195" s="228"/>
      <c r="I195" s="139" t="s">
        <v>74</v>
      </c>
      <c r="J195" s="146"/>
      <c r="K195" s="146"/>
      <c r="L195" s="146"/>
      <c r="M195" s="146"/>
      <c r="N195" s="45"/>
      <c r="O195" s="154"/>
      <c r="P195" s="154"/>
      <c r="Q195" s="154"/>
      <c r="R195" s="154"/>
      <c r="S195" s="154"/>
      <c r="T195" s="154"/>
    </row>
    <row r="196" spans="1:21" x14ac:dyDescent="0.25">
      <c r="A196" s="4" t="s">
        <v>5</v>
      </c>
      <c r="B196" s="13">
        <v>0</v>
      </c>
      <c r="E196" s="245" t="s">
        <v>76</v>
      </c>
      <c r="F196" s="246"/>
      <c r="G196" s="246"/>
      <c r="H196" s="246"/>
      <c r="I196" s="123">
        <f>B196*B197</f>
        <v>0</v>
      </c>
      <c r="J196" s="45"/>
      <c r="K196" s="45"/>
      <c r="L196" s="45"/>
      <c r="M196" s="45"/>
      <c r="N196" s="45"/>
      <c r="O196" s="45"/>
      <c r="P196" s="140"/>
      <c r="Q196" s="45"/>
      <c r="R196" s="45"/>
      <c r="S196" s="45"/>
      <c r="T196" s="45"/>
    </row>
    <row r="197" spans="1:21" ht="15.75" thickBot="1" x14ac:dyDescent="0.3">
      <c r="A197" s="17" t="s">
        <v>13</v>
      </c>
      <c r="B197" s="19">
        <v>0</v>
      </c>
      <c r="E197" s="137"/>
      <c r="F197" s="142"/>
      <c r="G197" s="142"/>
      <c r="H197" s="142"/>
      <c r="I197" s="123"/>
      <c r="J197" s="45"/>
      <c r="K197" s="45"/>
      <c r="L197" s="45"/>
      <c r="M197" s="45"/>
      <c r="N197" s="45"/>
      <c r="O197" s="143"/>
      <c r="P197" s="143"/>
      <c r="Q197" s="143"/>
      <c r="R197" s="143"/>
      <c r="S197" s="143"/>
      <c r="T197" s="140"/>
    </row>
    <row r="198" spans="1:21" x14ac:dyDescent="0.25">
      <c r="A198" s="14" t="s">
        <v>55</v>
      </c>
      <c r="B198" s="26">
        <v>0</v>
      </c>
      <c r="E198" s="240" t="str">
        <f>"DA Incremental Cost @ "&amp;B196&amp;" MW"</f>
        <v>DA Incremental Cost @ 0 MW</v>
      </c>
      <c r="F198" s="241"/>
      <c r="G198" s="241"/>
      <c r="H198" s="241"/>
      <c r="I198" s="123">
        <f>F192</f>
        <v>0</v>
      </c>
      <c r="J198" s="45"/>
      <c r="K198" s="45"/>
      <c r="L198" s="45"/>
      <c r="M198" s="45"/>
      <c r="N198" s="45"/>
      <c r="O198" s="45"/>
      <c r="P198" s="45"/>
      <c r="Q198" s="45"/>
      <c r="R198" s="45"/>
      <c r="S198" s="45"/>
      <c r="T198" s="45"/>
    </row>
    <row r="199" spans="1:21" ht="15.75" thickBot="1" x14ac:dyDescent="0.3">
      <c r="A199" s="24" t="s">
        <v>56</v>
      </c>
      <c r="B199" s="23">
        <v>0</v>
      </c>
      <c r="C199" s="32"/>
      <c r="D199" s="32"/>
      <c r="E199" s="240" t="s">
        <v>77</v>
      </c>
      <c r="F199" s="241"/>
      <c r="G199" s="241"/>
      <c r="H199" s="241"/>
      <c r="I199" s="147">
        <f>B199</f>
        <v>0</v>
      </c>
      <c r="J199" s="45"/>
      <c r="K199" s="45"/>
      <c r="L199" s="45"/>
      <c r="M199" s="45"/>
      <c r="N199" s="45"/>
      <c r="O199" s="45"/>
      <c r="P199" s="45"/>
      <c r="Q199" s="45"/>
      <c r="R199" s="45"/>
      <c r="S199" s="45"/>
      <c r="T199" s="45"/>
    </row>
    <row r="200" spans="1:21" x14ac:dyDescent="0.25">
      <c r="C200" s="32"/>
      <c r="E200" s="240" t="s">
        <v>72</v>
      </c>
      <c r="F200" s="241"/>
      <c r="G200" s="241"/>
      <c r="H200" s="241"/>
      <c r="I200" s="123">
        <f>B198</f>
        <v>0</v>
      </c>
      <c r="J200" s="45"/>
      <c r="K200" s="45"/>
      <c r="L200" s="140"/>
      <c r="M200" s="155"/>
      <c r="N200" s="45"/>
      <c r="O200" s="143"/>
      <c r="P200" s="143"/>
      <c r="Q200" s="143"/>
      <c r="R200" s="143"/>
      <c r="S200" s="143"/>
      <c r="T200" s="140"/>
    </row>
    <row r="201" spans="1:21" ht="15.75" thickBot="1" x14ac:dyDescent="0.3">
      <c r="A201" s="68" t="s">
        <v>37</v>
      </c>
      <c r="E201" s="85"/>
      <c r="F201" s="144"/>
      <c r="G201" s="144"/>
      <c r="H201" s="144"/>
      <c r="I201" s="141"/>
      <c r="J201" s="45"/>
      <c r="K201" s="45"/>
      <c r="L201" s="140"/>
      <c r="M201" s="140"/>
      <c r="N201" s="45"/>
      <c r="O201" s="45"/>
      <c r="P201" s="45"/>
      <c r="Q201" s="45"/>
      <c r="R201" s="45"/>
      <c r="S201" s="45"/>
      <c r="T201" s="45"/>
    </row>
    <row r="202" spans="1:21" x14ac:dyDescent="0.25">
      <c r="A202" s="263" t="s">
        <v>22</v>
      </c>
      <c r="B202" s="264"/>
      <c r="E202" s="240" t="s">
        <v>73</v>
      </c>
      <c r="F202" s="241"/>
      <c r="G202" s="241"/>
      <c r="H202" s="241"/>
      <c r="I202" s="158">
        <f>I196-I198-I199-I200</f>
        <v>0</v>
      </c>
      <c r="J202" s="45"/>
      <c r="K202" s="140"/>
      <c r="L202" s="45"/>
      <c r="M202" s="45"/>
      <c r="N202" s="45"/>
      <c r="O202" s="143"/>
      <c r="P202" s="143"/>
      <c r="Q202" s="143"/>
      <c r="R202" s="143"/>
      <c r="S202" s="143"/>
      <c r="T202" s="140"/>
    </row>
    <row r="203" spans="1:21" x14ac:dyDescent="0.25">
      <c r="A203" s="16" t="s">
        <v>43</v>
      </c>
      <c r="B203" s="13">
        <v>100</v>
      </c>
      <c r="E203" s="137"/>
      <c r="F203" s="138"/>
      <c r="G203" s="138"/>
      <c r="H203" s="138"/>
      <c r="I203" s="123"/>
      <c r="J203" s="45"/>
      <c r="K203" s="45"/>
      <c r="L203" s="140"/>
      <c r="M203" s="45"/>
      <c r="N203" s="45"/>
      <c r="O203" s="45"/>
      <c r="P203" s="45"/>
      <c r="Q203" s="45"/>
      <c r="R203" s="45"/>
      <c r="S203" s="45"/>
      <c r="T203" s="45"/>
    </row>
    <row r="204" spans="1:21" ht="15.75" thickBot="1" x14ac:dyDescent="0.3">
      <c r="A204" s="16" t="s">
        <v>13</v>
      </c>
      <c r="B204" s="6">
        <v>-100</v>
      </c>
      <c r="D204" s="32"/>
      <c r="E204" s="240" t="s">
        <v>83</v>
      </c>
      <c r="F204" s="241"/>
      <c r="G204" s="241"/>
      <c r="H204" s="241"/>
      <c r="I204" s="151">
        <f>MAX(I202*-1,0)</f>
        <v>0</v>
      </c>
      <c r="J204" s="45"/>
      <c r="K204" s="140"/>
      <c r="L204" s="45"/>
      <c r="M204" s="45"/>
      <c r="N204" s="45"/>
      <c r="O204" s="143"/>
      <c r="P204" s="143"/>
      <c r="Q204" s="143"/>
      <c r="R204" s="143"/>
      <c r="S204" s="143"/>
      <c r="T204" s="140"/>
    </row>
    <row r="205" spans="1:21" ht="16.5" thickTop="1" thickBot="1" x14ac:dyDescent="0.3">
      <c r="A205" s="16" t="s">
        <v>27</v>
      </c>
      <c r="B205" s="13">
        <v>50</v>
      </c>
      <c r="E205" s="156"/>
      <c r="F205" s="157"/>
      <c r="G205" s="157"/>
      <c r="H205" s="157"/>
      <c r="I205" s="145"/>
      <c r="J205" s="45"/>
      <c r="K205" s="45"/>
      <c r="L205" s="45"/>
      <c r="M205" s="45"/>
      <c r="N205" s="45"/>
      <c r="O205" s="45"/>
      <c r="P205" s="45"/>
      <c r="Q205" s="45"/>
      <c r="R205" s="45"/>
      <c r="S205" s="45"/>
      <c r="T205" s="45"/>
    </row>
    <row r="206" spans="1:21" x14ac:dyDescent="0.25">
      <c r="A206" s="16" t="s">
        <v>29</v>
      </c>
      <c r="B206" s="13">
        <v>75</v>
      </c>
      <c r="E206" s="138"/>
      <c r="F206" s="142"/>
      <c r="G206" s="142"/>
      <c r="H206" s="142"/>
      <c r="I206" s="140"/>
      <c r="J206" s="45"/>
      <c r="K206" s="45"/>
      <c r="L206" s="45"/>
      <c r="M206" s="45"/>
      <c r="N206" s="45"/>
      <c r="O206" s="45"/>
      <c r="P206" s="140"/>
      <c r="Q206" s="45"/>
      <c r="R206" s="45"/>
      <c r="S206" s="45"/>
      <c r="T206" s="45"/>
    </row>
    <row r="207" spans="1:21" ht="15.75" thickBot="1" x14ac:dyDescent="0.3">
      <c r="A207" s="16" t="s">
        <v>28</v>
      </c>
      <c r="B207" s="13">
        <f>IF(AND(B204&lt;0,B203&gt;B196,B196&gt;0),B196,IF(AND(B196=0,B204&lt;0),MIN(B205,B203),IF(B196=0,B203,MAX(MIN(B205,B196),B203))))</f>
        <v>50</v>
      </c>
      <c r="E207" s="243" t="s">
        <v>98</v>
      </c>
      <c r="F207" s="243"/>
      <c r="G207" s="243"/>
      <c r="H207" s="243"/>
      <c r="I207" s="243"/>
      <c r="J207" s="188"/>
      <c r="K207" s="244" t="s">
        <v>97</v>
      </c>
      <c r="L207" s="244"/>
      <c r="M207" s="244"/>
      <c r="N207" s="244"/>
      <c r="O207" s="244"/>
      <c r="P207" s="188"/>
      <c r="Q207" s="244" t="s">
        <v>99</v>
      </c>
      <c r="R207" s="244"/>
      <c r="S207" s="244"/>
      <c r="T207" s="244"/>
      <c r="U207" s="244"/>
    </row>
    <row r="208" spans="1:21" ht="15.75" thickBot="1" x14ac:dyDescent="0.3">
      <c r="A208" s="24" t="s">
        <v>8</v>
      </c>
      <c r="B208" s="23">
        <f>IF(AND(B205*0.9&lt;=B203,B205*1.1&gt;=B203),B203,MIN(B205,B203))</f>
        <v>50</v>
      </c>
      <c r="E208" s="227" t="s">
        <v>90</v>
      </c>
      <c r="F208" s="228"/>
      <c r="G208" s="228"/>
      <c r="H208" s="228"/>
      <c r="I208" s="229"/>
      <c r="J208" s="146"/>
      <c r="K208" s="227" t="s">
        <v>85</v>
      </c>
      <c r="L208" s="228"/>
      <c r="M208" s="228"/>
      <c r="N208" s="228"/>
      <c r="O208" s="229"/>
      <c r="P208" s="154"/>
      <c r="Q208" s="227" t="s">
        <v>88</v>
      </c>
      <c r="R208" s="228"/>
      <c r="S208" s="228"/>
      <c r="T208" s="228"/>
      <c r="U208" s="229"/>
    </row>
    <row r="209" spans="1:21" ht="15.75" thickBot="1" x14ac:dyDescent="0.3">
      <c r="A209" s="14" t="s">
        <v>55</v>
      </c>
      <c r="B209" s="26">
        <v>0</v>
      </c>
      <c r="E209" s="227" t="s">
        <v>78</v>
      </c>
      <c r="F209" s="228"/>
      <c r="G209" s="228"/>
      <c r="H209" s="228"/>
      <c r="I209" s="139" t="s">
        <v>74</v>
      </c>
      <c r="J209" s="45"/>
      <c r="K209" s="227" t="s">
        <v>78</v>
      </c>
      <c r="L209" s="228"/>
      <c r="M209" s="228"/>
      <c r="N209" s="228"/>
      <c r="O209" s="139" t="s">
        <v>74</v>
      </c>
      <c r="P209" s="45"/>
      <c r="Q209" s="227" t="s">
        <v>78</v>
      </c>
      <c r="R209" s="228"/>
      <c r="S209" s="228"/>
      <c r="T209" s="228"/>
      <c r="U209" s="139" t="s">
        <v>74</v>
      </c>
    </row>
    <row r="210" spans="1:21" ht="15.75" thickBot="1" x14ac:dyDescent="0.3">
      <c r="A210" s="24" t="s">
        <v>56</v>
      </c>
      <c r="B210" s="23">
        <v>0</v>
      </c>
      <c r="E210" s="245" t="s">
        <v>76</v>
      </c>
      <c r="F210" s="246"/>
      <c r="G210" s="246"/>
      <c r="H210" s="246"/>
      <c r="I210" s="160">
        <f>I196</f>
        <v>0</v>
      </c>
      <c r="J210" s="140"/>
      <c r="K210" s="245" t="s">
        <v>76</v>
      </c>
      <c r="L210" s="246"/>
      <c r="M210" s="246"/>
      <c r="N210" s="246"/>
      <c r="O210" s="160">
        <f>I196</f>
        <v>0</v>
      </c>
      <c r="P210" s="143"/>
      <c r="Q210" s="245" t="s">
        <v>76</v>
      </c>
      <c r="R210" s="246"/>
      <c r="S210" s="246"/>
      <c r="T210" s="246"/>
      <c r="U210" s="160">
        <f>I196</f>
        <v>0</v>
      </c>
    </row>
    <row r="211" spans="1:21" x14ac:dyDescent="0.25">
      <c r="E211" s="75"/>
      <c r="F211" s="76"/>
      <c r="G211" s="76"/>
      <c r="H211" s="76"/>
      <c r="I211" s="161"/>
      <c r="J211" s="45"/>
      <c r="K211" s="75"/>
      <c r="L211" s="76"/>
      <c r="M211" s="76"/>
      <c r="N211" s="76"/>
      <c r="O211" s="161"/>
      <c r="P211" s="45"/>
      <c r="Q211" s="75"/>
      <c r="R211" s="76"/>
      <c r="S211" s="76"/>
      <c r="T211" s="76"/>
      <c r="U211" s="161"/>
    </row>
    <row r="212" spans="1:21" x14ac:dyDescent="0.25">
      <c r="E212" s="240" t="s">
        <v>83</v>
      </c>
      <c r="F212" s="241"/>
      <c r="G212" s="241"/>
      <c r="H212" s="241"/>
      <c r="I212" s="160">
        <f>I204</f>
        <v>0</v>
      </c>
      <c r="J212" s="140"/>
      <c r="K212" s="240" t="s">
        <v>83</v>
      </c>
      <c r="L212" s="241"/>
      <c r="M212" s="241"/>
      <c r="N212" s="241"/>
      <c r="O212" s="160">
        <f>I204</f>
        <v>0</v>
      </c>
      <c r="P212" s="143"/>
      <c r="Q212" s="240" t="s">
        <v>83</v>
      </c>
      <c r="R212" s="241"/>
      <c r="S212" s="241"/>
      <c r="T212" s="241"/>
      <c r="U212" s="160">
        <f>I204</f>
        <v>0</v>
      </c>
    </row>
    <row r="213" spans="1:21" x14ac:dyDescent="0.25">
      <c r="E213" s="75"/>
      <c r="F213" s="76"/>
      <c r="G213" s="76"/>
      <c r="H213" s="76"/>
      <c r="I213" s="159"/>
      <c r="J213" s="146"/>
      <c r="K213" s="75"/>
      <c r="L213" s="76"/>
      <c r="M213" s="76"/>
      <c r="N213" s="76"/>
      <c r="O213" s="159"/>
      <c r="P213" s="146"/>
      <c r="Q213" s="75"/>
      <c r="R213" s="76"/>
      <c r="S213" s="76"/>
      <c r="T213" s="76"/>
      <c r="U213" s="159"/>
    </row>
    <row r="214" spans="1:21" x14ac:dyDescent="0.25">
      <c r="E214" s="240" t="s">
        <v>79</v>
      </c>
      <c r="F214" s="241"/>
      <c r="G214" s="241"/>
      <c r="H214" s="241"/>
      <c r="I214" s="123">
        <f>(B207-B196)*B204</f>
        <v>-5000</v>
      </c>
      <c r="J214" s="104"/>
      <c r="K214" s="240" t="s">
        <v>87</v>
      </c>
      <c r="L214" s="241"/>
      <c r="M214" s="241"/>
      <c r="N214" s="241"/>
      <c r="O214" s="123">
        <f>(B205-B196)*B204</f>
        <v>-5000</v>
      </c>
      <c r="P214" s="143"/>
      <c r="Q214" s="240" t="s">
        <v>87</v>
      </c>
      <c r="R214" s="241"/>
      <c r="S214" s="241"/>
      <c r="T214" s="241"/>
      <c r="U214" s="123">
        <f>(B203-B196)*B204</f>
        <v>-10000</v>
      </c>
    </row>
    <row r="215" spans="1:21" x14ac:dyDescent="0.25">
      <c r="E215" s="137"/>
      <c r="F215" s="142"/>
      <c r="G215" s="142"/>
      <c r="H215" s="142"/>
      <c r="I215" s="123"/>
      <c r="J215" s="149"/>
      <c r="K215" s="137"/>
      <c r="L215" s="142"/>
      <c r="M215" s="142"/>
      <c r="N215" s="142"/>
      <c r="O215" s="123"/>
      <c r="P215" s="150"/>
      <c r="Q215" s="137"/>
      <c r="R215" s="142"/>
      <c r="S215" s="142"/>
      <c r="T215" s="142"/>
      <c r="U215" s="123"/>
    </row>
    <row r="216" spans="1:21" x14ac:dyDescent="0.25">
      <c r="E216" s="240" t="str">
        <f>"RT Incremental Cost @ "&amp;B208&amp;" MW"</f>
        <v>RT Incremental Cost @ 50 MW</v>
      </c>
      <c r="F216" s="241"/>
      <c r="G216" s="241"/>
      <c r="H216" s="241"/>
      <c r="I216" s="123">
        <f>M192</f>
        <v>1000</v>
      </c>
      <c r="J216" s="104"/>
      <c r="K216" s="240" t="str">
        <f>"RT Incremental Cost @ "&amp;B208&amp;" MW"</f>
        <v>RT Incremental Cost @ 50 MW</v>
      </c>
      <c r="L216" s="241"/>
      <c r="M216" s="241"/>
      <c r="N216" s="241"/>
      <c r="O216" s="123">
        <f>AA192</f>
        <v>1000</v>
      </c>
      <c r="P216" s="143"/>
      <c r="Q216" s="240" t="str">
        <f>"RT Incremental Cost @ "&amp;B203&amp;" MW"</f>
        <v>RT Incremental Cost @ 100 MW</v>
      </c>
      <c r="R216" s="241"/>
      <c r="S216" s="241"/>
      <c r="T216" s="241"/>
      <c r="U216" s="123">
        <f>T192</f>
        <v>2250</v>
      </c>
    </row>
    <row r="217" spans="1:21" x14ac:dyDescent="0.25">
      <c r="E217" s="240" t="s">
        <v>80</v>
      </c>
      <c r="F217" s="241"/>
      <c r="G217" s="241"/>
      <c r="H217" s="241"/>
      <c r="I217" s="147">
        <f>B210</f>
        <v>0</v>
      </c>
      <c r="J217" s="104"/>
      <c r="K217" s="240" t="s">
        <v>80</v>
      </c>
      <c r="L217" s="241"/>
      <c r="M217" s="241"/>
      <c r="N217" s="241"/>
      <c r="O217" s="147">
        <f>B210</f>
        <v>0</v>
      </c>
      <c r="P217" s="45"/>
      <c r="Q217" s="240" t="s">
        <v>80</v>
      </c>
      <c r="R217" s="241"/>
      <c r="S217" s="241"/>
      <c r="T217" s="241"/>
      <c r="U217" s="147">
        <f>B210</f>
        <v>0</v>
      </c>
    </row>
    <row r="218" spans="1:21" x14ac:dyDescent="0.25">
      <c r="D218" s="33"/>
      <c r="E218" s="240" t="s">
        <v>81</v>
      </c>
      <c r="F218" s="241"/>
      <c r="G218" s="241"/>
      <c r="H218" s="241"/>
      <c r="I218" s="123">
        <f>B209</f>
        <v>0</v>
      </c>
      <c r="J218" s="104"/>
      <c r="K218" s="240" t="s">
        <v>81</v>
      </c>
      <c r="L218" s="241"/>
      <c r="M218" s="241"/>
      <c r="N218" s="241"/>
      <c r="O218" s="123">
        <f>B209</f>
        <v>0</v>
      </c>
      <c r="P218" s="45"/>
      <c r="Q218" s="240" t="s">
        <v>81</v>
      </c>
      <c r="R218" s="241"/>
      <c r="S218" s="241"/>
      <c r="T218" s="241"/>
      <c r="U218" s="123">
        <f>B209</f>
        <v>0</v>
      </c>
    </row>
    <row r="219" spans="1:21" x14ac:dyDescent="0.25">
      <c r="E219" s="85"/>
      <c r="F219" s="144"/>
      <c r="G219" s="144"/>
      <c r="H219" s="144"/>
      <c r="I219" s="141"/>
      <c r="K219" s="85"/>
      <c r="L219" s="144"/>
      <c r="M219" s="144"/>
      <c r="N219" s="144"/>
      <c r="O219" s="141"/>
      <c r="Q219" s="85"/>
      <c r="R219" s="144"/>
      <c r="S219" s="144"/>
      <c r="T219" s="144"/>
      <c r="U219" s="141"/>
    </row>
    <row r="220" spans="1:21" x14ac:dyDescent="0.25">
      <c r="E220" s="240" t="s">
        <v>82</v>
      </c>
      <c r="F220" s="241"/>
      <c r="G220" s="241"/>
      <c r="H220" s="241"/>
      <c r="I220" s="158">
        <f>I210+I214-I216-I217-I218</f>
        <v>-6000</v>
      </c>
      <c r="K220" s="240" t="s">
        <v>82</v>
      </c>
      <c r="L220" s="241"/>
      <c r="M220" s="241"/>
      <c r="N220" s="241"/>
      <c r="O220" s="158">
        <f>O210+O214-O216-O217-O218</f>
        <v>-6000</v>
      </c>
      <c r="Q220" s="240" t="s">
        <v>82</v>
      </c>
      <c r="R220" s="241"/>
      <c r="S220" s="241"/>
      <c r="T220" s="241"/>
      <c r="U220" s="158">
        <f>U210+U214-U216-U217-U218</f>
        <v>-12250</v>
      </c>
    </row>
    <row r="221" spans="1:21" x14ac:dyDescent="0.25">
      <c r="E221" s="93"/>
      <c r="F221" s="148"/>
      <c r="G221" s="148"/>
      <c r="H221" s="148"/>
      <c r="I221" s="162"/>
      <c r="K221" s="93"/>
      <c r="L221" s="148"/>
      <c r="M221" s="148"/>
      <c r="N221" s="148"/>
      <c r="O221" s="162"/>
      <c r="Q221" s="93"/>
      <c r="R221" s="148"/>
      <c r="S221" s="148"/>
      <c r="T221" s="148"/>
      <c r="U221" s="162"/>
    </row>
    <row r="222" spans="1:21" ht="15.75" thickBot="1" x14ac:dyDescent="0.3">
      <c r="E222" s="240" t="s">
        <v>84</v>
      </c>
      <c r="F222" s="241"/>
      <c r="G222" s="241"/>
      <c r="H222" s="241"/>
      <c r="I222" s="163">
        <f>MAX(MAX(I220*-1,0)-I212,0)</f>
        <v>6000</v>
      </c>
      <c r="K222" s="240" t="s">
        <v>84</v>
      </c>
      <c r="L222" s="241"/>
      <c r="M222" s="241"/>
      <c r="N222" s="241"/>
      <c r="O222" s="163">
        <f>MAX(MAX(O220*-1,0)-O212,0)</f>
        <v>6000</v>
      </c>
      <c r="Q222" s="240" t="s">
        <v>84</v>
      </c>
      <c r="R222" s="241"/>
      <c r="S222" s="241"/>
      <c r="T222" s="241"/>
      <c r="U222" s="163">
        <f>MAX(MAX(U220*-1,0)-U212,0)</f>
        <v>12250</v>
      </c>
    </row>
    <row r="223" spans="1:21" ht="16.5" thickTop="1" thickBot="1" x14ac:dyDescent="0.3">
      <c r="E223" s="51"/>
      <c r="F223" s="164"/>
      <c r="G223" s="164"/>
      <c r="H223" s="164"/>
      <c r="I223" s="165"/>
      <c r="K223" s="51"/>
      <c r="L223" s="164"/>
      <c r="M223" s="164"/>
      <c r="N223" s="164"/>
      <c r="O223" s="165"/>
      <c r="Q223" s="51"/>
      <c r="R223" s="164"/>
      <c r="S223" s="164"/>
      <c r="T223" s="164"/>
      <c r="U223" s="165"/>
    </row>
    <row r="224" spans="1:21" x14ac:dyDescent="0.25">
      <c r="E224" s="8"/>
      <c r="F224" s="104"/>
      <c r="G224" s="104"/>
      <c r="H224" s="104"/>
      <c r="I224" s="104"/>
    </row>
    <row r="227" spans="10:20" x14ac:dyDescent="0.25">
      <c r="K227" s="209" t="s">
        <v>105</v>
      </c>
    </row>
    <row r="228" spans="10:20" x14ac:dyDescent="0.25">
      <c r="J228" s="41" t="s">
        <v>96</v>
      </c>
      <c r="K228" s="242" t="s">
        <v>93</v>
      </c>
      <c r="L228" s="242"/>
      <c r="M228" s="242"/>
      <c r="N228" s="32">
        <f>MIN(O222,U222)</f>
        <v>6000</v>
      </c>
    </row>
    <row r="229" spans="10:20" x14ac:dyDescent="0.25">
      <c r="K229" s="297" t="s">
        <v>106</v>
      </c>
      <c r="L229" s="297"/>
      <c r="M229" s="297"/>
      <c r="N229" s="297"/>
      <c r="O229" s="297"/>
      <c r="P229" s="297"/>
      <c r="Q229" s="297"/>
      <c r="R229" s="297"/>
      <c r="S229" s="176"/>
      <c r="T229" s="177"/>
    </row>
    <row r="230" spans="10:20" x14ac:dyDescent="0.25">
      <c r="K230" s="297"/>
      <c r="L230" s="297"/>
      <c r="M230" s="297"/>
      <c r="N230" s="297"/>
      <c r="O230" s="297"/>
      <c r="P230" s="297"/>
      <c r="Q230" s="297"/>
      <c r="R230" s="297"/>
    </row>
  </sheetData>
  <mergeCells count="176">
    <mergeCell ref="A1:T2"/>
    <mergeCell ref="A5:T6"/>
    <mergeCell ref="A7:D7"/>
    <mergeCell ref="E7:G7"/>
    <mergeCell ref="H7:K7"/>
    <mergeCell ref="L7:N7"/>
    <mergeCell ref="A22:B22"/>
    <mergeCell ref="E22:M22"/>
    <mergeCell ref="O22:T22"/>
    <mergeCell ref="E23:H23"/>
    <mergeCell ref="E24:H24"/>
    <mergeCell ref="O24:S24"/>
    <mergeCell ref="A13:F13"/>
    <mergeCell ref="H13:M13"/>
    <mergeCell ref="O13:T13"/>
    <mergeCell ref="A21:D21"/>
    <mergeCell ref="E21:M21"/>
    <mergeCell ref="O21:T21"/>
    <mergeCell ref="E31:H31"/>
    <mergeCell ref="O31:S31"/>
    <mergeCell ref="E35:M35"/>
    <mergeCell ref="O35:T35"/>
    <mergeCell ref="E37:H37"/>
    <mergeCell ref="O37:S37"/>
    <mergeCell ref="E27:H27"/>
    <mergeCell ref="O27:S27"/>
    <mergeCell ref="A28:D28"/>
    <mergeCell ref="A29:B29"/>
    <mergeCell ref="E29:H29"/>
    <mergeCell ref="O29:S29"/>
    <mergeCell ref="O43:S43"/>
    <mergeCell ref="K44:L44"/>
    <mergeCell ref="A56:T57"/>
    <mergeCell ref="E39:H39"/>
    <mergeCell ref="K39:M39"/>
    <mergeCell ref="O39:S39"/>
    <mergeCell ref="K40:L40"/>
    <mergeCell ref="E41:H41"/>
    <mergeCell ref="K41:L41"/>
    <mergeCell ref="O41:S41"/>
    <mergeCell ref="A58:D58"/>
    <mergeCell ref="E58:G58"/>
    <mergeCell ref="H58:K58"/>
    <mergeCell ref="L58:N58"/>
    <mergeCell ref="A64:F64"/>
    <mergeCell ref="H64:M64"/>
    <mergeCell ref="K42:L42"/>
    <mergeCell ref="E43:H43"/>
    <mergeCell ref="K43:L43"/>
    <mergeCell ref="A80:B80"/>
    <mergeCell ref="E80:H80"/>
    <mergeCell ref="O80:S80"/>
    <mergeCell ref="O64:T64"/>
    <mergeCell ref="E72:M72"/>
    <mergeCell ref="O72:T72"/>
    <mergeCell ref="A73:B73"/>
    <mergeCell ref="E73:M73"/>
    <mergeCell ref="O73:T73"/>
    <mergeCell ref="E82:H82"/>
    <mergeCell ref="O82:S82"/>
    <mergeCell ref="E86:M86"/>
    <mergeCell ref="O86:T86"/>
    <mergeCell ref="E88:H88"/>
    <mergeCell ref="O88:S88"/>
    <mergeCell ref="E74:H74"/>
    <mergeCell ref="E75:H75"/>
    <mergeCell ref="O75:S75"/>
    <mergeCell ref="E78:H78"/>
    <mergeCell ref="O78:S78"/>
    <mergeCell ref="O94:S94"/>
    <mergeCell ref="K95:L95"/>
    <mergeCell ref="A107:T108"/>
    <mergeCell ref="E90:H90"/>
    <mergeCell ref="K90:M90"/>
    <mergeCell ref="O90:S90"/>
    <mergeCell ref="K91:L91"/>
    <mergeCell ref="E92:H92"/>
    <mergeCell ref="K92:L92"/>
    <mergeCell ref="O92:S92"/>
    <mergeCell ref="A109:D109"/>
    <mergeCell ref="E109:G109"/>
    <mergeCell ref="H109:K109"/>
    <mergeCell ref="L109:N109"/>
    <mergeCell ref="A115:B115"/>
    <mergeCell ref="H115:M115"/>
    <mergeCell ref="K93:L93"/>
    <mergeCell ref="E94:H94"/>
    <mergeCell ref="K94:L94"/>
    <mergeCell ref="E125:H125"/>
    <mergeCell ref="E126:H126"/>
    <mergeCell ref="O126:S126"/>
    <mergeCell ref="E129:H129"/>
    <mergeCell ref="O129:S129"/>
    <mergeCell ref="A131:B131"/>
    <mergeCell ref="E131:H131"/>
    <mergeCell ref="O131:S131"/>
    <mergeCell ref="O115:T115"/>
    <mergeCell ref="E123:M123"/>
    <mergeCell ref="O123:T123"/>
    <mergeCell ref="A124:B124"/>
    <mergeCell ref="E124:M124"/>
    <mergeCell ref="O124:T124"/>
    <mergeCell ref="E141:H141"/>
    <mergeCell ref="K141:M141"/>
    <mergeCell ref="O141:S141"/>
    <mergeCell ref="K142:L142"/>
    <mergeCell ref="E143:H143"/>
    <mergeCell ref="K143:L143"/>
    <mergeCell ref="O143:S143"/>
    <mergeCell ref="E133:H133"/>
    <mergeCell ref="O133:S133"/>
    <mergeCell ref="E137:M137"/>
    <mergeCell ref="O137:T137"/>
    <mergeCell ref="E139:H139"/>
    <mergeCell ref="O139:S139"/>
    <mergeCell ref="A180:D180"/>
    <mergeCell ref="E180:G180"/>
    <mergeCell ref="H180:K180"/>
    <mergeCell ref="L180:N180"/>
    <mergeCell ref="O180:Q180"/>
    <mergeCell ref="A186:F186"/>
    <mergeCell ref="H186:M186"/>
    <mergeCell ref="O186:T186"/>
    <mergeCell ref="K144:L144"/>
    <mergeCell ref="E145:H145"/>
    <mergeCell ref="K145:L145"/>
    <mergeCell ref="O145:S145"/>
    <mergeCell ref="K146:L146"/>
    <mergeCell ref="E194:I194"/>
    <mergeCell ref="A195:B195"/>
    <mergeCell ref="E195:H195"/>
    <mergeCell ref="E196:H196"/>
    <mergeCell ref="E198:H198"/>
    <mergeCell ref="E199:H199"/>
    <mergeCell ref="E200:H200"/>
    <mergeCell ref="A202:B202"/>
    <mergeCell ref="E202:H202"/>
    <mergeCell ref="K216:N216"/>
    <mergeCell ref="Q216:T216"/>
    <mergeCell ref="E204:H204"/>
    <mergeCell ref="E208:I208"/>
    <mergeCell ref="K208:O208"/>
    <mergeCell ref="Q208:U208"/>
    <mergeCell ref="E209:H209"/>
    <mergeCell ref="K209:N209"/>
    <mergeCell ref="Q209:T209"/>
    <mergeCell ref="E210:H210"/>
    <mergeCell ref="K210:N210"/>
    <mergeCell ref="Q210:T210"/>
    <mergeCell ref="E207:I207"/>
    <mergeCell ref="K207:O207"/>
    <mergeCell ref="Q207:U207"/>
    <mergeCell ref="K229:R230"/>
    <mergeCell ref="E222:H222"/>
    <mergeCell ref="K222:N222"/>
    <mergeCell ref="Q222:T222"/>
    <mergeCell ref="K228:M228"/>
    <mergeCell ref="R180:T180"/>
    <mergeCell ref="V186:AA186"/>
    <mergeCell ref="A178:AA179"/>
    <mergeCell ref="E217:H217"/>
    <mergeCell ref="K217:N217"/>
    <mergeCell ref="Q217:T217"/>
    <mergeCell ref="E218:H218"/>
    <mergeCell ref="K218:N218"/>
    <mergeCell ref="Q218:T218"/>
    <mergeCell ref="E220:H220"/>
    <mergeCell ref="K220:N220"/>
    <mergeCell ref="Q220:T220"/>
    <mergeCell ref="E212:H212"/>
    <mergeCell ref="K212:N212"/>
    <mergeCell ref="Q212:T212"/>
    <mergeCell ref="E214:H214"/>
    <mergeCell ref="K214:N214"/>
    <mergeCell ref="Q214:T214"/>
    <mergeCell ref="E216:H216"/>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32"/>
  <sheetViews>
    <sheetView topLeftCell="A180" zoomScale="110" zoomScaleNormal="110" workbookViewId="0">
      <selection activeCell="B232" sqref="B232"/>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1.710937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10.85546875" bestFit="1" customWidth="1"/>
    <col min="15" max="15" width="11.28515625" customWidth="1"/>
    <col min="16" max="16" width="9.5703125" customWidth="1"/>
    <col min="17" max="17" width="8.42578125" customWidth="1"/>
    <col min="18" max="18" width="10.5703125" customWidth="1"/>
    <col min="19" max="19" width="9" customWidth="1"/>
    <col min="20" max="20" width="13.85546875" customWidth="1"/>
    <col min="21" max="21" width="10.85546875" bestFit="1" customWidth="1"/>
    <col min="27" max="27" width="10.85546875" bestFit="1" customWidth="1"/>
  </cols>
  <sheetData>
    <row r="1" spans="1:20" s="82" customFormat="1" ht="18.75" customHeight="1" x14ac:dyDescent="0.25">
      <c r="A1" s="294" t="s">
        <v>65</v>
      </c>
      <c r="B1" s="294"/>
      <c r="C1" s="294"/>
      <c r="D1" s="294"/>
      <c r="E1" s="294"/>
      <c r="F1" s="294"/>
      <c r="G1" s="294"/>
      <c r="H1" s="294"/>
      <c r="I1" s="294"/>
      <c r="J1" s="294"/>
      <c r="K1" s="294"/>
      <c r="L1" s="294"/>
      <c r="M1" s="294"/>
      <c r="N1" s="294"/>
      <c r="O1" s="294"/>
      <c r="P1" s="294"/>
      <c r="Q1" s="294"/>
      <c r="R1" s="294"/>
      <c r="S1" s="294"/>
      <c r="T1" s="294"/>
    </row>
    <row r="2" spans="1:20" ht="15" customHeight="1" x14ac:dyDescent="0.25">
      <c r="A2" s="294"/>
      <c r="B2" s="294"/>
      <c r="C2" s="294"/>
      <c r="D2" s="294"/>
      <c r="E2" s="294"/>
      <c r="F2" s="294"/>
      <c r="G2" s="294"/>
      <c r="H2" s="294"/>
      <c r="I2" s="294"/>
      <c r="J2" s="294"/>
      <c r="K2" s="294"/>
      <c r="L2" s="294"/>
      <c r="M2" s="294"/>
      <c r="N2" s="294"/>
      <c r="O2" s="294"/>
      <c r="P2" s="294"/>
      <c r="Q2" s="294"/>
      <c r="R2" s="294"/>
      <c r="S2" s="294"/>
      <c r="T2" s="294"/>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265" t="s">
        <v>61</v>
      </c>
      <c r="B5" s="265"/>
      <c r="C5" s="265"/>
      <c r="D5" s="265"/>
      <c r="E5" s="265"/>
      <c r="F5" s="265"/>
      <c r="G5" s="265"/>
      <c r="H5" s="265"/>
      <c r="I5" s="265"/>
      <c r="J5" s="265"/>
      <c r="K5" s="265"/>
      <c r="L5" s="265"/>
      <c r="M5" s="265"/>
      <c r="N5" s="265"/>
      <c r="O5" s="265"/>
      <c r="P5" s="265"/>
      <c r="Q5" s="265"/>
      <c r="R5" s="265"/>
      <c r="S5" s="265"/>
      <c r="T5" s="265"/>
    </row>
    <row r="6" spans="1:20" s="83" customFormat="1" ht="15.75" thickBot="1" x14ac:dyDescent="0.3">
      <c r="A6" s="265"/>
      <c r="B6" s="265"/>
      <c r="C6" s="265"/>
      <c r="D6" s="265"/>
      <c r="E6" s="265"/>
      <c r="F6" s="265"/>
      <c r="G6" s="265"/>
      <c r="H6" s="265"/>
      <c r="I6" s="265"/>
      <c r="J6" s="265"/>
      <c r="K6" s="265"/>
      <c r="L6" s="265"/>
      <c r="M6" s="265"/>
      <c r="N6" s="265"/>
      <c r="O6" s="265"/>
      <c r="P6" s="265"/>
      <c r="Q6" s="265"/>
      <c r="R6" s="265"/>
      <c r="S6" s="265"/>
      <c r="T6" s="265"/>
    </row>
    <row r="7" spans="1:20" ht="15.75" thickBot="1" x14ac:dyDescent="0.3">
      <c r="A7" s="227" t="s">
        <v>0</v>
      </c>
      <c r="B7" s="228"/>
      <c r="C7" s="228"/>
      <c r="D7" s="229"/>
      <c r="E7" s="235" t="s">
        <v>1</v>
      </c>
      <c r="F7" s="236"/>
      <c r="G7" s="249"/>
      <c r="H7" s="227" t="s">
        <v>2</v>
      </c>
      <c r="I7" s="228"/>
      <c r="J7" s="228"/>
      <c r="K7" s="229"/>
      <c r="L7" s="227" t="s">
        <v>32</v>
      </c>
      <c r="M7" s="228"/>
      <c r="N7" s="229"/>
    </row>
    <row r="8" spans="1:20" ht="45" customHeight="1" thickBot="1" x14ac:dyDescent="0.3">
      <c r="A8" s="116" t="s">
        <v>3</v>
      </c>
      <c r="B8" s="117" t="s">
        <v>33</v>
      </c>
      <c r="C8" s="117" t="s">
        <v>34</v>
      </c>
      <c r="D8" s="118" t="s">
        <v>4</v>
      </c>
      <c r="E8" s="116" t="s">
        <v>5</v>
      </c>
      <c r="F8" s="117" t="s">
        <v>6</v>
      </c>
      <c r="G8" s="118"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20</v>
      </c>
      <c r="G9" s="8">
        <f>IF(E9&gt;0,IF(E9=B9,D9,IF(AND(E9&gt;B9,E9&lt;=C9),0+(E9-B9)*((D9-0)/(C9-B9)),0)),0)</f>
        <v>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100</v>
      </c>
      <c r="F11" s="21">
        <v>0</v>
      </c>
      <c r="G11" s="21">
        <f>IF(E11&gt;0,IF(E11=C11,D11,IF(AND(E11&gt;B11,E11&lt;C11),D10+(E11-B11)*((D11-D10)/(C11-B11)),IF(E11&gt;C11,D11,0))),0)</f>
        <v>30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235" t="s">
        <v>39</v>
      </c>
      <c r="B13" s="236"/>
      <c r="C13" s="236"/>
      <c r="D13" s="236"/>
      <c r="E13" s="236"/>
      <c r="F13" s="249"/>
      <c r="H13" s="268" t="s">
        <v>40</v>
      </c>
      <c r="I13" s="269"/>
      <c r="J13" s="269"/>
      <c r="K13" s="269"/>
      <c r="L13" s="269"/>
      <c r="M13" s="270"/>
      <c r="O13" s="268" t="s">
        <v>41</v>
      </c>
      <c r="P13" s="269"/>
      <c r="Q13" s="269"/>
      <c r="R13" s="269"/>
      <c r="S13" s="269"/>
      <c r="T13" s="270"/>
    </row>
    <row r="14" spans="1:20" ht="30.75" thickBot="1" x14ac:dyDescent="0.3">
      <c r="A14" s="120" t="s">
        <v>3</v>
      </c>
      <c r="B14" s="117" t="s">
        <v>33</v>
      </c>
      <c r="C14" s="117" t="s">
        <v>34</v>
      </c>
      <c r="D14" s="117" t="s">
        <v>36</v>
      </c>
      <c r="E14" s="117" t="s">
        <v>7</v>
      </c>
      <c r="F14" s="118" t="s">
        <v>48</v>
      </c>
      <c r="H14" s="120" t="s">
        <v>3</v>
      </c>
      <c r="I14" s="117" t="s">
        <v>33</v>
      </c>
      <c r="J14" s="117" t="s">
        <v>34</v>
      </c>
      <c r="K14" s="117" t="s">
        <v>36</v>
      </c>
      <c r="L14" s="117" t="s">
        <v>47</v>
      </c>
      <c r="M14" s="118" t="s">
        <v>48</v>
      </c>
      <c r="O14" s="75" t="s">
        <v>3</v>
      </c>
      <c r="P14" s="67" t="s">
        <v>33</v>
      </c>
      <c r="Q14" s="67" t="s">
        <v>34</v>
      </c>
      <c r="R14" s="67" t="s">
        <v>36</v>
      </c>
      <c r="S14" s="67" t="s">
        <v>7</v>
      </c>
      <c r="T14" s="107" t="s">
        <v>48</v>
      </c>
    </row>
    <row r="15" spans="1:20" x14ac:dyDescent="0.25">
      <c r="A15" s="4">
        <v>1</v>
      </c>
      <c r="B15" s="5">
        <v>0</v>
      </c>
      <c r="C15" s="5">
        <f>IF(AND(B23&gt;B9,B23&lt;C9),B23,IF(B23&gt;=C9,C9,0))</f>
        <v>50</v>
      </c>
      <c r="D15" s="29">
        <f>MIN(D9,F9)</f>
        <v>20</v>
      </c>
      <c r="E15" s="29">
        <f>IF(AND(B$23&gt;B9,B$23&lt;C9),G9,IF(B$23&gt;=C9,D9,0))</f>
        <v>20</v>
      </c>
      <c r="F15" s="30">
        <f>(C15-B15)*(D15+E15)/2</f>
        <v>1000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50</v>
      </c>
      <c r="C16" s="5">
        <f>IF(AND(B$23&gt;B10,B$23&lt;C10),B$23,IF(B$23&gt;=C10,C10,0))</f>
        <v>75</v>
      </c>
      <c r="D16" s="29">
        <f>IF(B16&lt;&gt;0,E15,0)</f>
        <v>20</v>
      </c>
      <c r="E16" s="29">
        <f>IF(AND(B$23&gt;B10,B$23&lt;C10),G10,IF(B$23&gt;=C10,D10,0))</f>
        <v>25</v>
      </c>
      <c r="F16" s="30">
        <f t="shared" ref="F16:F18" si="0">(C16-B16)*(D16+E16)/2</f>
        <v>562.5</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75</v>
      </c>
      <c r="C17" s="5">
        <f>IF(AND(B$23&gt;B11,B$23&lt;C11),B$23,IF(B$23&gt;=C11,C11,0))</f>
        <v>100</v>
      </c>
      <c r="D17" s="29">
        <f t="shared" ref="D17:D18" si="4">IF(B17&lt;&gt;0,E16,0)</f>
        <v>25</v>
      </c>
      <c r="E17" s="29">
        <f>IF(AND(B$23&gt;B11,B$23&lt;C11),G11,IF(B$23&gt;=C11,D11,0))</f>
        <v>30</v>
      </c>
      <c r="F17" s="30">
        <f t="shared" si="0"/>
        <v>687.5</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2250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266" t="s">
        <v>37</v>
      </c>
      <c r="B21" s="266"/>
      <c r="C21" s="266"/>
      <c r="D21" s="267"/>
      <c r="E21" s="277" t="s">
        <v>44</v>
      </c>
      <c r="F21" s="278"/>
      <c r="G21" s="278"/>
      <c r="H21" s="278"/>
      <c r="I21" s="278"/>
      <c r="J21" s="278"/>
      <c r="K21" s="278"/>
      <c r="L21" s="278"/>
      <c r="M21" s="279"/>
      <c r="O21" s="274" t="s">
        <v>42</v>
      </c>
      <c r="P21" s="275"/>
      <c r="Q21" s="275"/>
      <c r="R21" s="275"/>
      <c r="S21" s="275"/>
      <c r="T21" s="276"/>
    </row>
    <row r="22" spans="1:20" ht="15.75" thickBot="1" x14ac:dyDescent="0.3">
      <c r="A22" s="263" t="s">
        <v>10</v>
      </c>
      <c r="B22" s="264"/>
      <c r="E22" s="227" t="s">
        <v>11</v>
      </c>
      <c r="F22" s="228"/>
      <c r="G22" s="228"/>
      <c r="H22" s="228"/>
      <c r="I22" s="228"/>
      <c r="J22" s="228"/>
      <c r="K22" s="228"/>
      <c r="L22" s="228"/>
      <c r="M22" s="229"/>
      <c r="O22" s="271" t="s">
        <v>11</v>
      </c>
      <c r="P22" s="272"/>
      <c r="Q22" s="272"/>
      <c r="R22" s="272"/>
      <c r="S22" s="272"/>
      <c r="T22" s="273"/>
    </row>
    <row r="23" spans="1:20" x14ac:dyDescent="0.25">
      <c r="A23" s="4" t="s">
        <v>5</v>
      </c>
      <c r="B23" s="13">
        <v>100</v>
      </c>
      <c r="E23" s="261" t="s">
        <v>12</v>
      </c>
      <c r="F23" s="262"/>
      <c r="G23" s="262"/>
      <c r="H23" s="262"/>
      <c r="I23" s="99"/>
      <c r="J23" s="10"/>
      <c r="K23" s="10"/>
      <c r="L23" s="10"/>
      <c r="M23" s="26"/>
      <c r="O23" s="16" t="s">
        <v>12</v>
      </c>
      <c r="P23" s="29"/>
      <c r="Q23" s="5"/>
      <c r="R23" s="5"/>
      <c r="S23" s="5"/>
      <c r="T23" s="13"/>
    </row>
    <row r="24" spans="1:20" ht="15.75" thickBot="1" x14ac:dyDescent="0.3">
      <c r="A24" s="17" t="s">
        <v>13</v>
      </c>
      <c r="B24" s="19">
        <v>45</v>
      </c>
      <c r="E24" s="240" t="s">
        <v>14</v>
      </c>
      <c r="F24" s="241"/>
      <c r="G24" s="241"/>
      <c r="H24" s="241"/>
      <c r="I24" s="42">
        <f>B23*B24</f>
        <v>4500</v>
      </c>
      <c r="J24" s="5"/>
      <c r="K24" s="5"/>
      <c r="L24" s="5"/>
      <c r="M24" s="13"/>
      <c r="O24" s="245" t="s">
        <v>14</v>
      </c>
      <c r="P24" s="246"/>
      <c r="Q24" s="246"/>
      <c r="R24" s="246"/>
      <c r="S24" s="246"/>
      <c r="T24" s="56">
        <f>I24</f>
        <v>4500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240" t="s">
        <v>15</v>
      </c>
      <c r="F27" s="241"/>
      <c r="G27" s="241"/>
      <c r="H27" s="241"/>
      <c r="I27" s="43">
        <f>M28</f>
        <v>0</v>
      </c>
      <c r="J27" s="5"/>
      <c r="K27" s="35" t="s">
        <v>16</v>
      </c>
      <c r="L27" s="36">
        <f>F19</f>
        <v>2250</v>
      </c>
      <c r="M27" s="105" t="s">
        <v>17</v>
      </c>
      <c r="O27" s="245" t="s">
        <v>15</v>
      </c>
      <c r="P27" s="246"/>
      <c r="Q27" s="246"/>
      <c r="R27" s="246"/>
      <c r="S27" s="246"/>
      <c r="T27" s="88">
        <f>I27</f>
        <v>0</v>
      </c>
    </row>
    <row r="28" spans="1:20" ht="15.75" thickBot="1" x14ac:dyDescent="0.3">
      <c r="A28" s="266" t="s">
        <v>37</v>
      </c>
      <c r="B28" s="266"/>
      <c r="C28" s="266"/>
      <c r="D28" s="267"/>
      <c r="E28" s="85"/>
      <c r="F28" s="86"/>
      <c r="G28" s="86"/>
      <c r="H28" s="86"/>
      <c r="I28" s="5"/>
      <c r="J28" s="5"/>
      <c r="K28" s="37" t="s">
        <v>18</v>
      </c>
      <c r="L28" s="38">
        <f>I24</f>
        <v>4500</v>
      </c>
      <c r="M28" s="39">
        <f>MAX(L27-L28,0)</f>
        <v>0</v>
      </c>
      <c r="O28" s="16"/>
      <c r="P28" s="5"/>
      <c r="Q28" s="5"/>
      <c r="R28" s="5"/>
      <c r="S28" s="5"/>
      <c r="T28" s="13"/>
    </row>
    <row r="29" spans="1:20" x14ac:dyDescent="0.25">
      <c r="A29" s="263" t="s">
        <v>22</v>
      </c>
      <c r="B29" s="264"/>
      <c r="E29" s="240" t="str">
        <f>"DA Incremental Cost @ DA MW ("&amp;$B23&amp;" MW)"</f>
        <v>DA Incremental Cost @ DA MW (100 MW)</v>
      </c>
      <c r="F29" s="241"/>
      <c r="G29" s="241"/>
      <c r="H29" s="241"/>
      <c r="I29" s="44">
        <f>F19</f>
        <v>2250</v>
      </c>
      <c r="J29" s="5"/>
      <c r="K29" s="29"/>
      <c r="L29" s="5"/>
      <c r="M29" s="13"/>
      <c r="O29" s="245" t="str">
        <f>"DA Incremental Cost @ DA MW ("&amp;$B23&amp;" MW)"</f>
        <v>DA Incremental Cost @ DA MW (100 MW)</v>
      </c>
      <c r="P29" s="246"/>
      <c r="Q29" s="246"/>
      <c r="R29" s="246"/>
      <c r="S29" s="246"/>
      <c r="T29" s="89">
        <f>I29</f>
        <v>2250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15</v>
      </c>
      <c r="D31" s="32"/>
      <c r="E31" s="240" t="s">
        <v>19</v>
      </c>
      <c r="F31" s="241"/>
      <c r="G31" s="241"/>
      <c r="H31" s="241"/>
      <c r="I31" s="40">
        <f>I24+I27-I29</f>
        <v>2250</v>
      </c>
      <c r="J31" s="5"/>
      <c r="K31" s="29"/>
      <c r="L31" s="45"/>
      <c r="M31" s="13"/>
      <c r="O31" s="245" t="s">
        <v>19</v>
      </c>
      <c r="P31" s="246"/>
      <c r="Q31" s="246"/>
      <c r="R31" s="246"/>
      <c r="S31" s="246"/>
      <c r="T31" s="31">
        <f>T24+T27-T29</f>
        <v>2250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227" t="s">
        <v>20</v>
      </c>
      <c r="F35" s="228"/>
      <c r="G35" s="228"/>
      <c r="H35" s="228"/>
      <c r="I35" s="228"/>
      <c r="J35" s="228"/>
      <c r="K35" s="228"/>
      <c r="L35" s="228"/>
      <c r="M35" s="229"/>
      <c r="N35" s="5"/>
      <c r="O35" s="227" t="s">
        <v>20</v>
      </c>
      <c r="P35" s="228"/>
      <c r="Q35" s="228"/>
      <c r="R35" s="228"/>
      <c r="S35" s="228"/>
      <c r="T35" s="229"/>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240" t="s">
        <v>21</v>
      </c>
      <c r="F37" s="241"/>
      <c r="G37" s="241"/>
      <c r="H37" s="241"/>
      <c r="I37" s="29">
        <f>(B30-B23)*B31</f>
        <v>-750</v>
      </c>
      <c r="J37" s="29"/>
      <c r="K37" s="29"/>
      <c r="L37" s="29"/>
      <c r="M37" s="13"/>
      <c r="N37" s="5"/>
      <c r="O37" s="245" t="s">
        <v>21</v>
      </c>
      <c r="P37" s="246"/>
      <c r="Q37" s="246"/>
      <c r="R37" s="246"/>
      <c r="S37" s="246"/>
      <c r="T37" s="30">
        <f>I37</f>
        <v>-750</v>
      </c>
    </row>
    <row r="38" spans="1:20" ht="15.75" thickBot="1" x14ac:dyDescent="0.3">
      <c r="E38" s="85"/>
      <c r="F38" s="86"/>
      <c r="G38" s="86"/>
      <c r="H38" s="86"/>
      <c r="I38" s="5"/>
      <c r="J38" s="5"/>
      <c r="K38" s="5"/>
      <c r="L38" s="5"/>
      <c r="M38" s="30"/>
      <c r="N38" s="5"/>
      <c r="O38" s="16"/>
      <c r="P38" s="5"/>
      <c r="Q38" s="5"/>
      <c r="R38" s="5"/>
      <c r="S38" s="5"/>
      <c r="T38" s="13"/>
    </row>
    <row r="39" spans="1:20" x14ac:dyDescent="0.25">
      <c r="E39" s="240" t="s">
        <v>23</v>
      </c>
      <c r="F39" s="241"/>
      <c r="G39" s="241"/>
      <c r="H39" s="241"/>
      <c r="I39" s="29">
        <f>MAX(M44*-1,0)</f>
        <v>0</v>
      </c>
      <c r="J39" s="29"/>
      <c r="K39" s="256" t="s">
        <v>30</v>
      </c>
      <c r="L39" s="257"/>
      <c r="M39" s="258"/>
      <c r="N39" s="5"/>
      <c r="O39" s="245" t="s">
        <v>23</v>
      </c>
      <c r="P39" s="246"/>
      <c r="Q39" s="246"/>
      <c r="R39" s="246"/>
      <c r="S39" s="246"/>
      <c r="T39" s="30">
        <f>I39</f>
        <v>0</v>
      </c>
    </row>
    <row r="40" spans="1:20" x14ac:dyDescent="0.25">
      <c r="E40" s="92"/>
      <c r="F40" s="67"/>
      <c r="G40" s="67"/>
      <c r="H40" s="67"/>
      <c r="I40" s="76"/>
      <c r="J40" s="76"/>
      <c r="K40" s="259" t="s">
        <v>24</v>
      </c>
      <c r="L40" s="260"/>
      <c r="M40" s="56">
        <f>I24</f>
        <v>4500</v>
      </c>
      <c r="N40" s="5"/>
      <c r="O40" s="75"/>
      <c r="P40" s="76"/>
      <c r="Q40" s="76"/>
      <c r="R40" s="76"/>
      <c r="S40" s="76"/>
      <c r="T40" s="77"/>
    </row>
    <row r="41" spans="1:20" ht="30" customHeight="1" x14ac:dyDescent="0.25">
      <c r="E41" s="291" t="str">
        <f>"Incremental Cost @ RT MW Used ("&amp;$B35&amp;" MW)"</f>
        <v>Incremental Cost @ RT MW Used (50 MW)</v>
      </c>
      <c r="F41" s="292"/>
      <c r="G41" s="292"/>
      <c r="H41" s="292"/>
      <c r="I41" s="8">
        <f>M43</f>
        <v>1000</v>
      </c>
      <c r="J41" s="8"/>
      <c r="K41" s="259" t="s">
        <v>17</v>
      </c>
      <c r="L41" s="260"/>
      <c r="M41" s="56">
        <f>I27</f>
        <v>0</v>
      </c>
      <c r="N41" s="5"/>
      <c r="O41" s="245" t="str">
        <f>"Incremental Cost @ Actual RT MW ("&amp;$B30&amp;" MW)"</f>
        <v>Incremental Cost @ Actual RT MW (50 MW)</v>
      </c>
      <c r="P41" s="246"/>
      <c r="Q41" s="246"/>
      <c r="R41" s="246"/>
      <c r="S41" s="246"/>
      <c r="T41" s="6">
        <f>T19</f>
        <v>1000</v>
      </c>
    </row>
    <row r="42" spans="1:20" x14ac:dyDescent="0.25">
      <c r="E42" s="93"/>
      <c r="F42" s="100"/>
      <c r="G42" s="100"/>
      <c r="H42" s="100"/>
      <c r="I42" s="48"/>
      <c r="J42" s="48"/>
      <c r="K42" s="289" t="s">
        <v>25</v>
      </c>
      <c r="L42" s="290"/>
      <c r="M42" s="30">
        <f>(B34-B23)*B31</f>
        <v>-750</v>
      </c>
      <c r="N42" s="5"/>
      <c r="O42" s="47"/>
      <c r="P42" s="87"/>
      <c r="Q42" s="87"/>
      <c r="R42" s="87"/>
      <c r="S42" s="87"/>
      <c r="T42" s="90"/>
    </row>
    <row r="43" spans="1:20" ht="15.75" thickBot="1" x14ac:dyDescent="0.3">
      <c r="E43" s="287" t="s">
        <v>26</v>
      </c>
      <c r="F43" s="288"/>
      <c r="G43" s="288"/>
      <c r="H43" s="288"/>
      <c r="I43" s="50">
        <f>I24+I27+I37+I39-I41</f>
        <v>2750</v>
      </c>
      <c r="J43" s="104"/>
      <c r="K43" s="245" t="s">
        <v>46</v>
      </c>
      <c r="L43" s="246"/>
      <c r="M43" s="30">
        <f>M19</f>
        <v>1000</v>
      </c>
      <c r="N43" s="5"/>
      <c r="O43" s="245" t="s">
        <v>26</v>
      </c>
      <c r="P43" s="246"/>
      <c r="Q43" s="246"/>
      <c r="R43" s="246"/>
      <c r="S43" s="246"/>
      <c r="T43" s="91">
        <f>T24+T27+T37+T39-T41</f>
        <v>2750</v>
      </c>
    </row>
    <row r="44" spans="1:20" ht="30.75" customHeight="1" thickTop="1" thickBot="1" x14ac:dyDescent="0.3">
      <c r="E44" s="49"/>
      <c r="F44" s="8"/>
      <c r="G44" s="8"/>
      <c r="H44" s="8"/>
      <c r="I44" s="8"/>
      <c r="J44" s="8"/>
      <c r="K44" s="247" t="s">
        <v>70</v>
      </c>
      <c r="L44" s="248"/>
      <c r="M44" s="103">
        <f>M40+M41+M42-M43</f>
        <v>2750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286" t="s">
        <v>59</v>
      </c>
      <c r="B56" s="286"/>
      <c r="C56" s="286"/>
      <c r="D56" s="286"/>
      <c r="E56" s="286"/>
      <c r="F56" s="286"/>
      <c r="G56" s="286"/>
      <c r="H56" s="286"/>
      <c r="I56" s="286"/>
      <c r="J56" s="286"/>
      <c r="K56" s="286"/>
      <c r="L56" s="286"/>
      <c r="M56" s="286"/>
      <c r="N56" s="286"/>
      <c r="O56" s="286"/>
      <c r="P56" s="286"/>
      <c r="Q56" s="286"/>
      <c r="R56" s="286"/>
      <c r="S56" s="286"/>
      <c r="T56" s="286"/>
      <c r="U56" s="95"/>
      <c r="V56" s="95"/>
      <c r="W56" s="95"/>
    </row>
    <row r="57" spans="1:23" s="83" customFormat="1" ht="24" customHeight="1" thickBot="1" x14ac:dyDescent="0.3">
      <c r="A57" s="286"/>
      <c r="B57" s="286"/>
      <c r="C57" s="286"/>
      <c r="D57" s="286"/>
      <c r="E57" s="286"/>
      <c r="F57" s="286"/>
      <c r="G57" s="286"/>
      <c r="H57" s="286"/>
      <c r="I57" s="286"/>
      <c r="J57" s="286"/>
      <c r="K57" s="286"/>
      <c r="L57" s="286"/>
      <c r="M57" s="286"/>
      <c r="N57" s="286"/>
      <c r="O57" s="286"/>
      <c r="P57" s="286"/>
      <c r="Q57" s="286"/>
      <c r="R57" s="286"/>
      <c r="S57" s="286"/>
      <c r="T57" s="286"/>
      <c r="U57" s="95"/>
      <c r="V57" s="95"/>
      <c r="W57" s="95"/>
    </row>
    <row r="58" spans="1:23" ht="15.75" thickBot="1" x14ac:dyDescent="0.3">
      <c r="A58" s="250" t="s">
        <v>0</v>
      </c>
      <c r="B58" s="251"/>
      <c r="C58" s="251"/>
      <c r="D58" s="252"/>
      <c r="E58" s="235" t="s">
        <v>1</v>
      </c>
      <c r="F58" s="236"/>
      <c r="G58" s="249"/>
      <c r="H58" s="227" t="s">
        <v>2</v>
      </c>
      <c r="I58" s="228"/>
      <c r="J58" s="228"/>
      <c r="K58" s="229"/>
      <c r="L58" s="227" t="s">
        <v>32</v>
      </c>
      <c r="M58" s="228"/>
      <c r="N58" s="229"/>
    </row>
    <row r="59" spans="1:23" ht="64.5" customHeight="1" thickBot="1" x14ac:dyDescent="0.3">
      <c r="A59" s="120" t="s">
        <v>3</v>
      </c>
      <c r="B59" s="117" t="s">
        <v>33</v>
      </c>
      <c r="C59" s="117" t="s">
        <v>34</v>
      </c>
      <c r="D59" s="121" t="s">
        <v>4</v>
      </c>
      <c r="E59" s="120" t="s">
        <v>5</v>
      </c>
      <c r="F59" s="117" t="s">
        <v>6</v>
      </c>
      <c r="G59" s="118" t="s">
        <v>7</v>
      </c>
      <c r="H59" s="69" t="s">
        <v>38</v>
      </c>
      <c r="I59" s="65" t="s">
        <v>53</v>
      </c>
      <c r="J59" s="65" t="s">
        <v>6</v>
      </c>
      <c r="K59" s="66" t="s">
        <v>7</v>
      </c>
      <c r="L59" s="119" t="s">
        <v>5</v>
      </c>
      <c r="M59" s="65" t="s">
        <v>49</v>
      </c>
      <c r="N59" s="66" t="s">
        <v>47</v>
      </c>
    </row>
    <row r="60" spans="1:23" x14ac:dyDescent="0.25">
      <c r="A60" s="4">
        <v>1</v>
      </c>
      <c r="B60" s="5">
        <v>0</v>
      </c>
      <c r="C60" s="5">
        <v>50</v>
      </c>
      <c r="D60" s="6">
        <v>20</v>
      </c>
      <c r="E60" s="7">
        <f>IF(AND(B$74&gt;B60,B$74&lt;=C60),B$74,0)</f>
        <v>0</v>
      </c>
      <c r="F60" s="8">
        <f>IF(B74&gt;0,D60,0)</f>
        <v>20</v>
      </c>
      <c r="G60" s="8">
        <f>IF(E60&gt;0,IF(E60=B60,D60,IF(AND(E60&gt;B60,E60&lt;=C60),D60+(E60-B60)*((D60-D60)/(C60-B60)),0)),0)</f>
        <v>0</v>
      </c>
      <c r="H60" s="14">
        <f>IF(AND(MIN(B$81,B$84)&gt;B60,MIN(B$81,B$84)&lt;=C60),MIN(B$81,B$84),0)</f>
        <v>0</v>
      </c>
      <c r="I60" s="15">
        <f>IF(AND(B$86&gt;B60,B$86&lt;=C60),B$86,0)</f>
        <v>0</v>
      </c>
      <c r="J60" s="9">
        <f>IF(B81&gt;0,D60,0)</f>
        <v>20</v>
      </c>
      <c r="K60" s="11">
        <f>IF(H60&gt;0,IF(H60=B60,D60,IF(AND(H60&gt;B60,H60&lt;=C60),D60+(H60-B60)*((D60-D60)/(C60-B60)),0)),0)</f>
        <v>0</v>
      </c>
      <c r="L60" s="14">
        <f>IF(AND(B81&gt;B60,B81&lt;=C60),B81,0)</f>
        <v>0</v>
      </c>
      <c r="M60" s="9">
        <f>IF(B81&gt;0,D60,0)</f>
        <v>20</v>
      </c>
      <c r="N60" s="11">
        <f>IF(L60&gt;0,IF(L60=B60,D60,IF(AND(L60&gt;B60,L60&lt;=C60),D60+(L60-B60)*((D60-D60)/(C60-B60)),0)),0)</f>
        <v>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75</v>
      </c>
      <c r="I61" s="12">
        <f t="shared" ref="I61:I62" si="7">IF(AND(B$86&gt;B61,B$86&lt;=C61),B$86,0)</f>
        <v>75</v>
      </c>
      <c r="J61" s="5">
        <v>0</v>
      </c>
      <c r="K61" s="6">
        <f>IF(H61&gt;0,IF(H61=B61,D61,IF(AND(H61&gt;B61,H61&lt;=C61),D60+(H61-B61)*((D61-D60)/(C61-B61)),0)),0)</f>
        <v>25</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100</v>
      </c>
      <c r="F62" s="21">
        <v>0</v>
      </c>
      <c r="G62" s="21">
        <f>IF(E62&gt;0,IF(E62=C62,D62,IF(AND(E62&gt;B62,E62&lt;C62),D61+(E62-B62)*((D62-D61)/(C62-B62)),IF(E62&gt;C62,D62,0))),0)</f>
        <v>30</v>
      </c>
      <c r="H62" s="24">
        <f t="shared" si="6"/>
        <v>0</v>
      </c>
      <c r="I62" s="22">
        <f t="shared" si="7"/>
        <v>0</v>
      </c>
      <c r="J62" s="18">
        <v>0</v>
      </c>
      <c r="K62" s="19">
        <f>IF(AND(I62&gt;0,H62&lt;&gt;I62),MAX(K60:K61),IF(H62&gt;0,IF(H62=B62,D62,IF(AND(H62&gt;B62,H62&lt;=C62),D61+(H62-B62)*((D62-D61)/(C62-B62)),0)),0))</f>
        <v>0</v>
      </c>
      <c r="L62" s="24">
        <f>IF(AND(B81&gt;B62,B81&lt;=C62),B81,0)</f>
        <v>100</v>
      </c>
      <c r="M62" s="21">
        <v>0</v>
      </c>
      <c r="N62" s="19">
        <f>IF(L62&gt;0,IF(L62=B62,D62,IF(AND(L62&gt;B62,L62&lt;=C62),D62+(L62-B62)*((D62-D62)/(C62-B62)),0)),0)</f>
        <v>30</v>
      </c>
    </row>
    <row r="63" spans="1:23" ht="15.75" thickBot="1" x14ac:dyDescent="0.3">
      <c r="J63" s="25"/>
    </row>
    <row r="64" spans="1:23" ht="15.75" thickBot="1" x14ac:dyDescent="0.3">
      <c r="A64" s="227" t="s">
        <v>39</v>
      </c>
      <c r="B64" s="228"/>
      <c r="C64" s="228"/>
      <c r="D64" s="228"/>
      <c r="E64" s="228"/>
      <c r="F64" s="229"/>
      <c r="H64" s="253" t="s">
        <v>40</v>
      </c>
      <c r="I64" s="254"/>
      <c r="J64" s="254"/>
      <c r="K64" s="254"/>
      <c r="L64" s="254"/>
      <c r="M64" s="255"/>
      <c r="O64" s="253" t="s">
        <v>41</v>
      </c>
      <c r="P64" s="254"/>
      <c r="Q64" s="254"/>
      <c r="R64" s="254"/>
      <c r="S64" s="254"/>
      <c r="T64" s="255"/>
    </row>
    <row r="65" spans="1:20" ht="30.75" thickBot="1" x14ac:dyDescent="0.3">
      <c r="A65" s="116" t="s">
        <v>3</v>
      </c>
      <c r="B65" s="117" t="s">
        <v>33</v>
      </c>
      <c r="C65" s="117" t="s">
        <v>34</v>
      </c>
      <c r="D65" s="117" t="s">
        <v>49</v>
      </c>
      <c r="E65" s="117" t="s">
        <v>47</v>
      </c>
      <c r="F65" s="118" t="s">
        <v>48</v>
      </c>
      <c r="H65" s="116" t="s">
        <v>3</v>
      </c>
      <c r="I65" s="117" t="s">
        <v>50</v>
      </c>
      <c r="J65" s="117" t="s">
        <v>51</v>
      </c>
      <c r="K65" s="117" t="s">
        <v>49</v>
      </c>
      <c r="L65" s="117" t="s">
        <v>47</v>
      </c>
      <c r="M65" s="118" t="s">
        <v>48</v>
      </c>
      <c r="O65" s="116" t="s">
        <v>3</v>
      </c>
      <c r="P65" s="117" t="s">
        <v>33</v>
      </c>
      <c r="Q65" s="117" t="s">
        <v>34</v>
      </c>
      <c r="R65" s="117" t="s">
        <v>49</v>
      </c>
      <c r="S65" s="117" t="s">
        <v>47</v>
      </c>
      <c r="T65" s="118" t="s">
        <v>48</v>
      </c>
    </row>
    <row r="66" spans="1:20" x14ac:dyDescent="0.25">
      <c r="A66" s="4">
        <v>1</v>
      </c>
      <c r="B66" s="5">
        <v>0</v>
      </c>
      <c r="C66" s="5">
        <f>IF(AND(B74&gt;B60,B74&lt;C60),B74,IF(B74&gt;=C60,C60,0))</f>
        <v>50</v>
      </c>
      <c r="D66" s="29">
        <f>MIN(D60,F60)</f>
        <v>20</v>
      </c>
      <c r="E66" s="29">
        <f>IF(AND(B$74&gt;B60,B$74&lt;C60),G60,IF(B$74&gt;=C60,D60,0))</f>
        <v>20</v>
      </c>
      <c r="F66" s="30">
        <f>(C66-B66)*(D66+E66)/2</f>
        <v>1000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IF(B$74&gt;B61,C66,0)</f>
        <v>50</v>
      </c>
      <c r="C67" s="5">
        <f>IF(AND(B$74&gt;B61,B$74&lt;C61),B$74,IF(B$74&gt;=C61,C61,0))</f>
        <v>75</v>
      </c>
      <c r="D67" s="29">
        <f>IF(B67&lt;&gt;0,E66,0)</f>
        <v>20</v>
      </c>
      <c r="E67" s="29">
        <f>IF(AND(B$74&gt;B61,B$74&lt;C61),G61,IF(B$74&gt;=C61,D61,0))</f>
        <v>25</v>
      </c>
      <c r="F67" s="30">
        <f t="shared" ref="F67:F69" si="8">(C67-B67)*(D67+E67)/2</f>
        <v>562.5</v>
      </c>
      <c r="H67" s="4">
        <v>2</v>
      </c>
      <c r="I67" s="5">
        <f>IF(MAX(I$60:I$62)&gt;B61,C60,0)</f>
        <v>50</v>
      </c>
      <c r="J67" s="5">
        <f>IF(AND(MAX(I$60:I$62)&gt;B61,MAX(I$60:I$62)&lt;C61),MAX(I$60:I$62),IF(MAX(I$60:I$62)&gt;=C61,C61,0))</f>
        <v>75</v>
      </c>
      <c r="K67" s="29">
        <f>IF(I67&lt;&gt;0,L66,0)</f>
        <v>20</v>
      </c>
      <c r="L67" s="29">
        <f t="shared" ref="L67:L69" si="9">IF(AND(MAX(I$60:I$62)&gt;B61,MAX(I$60:I$62)&lt;C61),K61,IF(MAX(I$60:I$62)&gt;=C61,D61,0))</f>
        <v>25</v>
      </c>
      <c r="M67" s="30">
        <f t="shared" ref="M67:M69" si="10">(J67-I67)*(K67+L67)/2</f>
        <v>562.5</v>
      </c>
      <c r="O67" s="4">
        <v>2</v>
      </c>
      <c r="P67" s="5">
        <f>IF(B$81&gt;B61,Q66,0)</f>
        <v>50</v>
      </c>
      <c r="Q67" s="5">
        <f t="shared" ref="Q67:Q69" si="11">IF(AND(B$81&gt;B61,B$81&lt;C61),B$81,IF(B$81&gt;=C61,C61,0))</f>
        <v>75</v>
      </c>
      <c r="R67" s="29">
        <f>IF(P67&lt;&gt;0,S66,0)</f>
        <v>20</v>
      </c>
      <c r="S67" s="29">
        <f t="shared" ref="S67:S69" si="12">IF(AND(B$81&gt;B61,B$81&lt;C61),N61,IF(B$81&gt;=C61,D61,0))</f>
        <v>25</v>
      </c>
      <c r="T67" s="30">
        <f t="shared" ref="T67:T69" si="13">(Q67-P67)*(R67+S67)/2</f>
        <v>562.5</v>
      </c>
    </row>
    <row r="68" spans="1:20" x14ac:dyDescent="0.25">
      <c r="A68" s="4">
        <v>3</v>
      </c>
      <c r="B68" s="5">
        <f>IF(B$74&gt;B62,C67,0)</f>
        <v>75</v>
      </c>
      <c r="C68" s="5">
        <f>IF(AND(B$74&gt;B62,B$74&lt;C62),B$74,IF(B$74&gt;=C62,C62,0))</f>
        <v>100</v>
      </c>
      <c r="D68" s="29">
        <f t="shared" ref="D68:D69" si="14">IF(B68&lt;&gt;0,E67,0)</f>
        <v>25</v>
      </c>
      <c r="E68" s="29">
        <f t="shared" ref="E68:E69" si="15">IF(AND(B$74&gt;B62,B$74&lt;C62),G62,IF(B$74&gt;=C62,D62,0))</f>
        <v>30</v>
      </c>
      <c r="F68" s="30">
        <f t="shared" si="8"/>
        <v>687.5</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75</v>
      </c>
      <c r="Q68" s="5">
        <f t="shared" si="11"/>
        <v>100</v>
      </c>
      <c r="R68" s="29">
        <f>IF(P68&lt;&gt;0,S67,0)</f>
        <v>25</v>
      </c>
      <c r="S68" s="29">
        <f t="shared" si="12"/>
        <v>30</v>
      </c>
      <c r="T68" s="30">
        <f t="shared" si="13"/>
        <v>687.5</v>
      </c>
    </row>
    <row r="69" spans="1:20" x14ac:dyDescent="0.25">
      <c r="A69" s="4">
        <v>4</v>
      </c>
      <c r="B69" s="5">
        <f>IF(B$74&gt;C62,C68,0)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2250</v>
      </c>
      <c r="H70" s="24"/>
      <c r="I70" s="18"/>
      <c r="J70" s="18"/>
      <c r="K70" s="21"/>
      <c r="L70" s="21"/>
      <c r="M70" s="31">
        <f>SUM(M66:M69)</f>
        <v>1562.5</v>
      </c>
      <c r="O70" s="24"/>
      <c r="P70" s="18"/>
      <c r="Q70" s="18"/>
      <c r="R70" s="21"/>
      <c r="S70" s="21"/>
      <c r="T70" s="31">
        <f>SUM(T66:T69)</f>
        <v>2250</v>
      </c>
    </row>
    <row r="71" spans="1:20" ht="15.75" thickBot="1" x14ac:dyDescent="0.3"/>
    <row r="72" spans="1:20" ht="15.75" customHeight="1" thickBot="1" x14ac:dyDescent="0.3">
      <c r="A72" s="68" t="s">
        <v>37</v>
      </c>
      <c r="E72" s="277" t="s">
        <v>44</v>
      </c>
      <c r="F72" s="278"/>
      <c r="G72" s="278"/>
      <c r="H72" s="278"/>
      <c r="I72" s="278"/>
      <c r="J72" s="278"/>
      <c r="K72" s="278"/>
      <c r="L72" s="278"/>
      <c r="M72" s="279"/>
      <c r="O72" s="274" t="s">
        <v>42</v>
      </c>
      <c r="P72" s="275"/>
      <c r="Q72" s="275"/>
      <c r="R72" s="275"/>
      <c r="S72" s="275"/>
      <c r="T72" s="276"/>
    </row>
    <row r="73" spans="1:20" ht="15.75" thickBot="1" x14ac:dyDescent="0.3">
      <c r="A73" s="263" t="s">
        <v>10</v>
      </c>
      <c r="B73" s="264"/>
      <c r="E73" s="227" t="s">
        <v>11</v>
      </c>
      <c r="F73" s="228"/>
      <c r="G73" s="228"/>
      <c r="H73" s="228"/>
      <c r="I73" s="228"/>
      <c r="J73" s="228"/>
      <c r="K73" s="228"/>
      <c r="L73" s="228"/>
      <c r="M73" s="229"/>
      <c r="O73" s="280" t="s">
        <v>11</v>
      </c>
      <c r="P73" s="281"/>
      <c r="Q73" s="281"/>
      <c r="R73" s="281"/>
      <c r="S73" s="281"/>
      <c r="T73" s="282"/>
    </row>
    <row r="74" spans="1:20" x14ac:dyDescent="0.25">
      <c r="A74" s="4" t="s">
        <v>5</v>
      </c>
      <c r="B74" s="13">
        <v>100</v>
      </c>
      <c r="E74" s="261" t="s">
        <v>12</v>
      </c>
      <c r="F74" s="262"/>
      <c r="G74" s="262"/>
      <c r="H74" s="262"/>
      <c r="I74" s="99"/>
      <c r="J74" s="10"/>
      <c r="K74" s="10"/>
      <c r="L74" s="10"/>
      <c r="M74" s="26"/>
      <c r="O74" s="16" t="s">
        <v>12</v>
      </c>
      <c r="P74" s="29"/>
      <c r="Q74" s="5"/>
      <c r="R74" s="5"/>
      <c r="S74" s="5"/>
      <c r="T74" s="13"/>
    </row>
    <row r="75" spans="1:20" ht="15.75" thickBot="1" x14ac:dyDescent="0.3">
      <c r="A75" s="17" t="s">
        <v>13</v>
      </c>
      <c r="B75" s="19">
        <v>45</v>
      </c>
      <c r="E75" s="240" t="s">
        <v>14</v>
      </c>
      <c r="F75" s="241"/>
      <c r="G75" s="241"/>
      <c r="H75" s="241"/>
      <c r="I75" s="42">
        <f>B74*B75</f>
        <v>4500</v>
      </c>
      <c r="J75" s="5"/>
      <c r="K75" s="5"/>
      <c r="L75" s="5"/>
      <c r="M75" s="13"/>
      <c r="O75" s="245" t="s">
        <v>14</v>
      </c>
      <c r="P75" s="246"/>
      <c r="Q75" s="246"/>
      <c r="R75" s="246"/>
      <c r="S75" s="246"/>
      <c r="T75" s="56">
        <f>I75</f>
        <v>4500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240" t="s">
        <v>15</v>
      </c>
      <c r="F78" s="241"/>
      <c r="G78" s="241"/>
      <c r="H78" s="241"/>
      <c r="I78" s="43">
        <f>M79</f>
        <v>0</v>
      </c>
      <c r="J78" s="5"/>
      <c r="K78" s="35" t="s">
        <v>16</v>
      </c>
      <c r="L78" s="36">
        <f>F70</f>
        <v>2250</v>
      </c>
      <c r="M78" s="105" t="s">
        <v>17</v>
      </c>
      <c r="O78" s="245" t="s">
        <v>15</v>
      </c>
      <c r="P78" s="246"/>
      <c r="Q78" s="246"/>
      <c r="R78" s="246"/>
      <c r="S78" s="246"/>
      <c r="T78" s="88">
        <f>I78</f>
        <v>0</v>
      </c>
    </row>
    <row r="79" spans="1:20" ht="15.75" thickBot="1" x14ac:dyDescent="0.3">
      <c r="A79" s="68" t="s">
        <v>37</v>
      </c>
      <c r="E79" s="85"/>
      <c r="F79" s="86"/>
      <c r="G79" s="86"/>
      <c r="H79" s="86"/>
      <c r="I79" s="5"/>
      <c r="J79" s="5"/>
      <c r="K79" s="37" t="s">
        <v>18</v>
      </c>
      <c r="L79" s="38">
        <f>I75</f>
        <v>4500</v>
      </c>
      <c r="M79" s="39">
        <f>MAX(L78-L79,0)</f>
        <v>0</v>
      </c>
      <c r="O79" s="16"/>
      <c r="P79" s="5"/>
      <c r="Q79" s="5"/>
      <c r="R79" s="5"/>
      <c r="S79" s="5"/>
      <c r="T79" s="13"/>
    </row>
    <row r="80" spans="1:20" x14ac:dyDescent="0.25">
      <c r="A80" s="263" t="s">
        <v>22</v>
      </c>
      <c r="B80" s="264"/>
      <c r="E80" s="240" t="str">
        <f>"DA Incremental Cost @ DA MW ("&amp;$B74&amp;" MW)"</f>
        <v>DA Incremental Cost @ DA MW (100 MW)</v>
      </c>
      <c r="F80" s="241"/>
      <c r="G80" s="241"/>
      <c r="H80" s="241"/>
      <c r="I80" s="44">
        <f>F70</f>
        <v>2250</v>
      </c>
      <c r="J80" s="5"/>
      <c r="K80" s="29"/>
      <c r="L80" s="5"/>
      <c r="M80" s="13"/>
      <c r="O80" s="245" t="str">
        <f>"DA Incremental Cost @ DA MW ("&amp;$B74&amp;" MW)"</f>
        <v>DA Incremental Cost @ DA MW (100 MW)</v>
      </c>
      <c r="P80" s="246"/>
      <c r="Q80" s="246"/>
      <c r="R80" s="246"/>
      <c r="S80" s="246"/>
      <c r="T80" s="89">
        <f>I80</f>
        <v>2250</v>
      </c>
    </row>
    <row r="81" spans="1:20" x14ac:dyDescent="0.25">
      <c r="A81" s="16" t="s">
        <v>43</v>
      </c>
      <c r="B81" s="13">
        <v>100</v>
      </c>
      <c r="E81" s="85"/>
      <c r="F81" s="86"/>
      <c r="G81" s="86"/>
      <c r="H81" s="86"/>
      <c r="I81" s="5"/>
      <c r="J81" s="5"/>
      <c r="K81" s="5"/>
      <c r="L81" s="29"/>
      <c r="M81" s="13"/>
      <c r="O81" s="16"/>
      <c r="P81" s="5"/>
      <c r="Q81" s="5"/>
      <c r="R81" s="5"/>
      <c r="S81" s="5"/>
      <c r="T81" s="13"/>
    </row>
    <row r="82" spans="1:20" ht="15.75" thickBot="1" x14ac:dyDescent="0.3">
      <c r="A82" s="16" t="s">
        <v>13</v>
      </c>
      <c r="B82" s="6">
        <v>15</v>
      </c>
      <c r="D82" s="32"/>
      <c r="E82" s="240" t="s">
        <v>19</v>
      </c>
      <c r="F82" s="241"/>
      <c r="G82" s="241"/>
      <c r="H82" s="241"/>
      <c r="I82" s="40">
        <f>I75+I78-I80</f>
        <v>2250</v>
      </c>
      <c r="J82" s="5"/>
      <c r="K82" s="29"/>
      <c r="L82" s="45"/>
      <c r="M82" s="13"/>
      <c r="O82" s="245" t="s">
        <v>19</v>
      </c>
      <c r="P82" s="246"/>
      <c r="Q82" s="246"/>
      <c r="R82" s="246"/>
      <c r="S82" s="246"/>
      <c r="T82" s="31">
        <f>T75+T78-T80</f>
        <v>2250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75</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100</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75</v>
      </c>
      <c r="E86" s="227" t="s">
        <v>20</v>
      </c>
      <c r="F86" s="228"/>
      <c r="G86" s="228"/>
      <c r="H86" s="228"/>
      <c r="I86" s="228"/>
      <c r="J86" s="228"/>
      <c r="K86" s="228"/>
      <c r="L86" s="228"/>
      <c r="M86" s="229"/>
      <c r="O86" s="283" t="s">
        <v>20</v>
      </c>
      <c r="P86" s="284"/>
      <c r="Q86" s="284"/>
      <c r="R86" s="284"/>
      <c r="S86" s="284"/>
      <c r="T86" s="285"/>
    </row>
    <row r="87" spans="1:20" x14ac:dyDescent="0.25">
      <c r="E87" s="85" t="s">
        <v>12</v>
      </c>
      <c r="F87" s="86"/>
      <c r="G87" s="86"/>
      <c r="H87" s="86"/>
      <c r="I87" s="5"/>
      <c r="J87" s="5"/>
      <c r="K87" s="5"/>
      <c r="L87" s="5"/>
      <c r="M87" s="13"/>
      <c r="O87" s="16" t="s">
        <v>12</v>
      </c>
      <c r="P87" s="5"/>
      <c r="Q87" s="5"/>
      <c r="R87" s="5"/>
      <c r="S87" s="5"/>
      <c r="T87" s="13"/>
    </row>
    <row r="88" spans="1:20" x14ac:dyDescent="0.25">
      <c r="E88" s="240" t="s">
        <v>21</v>
      </c>
      <c r="F88" s="241"/>
      <c r="G88" s="241"/>
      <c r="H88" s="241"/>
      <c r="I88" s="29">
        <f>(B81-B74)*B82</f>
        <v>0</v>
      </c>
      <c r="J88" s="29"/>
      <c r="K88" s="29"/>
      <c r="L88" s="29"/>
      <c r="M88" s="13"/>
      <c r="O88" s="245" t="s">
        <v>21</v>
      </c>
      <c r="P88" s="246"/>
      <c r="Q88" s="246"/>
      <c r="R88" s="246"/>
      <c r="S88" s="246"/>
      <c r="T88" s="30">
        <f>I88</f>
        <v>0</v>
      </c>
    </row>
    <row r="89" spans="1:20" ht="15.75" thickBot="1" x14ac:dyDescent="0.3">
      <c r="E89" s="85"/>
      <c r="F89" s="86"/>
      <c r="G89" s="86"/>
      <c r="H89" s="86"/>
      <c r="I89" s="5"/>
      <c r="J89" s="5"/>
      <c r="K89" s="5"/>
      <c r="L89" s="5"/>
      <c r="M89" s="30"/>
      <c r="O89" s="16"/>
      <c r="P89" s="5"/>
      <c r="Q89" s="5"/>
      <c r="R89" s="5"/>
      <c r="S89" s="5"/>
      <c r="T89" s="13"/>
    </row>
    <row r="90" spans="1:20" x14ac:dyDescent="0.25">
      <c r="E90" s="240" t="s">
        <v>23</v>
      </c>
      <c r="F90" s="241"/>
      <c r="G90" s="241"/>
      <c r="H90" s="241"/>
      <c r="I90" s="29">
        <f>MAX(M95*-1,0)</f>
        <v>0</v>
      </c>
      <c r="J90" s="29"/>
      <c r="K90" s="256" t="s">
        <v>30</v>
      </c>
      <c r="L90" s="257"/>
      <c r="M90" s="258"/>
      <c r="O90" s="245" t="s">
        <v>23</v>
      </c>
      <c r="P90" s="246"/>
      <c r="Q90" s="246"/>
      <c r="R90" s="246"/>
      <c r="S90" s="246"/>
      <c r="T90" s="30">
        <f>I90</f>
        <v>0</v>
      </c>
    </row>
    <row r="91" spans="1:20" x14ac:dyDescent="0.25">
      <c r="E91" s="92"/>
      <c r="F91" s="67"/>
      <c r="G91" s="67"/>
      <c r="H91" s="67"/>
      <c r="I91" s="76"/>
      <c r="J91" s="76"/>
      <c r="K91" s="259" t="s">
        <v>24</v>
      </c>
      <c r="L91" s="260"/>
      <c r="M91" s="56">
        <f>I75</f>
        <v>4500</v>
      </c>
      <c r="O91" s="75"/>
      <c r="P91" s="76"/>
      <c r="Q91" s="76"/>
      <c r="R91" s="76"/>
      <c r="S91" s="76"/>
      <c r="T91" s="77"/>
    </row>
    <row r="92" spans="1:20" x14ac:dyDescent="0.25">
      <c r="E92" s="291" t="str">
        <f>"Incremental Cost @ RT MW Used ("&amp;$B86&amp;" MW)"</f>
        <v>Incremental Cost @ RT MW Used (75 MW)</v>
      </c>
      <c r="F92" s="292"/>
      <c r="G92" s="292"/>
      <c r="H92" s="292"/>
      <c r="I92" s="8">
        <f>M94</f>
        <v>1562.5</v>
      </c>
      <c r="J92" s="8"/>
      <c r="K92" s="259" t="s">
        <v>17</v>
      </c>
      <c r="L92" s="260"/>
      <c r="M92" s="56">
        <f>I78</f>
        <v>0</v>
      </c>
      <c r="O92" s="245" t="str">
        <f>"Incremental Cost @ Actual RT MW ("&amp;$B81&amp;" MW)"</f>
        <v>Incremental Cost @ Actual RT MW (100 MW)</v>
      </c>
      <c r="P92" s="246"/>
      <c r="Q92" s="246"/>
      <c r="R92" s="246"/>
      <c r="S92" s="246"/>
      <c r="T92" s="6">
        <f>T70</f>
        <v>2250</v>
      </c>
    </row>
    <row r="93" spans="1:20" x14ac:dyDescent="0.25">
      <c r="E93" s="93"/>
      <c r="F93" s="100"/>
      <c r="G93" s="100"/>
      <c r="H93" s="100"/>
      <c r="I93" s="48"/>
      <c r="J93" s="48"/>
      <c r="K93" s="289" t="s">
        <v>25</v>
      </c>
      <c r="L93" s="290"/>
      <c r="M93" s="30">
        <f>(B85-B74)*B82</f>
        <v>0</v>
      </c>
      <c r="O93" s="47"/>
      <c r="P93" s="87"/>
      <c r="Q93" s="87"/>
      <c r="R93" s="87"/>
      <c r="S93" s="87"/>
      <c r="T93" s="90"/>
    </row>
    <row r="94" spans="1:20" ht="15.75" thickBot="1" x14ac:dyDescent="0.3">
      <c r="E94" s="287" t="s">
        <v>26</v>
      </c>
      <c r="F94" s="288"/>
      <c r="G94" s="288"/>
      <c r="H94" s="288"/>
      <c r="I94" s="50">
        <f>I75+I78+I88+I90-I92</f>
        <v>2937.5</v>
      </c>
      <c r="J94" s="104"/>
      <c r="K94" s="245" t="s">
        <v>46</v>
      </c>
      <c r="L94" s="246"/>
      <c r="M94" s="30">
        <f>M70</f>
        <v>1562.5</v>
      </c>
      <c r="O94" s="245" t="s">
        <v>26</v>
      </c>
      <c r="P94" s="246"/>
      <c r="Q94" s="246"/>
      <c r="R94" s="246"/>
      <c r="S94" s="246"/>
      <c r="T94" s="91">
        <f>T75+T78+T88+T90-T92</f>
        <v>2250</v>
      </c>
    </row>
    <row r="95" spans="1:20" ht="29.25" customHeight="1" thickTop="1" thickBot="1" x14ac:dyDescent="0.3">
      <c r="E95" s="49"/>
      <c r="F95" s="8"/>
      <c r="G95" s="8"/>
      <c r="H95" s="8"/>
      <c r="I95" s="8"/>
      <c r="J95" s="8"/>
      <c r="K95" s="247" t="s">
        <v>70</v>
      </c>
      <c r="L95" s="248"/>
      <c r="M95" s="103">
        <f>M91+M92+M93-M94</f>
        <v>2937.5</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122"/>
      <c r="E106" s="54"/>
      <c r="F106" s="54"/>
      <c r="G106" s="122"/>
      <c r="H106" s="53"/>
      <c r="I106" s="55"/>
      <c r="J106" s="53"/>
      <c r="K106" s="53"/>
      <c r="L106" s="53"/>
      <c r="M106" s="53"/>
      <c r="N106" s="53"/>
      <c r="O106" s="53"/>
      <c r="P106" s="53"/>
      <c r="Q106" s="53"/>
      <c r="R106" s="53"/>
      <c r="S106" s="53"/>
      <c r="T106" s="53"/>
    </row>
    <row r="107" spans="1:23" x14ac:dyDescent="0.25">
      <c r="A107" s="295" t="s">
        <v>52</v>
      </c>
      <c r="B107" s="295"/>
      <c r="C107" s="295"/>
      <c r="D107" s="295"/>
      <c r="E107" s="295"/>
      <c r="F107" s="295"/>
      <c r="G107" s="295"/>
      <c r="H107" s="295"/>
      <c r="I107" s="295"/>
      <c r="J107" s="295"/>
      <c r="K107" s="295"/>
      <c r="L107" s="295"/>
      <c r="M107" s="295"/>
      <c r="N107" s="295"/>
      <c r="O107" s="295"/>
      <c r="P107" s="295"/>
      <c r="Q107" s="295"/>
      <c r="R107" s="295"/>
      <c r="S107" s="295"/>
      <c r="T107" s="295"/>
    </row>
    <row r="108" spans="1:23" s="83" customFormat="1" ht="15.75" thickBot="1" x14ac:dyDescent="0.3">
      <c r="A108" s="296"/>
      <c r="B108" s="296"/>
      <c r="C108" s="296"/>
      <c r="D108" s="296"/>
      <c r="E108" s="296"/>
      <c r="F108" s="296"/>
      <c r="G108" s="296"/>
      <c r="H108" s="296"/>
      <c r="I108" s="296"/>
      <c r="J108" s="296"/>
      <c r="K108" s="296"/>
      <c r="L108" s="296"/>
      <c r="M108" s="296"/>
      <c r="N108" s="296"/>
      <c r="O108" s="296"/>
      <c r="P108" s="296"/>
      <c r="Q108" s="296"/>
      <c r="R108" s="296"/>
      <c r="S108" s="296"/>
      <c r="T108" s="296"/>
      <c r="U108" s="95"/>
      <c r="V108" s="95"/>
      <c r="W108" s="95"/>
    </row>
    <row r="109" spans="1:23" ht="15.75" thickBot="1" x14ac:dyDescent="0.3">
      <c r="A109" s="250" t="s">
        <v>0</v>
      </c>
      <c r="B109" s="251"/>
      <c r="C109" s="251"/>
      <c r="D109" s="252"/>
      <c r="E109" s="235" t="s">
        <v>1</v>
      </c>
      <c r="F109" s="236"/>
      <c r="G109" s="249"/>
      <c r="H109" s="227" t="s">
        <v>2</v>
      </c>
      <c r="I109" s="228"/>
      <c r="J109" s="228"/>
      <c r="K109" s="229"/>
      <c r="L109" s="227" t="s">
        <v>32</v>
      </c>
      <c r="M109" s="228"/>
      <c r="N109" s="229"/>
    </row>
    <row r="110" spans="1:23" ht="60.75" customHeight="1" thickBot="1" x14ac:dyDescent="0.3">
      <c r="A110" s="120" t="s">
        <v>3</v>
      </c>
      <c r="B110" s="117" t="s">
        <v>33</v>
      </c>
      <c r="C110" s="117" t="s">
        <v>34</v>
      </c>
      <c r="D110" s="121" t="s">
        <v>4</v>
      </c>
      <c r="E110" s="120" t="s">
        <v>5</v>
      </c>
      <c r="F110" s="117" t="s">
        <v>6</v>
      </c>
      <c r="G110" s="118" t="s">
        <v>7</v>
      </c>
      <c r="H110" s="69" t="s">
        <v>38</v>
      </c>
      <c r="I110" s="65" t="s">
        <v>8</v>
      </c>
      <c r="J110" s="65" t="s">
        <v>6</v>
      </c>
      <c r="K110" s="66" t="s">
        <v>7</v>
      </c>
      <c r="L110" s="119" t="s">
        <v>5</v>
      </c>
      <c r="M110" s="65" t="s">
        <v>49</v>
      </c>
      <c r="N110" s="66" t="s">
        <v>47</v>
      </c>
    </row>
    <row r="111" spans="1:23" x14ac:dyDescent="0.25">
      <c r="A111" s="4">
        <v>1</v>
      </c>
      <c r="B111" s="5">
        <v>0</v>
      </c>
      <c r="C111" s="5">
        <v>50</v>
      </c>
      <c r="D111" s="6">
        <v>20</v>
      </c>
      <c r="E111" s="7">
        <f>IF(AND(B$74&gt;B111,B$74&lt;=C111),B$74,0)</f>
        <v>0</v>
      </c>
      <c r="F111" s="8">
        <f>IF(B125&gt;0,D111,0)</f>
        <v>20</v>
      </c>
      <c r="G111" s="8">
        <f>IF(E111&gt;0,IF(E111=B111,D111,IF(AND(E111&gt;B111,E111&lt;=C111),D111+(E111-B111)*((D111-D111)/(C111-B111)),0)),0)</f>
        <v>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0</v>
      </c>
      <c r="M111" s="9">
        <f>IF(B132&gt;0,D111,0)</f>
        <v>20</v>
      </c>
      <c r="N111" s="11">
        <f>IF(L111&gt;0,IF(L111=B111,D111,IF(AND(L111&gt;B111,L111&lt;=C111),D111+(L111-B111)*((D111-D111)/(C111-B111)),0)),0)</f>
        <v>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100</v>
      </c>
      <c r="F113" s="21">
        <v>0</v>
      </c>
      <c r="G113" s="21">
        <f>IF(E113&gt;0,IF(E113=C113,D113,IF(AND(E113&gt;B113,E113&lt;C113),D112+(E113-B113)*((D113-D112)/(C113-B113)),IF(E113&gt;C113,D113,0))),0)</f>
        <v>30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100</v>
      </c>
      <c r="M113" s="21">
        <v>0</v>
      </c>
      <c r="N113" s="19">
        <f>IF(L113&gt;0,IF(L113=B113,D113,IF(AND(L113&gt;B113,L113&lt;=C113),D113+(L113-B113)*((D113-D113)/(C113-B113)),0)),0)</f>
        <v>30</v>
      </c>
    </row>
    <row r="114" spans="1:20" ht="15.75" thickBot="1" x14ac:dyDescent="0.3">
      <c r="J114" s="25"/>
    </row>
    <row r="115" spans="1:20" ht="15.75" thickBot="1" x14ac:dyDescent="0.3">
      <c r="A115" s="235" t="s">
        <v>1</v>
      </c>
      <c r="B115" s="236"/>
      <c r="C115" s="10"/>
      <c r="D115" s="10"/>
      <c r="E115" s="10"/>
      <c r="F115" s="26"/>
      <c r="H115" s="235" t="s">
        <v>9</v>
      </c>
      <c r="I115" s="236"/>
      <c r="J115" s="236"/>
      <c r="K115" s="236"/>
      <c r="L115" s="236"/>
      <c r="M115" s="249"/>
      <c r="O115" s="235" t="s">
        <v>31</v>
      </c>
      <c r="P115" s="236"/>
      <c r="Q115" s="236"/>
      <c r="R115" s="236"/>
      <c r="S115" s="236"/>
      <c r="T115" s="249"/>
    </row>
    <row r="116" spans="1:20" ht="30.75" thickBot="1" x14ac:dyDescent="0.3">
      <c r="A116" s="116" t="s">
        <v>3</v>
      </c>
      <c r="B116" s="117" t="s">
        <v>33</v>
      </c>
      <c r="C116" s="117" t="s">
        <v>34</v>
      </c>
      <c r="D116" s="117" t="s">
        <v>49</v>
      </c>
      <c r="E116" s="117" t="s">
        <v>47</v>
      </c>
      <c r="F116" s="118" t="s">
        <v>48</v>
      </c>
      <c r="H116" s="116" t="s">
        <v>3</v>
      </c>
      <c r="I116" s="117" t="s">
        <v>50</v>
      </c>
      <c r="J116" s="117" t="s">
        <v>51</v>
      </c>
      <c r="K116" s="117" t="s">
        <v>49</v>
      </c>
      <c r="L116" s="117" t="s">
        <v>47</v>
      </c>
      <c r="M116" s="118" t="s">
        <v>48</v>
      </c>
      <c r="O116" s="116" t="s">
        <v>3</v>
      </c>
      <c r="P116" s="117" t="s">
        <v>33</v>
      </c>
      <c r="Q116" s="117" t="s">
        <v>34</v>
      </c>
      <c r="R116" s="117" t="s">
        <v>49</v>
      </c>
      <c r="S116" s="117" t="s">
        <v>47</v>
      </c>
      <c r="T116" s="118" t="s">
        <v>48</v>
      </c>
    </row>
    <row r="117" spans="1:20" x14ac:dyDescent="0.25">
      <c r="A117" s="4">
        <v>1</v>
      </c>
      <c r="B117" s="5">
        <v>0</v>
      </c>
      <c r="C117" s="5">
        <f>IF(AND(B125&gt;B111,B125&lt;C111),B125,IF(B125&gt;=C111,C111,0))</f>
        <v>50</v>
      </c>
      <c r="D117" s="29">
        <f>MIN(D111,F111)</f>
        <v>20</v>
      </c>
      <c r="E117" s="29">
        <f>IF(AND(B$125&gt;B111,B$125&lt;C111),G111,IF(B$125&gt;=C111,D111,0))</f>
        <v>20</v>
      </c>
      <c r="F117" s="30">
        <f>(C117-B117)*(D117+E117)/2</f>
        <v>1000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IF(B$125&gt;B112,C117,0)</f>
        <v>50</v>
      </c>
      <c r="C118" s="5">
        <f>IF(AND(B$125&gt;B112,B$125&lt;C112),B$125,IF(B$125&gt;=C112,C112,0))</f>
        <v>75</v>
      </c>
      <c r="D118" s="29">
        <f>IF(B118&lt;&gt;0,E117,0)</f>
        <v>20</v>
      </c>
      <c r="E118" s="29">
        <f t="shared" ref="E118:E120" si="18">IF(AND(B$125&gt;B112,B$125&lt;C112),G112,IF(B$125&gt;=C112,D112,0))</f>
        <v>25</v>
      </c>
      <c r="F118" s="30">
        <f t="shared" ref="F118:F120" si="19">(C118-B118)*(D118+E118)/2</f>
        <v>562.5</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50</v>
      </c>
      <c r="Q118" s="5">
        <f t="shared" ref="Q118:Q120" si="23">IF(AND(B$132&gt;B112,B$132&lt;C112),B$132,IF(B$132&gt;=C112,C112,0))</f>
        <v>75</v>
      </c>
      <c r="R118" s="29">
        <f>IF(P118&lt;&gt;0,S117,0)</f>
        <v>20</v>
      </c>
      <c r="S118" s="29">
        <f t="shared" ref="S118:S119" si="24">IF(AND(B$132&gt;B112,B$132&lt;C112),N112,IF(B$132&gt;=C112,D112,0))</f>
        <v>25</v>
      </c>
      <c r="T118" s="30">
        <f t="shared" ref="T118:T120" si="25">(Q118-P118)*(R118+S118)/2</f>
        <v>562.5</v>
      </c>
    </row>
    <row r="119" spans="1:20" x14ac:dyDescent="0.25">
      <c r="A119" s="4">
        <v>3</v>
      </c>
      <c r="B119" s="5">
        <f>IF(B$125&gt;B113,C118,0)</f>
        <v>75</v>
      </c>
      <c r="C119" s="5">
        <f t="shared" ref="C119:C120" si="26">IF(AND(B$125&gt;B113,B$125&lt;C113),B$125,IF(B$125&gt;=C113,C113,0))</f>
        <v>100</v>
      </c>
      <c r="D119" s="29">
        <f t="shared" ref="D119:D120" si="27">IF(B119&lt;&gt;0,E118,0)</f>
        <v>25</v>
      </c>
      <c r="E119" s="29">
        <f t="shared" si="18"/>
        <v>30</v>
      </c>
      <c r="F119" s="30">
        <f t="shared" si="19"/>
        <v>687.5</v>
      </c>
      <c r="H119" s="4">
        <v>3</v>
      </c>
      <c r="I119" s="5">
        <f t="shared" ref="I119" si="28">IF(MAX(I$111:I$113)&gt;B113,C112,0)</f>
        <v>0</v>
      </c>
      <c r="J119" s="5">
        <f t="shared" si="20"/>
        <v>0</v>
      </c>
      <c r="K119" s="29">
        <f>IF(I119&lt;&gt;0,L118,0)</f>
        <v>0</v>
      </c>
      <c r="L119" s="29">
        <f t="shared" si="21"/>
        <v>0</v>
      </c>
      <c r="M119" s="30">
        <f t="shared" si="22"/>
        <v>0</v>
      </c>
      <c r="O119" s="4">
        <v>3</v>
      </c>
      <c r="P119" s="5">
        <f>IF(B$132&gt;B113,Q118,0)</f>
        <v>75</v>
      </c>
      <c r="Q119" s="5">
        <f t="shared" si="23"/>
        <v>100</v>
      </c>
      <c r="R119" s="29">
        <f>IF(P119&lt;&gt;0,S118,0)</f>
        <v>25</v>
      </c>
      <c r="S119" s="29">
        <f t="shared" si="24"/>
        <v>30</v>
      </c>
      <c r="T119" s="30">
        <f t="shared" si="25"/>
        <v>687.5</v>
      </c>
    </row>
    <row r="120" spans="1:20" x14ac:dyDescent="0.25">
      <c r="A120" s="4">
        <v>4</v>
      </c>
      <c r="B120" s="5">
        <f>IF(B$125&gt;C113,C119,0)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2250</v>
      </c>
      <c r="H121" s="24"/>
      <c r="I121" s="18"/>
      <c r="J121" s="18"/>
      <c r="K121" s="21"/>
      <c r="L121" s="21"/>
      <c r="M121" s="31">
        <f>SUM(M117:M120)</f>
        <v>1000</v>
      </c>
      <c r="O121" s="24"/>
      <c r="P121" s="18"/>
      <c r="Q121" s="18"/>
      <c r="R121" s="21"/>
      <c r="S121" s="21"/>
      <c r="T121" s="31">
        <f>SUM(T117:T120)</f>
        <v>2250</v>
      </c>
    </row>
    <row r="122" spans="1:20" ht="15.75" thickBot="1" x14ac:dyDescent="0.3"/>
    <row r="123" spans="1:20" ht="15.75" customHeight="1" thickBot="1" x14ac:dyDescent="0.3">
      <c r="A123" s="68" t="s">
        <v>37</v>
      </c>
      <c r="E123" s="277" t="s">
        <v>44</v>
      </c>
      <c r="F123" s="278"/>
      <c r="G123" s="278"/>
      <c r="H123" s="278"/>
      <c r="I123" s="278"/>
      <c r="J123" s="278"/>
      <c r="K123" s="278"/>
      <c r="L123" s="278"/>
      <c r="M123" s="279"/>
      <c r="O123" s="274" t="s">
        <v>42</v>
      </c>
      <c r="P123" s="275"/>
      <c r="Q123" s="275"/>
      <c r="R123" s="275"/>
      <c r="S123" s="275"/>
      <c r="T123" s="276"/>
    </row>
    <row r="124" spans="1:20" ht="15.75" thickBot="1" x14ac:dyDescent="0.3">
      <c r="A124" s="263" t="s">
        <v>10</v>
      </c>
      <c r="B124" s="264"/>
      <c r="E124" s="227" t="s">
        <v>11</v>
      </c>
      <c r="F124" s="228"/>
      <c r="G124" s="228"/>
      <c r="H124" s="228"/>
      <c r="I124" s="228"/>
      <c r="J124" s="228"/>
      <c r="K124" s="228"/>
      <c r="L124" s="228"/>
      <c r="M124" s="229"/>
      <c r="O124" s="280" t="s">
        <v>11</v>
      </c>
      <c r="P124" s="281"/>
      <c r="Q124" s="281"/>
      <c r="R124" s="281"/>
      <c r="S124" s="281"/>
      <c r="T124" s="282"/>
    </row>
    <row r="125" spans="1:20" x14ac:dyDescent="0.25">
      <c r="A125" s="4" t="s">
        <v>5</v>
      </c>
      <c r="B125" s="13">
        <v>100</v>
      </c>
      <c r="E125" s="261" t="s">
        <v>12</v>
      </c>
      <c r="F125" s="262"/>
      <c r="G125" s="262"/>
      <c r="H125" s="262"/>
      <c r="I125" s="99"/>
      <c r="J125" s="10"/>
      <c r="K125" s="10"/>
      <c r="L125" s="10"/>
      <c r="M125" s="26"/>
      <c r="O125" s="16" t="s">
        <v>12</v>
      </c>
      <c r="P125" s="29"/>
      <c r="Q125" s="5"/>
      <c r="R125" s="5"/>
      <c r="S125" s="5"/>
      <c r="T125" s="13"/>
    </row>
    <row r="126" spans="1:20" ht="15.75" thickBot="1" x14ac:dyDescent="0.3">
      <c r="A126" s="17" t="s">
        <v>13</v>
      </c>
      <c r="B126" s="19">
        <v>45</v>
      </c>
      <c r="E126" s="240" t="s">
        <v>14</v>
      </c>
      <c r="F126" s="241"/>
      <c r="G126" s="241"/>
      <c r="H126" s="241"/>
      <c r="I126" s="42">
        <f>B125*B126</f>
        <v>4500</v>
      </c>
      <c r="J126" s="5"/>
      <c r="K126" s="5"/>
      <c r="L126" s="5"/>
      <c r="M126" s="13"/>
      <c r="O126" s="245" t="s">
        <v>14</v>
      </c>
      <c r="P126" s="246"/>
      <c r="Q126" s="246"/>
      <c r="R126" s="246"/>
      <c r="S126" s="246"/>
      <c r="T126" s="56">
        <f>I126</f>
        <v>4500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240" t="s">
        <v>15</v>
      </c>
      <c r="F129" s="241"/>
      <c r="G129" s="241"/>
      <c r="H129" s="241"/>
      <c r="I129" s="43">
        <f>M130</f>
        <v>0</v>
      </c>
      <c r="J129" s="5"/>
      <c r="K129" s="35" t="s">
        <v>16</v>
      </c>
      <c r="L129" s="36">
        <f>F121</f>
        <v>2250</v>
      </c>
      <c r="M129" s="105" t="s">
        <v>17</v>
      </c>
      <c r="O129" s="245" t="s">
        <v>15</v>
      </c>
      <c r="P129" s="246"/>
      <c r="Q129" s="246"/>
      <c r="R129" s="246"/>
      <c r="S129" s="246"/>
      <c r="T129" s="88">
        <f>I129</f>
        <v>0</v>
      </c>
    </row>
    <row r="130" spans="1:20" ht="15.75" thickBot="1" x14ac:dyDescent="0.3">
      <c r="A130" s="68" t="s">
        <v>37</v>
      </c>
      <c r="E130" s="85"/>
      <c r="F130" s="86"/>
      <c r="G130" s="86"/>
      <c r="H130" s="86"/>
      <c r="I130" s="5"/>
      <c r="J130" s="5"/>
      <c r="K130" s="37" t="s">
        <v>18</v>
      </c>
      <c r="L130" s="38">
        <f>I126</f>
        <v>4500</v>
      </c>
      <c r="M130" s="39">
        <f>MAX(L129-L130,0)</f>
        <v>0</v>
      </c>
      <c r="O130" s="16"/>
      <c r="P130" s="5"/>
      <c r="Q130" s="5"/>
      <c r="R130" s="5"/>
      <c r="S130" s="5"/>
      <c r="T130" s="13"/>
    </row>
    <row r="131" spans="1:20" x14ac:dyDescent="0.25">
      <c r="A131" s="263" t="s">
        <v>22</v>
      </c>
      <c r="B131" s="264"/>
      <c r="E131" s="240" t="str">
        <f>"DA Incremental Cost @ DA MW ("&amp;$B125&amp;" MW)"</f>
        <v>DA Incremental Cost @ DA MW (100 MW)</v>
      </c>
      <c r="F131" s="241"/>
      <c r="G131" s="241"/>
      <c r="H131" s="241"/>
      <c r="I131" s="44">
        <f>F121</f>
        <v>2250</v>
      </c>
      <c r="J131" s="5"/>
      <c r="K131" s="29"/>
      <c r="L131" s="5"/>
      <c r="M131" s="13"/>
      <c r="O131" s="245" t="str">
        <f>"DA Incremental Cost @ DA MW ("&amp;$B125&amp;" MW)"</f>
        <v>DA Incremental Cost @ DA MW (100 MW)</v>
      </c>
      <c r="P131" s="246"/>
      <c r="Q131" s="246"/>
      <c r="R131" s="246"/>
      <c r="S131" s="246"/>
      <c r="T131" s="89">
        <f>I131</f>
        <v>2250</v>
      </c>
    </row>
    <row r="132" spans="1:20" x14ac:dyDescent="0.25">
      <c r="A132" s="16" t="s">
        <v>43</v>
      </c>
      <c r="B132" s="13">
        <v>100</v>
      </c>
      <c r="E132" s="85"/>
      <c r="F132" s="86"/>
      <c r="G132" s="86"/>
      <c r="H132" s="86"/>
      <c r="I132" s="5"/>
      <c r="J132" s="5"/>
      <c r="K132" s="5"/>
      <c r="L132" s="29"/>
      <c r="M132" s="13"/>
      <c r="O132" s="16"/>
      <c r="P132" s="5"/>
      <c r="Q132" s="5"/>
      <c r="R132" s="5"/>
      <c r="S132" s="5"/>
      <c r="T132" s="13"/>
    </row>
    <row r="133" spans="1:20" ht="15.75" thickBot="1" x14ac:dyDescent="0.3">
      <c r="A133" s="16" t="s">
        <v>13</v>
      </c>
      <c r="B133" s="6">
        <v>15</v>
      </c>
      <c r="D133" s="32"/>
      <c r="E133" s="240" t="s">
        <v>19</v>
      </c>
      <c r="F133" s="241"/>
      <c r="G133" s="241"/>
      <c r="H133" s="241"/>
      <c r="I133" s="40">
        <f>I126+I129-I131</f>
        <v>2250</v>
      </c>
      <c r="J133" s="5"/>
      <c r="K133" s="29"/>
      <c r="L133" s="45"/>
      <c r="M133" s="13"/>
      <c r="O133" s="245" t="s">
        <v>19</v>
      </c>
      <c r="P133" s="246"/>
      <c r="Q133" s="246"/>
      <c r="R133" s="246"/>
      <c r="S133" s="246"/>
      <c r="T133" s="31">
        <f>T126+T129-T131</f>
        <v>2250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75</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100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227" t="s">
        <v>20</v>
      </c>
      <c r="F137" s="228"/>
      <c r="G137" s="228"/>
      <c r="H137" s="228"/>
      <c r="I137" s="228"/>
      <c r="J137" s="228"/>
      <c r="K137" s="228"/>
      <c r="L137" s="228"/>
      <c r="M137" s="229"/>
      <c r="O137" s="283" t="s">
        <v>20</v>
      </c>
      <c r="P137" s="284"/>
      <c r="Q137" s="284"/>
      <c r="R137" s="284"/>
      <c r="S137" s="284"/>
      <c r="T137" s="285"/>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240" t="s">
        <v>21</v>
      </c>
      <c r="F139" s="241"/>
      <c r="G139" s="241"/>
      <c r="H139" s="241"/>
      <c r="I139" s="29">
        <f>(B132-B125)*B133</f>
        <v>0</v>
      </c>
      <c r="J139" s="29"/>
      <c r="K139" s="29"/>
      <c r="L139" s="29"/>
      <c r="M139" s="13"/>
      <c r="O139" s="245" t="s">
        <v>21</v>
      </c>
      <c r="P139" s="246"/>
      <c r="Q139" s="246"/>
      <c r="R139" s="246"/>
      <c r="S139" s="246"/>
      <c r="T139" s="30">
        <f>I139</f>
        <v>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240" t="s">
        <v>23</v>
      </c>
      <c r="F141" s="241"/>
      <c r="G141" s="241"/>
      <c r="H141" s="241"/>
      <c r="I141" s="29">
        <f>MAX(M146*-1,0)</f>
        <v>0</v>
      </c>
      <c r="J141" s="29"/>
      <c r="K141" s="256" t="s">
        <v>30</v>
      </c>
      <c r="L141" s="257"/>
      <c r="M141" s="258"/>
      <c r="O141" s="245" t="s">
        <v>23</v>
      </c>
      <c r="P141" s="246"/>
      <c r="Q141" s="246"/>
      <c r="R141" s="246"/>
      <c r="S141" s="246"/>
      <c r="T141" s="30">
        <f>I141</f>
        <v>0</v>
      </c>
    </row>
    <row r="142" spans="1:20" x14ac:dyDescent="0.25">
      <c r="E142" s="92"/>
      <c r="F142" s="67"/>
      <c r="G142" s="67"/>
      <c r="H142" s="67"/>
      <c r="I142" s="76"/>
      <c r="J142" s="76"/>
      <c r="K142" s="259" t="s">
        <v>24</v>
      </c>
      <c r="L142" s="260"/>
      <c r="M142" s="56">
        <f>I126</f>
        <v>4500</v>
      </c>
      <c r="O142" s="75"/>
      <c r="P142" s="76"/>
      <c r="Q142" s="76"/>
      <c r="R142" s="76"/>
      <c r="S142" s="76"/>
      <c r="T142" s="77"/>
    </row>
    <row r="143" spans="1:20" x14ac:dyDescent="0.25">
      <c r="E143" s="291" t="str">
        <f>"Incremental Cost @ RT MW Used ("&amp;$B137&amp;" MW)"</f>
        <v>Incremental Cost @ RT MW Used (50 MW)</v>
      </c>
      <c r="F143" s="292"/>
      <c r="G143" s="292"/>
      <c r="H143" s="292"/>
      <c r="I143" s="8">
        <f>M145</f>
        <v>1000</v>
      </c>
      <c r="J143" s="8"/>
      <c r="K143" s="259" t="s">
        <v>17</v>
      </c>
      <c r="L143" s="260"/>
      <c r="M143" s="56">
        <f>I129</f>
        <v>0</v>
      </c>
      <c r="O143" s="245" t="str">
        <f>"Incremental Cost @ Actual RT MW ("&amp;$B132&amp;" MW)"</f>
        <v>Incremental Cost @ Actual RT MW (100 MW)</v>
      </c>
      <c r="P143" s="246"/>
      <c r="Q143" s="246"/>
      <c r="R143" s="246"/>
      <c r="S143" s="246"/>
      <c r="T143" s="6">
        <f>T121</f>
        <v>2250</v>
      </c>
    </row>
    <row r="144" spans="1:20" x14ac:dyDescent="0.25">
      <c r="E144" s="93"/>
      <c r="F144" s="100"/>
      <c r="G144" s="100"/>
      <c r="H144" s="100"/>
      <c r="I144" s="48"/>
      <c r="J144" s="48"/>
      <c r="K144" s="289" t="s">
        <v>25</v>
      </c>
      <c r="L144" s="290"/>
      <c r="M144" s="30">
        <f>(B136-B125)*B133</f>
        <v>0</v>
      </c>
      <c r="O144" s="47"/>
      <c r="P144" s="87"/>
      <c r="Q144" s="87"/>
      <c r="R144" s="87"/>
      <c r="S144" s="87"/>
      <c r="T144" s="90"/>
    </row>
    <row r="145" spans="4:20" ht="15.75" thickBot="1" x14ac:dyDescent="0.3">
      <c r="E145" s="287" t="s">
        <v>26</v>
      </c>
      <c r="F145" s="288"/>
      <c r="G145" s="288"/>
      <c r="H145" s="288"/>
      <c r="I145" s="50">
        <f>I126+I129+I139+I141-I143</f>
        <v>3500</v>
      </c>
      <c r="J145" s="104"/>
      <c r="K145" s="245" t="s">
        <v>46</v>
      </c>
      <c r="L145" s="246"/>
      <c r="M145" s="30">
        <f>M121</f>
        <v>1000</v>
      </c>
      <c r="O145" s="245" t="s">
        <v>26</v>
      </c>
      <c r="P145" s="246"/>
      <c r="Q145" s="246"/>
      <c r="R145" s="246"/>
      <c r="S145" s="246"/>
      <c r="T145" s="91">
        <f>T126+T129+T139+T141-T143</f>
        <v>2250</v>
      </c>
    </row>
    <row r="146" spans="4:20" ht="30" customHeight="1" thickTop="1" thickBot="1" x14ac:dyDescent="0.3">
      <c r="E146" s="49"/>
      <c r="F146" s="8"/>
      <c r="G146" s="8"/>
      <c r="H146" s="8"/>
      <c r="I146" s="8"/>
      <c r="J146" s="8"/>
      <c r="K146" s="247" t="s">
        <v>70</v>
      </c>
      <c r="L146" s="248"/>
      <c r="M146" s="103">
        <f>M142+M143+M144-M145</f>
        <v>3500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row r="180" spans="1:27" x14ac:dyDescent="0.25">
      <c r="A180" s="286" t="s">
        <v>92</v>
      </c>
      <c r="B180" s="286"/>
      <c r="C180" s="286"/>
      <c r="D180" s="286"/>
      <c r="E180" s="286"/>
      <c r="F180" s="286"/>
      <c r="G180" s="286"/>
      <c r="H180" s="286"/>
      <c r="I180" s="286"/>
      <c r="J180" s="286"/>
      <c r="K180" s="286"/>
      <c r="L180" s="286"/>
      <c r="M180" s="286"/>
      <c r="N180" s="286"/>
      <c r="O180" s="286"/>
      <c r="P180" s="286"/>
      <c r="Q180" s="286"/>
      <c r="R180" s="286"/>
      <c r="S180" s="286"/>
      <c r="T180" s="286"/>
      <c r="U180" s="286"/>
      <c r="V180" s="286"/>
      <c r="W180" s="286"/>
      <c r="X180" s="286"/>
      <c r="Y180" s="286"/>
      <c r="Z180" s="286"/>
      <c r="AA180" s="286"/>
    </row>
    <row r="181" spans="1:27" ht="15.75" thickBot="1" x14ac:dyDescent="0.3">
      <c r="A181" s="286"/>
      <c r="B181" s="286"/>
      <c r="C181" s="286"/>
      <c r="D181" s="286"/>
      <c r="E181" s="286"/>
      <c r="F181" s="286"/>
      <c r="G181" s="286"/>
      <c r="H181" s="286"/>
      <c r="I181" s="286"/>
      <c r="J181" s="286"/>
      <c r="K181" s="286"/>
      <c r="L181" s="286"/>
      <c r="M181" s="286"/>
      <c r="N181" s="286"/>
      <c r="O181" s="286"/>
      <c r="P181" s="286"/>
      <c r="Q181" s="286"/>
      <c r="R181" s="286"/>
      <c r="S181" s="286"/>
      <c r="T181" s="286"/>
      <c r="U181" s="286"/>
      <c r="V181" s="286"/>
      <c r="W181" s="286"/>
      <c r="X181" s="286"/>
      <c r="Y181" s="286"/>
      <c r="Z181" s="286"/>
      <c r="AA181" s="286"/>
    </row>
    <row r="182" spans="1:27" ht="15.75" thickBot="1" x14ac:dyDescent="0.3">
      <c r="A182" s="250" t="s">
        <v>0</v>
      </c>
      <c r="B182" s="251"/>
      <c r="C182" s="251"/>
      <c r="D182" s="252"/>
      <c r="E182" s="235" t="s">
        <v>1</v>
      </c>
      <c r="F182" s="236"/>
      <c r="G182" s="249"/>
      <c r="H182" s="227" t="s">
        <v>89</v>
      </c>
      <c r="I182" s="228"/>
      <c r="J182" s="228"/>
      <c r="K182" s="229"/>
      <c r="L182" s="227" t="s">
        <v>32</v>
      </c>
      <c r="M182" s="228"/>
      <c r="N182" s="229"/>
      <c r="O182" s="227" t="s">
        <v>71</v>
      </c>
      <c r="P182" s="228"/>
      <c r="Q182" s="229"/>
      <c r="R182" s="227"/>
      <c r="S182" s="228"/>
      <c r="T182" s="229"/>
    </row>
    <row r="183" spans="1:27" ht="45.75" thickBot="1" x14ac:dyDescent="0.3">
      <c r="A183" s="135" t="s">
        <v>3</v>
      </c>
      <c r="B183" s="132" t="s">
        <v>33</v>
      </c>
      <c r="C183" s="132" t="s">
        <v>34</v>
      </c>
      <c r="D183" s="136" t="s">
        <v>4</v>
      </c>
      <c r="E183" s="135" t="s">
        <v>5</v>
      </c>
      <c r="F183" s="132" t="s">
        <v>6</v>
      </c>
      <c r="G183" s="133" t="s">
        <v>7</v>
      </c>
      <c r="H183" s="69" t="s">
        <v>38</v>
      </c>
      <c r="I183" s="65" t="s">
        <v>8</v>
      </c>
      <c r="J183" s="65" t="s">
        <v>6</v>
      </c>
      <c r="K183" s="66" t="s">
        <v>7</v>
      </c>
      <c r="L183" s="134" t="s">
        <v>5</v>
      </c>
      <c r="M183" s="65" t="s">
        <v>49</v>
      </c>
      <c r="N183" s="66" t="s">
        <v>47</v>
      </c>
      <c r="O183" s="134" t="s">
        <v>5</v>
      </c>
      <c r="P183" s="65" t="s">
        <v>49</v>
      </c>
      <c r="Q183" s="66" t="s">
        <v>47</v>
      </c>
      <c r="R183" s="134"/>
      <c r="S183" s="65"/>
      <c r="T183" s="66"/>
    </row>
    <row r="184" spans="1:27" x14ac:dyDescent="0.25">
      <c r="A184" s="4">
        <v>1</v>
      </c>
      <c r="B184" s="5">
        <v>0</v>
      </c>
      <c r="C184" s="5">
        <v>50</v>
      </c>
      <c r="D184" s="6">
        <v>20</v>
      </c>
      <c r="E184" s="7">
        <f>IF(AND(B$198&gt;B184,B$198&lt;=C184),B$198,0)</f>
        <v>0</v>
      </c>
      <c r="F184" s="8">
        <f>IF(B198&gt;0,D184,0)</f>
        <v>20</v>
      </c>
      <c r="G184" s="8">
        <f>IF(E184&gt;0,IF(E184=B184,D184,IF(AND(E184&gt;B184,E184&lt;=C184),D184+(E184-B184)*((D184-D184)/(C184-B184)),0)),0)</f>
        <v>0</v>
      </c>
      <c r="H184" s="14">
        <f>IF(AND(MIN(B$132,B$134)&gt;B184,MIN(B$132,B$134)&lt;=C184),MIN(B$132,B$134),0)</f>
        <v>50</v>
      </c>
      <c r="I184" s="15">
        <f>IF(AND(B$137&gt;B184,B$137&lt;=C184),B$137,0)</f>
        <v>50</v>
      </c>
      <c r="J184" s="9">
        <f>IF(B205&gt;0,D184,0)</f>
        <v>20</v>
      </c>
      <c r="K184" s="11">
        <f>IF(H184&gt;0,IF(H184=B184,D184,IF(AND(H184&gt;B184,H184&lt;=C184),D184+(H184-B184)*((D184-D184)/(C184-B184)),0)),0)</f>
        <v>20</v>
      </c>
      <c r="L184" s="14">
        <f>IF(AND(B205&gt;B184,B205&lt;=C184),B205,0)</f>
        <v>0</v>
      </c>
      <c r="M184" s="9">
        <f>IF(B205&gt;0,D184,0)</f>
        <v>20</v>
      </c>
      <c r="N184" s="11">
        <f>IF(L184&gt;0,IF(L184=B184,D184,IF(AND(L184&gt;B184,L184&lt;=C184),D184+(L184-B184)*((D184-D184)/(C184-B184)),0)),0)</f>
        <v>0</v>
      </c>
      <c r="O184" s="14">
        <f>IF(AND(B207&gt;B184,B207&lt;=C184),B207,0)</f>
        <v>50</v>
      </c>
      <c r="P184" s="9">
        <f>IF(B205&gt;0,D184,0)</f>
        <v>20</v>
      </c>
      <c r="Q184" s="11">
        <f>IF(O184&gt;0,IF(O184=B184,D184,IF(AND(O184&gt;B184,O184&lt;=C184),D184+(O184-B184)*((D184-D184)/(C184-B184)),0)),0)</f>
        <v>20</v>
      </c>
      <c r="R184" s="14"/>
      <c r="S184" s="9"/>
      <c r="T184" s="11"/>
    </row>
    <row r="185" spans="1:27" x14ac:dyDescent="0.25">
      <c r="A185" s="4">
        <v>2</v>
      </c>
      <c r="B185" s="5">
        <v>50</v>
      </c>
      <c r="C185" s="5">
        <v>75</v>
      </c>
      <c r="D185" s="6">
        <v>25</v>
      </c>
      <c r="E185" s="7">
        <f>IF(AND(B198&gt;B185,B198&lt;=C185),B198,0)</f>
        <v>0</v>
      </c>
      <c r="F185" s="8">
        <v>0</v>
      </c>
      <c r="G185" s="8">
        <f>IF(E185&gt;0,IF(AND(E185&gt;B185,E185&lt;C185),D184+(E185-B185)*((D185-D184)/(C185-B185)),0),0)</f>
        <v>0</v>
      </c>
      <c r="H185" s="16">
        <f t="shared" ref="H185:H186" si="30">IF(AND(MIN(B$132,B$134)&gt;B185,MIN(B$132,B$134)&lt;=C185),MIN(B$132,B$134),0)</f>
        <v>0</v>
      </c>
      <c r="I185" s="12">
        <f>IF(AND(B$137&gt;B185,B$137&lt;=C185),B$137,0)</f>
        <v>0</v>
      </c>
      <c r="J185" s="5">
        <v>0</v>
      </c>
      <c r="K185" s="6">
        <f>IF(H185&gt;0,IF(H185=B185,D185,IF(AND(H185&gt;B185,H185&lt;=C185),D184+(H185-B185)*((D185-D184)/(C185-B185)),0)),0)</f>
        <v>0</v>
      </c>
      <c r="L185" s="16">
        <f>IF(AND(B205&gt;B185,B205&lt;=C185),B205,0)</f>
        <v>0</v>
      </c>
      <c r="M185" s="8">
        <v>0</v>
      </c>
      <c r="N185" s="6">
        <f>IF(L185&gt;0,IF(L185=B185,D185,IF(AND(L185&gt;B185,L185&lt;=C185),D185+(L185-B185)*((D185-D185)/(C185-B185)),0)),0)</f>
        <v>0</v>
      </c>
      <c r="O185" s="16">
        <f>IF(AND(B207&gt;B185,B207&lt;=C185),B207,0)</f>
        <v>0</v>
      </c>
      <c r="P185" s="8">
        <v>0</v>
      </c>
      <c r="Q185" s="6">
        <f>IF(O185&gt;0,IF(O185=B185,D185,IF(AND(O185&gt;B185,O185&lt;=C185),D184+(O185-B185)*((D185-D184)/(C185-B185)),0)),0)</f>
        <v>0</v>
      </c>
      <c r="R185" s="16"/>
      <c r="S185" s="8"/>
      <c r="T185" s="6"/>
    </row>
    <row r="186" spans="1:27" ht="15.75" thickBot="1" x14ac:dyDescent="0.3">
      <c r="A186" s="17">
        <v>3</v>
      </c>
      <c r="B186" s="18">
        <v>75</v>
      </c>
      <c r="C186" s="18">
        <v>100</v>
      </c>
      <c r="D186" s="19">
        <v>30</v>
      </c>
      <c r="E186" s="20">
        <f>IF(AND(B198&gt;B186,B198&lt;=C186),B198,0)</f>
        <v>100</v>
      </c>
      <c r="F186" s="21">
        <v>0</v>
      </c>
      <c r="G186" s="21">
        <f>IF(E186&gt;0,IF(E186=C186,D186,IF(AND(E186&gt;B186,E186&lt;C186),D185+(E186-B186)*((D186-D185)/(C186-B186)),IF(E186&gt;C186,D186,0))),0)</f>
        <v>30</v>
      </c>
      <c r="H186" s="24">
        <f t="shared" si="30"/>
        <v>0</v>
      </c>
      <c r="I186" s="22">
        <f>IF(AND(B$137&gt;B186,B$137&lt;=C186),B$137,0)</f>
        <v>0</v>
      </c>
      <c r="J186" s="18">
        <v>0</v>
      </c>
      <c r="K186" s="19">
        <f>IF(AND(I186&gt;0,H186&lt;&gt;I186),MAX(K184:K185),IF(H186&gt;0,IF(H186=B186,D186,IF(AND(H186&gt;B186,H186&lt;=C186),D185+(H186-B186)*((D186-D185)/(C186-B186)),0)),0))</f>
        <v>0</v>
      </c>
      <c r="L186" s="24">
        <f>IF(AND(B205&gt;B186,B205&lt;=C186),B205,IF(B205&gt;C186,B205,0))</f>
        <v>100</v>
      </c>
      <c r="M186" s="21">
        <v>0</v>
      </c>
      <c r="N186" s="19">
        <f>IF(L186&gt;0,IF(L186=B186,D186,IF(AND(L186&gt;B186,L186&lt;=C186),D186+(L186-B186)*((D186-D186)/(C186-B186)),IF(L186&gt;C186,D186,0))),0)</f>
        <v>30</v>
      </c>
      <c r="O186" s="24">
        <f>IF(AND(B207&gt;B186,B207&lt;=C186),B207,IF(B205&gt;C186,B207,0))</f>
        <v>0</v>
      </c>
      <c r="P186" s="21">
        <v>0</v>
      </c>
      <c r="Q186" s="19">
        <f>IF(O186&gt;0,IF(O186=B186,D186,IF(AND(O186&gt;B186,O186&lt;=C186),D186+(O186-B186)*((D186-D186)/(C186-B186)),IF(O186&gt;C186,D186,0))),0)</f>
        <v>0</v>
      </c>
      <c r="R186" s="24"/>
      <c r="S186" s="21"/>
      <c r="T186" s="19"/>
    </row>
    <row r="187" spans="1:27" ht="15.75" thickBot="1" x14ac:dyDescent="0.3">
      <c r="J187" s="25"/>
    </row>
    <row r="188" spans="1:27" ht="15.75" thickBot="1" x14ac:dyDescent="0.3">
      <c r="A188" s="227" t="s">
        <v>1</v>
      </c>
      <c r="B188" s="228"/>
      <c r="C188" s="228"/>
      <c r="D188" s="228"/>
      <c r="E188" s="228"/>
      <c r="F188" s="229"/>
      <c r="H188" s="235" t="s">
        <v>94</v>
      </c>
      <c r="I188" s="236"/>
      <c r="J188" s="236"/>
      <c r="K188" s="236"/>
      <c r="L188" s="236"/>
      <c r="M188" s="249"/>
      <c r="O188" s="235" t="s">
        <v>31</v>
      </c>
      <c r="P188" s="236"/>
      <c r="Q188" s="236"/>
      <c r="R188" s="236"/>
      <c r="S188" s="236"/>
      <c r="T188" s="249"/>
      <c r="V188" s="235" t="s">
        <v>86</v>
      </c>
      <c r="W188" s="236"/>
      <c r="X188" s="236"/>
      <c r="Y188" s="236"/>
      <c r="Z188" s="236"/>
      <c r="AA188" s="249"/>
    </row>
    <row r="189" spans="1:27" ht="30.75" thickBot="1" x14ac:dyDescent="0.3">
      <c r="A189" s="131" t="s">
        <v>3</v>
      </c>
      <c r="B189" s="132" t="s">
        <v>33</v>
      </c>
      <c r="C189" s="132" t="s">
        <v>34</v>
      </c>
      <c r="D189" s="132" t="s">
        <v>49</v>
      </c>
      <c r="E189" s="132" t="s">
        <v>47</v>
      </c>
      <c r="F189" s="133" t="s">
        <v>48</v>
      </c>
      <c r="H189" s="131" t="s">
        <v>3</v>
      </c>
      <c r="I189" s="132" t="s">
        <v>50</v>
      </c>
      <c r="J189" s="132" t="s">
        <v>51</v>
      </c>
      <c r="K189" s="132" t="s">
        <v>49</v>
      </c>
      <c r="L189" s="132" t="s">
        <v>47</v>
      </c>
      <c r="M189" s="133" t="s">
        <v>48</v>
      </c>
      <c r="O189" s="131" t="s">
        <v>3</v>
      </c>
      <c r="P189" s="132" t="s">
        <v>33</v>
      </c>
      <c r="Q189" s="132" t="s">
        <v>34</v>
      </c>
      <c r="R189" s="132" t="s">
        <v>49</v>
      </c>
      <c r="S189" s="132" t="s">
        <v>47</v>
      </c>
      <c r="T189" s="133" t="s">
        <v>48</v>
      </c>
      <c r="V189" s="131" t="s">
        <v>3</v>
      </c>
      <c r="W189" s="132" t="s">
        <v>33</v>
      </c>
      <c r="X189" s="132" t="s">
        <v>34</v>
      </c>
      <c r="Y189" s="132" t="s">
        <v>49</v>
      </c>
      <c r="Z189" s="132" t="s">
        <v>47</v>
      </c>
      <c r="AA189" s="133" t="s">
        <v>48</v>
      </c>
    </row>
    <row r="190" spans="1:27" x14ac:dyDescent="0.25">
      <c r="A190" s="4">
        <v>1</v>
      </c>
      <c r="B190" s="5">
        <v>0</v>
      </c>
      <c r="C190" s="5">
        <f>IF(AND(B198&gt;B184,B198&lt;C184),B198,IF(B198&gt;=C184,C184,0))</f>
        <v>50</v>
      </c>
      <c r="D190" s="29">
        <f>MIN(D184,F184)</f>
        <v>20</v>
      </c>
      <c r="E190" s="29">
        <f>IF(AND(B$198&gt;B184,B$198&lt;C184),G184,IF(B$198&gt;=C184,D184,0))</f>
        <v>20</v>
      </c>
      <c r="F190" s="30">
        <f>(C190-B190)*(D190+E190)/2</f>
        <v>1000</v>
      </c>
      <c r="H190" s="4">
        <v>1</v>
      </c>
      <c r="I190" s="5">
        <v>0</v>
      </c>
      <c r="J190" s="5">
        <f>IF(AND(MAX(I$111:I$113)&gt;B184,MAX(I$111:I$113)&lt;C184),MAX(I$111:I$113),IF(MAX(I$111:I$113)&gt;=C184,C184,0))</f>
        <v>50</v>
      </c>
      <c r="K190" s="29">
        <f>MIN(D184,J184)</f>
        <v>20</v>
      </c>
      <c r="L190" s="29">
        <f>IF(AND(MAX(I$111:I$113)&gt;B184,MAX(I$111:I$113)&lt;C184),K184,IF(MAX(I$111:I$113)&gt;=C184,D184,0))</f>
        <v>20</v>
      </c>
      <c r="M190" s="30">
        <f>(J190-I190)*(K190+L190)/2</f>
        <v>1000</v>
      </c>
      <c r="O190" s="4">
        <v>1</v>
      </c>
      <c r="P190" s="5">
        <v>0</v>
      </c>
      <c r="Q190" s="5">
        <f>IF(AND(B$205&gt;B184,B$205&lt;C184),B$205,IF(B$205&gt;=C184,C184,0))</f>
        <v>50</v>
      </c>
      <c r="R190" s="29">
        <f>MIN(D184,M184)</f>
        <v>20</v>
      </c>
      <c r="S190" s="29">
        <f>IF(AND(B$205&gt;B184,B$205&lt;C184),N184,IF(B$205&gt;=C184,D184,0))</f>
        <v>20</v>
      </c>
      <c r="T190" s="30">
        <f>(Q190-P190)*(R190+S190)/2</f>
        <v>1000</v>
      </c>
      <c r="V190" s="4">
        <v>1</v>
      </c>
      <c r="W190" s="5">
        <v>0</v>
      </c>
      <c r="X190" s="5">
        <f>IF(AND(B$207&gt;H184,B$207&lt;I184),B$207,IF(B$207&gt;=I184,I184,0))</f>
        <v>50</v>
      </c>
      <c r="Y190" s="29">
        <f>MIN(D184,P184)</f>
        <v>20</v>
      </c>
      <c r="Z190" s="29">
        <f>IF(AND(B207&gt;B184,B207&lt;C184),Q184,IF(B207&gt;=C184,D184,0))</f>
        <v>20</v>
      </c>
      <c r="AA190" s="30">
        <f>(X190-W190)*(Y190+Z190)/2</f>
        <v>1000</v>
      </c>
    </row>
    <row r="191" spans="1:27" x14ac:dyDescent="0.25">
      <c r="A191" s="4">
        <v>2</v>
      </c>
      <c r="B191" s="5">
        <f>IF(B$198&gt;B185,C190,0)</f>
        <v>50</v>
      </c>
      <c r="C191" s="5">
        <f>IF(AND(B$198&gt;B185,B$198&lt;C185),B$198,IF(B$198&gt;=C185,C185,0))</f>
        <v>75</v>
      </c>
      <c r="D191" s="29">
        <f>IF(B191&lt;&gt;0,E190,0)</f>
        <v>20</v>
      </c>
      <c r="E191" s="29">
        <f>IF(AND(B$198&gt;B185,B$198&lt;C185),G185,IF(B$198&gt;=C185,D185,0))</f>
        <v>25</v>
      </c>
      <c r="F191" s="30">
        <f t="shared" ref="F191:F193" si="31">(C191-B191)*(D191+E191)/2</f>
        <v>562.5</v>
      </c>
      <c r="H191" s="4">
        <v>2</v>
      </c>
      <c r="I191" s="5">
        <f>IF(MAX(I$111:I$113)&gt;B185,C184,0)</f>
        <v>0</v>
      </c>
      <c r="J191" s="5">
        <f t="shared" ref="J191:J193" si="32">IF(AND(MAX(I$111:I$113)&gt;B185,MAX(I$111:I$113)&lt;C185),MAX(I$111:I$113),IF(MAX(I$111:I$113)&gt;=C185,C185,0))</f>
        <v>0</v>
      </c>
      <c r="K191" s="29">
        <f>IF(I191&lt;&gt;0,L190,0)</f>
        <v>0</v>
      </c>
      <c r="L191" s="29">
        <f t="shared" ref="L191:L193" si="33">IF(AND(MAX(I$111:I$113)&gt;B185,MAX(I$111:I$113)&lt;C185),K185,IF(MAX(I$111:I$113)&gt;=C185,D185,0))</f>
        <v>0</v>
      </c>
      <c r="M191" s="30">
        <f t="shared" ref="M191:M193" si="34">(J191-I191)*(K191+L191)/2</f>
        <v>0</v>
      </c>
      <c r="O191" s="4">
        <v>2</v>
      </c>
      <c r="P191" s="5">
        <f>IF(B$205&gt;B185,Q190,0)</f>
        <v>50</v>
      </c>
      <c r="Q191" s="5">
        <f>IF(AND(B$205&gt;B185,B$205&lt;C185),B$205,IF(B$205&gt;=C185,C185,0))</f>
        <v>75</v>
      </c>
      <c r="R191" s="29">
        <f>IF(P191&lt;&gt;0,S190,0)</f>
        <v>20</v>
      </c>
      <c r="S191" s="29">
        <f>IF(AND(B$205&gt;B185,B$205&lt;C185),N185,IF(B$205&gt;=C185,D185,0))</f>
        <v>25</v>
      </c>
      <c r="T191" s="30">
        <f t="shared" ref="T191:T193" si="35">(Q191-P191)*(R191+S191)/2</f>
        <v>562.5</v>
      </c>
      <c r="V191" s="4">
        <v>2</v>
      </c>
      <c r="W191" s="5">
        <f>IF(B$207&gt;B185,X190,0)</f>
        <v>0</v>
      </c>
      <c r="X191" s="5">
        <f>IF(AND(B$207&gt;B185,B$207&lt;C185),B$207,IF(B$207&gt;=C185,C185,0))</f>
        <v>0</v>
      </c>
      <c r="Y191" s="29">
        <f>IF(W191&lt;&gt;0,Z190,0)</f>
        <v>0</v>
      </c>
      <c r="Z191" s="29">
        <f>IF(AND(B207&gt;B185,B207&lt;C185),Q185,IF(B207&gt;=C185,D185,0))</f>
        <v>0</v>
      </c>
      <c r="AA191" s="30">
        <f t="shared" ref="AA191:AA193" si="36">(X191-W191)*(Y191+Z191)/2</f>
        <v>0</v>
      </c>
    </row>
    <row r="192" spans="1:27" x14ac:dyDescent="0.25">
      <c r="A192" s="4">
        <v>3</v>
      </c>
      <c r="B192" s="5">
        <f>IF(B$198&gt;B186,C191,0)</f>
        <v>75</v>
      </c>
      <c r="C192" s="5">
        <f>IF(AND(B$198&gt;B186,B$198&lt;C186),B$198,IF(B$198&gt;=C186,C186,0))</f>
        <v>100</v>
      </c>
      <c r="D192" s="29">
        <f t="shared" ref="D192:D193" si="37">IF(B192&lt;&gt;0,E191,0)</f>
        <v>25</v>
      </c>
      <c r="E192" s="29">
        <f>IF(AND(B$198&gt;B186,B$198&lt;C186),G186,IF(B$198&gt;=C186,D186,0))</f>
        <v>30</v>
      </c>
      <c r="F192" s="30">
        <f t="shared" si="31"/>
        <v>687.5</v>
      </c>
      <c r="H192" s="4">
        <v>3</v>
      </c>
      <c r="I192" s="5">
        <f t="shared" ref="I192" si="38">IF(MAX(I$111:I$113)&gt;B186,C185,0)</f>
        <v>0</v>
      </c>
      <c r="J192" s="5">
        <f t="shared" si="32"/>
        <v>0</v>
      </c>
      <c r="K192" s="29">
        <f>IF(I192&lt;&gt;0,L191,0)</f>
        <v>0</v>
      </c>
      <c r="L192" s="29">
        <f t="shared" si="33"/>
        <v>0</v>
      </c>
      <c r="M192" s="30">
        <f t="shared" si="34"/>
        <v>0</v>
      </c>
      <c r="O192" s="4">
        <v>3</v>
      </c>
      <c r="P192" s="5">
        <f>IF(B$205&gt;B186,Q191,0)</f>
        <v>75</v>
      </c>
      <c r="Q192" s="5">
        <f>IF(AND(B$205&gt;B186,B$205&lt;C186),B$205,IF(B$205&gt;=C186,C186,0))</f>
        <v>100</v>
      </c>
      <c r="R192" s="29">
        <f>IF(P192&lt;&gt;0,S191,0)</f>
        <v>25</v>
      </c>
      <c r="S192" s="29">
        <f>IF(AND(B$205&gt;B186,B$205&lt;C186),N186,IF(B$205&gt;=C186,D186,0))</f>
        <v>30</v>
      </c>
      <c r="T192" s="30">
        <f t="shared" si="35"/>
        <v>687.5</v>
      </c>
      <c r="V192" s="4">
        <v>3</v>
      </c>
      <c r="W192" s="5">
        <f>IF(B$207&gt;I186,X191,0)</f>
        <v>0</v>
      </c>
      <c r="X192" s="5">
        <f>IF(AND(B$207&gt;B186,B$207&lt;C186),B$207,IF(B$207&gt;=C186,C186,0))</f>
        <v>0</v>
      </c>
      <c r="Y192" s="29">
        <f>IF(W192&lt;&gt;0,Z191,0)</f>
        <v>0</v>
      </c>
      <c r="Z192" s="29">
        <f>IF(AND(B207&gt;B186,B207&lt;C186),Q186,IF(B207&gt;=C186,D186,0))</f>
        <v>0</v>
      </c>
      <c r="AA192" s="30">
        <f t="shared" si="36"/>
        <v>0</v>
      </c>
    </row>
    <row r="193" spans="1:27" x14ac:dyDescent="0.25">
      <c r="A193" s="4">
        <v>4</v>
      </c>
      <c r="B193" s="5">
        <f>IF(B$198&gt;C186,C192,0)</f>
        <v>0</v>
      </c>
      <c r="C193" s="5">
        <f>IF(AND(B$198&gt;B187,B$198&lt;C187),B$198,IF(B$198&gt;=C187,C187,0))</f>
        <v>0</v>
      </c>
      <c r="D193" s="29">
        <f t="shared" si="37"/>
        <v>0</v>
      </c>
      <c r="E193" s="29">
        <f>IF(AND(B$198&gt;B187,B$198&lt;C187),G187,IF(B$198&gt;=C187,D187,0))</f>
        <v>0</v>
      </c>
      <c r="F193" s="30">
        <f t="shared" si="31"/>
        <v>0</v>
      </c>
      <c r="H193" s="4">
        <v>4</v>
      </c>
      <c r="I193" s="5">
        <f>IF(MAX(I$111:I$113)&gt;C186,C186,0)</f>
        <v>0</v>
      </c>
      <c r="J193" s="5">
        <f t="shared" si="32"/>
        <v>0</v>
      </c>
      <c r="K193" s="29">
        <f>IF(I193&lt;&gt;0,L192,0)</f>
        <v>0</v>
      </c>
      <c r="L193" s="29">
        <f t="shared" si="33"/>
        <v>0</v>
      </c>
      <c r="M193" s="30">
        <f t="shared" si="34"/>
        <v>0</v>
      </c>
      <c r="O193" s="4">
        <v>4</v>
      </c>
      <c r="P193" s="5">
        <f>IF(B$205&gt;C186,Q192,0)</f>
        <v>0</v>
      </c>
      <c r="Q193" s="5">
        <f>IF(B$205&gt;C186,B$205,IF(AND(B$205&gt;B187,B$205&lt;C187),B$205,IF(B$205&gt;=C187,C187,0)))</f>
        <v>0</v>
      </c>
      <c r="R193" s="29">
        <f>IF(P193&lt;&gt;0,S192,0)</f>
        <v>0</v>
      </c>
      <c r="S193" s="29">
        <f>IF(Q193&gt;0,IF(B$205&gt;=C187,N186,IF(AND(B$205&gt;B187,B$205&lt;C187),N186,0)),0)</f>
        <v>0</v>
      </c>
      <c r="T193" s="30">
        <f t="shared" si="35"/>
        <v>0</v>
      </c>
      <c r="V193" s="4">
        <v>4</v>
      </c>
      <c r="W193" s="5">
        <f>IF(B$207&gt;C186,X192,0)</f>
        <v>0</v>
      </c>
      <c r="X193" s="5">
        <f>IF(B$207&gt;C186,B$207,IF(AND(B$207&gt;B187,B$207&lt;C187),B$207,IF(B$207&gt;=C187,C187,0)))</f>
        <v>0</v>
      </c>
      <c r="Y193" s="29">
        <f>IF(W193&lt;&gt;0,Z192,0)</f>
        <v>0</v>
      </c>
      <c r="Z193" s="29">
        <f>IF(X193&gt;0,IF(B$207&gt;=C187,N186,IF(AND(B$207&gt;B187,B$207&lt;C187),N186,0)),0)</f>
        <v>0</v>
      </c>
      <c r="AA193" s="30">
        <f t="shared" si="36"/>
        <v>0</v>
      </c>
    </row>
    <row r="194" spans="1:27" ht="15.75" thickBot="1" x14ac:dyDescent="0.3">
      <c r="A194" s="24"/>
      <c r="B194" s="18"/>
      <c r="C194" s="18"/>
      <c r="D194" s="21"/>
      <c r="E194" s="21"/>
      <c r="F194" s="31">
        <f>SUM(F190:F193)</f>
        <v>2250</v>
      </c>
      <c r="H194" s="24"/>
      <c r="I194" s="18"/>
      <c r="J194" s="18"/>
      <c r="K194" s="21"/>
      <c r="L194" s="21"/>
      <c r="M194" s="31">
        <f>SUM(M190:M193)</f>
        <v>1000</v>
      </c>
      <c r="O194" s="24"/>
      <c r="P194" s="18"/>
      <c r="Q194" s="18"/>
      <c r="R194" s="21"/>
      <c r="S194" s="21"/>
      <c r="T194" s="31">
        <f>SUM(T190:T193)</f>
        <v>2250</v>
      </c>
      <c r="V194" s="24"/>
      <c r="W194" s="18"/>
      <c r="X194" s="18"/>
      <c r="Y194" s="21"/>
      <c r="Z194" s="21"/>
      <c r="AA194" s="31">
        <f>SUM(AA190:AA193)</f>
        <v>1000</v>
      </c>
    </row>
    <row r="195" spans="1:27" ht="15.75" thickBot="1" x14ac:dyDescent="0.3"/>
    <row r="196" spans="1:27" ht="15.75" thickBot="1" x14ac:dyDescent="0.3">
      <c r="A196" s="68" t="s">
        <v>37</v>
      </c>
      <c r="E196" s="227" t="s">
        <v>75</v>
      </c>
      <c r="F196" s="228"/>
      <c r="G196" s="228"/>
      <c r="H196" s="228"/>
      <c r="I196" s="229"/>
      <c r="J196" s="152"/>
      <c r="K196" s="152"/>
      <c r="L196" s="152"/>
      <c r="M196" s="152"/>
      <c r="N196" s="45"/>
      <c r="O196" s="153"/>
      <c r="P196" s="153"/>
      <c r="Q196" s="153"/>
      <c r="R196" s="153"/>
      <c r="S196" s="153"/>
      <c r="T196" s="153"/>
    </row>
    <row r="197" spans="1:27" ht="15.75" thickBot="1" x14ac:dyDescent="0.3">
      <c r="A197" s="263" t="s">
        <v>10</v>
      </c>
      <c r="B197" s="264"/>
      <c r="E197" s="227" t="s">
        <v>78</v>
      </c>
      <c r="F197" s="228"/>
      <c r="G197" s="228"/>
      <c r="H197" s="228"/>
      <c r="I197" s="139" t="s">
        <v>74</v>
      </c>
      <c r="J197" s="146"/>
      <c r="K197" s="146"/>
      <c r="L197" s="146"/>
      <c r="M197" s="146"/>
      <c r="N197" s="45"/>
      <c r="O197" s="154"/>
      <c r="P197" s="154"/>
      <c r="Q197" s="154"/>
      <c r="R197" s="154"/>
      <c r="S197" s="154"/>
      <c r="T197" s="154"/>
    </row>
    <row r="198" spans="1:27" x14ac:dyDescent="0.25">
      <c r="A198" s="4" t="s">
        <v>5</v>
      </c>
      <c r="B198" s="13">
        <v>100</v>
      </c>
      <c r="E198" s="245" t="s">
        <v>76</v>
      </c>
      <c r="F198" s="246"/>
      <c r="G198" s="246"/>
      <c r="H198" s="246"/>
      <c r="I198" s="123">
        <f>B198*B199</f>
        <v>4500</v>
      </c>
      <c r="J198" s="45"/>
      <c r="K198" s="45"/>
      <c r="L198" s="45"/>
      <c r="M198" s="45"/>
      <c r="N198" s="45"/>
      <c r="O198" s="45"/>
      <c r="P198" s="140"/>
      <c r="Q198" s="45"/>
      <c r="R198" s="45"/>
      <c r="S198" s="45"/>
      <c r="T198" s="45"/>
    </row>
    <row r="199" spans="1:27" ht="15.75" thickBot="1" x14ac:dyDescent="0.3">
      <c r="A199" s="17" t="s">
        <v>13</v>
      </c>
      <c r="B199" s="19">
        <v>45</v>
      </c>
      <c r="E199" s="137"/>
      <c r="F199" s="142"/>
      <c r="G199" s="142"/>
      <c r="H199" s="142"/>
      <c r="I199" s="123"/>
      <c r="J199" s="45"/>
      <c r="K199" s="45"/>
      <c r="L199" s="45"/>
      <c r="M199" s="45"/>
      <c r="N199" s="45"/>
      <c r="O199" s="143"/>
      <c r="P199" s="143"/>
      <c r="Q199" s="143"/>
      <c r="R199" s="143"/>
      <c r="S199" s="143"/>
      <c r="T199" s="140"/>
    </row>
    <row r="200" spans="1:27" x14ac:dyDescent="0.25">
      <c r="A200" s="14" t="s">
        <v>55</v>
      </c>
      <c r="B200" s="26">
        <v>0</v>
      </c>
      <c r="E200" s="240" t="str">
        <f>"DA Incremental Cost @ "&amp;B198&amp;" MW"</f>
        <v>DA Incremental Cost @ 100 MW</v>
      </c>
      <c r="F200" s="241"/>
      <c r="G200" s="241"/>
      <c r="H200" s="241"/>
      <c r="I200" s="123">
        <f>F194</f>
        <v>2250</v>
      </c>
      <c r="J200" s="45"/>
      <c r="K200" s="45"/>
      <c r="L200" s="45"/>
      <c r="M200" s="45"/>
      <c r="N200" s="45"/>
      <c r="O200" s="45"/>
      <c r="P200" s="45"/>
      <c r="Q200" s="45"/>
      <c r="R200" s="45"/>
      <c r="S200" s="45"/>
      <c r="T200" s="45"/>
    </row>
    <row r="201" spans="1:27" ht="15.75" thickBot="1" x14ac:dyDescent="0.3">
      <c r="A201" s="24" t="s">
        <v>56</v>
      </c>
      <c r="B201" s="23">
        <v>0</v>
      </c>
      <c r="C201" s="32"/>
      <c r="D201" s="32"/>
      <c r="E201" s="240" t="s">
        <v>77</v>
      </c>
      <c r="F201" s="241"/>
      <c r="G201" s="241"/>
      <c r="H201" s="241"/>
      <c r="I201" s="147">
        <f>B201</f>
        <v>0</v>
      </c>
      <c r="J201" s="45"/>
      <c r="K201" s="45"/>
      <c r="L201" s="45"/>
      <c r="M201" s="45"/>
      <c r="N201" s="45"/>
      <c r="O201" s="45"/>
      <c r="P201" s="45"/>
      <c r="Q201" s="45"/>
      <c r="R201" s="45"/>
      <c r="S201" s="45"/>
      <c r="T201" s="45"/>
    </row>
    <row r="202" spans="1:27" x14ac:dyDescent="0.25">
      <c r="C202" s="32"/>
      <c r="E202" s="240" t="s">
        <v>72</v>
      </c>
      <c r="F202" s="241"/>
      <c r="G202" s="241"/>
      <c r="H202" s="241"/>
      <c r="I202" s="123">
        <f>B200</f>
        <v>0</v>
      </c>
      <c r="J202" s="45"/>
      <c r="K202" s="45"/>
      <c r="L202" s="140"/>
      <c r="M202" s="155"/>
      <c r="N202" s="45"/>
      <c r="O202" s="143"/>
      <c r="P202" s="143"/>
      <c r="Q202" s="143"/>
      <c r="R202" s="143"/>
      <c r="S202" s="143"/>
      <c r="T202" s="140"/>
    </row>
    <row r="203" spans="1:27" ht="15.75" thickBot="1" x14ac:dyDescent="0.3">
      <c r="A203" s="68" t="s">
        <v>37</v>
      </c>
      <c r="E203" s="85"/>
      <c r="F203" s="144"/>
      <c r="G203" s="144"/>
      <c r="H203" s="144"/>
      <c r="I203" s="141"/>
      <c r="J203" s="45"/>
      <c r="K203" s="45"/>
      <c r="L203" s="140"/>
      <c r="M203" s="140"/>
      <c r="N203" s="45"/>
      <c r="O203" s="45"/>
      <c r="P203" s="45"/>
      <c r="Q203" s="45"/>
      <c r="R203" s="45"/>
      <c r="S203" s="45"/>
      <c r="T203" s="45"/>
    </row>
    <row r="204" spans="1:27" x14ac:dyDescent="0.25">
      <c r="A204" s="263" t="s">
        <v>22</v>
      </c>
      <c r="B204" s="264"/>
      <c r="E204" s="240" t="s">
        <v>73</v>
      </c>
      <c r="F204" s="241"/>
      <c r="G204" s="241"/>
      <c r="H204" s="241"/>
      <c r="I204" s="158">
        <f>I198-I200-I201-I202</f>
        <v>2250</v>
      </c>
      <c r="J204" s="45"/>
      <c r="K204" s="140"/>
      <c r="L204" s="45"/>
      <c r="M204" s="45"/>
      <c r="N204" s="45"/>
      <c r="O204" s="143"/>
      <c r="P204" s="143"/>
      <c r="Q204" s="143"/>
      <c r="R204" s="143"/>
      <c r="S204" s="143"/>
      <c r="T204" s="140"/>
    </row>
    <row r="205" spans="1:27" x14ac:dyDescent="0.25">
      <c r="A205" s="16" t="s">
        <v>43</v>
      </c>
      <c r="B205" s="13">
        <v>100</v>
      </c>
      <c r="E205" s="137"/>
      <c r="F205" s="138"/>
      <c r="G205" s="138"/>
      <c r="H205" s="138"/>
      <c r="I205" s="123"/>
      <c r="J205" s="45"/>
      <c r="K205" s="45"/>
      <c r="L205" s="140"/>
      <c r="M205" s="45"/>
      <c r="N205" s="45"/>
      <c r="O205" s="45"/>
      <c r="P205" s="45"/>
      <c r="Q205" s="45"/>
      <c r="R205" s="45"/>
      <c r="S205" s="45"/>
      <c r="T205" s="45"/>
    </row>
    <row r="206" spans="1:27" ht="15.75" thickBot="1" x14ac:dyDescent="0.3">
      <c r="A206" s="16" t="s">
        <v>13</v>
      </c>
      <c r="B206" s="6">
        <v>15</v>
      </c>
      <c r="D206" s="32"/>
      <c r="E206" s="240" t="s">
        <v>83</v>
      </c>
      <c r="F206" s="241"/>
      <c r="G206" s="241"/>
      <c r="H206" s="241"/>
      <c r="I206" s="151">
        <f>MAX(I204*-1,0)</f>
        <v>0</v>
      </c>
      <c r="J206" s="45"/>
      <c r="K206" s="140"/>
      <c r="L206" s="45"/>
      <c r="M206" s="45"/>
      <c r="N206" s="45"/>
      <c r="O206" s="143"/>
      <c r="P206" s="143"/>
      <c r="Q206" s="143"/>
      <c r="R206" s="143"/>
      <c r="S206" s="143"/>
      <c r="T206" s="140"/>
    </row>
    <row r="207" spans="1:27" ht="16.5" thickTop="1" thickBot="1" x14ac:dyDescent="0.3">
      <c r="A207" s="16" t="s">
        <v>27</v>
      </c>
      <c r="B207" s="13">
        <v>50</v>
      </c>
      <c r="E207" s="156"/>
      <c r="F207" s="157"/>
      <c r="G207" s="157"/>
      <c r="H207" s="157"/>
      <c r="I207" s="145"/>
      <c r="J207" s="45"/>
      <c r="K207" s="45"/>
      <c r="L207" s="45"/>
      <c r="M207" s="45"/>
      <c r="N207" s="45"/>
      <c r="O207" s="45"/>
      <c r="P207" s="45"/>
      <c r="Q207" s="45"/>
      <c r="R207" s="45"/>
      <c r="S207" s="45"/>
      <c r="T207" s="45"/>
    </row>
    <row r="208" spans="1:27" x14ac:dyDescent="0.25">
      <c r="A208" s="16" t="s">
        <v>29</v>
      </c>
      <c r="B208" s="13">
        <v>75</v>
      </c>
      <c r="E208" s="138"/>
      <c r="F208" s="142"/>
      <c r="G208" s="142"/>
      <c r="H208" s="142"/>
      <c r="I208" s="140"/>
      <c r="J208" s="45"/>
      <c r="K208" s="45"/>
      <c r="L208" s="45"/>
      <c r="M208" s="45"/>
      <c r="N208" s="45"/>
      <c r="O208" s="45"/>
      <c r="P208" s="140"/>
      <c r="Q208" s="45"/>
      <c r="R208" s="45"/>
      <c r="S208" s="45"/>
      <c r="T208" s="45"/>
    </row>
    <row r="209" spans="1:21" ht="15.75" thickBot="1" x14ac:dyDescent="0.3">
      <c r="A209" s="16" t="s">
        <v>28</v>
      </c>
      <c r="B209" s="13">
        <f>IF(AND(B206&lt;0,B205&gt;B198,B198&gt;0),B198,IF(AND(B198=0,B206&lt;0),MIN(B207,B205),IF(B198=0,B205,MAX(MIN(B207,B198),B205))))</f>
        <v>100</v>
      </c>
      <c r="E209" s="243" t="s">
        <v>98</v>
      </c>
      <c r="F209" s="243"/>
      <c r="G209" s="243"/>
      <c r="H209" s="243"/>
      <c r="I209" s="243"/>
      <c r="J209" s="188"/>
      <c r="K209" s="244" t="s">
        <v>97</v>
      </c>
      <c r="L209" s="244"/>
      <c r="M209" s="244"/>
      <c r="N209" s="244"/>
      <c r="O209" s="244"/>
      <c r="P209" s="188"/>
      <c r="Q209" s="244" t="s">
        <v>99</v>
      </c>
      <c r="R209" s="244"/>
      <c r="S209" s="244"/>
      <c r="T209" s="244"/>
      <c r="U209" s="244"/>
    </row>
    <row r="210" spans="1:21" ht="15.75" thickBot="1" x14ac:dyDescent="0.3">
      <c r="A210" s="24" t="s">
        <v>8</v>
      </c>
      <c r="B210" s="23">
        <f>IF(AND(B207*0.9&lt;=B205,B207*1.1&gt;=B205),B205,MIN(B207,B205))</f>
        <v>50</v>
      </c>
      <c r="E210" s="227" t="s">
        <v>90</v>
      </c>
      <c r="F210" s="228"/>
      <c r="G210" s="228"/>
      <c r="H210" s="228"/>
      <c r="I210" s="229"/>
      <c r="J210" s="146"/>
      <c r="K210" s="227" t="s">
        <v>85</v>
      </c>
      <c r="L210" s="228"/>
      <c r="M210" s="228"/>
      <c r="N210" s="228"/>
      <c r="O210" s="229"/>
      <c r="P210" s="154"/>
      <c r="Q210" s="227" t="s">
        <v>88</v>
      </c>
      <c r="R210" s="228"/>
      <c r="S210" s="228"/>
      <c r="T210" s="228"/>
      <c r="U210" s="229"/>
    </row>
    <row r="211" spans="1:21" ht="15.75" thickBot="1" x14ac:dyDescent="0.3">
      <c r="A211" s="14" t="s">
        <v>55</v>
      </c>
      <c r="B211" s="26">
        <v>0</v>
      </c>
      <c r="E211" s="227" t="s">
        <v>78</v>
      </c>
      <c r="F211" s="228"/>
      <c r="G211" s="228"/>
      <c r="H211" s="228"/>
      <c r="I211" s="139" t="s">
        <v>74</v>
      </c>
      <c r="J211" s="45"/>
      <c r="K211" s="227" t="s">
        <v>78</v>
      </c>
      <c r="L211" s="228"/>
      <c r="M211" s="228"/>
      <c r="N211" s="228"/>
      <c r="O211" s="139" t="s">
        <v>74</v>
      </c>
      <c r="P211" s="45"/>
      <c r="Q211" s="227" t="s">
        <v>78</v>
      </c>
      <c r="R211" s="228"/>
      <c r="S211" s="228"/>
      <c r="T211" s="228"/>
      <c r="U211" s="139" t="s">
        <v>74</v>
      </c>
    </row>
    <row r="212" spans="1:21" ht="15.75" thickBot="1" x14ac:dyDescent="0.3">
      <c r="A212" s="24" t="s">
        <v>56</v>
      </c>
      <c r="B212" s="23">
        <v>0</v>
      </c>
      <c r="E212" s="245" t="s">
        <v>76</v>
      </c>
      <c r="F212" s="246"/>
      <c r="G212" s="246"/>
      <c r="H212" s="246"/>
      <c r="I212" s="160">
        <f>I198</f>
        <v>4500</v>
      </c>
      <c r="J212" s="140"/>
      <c r="K212" s="245" t="s">
        <v>76</v>
      </c>
      <c r="L212" s="246"/>
      <c r="M212" s="246"/>
      <c r="N212" s="246"/>
      <c r="O212" s="160">
        <f>I198</f>
        <v>4500</v>
      </c>
      <c r="P212" s="143"/>
      <c r="Q212" s="245" t="s">
        <v>76</v>
      </c>
      <c r="R212" s="246"/>
      <c r="S212" s="246"/>
      <c r="T212" s="246"/>
      <c r="U212" s="160">
        <f>I198</f>
        <v>4500</v>
      </c>
    </row>
    <row r="213" spans="1:21" x14ac:dyDescent="0.25">
      <c r="E213" s="75"/>
      <c r="F213" s="76"/>
      <c r="G213" s="76"/>
      <c r="H213" s="76"/>
      <c r="I213" s="161"/>
      <c r="J213" s="45"/>
      <c r="K213" s="75"/>
      <c r="L213" s="76"/>
      <c r="M213" s="76"/>
      <c r="N213" s="76"/>
      <c r="O213" s="161"/>
      <c r="P213" s="45"/>
      <c r="Q213" s="75"/>
      <c r="R213" s="76"/>
      <c r="S213" s="76"/>
      <c r="T213" s="76"/>
      <c r="U213" s="161"/>
    </row>
    <row r="214" spans="1:21" x14ac:dyDescent="0.25">
      <c r="E214" s="240" t="s">
        <v>83</v>
      </c>
      <c r="F214" s="241"/>
      <c r="G214" s="241"/>
      <c r="H214" s="241"/>
      <c r="I214" s="160">
        <f>I206</f>
        <v>0</v>
      </c>
      <c r="J214" s="140"/>
      <c r="K214" s="240" t="s">
        <v>83</v>
      </c>
      <c r="L214" s="241"/>
      <c r="M214" s="241"/>
      <c r="N214" s="241"/>
      <c r="O214" s="160">
        <f>I206</f>
        <v>0</v>
      </c>
      <c r="P214" s="143"/>
      <c r="Q214" s="240" t="s">
        <v>83</v>
      </c>
      <c r="R214" s="241"/>
      <c r="S214" s="241"/>
      <c r="T214" s="241"/>
      <c r="U214" s="160">
        <f>I206</f>
        <v>0</v>
      </c>
    </row>
    <row r="215" spans="1:21" x14ac:dyDescent="0.25">
      <c r="E215" s="75"/>
      <c r="F215" s="76"/>
      <c r="G215" s="76"/>
      <c r="H215" s="76"/>
      <c r="I215" s="159"/>
      <c r="J215" s="146"/>
      <c r="K215" s="75"/>
      <c r="L215" s="76"/>
      <c r="M215" s="76"/>
      <c r="N215" s="76"/>
      <c r="O215" s="159"/>
      <c r="P215" s="146"/>
      <c r="Q215" s="75"/>
      <c r="R215" s="76"/>
      <c r="S215" s="76"/>
      <c r="T215" s="76"/>
      <c r="U215" s="159"/>
    </row>
    <row r="216" spans="1:21" ht="29.25" customHeight="1" x14ac:dyDescent="0.25">
      <c r="E216" s="240" t="s">
        <v>79</v>
      </c>
      <c r="F216" s="241"/>
      <c r="G216" s="241"/>
      <c r="H216" s="241"/>
      <c r="I216" s="123">
        <f>(B209-B198)*B206</f>
        <v>0</v>
      </c>
      <c r="J216" s="104"/>
      <c r="K216" s="240" t="s">
        <v>87</v>
      </c>
      <c r="L216" s="241"/>
      <c r="M216" s="241"/>
      <c r="N216" s="241"/>
      <c r="O216" s="123">
        <f>(B207-B198)*B206</f>
        <v>-750</v>
      </c>
      <c r="P216" s="143"/>
      <c r="Q216" s="240" t="s">
        <v>87</v>
      </c>
      <c r="R216" s="241"/>
      <c r="S216" s="241"/>
      <c r="T216" s="241"/>
      <c r="U216" s="123">
        <f>(B205-B198)*B206</f>
        <v>0</v>
      </c>
    </row>
    <row r="217" spans="1:21" x14ac:dyDescent="0.25">
      <c r="E217" s="137"/>
      <c r="F217" s="142"/>
      <c r="G217" s="142"/>
      <c r="H217" s="142"/>
      <c r="I217" s="123"/>
      <c r="J217" s="149"/>
      <c r="K217" s="137"/>
      <c r="L217" s="142"/>
      <c r="M217" s="142"/>
      <c r="N217" s="142"/>
      <c r="O217" s="123"/>
      <c r="P217" s="150"/>
      <c r="Q217" s="137"/>
      <c r="R217" s="142"/>
      <c r="S217" s="142"/>
      <c r="T217" s="142"/>
      <c r="U217" s="123"/>
    </row>
    <row r="218" spans="1:21" x14ac:dyDescent="0.25">
      <c r="E218" s="240" t="str">
        <f>"RT Incremental Cost @ "&amp;B210&amp;" MW"</f>
        <v>RT Incremental Cost @ 50 MW</v>
      </c>
      <c r="F218" s="241"/>
      <c r="G218" s="241"/>
      <c r="H218" s="241"/>
      <c r="I218" s="123">
        <f>M194</f>
        <v>1000</v>
      </c>
      <c r="J218" s="104"/>
      <c r="K218" s="240" t="str">
        <f>"RT Incremental Cost @ "&amp;B210&amp;" MW"</f>
        <v>RT Incremental Cost @ 50 MW</v>
      </c>
      <c r="L218" s="241"/>
      <c r="M218" s="241"/>
      <c r="N218" s="241"/>
      <c r="O218" s="123">
        <f>AA194</f>
        <v>1000</v>
      </c>
      <c r="P218" s="143"/>
      <c r="Q218" s="240" t="str">
        <f>"RT Incremental Cost @ "&amp;B205&amp;" MW"</f>
        <v>RT Incremental Cost @ 100 MW</v>
      </c>
      <c r="R218" s="241"/>
      <c r="S218" s="241"/>
      <c r="T218" s="241"/>
      <c r="U218" s="123">
        <f>T194</f>
        <v>2250</v>
      </c>
    </row>
    <row r="219" spans="1:21" x14ac:dyDescent="0.25">
      <c r="E219" s="240" t="s">
        <v>80</v>
      </c>
      <c r="F219" s="241"/>
      <c r="G219" s="241"/>
      <c r="H219" s="241"/>
      <c r="I219" s="147">
        <f>B212</f>
        <v>0</v>
      </c>
      <c r="J219" s="104"/>
      <c r="K219" s="240" t="s">
        <v>80</v>
      </c>
      <c r="L219" s="241"/>
      <c r="M219" s="241"/>
      <c r="N219" s="241"/>
      <c r="O219" s="147">
        <f>B212</f>
        <v>0</v>
      </c>
      <c r="P219" s="45"/>
      <c r="Q219" s="240" t="s">
        <v>80</v>
      </c>
      <c r="R219" s="241"/>
      <c r="S219" s="241"/>
      <c r="T219" s="241"/>
      <c r="U219" s="147">
        <f>B212</f>
        <v>0</v>
      </c>
    </row>
    <row r="220" spans="1:21" x14ac:dyDescent="0.25">
      <c r="D220" s="33"/>
      <c r="E220" s="240" t="s">
        <v>81</v>
      </c>
      <c r="F220" s="241"/>
      <c r="G220" s="241"/>
      <c r="H220" s="241"/>
      <c r="I220" s="123">
        <f>B211</f>
        <v>0</v>
      </c>
      <c r="J220" s="104"/>
      <c r="K220" s="240" t="s">
        <v>81</v>
      </c>
      <c r="L220" s="241"/>
      <c r="M220" s="241"/>
      <c r="N220" s="241"/>
      <c r="O220" s="123">
        <f>B211</f>
        <v>0</v>
      </c>
      <c r="P220" s="45"/>
      <c r="Q220" s="240" t="s">
        <v>81</v>
      </c>
      <c r="R220" s="241"/>
      <c r="S220" s="241"/>
      <c r="T220" s="241"/>
      <c r="U220" s="123">
        <f>B211</f>
        <v>0</v>
      </c>
    </row>
    <row r="221" spans="1:21" x14ac:dyDescent="0.25">
      <c r="E221" s="85"/>
      <c r="F221" s="144"/>
      <c r="G221" s="144"/>
      <c r="H221" s="144"/>
      <c r="I221" s="141"/>
      <c r="K221" s="85"/>
      <c r="L221" s="144"/>
      <c r="M221" s="144"/>
      <c r="N221" s="144"/>
      <c r="O221" s="141"/>
      <c r="Q221" s="85"/>
      <c r="R221" s="144"/>
      <c r="S221" s="144"/>
      <c r="T221" s="144"/>
      <c r="U221" s="141"/>
    </row>
    <row r="222" spans="1:21" x14ac:dyDescent="0.25">
      <c r="E222" s="240" t="s">
        <v>82</v>
      </c>
      <c r="F222" s="241"/>
      <c r="G222" s="241"/>
      <c r="H222" s="241"/>
      <c r="I222" s="158">
        <f>I212+I216-I218-I219-I220</f>
        <v>3500</v>
      </c>
      <c r="K222" s="240" t="s">
        <v>82</v>
      </c>
      <c r="L222" s="241"/>
      <c r="M222" s="241"/>
      <c r="N222" s="241"/>
      <c r="O222" s="158">
        <f>O212+O216-O218-O219-O220</f>
        <v>2750</v>
      </c>
      <c r="Q222" s="240" t="s">
        <v>82</v>
      </c>
      <c r="R222" s="241"/>
      <c r="S222" s="241"/>
      <c r="T222" s="241"/>
      <c r="U222" s="158">
        <f>U212+U216-U218-U219-U220</f>
        <v>2250</v>
      </c>
    </row>
    <row r="223" spans="1:21" x14ac:dyDescent="0.25">
      <c r="E223" s="93"/>
      <c r="F223" s="148"/>
      <c r="G223" s="148"/>
      <c r="H223" s="148"/>
      <c r="I223" s="162"/>
      <c r="K223" s="93"/>
      <c r="L223" s="148"/>
      <c r="M223" s="148"/>
      <c r="N223" s="148"/>
      <c r="O223" s="162"/>
      <c r="Q223" s="93"/>
      <c r="R223" s="148"/>
      <c r="S223" s="148"/>
      <c r="T223" s="148"/>
      <c r="U223" s="162"/>
    </row>
    <row r="224" spans="1:21" ht="15.75" thickBot="1" x14ac:dyDescent="0.3">
      <c r="E224" s="240" t="s">
        <v>84</v>
      </c>
      <c r="F224" s="241"/>
      <c r="G224" s="241"/>
      <c r="H224" s="241"/>
      <c r="I224" s="163">
        <f>MAX(MAX(I222*-1,0)-I214,0)</f>
        <v>0</v>
      </c>
      <c r="K224" s="240" t="s">
        <v>84</v>
      </c>
      <c r="L224" s="241"/>
      <c r="M224" s="241"/>
      <c r="N224" s="241"/>
      <c r="O224" s="163">
        <f>MAX(MAX(O222*-1,0)-O214,0)</f>
        <v>0</v>
      </c>
      <c r="Q224" s="240" t="s">
        <v>84</v>
      </c>
      <c r="R224" s="241"/>
      <c r="S224" s="241"/>
      <c r="T224" s="241"/>
      <c r="U224" s="163">
        <f>MAX(MAX(U222*-1,0)-U214,0)</f>
        <v>0</v>
      </c>
    </row>
    <row r="225" spans="5:21" ht="16.5" thickTop="1" thickBot="1" x14ac:dyDescent="0.3">
      <c r="E225" s="51"/>
      <c r="F225" s="164"/>
      <c r="G225" s="164"/>
      <c r="H225" s="164"/>
      <c r="I225" s="165"/>
      <c r="K225" s="51"/>
      <c r="L225" s="164"/>
      <c r="M225" s="164"/>
      <c r="N225" s="164"/>
      <c r="O225" s="165"/>
      <c r="Q225" s="51"/>
      <c r="R225" s="164"/>
      <c r="S225" s="164"/>
      <c r="T225" s="164"/>
      <c r="U225" s="165"/>
    </row>
    <row r="226" spans="5:21" x14ac:dyDescent="0.25">
      <c r="E226" s="8"/>
      <c r="F226" s="104"/>
      <c r="G226" s="104"/>
      <c r="H226" s="104"/>
      <c r="I226" s="104"/>
    </row>
    <row r="229" spans="5:21" x14ac:dyDescent="0.25">
      <c r="K229" s="209" t="s">
        <v>105</v>
      </c>
    </row>
    <row r="230" spans="5:21" x14ac:dyDescent="0.25">
      <c r="J230" s="41" t="s">
        <v>96</v>
      </c>
      <c r="K230" s="242" t="s">
        <v>93</v>
      </c>
      <c r="L230" s="242"/>
      <c r="M230" s="242"/>
      <c r="N230" s="32">
        <f>MIN(O224,U224)</f>
        <v>0</v>
      </c>
    </row>
    <row r="231" spans="5:21" x14ac:dyDescent="0.25">
      <c r="K231" s="297" t="s">
        <v>106</v>
      </c>
      <c r="L231" s="297"/>
      <c r="M231" s="297"/>
      <c r="N231" s="297"/>
      <c r="O231" s="297"/>
      <c r="P231" s="297"/>
      <c r="Q231" s="297"/>
      <c r="R231" s="297"/>
      <c r="S231" s="176"/>
    </row>
    <row r="232" spans="5:21" x14ac:dyDescent="0.25">
      <c r="K232" s="297"/>
      <c r="L232" s="297"/>
      <c r="M232" s="297"/>
      <c r="N232" s="297"/>
      <c r="O232" s="297"/>
      <c r="P232" s="297"/>
      <c r="Q232" s="297"/>
      <c r="R232" s="297"/>
    </row>
  </sheetData>
  <mergeCells count="176">
    <mergeCell ref="A1:T2"/>
    <mergeCell ref="A5:T6"/>
    <mergeCell ref="A7:D7"/>
    <mergeCell ref="E7:G7"/>
    <mergeCell ref="H7:K7"/>
    <mergeCell ref="L7:N7"/>
    <mergeCell ref="A22:B22"/>
    <mergeCell ref="E22:M22"/>
    <mergeCell ref="O22:T22"/>
    <mergeCell ref="E23:H23"/>
    <mergeCell ref="E24:H24"/>
    <mergeCell ref="O24:S24"/>
    <mergeCell ref="A13:F13"/>
    <mergeCell ref="H13:M13"/>
    <mergeCell ref="O13:T13"/>
    <mergeCell ref="A21:D21"/>
    <mergeCell ref="E21:M21"/>
    <mergeCell ref="O21:T21"/>
    <mergeCell ref="E31:H31"/>
    <mergeCell ref="O31:S31"/>
    <mergeCell ref="E35:M35"/>
    <mergeCell ref="O35:T35"/>
    <mergeCell ref="E37:H37"/>
    <mergeCell ref="O37:S37"/>
    <mergeCell ref="E27:H27"/>
    <mergeCell ref="O27:S27"/>
    <mergeCell ref="A28:D28"/>
    <mergeCell ref="A29:B29"/>
    <mergeCell ref="E29:H29"/>
    <mergeCell ref="O29:S29"/>
    <mergeCell ref="O43:S43"/>
    <mergeCell ref="K44:L44"/>
    <mergeCell ref="A56:T57"/>
    <mergeCell ref="E39:H39"/>
    <mergeCell ref="K39:M39"/>
    <mergeCell ref="O39:S39"/>
    <mergeCell ref="K40:L40"/>
    <mergeCell ref="E41:H41"/>
    <mergeCell ref="K41:L41"/>
    <mergeCell ref="O41:S41"/>
    <mergeCell ref="A58:D58"/>
    <mergeCell ref="E58:G58"/>
    <mergeCell ref="H58:K58"/>
    <mergeCell ref="L58:N58"/>
    <mergeCell ref="A64:F64"/>
    <mergeCell ref="H64:M64"/>
    <mergeCell ref="K42:L42"/>
    <mergeCell ref="E43:H43"/>
    <mergeCell ref="K43:L43"/>
    <mergeCell ref="A80:B80"/>
    <mergeCell ref="E80:H80"/>
    <mergeCell ref="O80:S80"/>
    <mergeCell ref="O64:T64"/>
    <mergeCell ref="E72:M72"/>
    <mergeCell ref="O72:T72"/>
    <mergeCell ref="A73:B73"/>
    <mergeCell ref="E73:M73"/>
    <mergeCell ref="O73:T73"/>
    <mergeCell ref="E82:H82"/>
    <mergeCell ref="O82:S82"/>
    <mergeCell ref="E86:M86"/>
    <mergeCell ref="O86:T86"/>
    <mergeCell ref="E88:H88"/>
    <mergeCell ref="O88:S88"/>
    <mergeCell ref="E74:H74"/>
    <mergeCell ref="E75:H75"/>
    <mergeCell ref="O75:S75"/>
    <mergeCell ref="E78:H78"/>
    <mergeCell ref="O78:S78"/>
    <mergeCell ref="O94:S94"/>
    <mergeCell ref="K95:L95"/>
    <mergeCell ref="A107:T108"/>
    <mergeCell ref="E90:H90"/>
    <mergeCell ref="K90:M90"/>
    <mergeCell ref="O90:S90"/>
    <mergeCell ref="K91:L91"/>
    <mergeCell ref="E92:H92"/>
    <mergeCell ref="K92:L92"/>
    <mergeCell ref="O92:S92"/>
    <mergeCell ref="A109:D109"/>
    <mergeCell ref="E109:G109"/>
    <mergeCell ref="H109:K109"/>
    <mergeCell ref="L109:N109"/>
    <mergeCell ref="A115:B115"/>
    <mergeCell ref="H115:M115"/>
    <mergeCell ref="K93:L93"/>
    <mergeCell ref="E94:H94"/>
    <mergeCell ref="K94:L94"/>
    <mergeCell ref="A131:B131"/>
    <mergeCell ref="E131:H131"/>
    <mergeCell ref="O131:S131"/>
    <mergeCell ref="O115:T115"/>
    <mergeCell ref="E123:M123"/>
    <mergeCell ref="O123:T123"/>
    <mergeCell ref="A124:B124"/>
    <mergeCell ref="E124:M124"/>
    <mergeCell ref="O124:T124"/>
    <mergeCell ref="E133:H133"/>
    <mergeCell ref="O133:S133"/>
    <mergeCell ref="E137:M137"/>
    <mergeCell ref="O137:T137"/>
    <mergeCell ref="E139:H139"/>
    <mergeCell ref="O139:S139"/>
    <mergeCell ref="E125:H125"/>
    <mergeCell ref="E126:H126"/>
    <mergeCell ref="O126:S126"/>
    <mergeCell ref="E129:H129"/>
    <mergeCell ref="O129:S129"/>
    <mergeCell ref="O145:S145"/>
    <mergeCell ref="K146:L146"/>
    <mergeCell ref="E141:H141"/>
    <mergeCell ref="K141:M141"/>
    <mergeCell ref="O141:S141"/>
    <mergeCell ref="K142:L142"/>
    <mergeCell ref="E143:H143"/>
    <mergeCell ref="K143:L143"/>
    <mergeCell ref="O143:S143"/>
    <mergeCell ref="E220:H220"/>
    <mergeCell ref="E219:H219"/>
    <mergeCell ref="E206:H206"/>
    <mergeCell ref="E211:H211"/>
    <mergeCell ref="E204:H204"/>
    <mergeCell ref="E210:I210"/>
    <mergeCell ref="E209:I209"/>
    <mergeCell ref="K144:L144"/>
    <mergeCell ref="E145:H145"/>
    <mergeCell ref="K145:L145"/>
    <mergeCell ref="K212:N212"/>
    <mergeCell ref="Q212:T212"/>
    <mergeCell ref="E222:H222"/>
    <mergeCell ref="K222:N222"/>
    <mergeCell ref="Q222:T222"/>
    <mergeCell ref="A180:AA181"/>
    <mergeCell ref="A182:D182"/>
    <mergeCell ref="E182:G182"/>
    <mergeCell ref="H182:K182"/>
    <mergeCell ref="L182:N182"/>
    <mergeCell ref="O182:Q182"/>
    <mergeCell ref="R182:T182"/>
    <mergeCell ref="A188:F188"/>
    <mergeCell ref="H188:M188"/>
    <mergeCell ref="O188:T188"/>
    <mergeCell ref="V188:AA188"/>
    <mergeCell ref="E196:I196"/>
    <mergeCell ref="A197:B197"/>
    <mergeCell ref="E197:H197"/>
    <mergeCell ref="E198:H198"/>
    <mergeCell ref="E200:H200"/>
    <mergeCell ref="E201:H201"/>
    <mergeCell ref="E202:H202"/>
    <mergeCell ref="A204:B204"/>
    <mergeCell ref="K209:O209"/>
    <mergeCell ref="K231:R232"/>
    <mergeCell ref="Q209:U209"/>
    <mergeCell ref="E224:H224"/>
    <mergeCell ref="K224:N224"/>
    <mergeCell ref="Q224:T224"/>
    <mergeCell ref="K230:M230"/>
    <mergeCell ref="E214:H214"/>
    <mergeCell ref="K214:N214"/>
    <mergeCell ref="Q214:T214"/>
    <mergeCell ref="E216:H216"/>
    <mergeCell ref="K216:N216"/>
    <mergeCell ref="Q216:T216"/>
    <mergeCell ref="E218:H218"/>
    <mergeCell ref="K218:N218"/>
    <mergeCell ref="Q218:T218"/>
    <mergeCell ref="K220:N220"/>
    <mergeCell ref="Q220:T220"/>
    <mergeCell ref="K219:N219"/>
    <mergeCell ref="Q219:T219"/>
    <mergeCell ref="K210:O210"/>
    <mergeCell ref="Q210:U210"/>
    <mergeCell ref="K211:N211"/>
    <mergeCell ref="Q211:T211"/>
    <mergeCell ref="E212:H212"/>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33"/>
  <sheetViews>
    <sheetView topLeftCell="A181" zoomScale="110" zoomScaleNormal="110" workbookViewId="0">
      <selection activeCell="K232" sqref="K232:R233"/>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11.42578125" bestFit="1" customWidth="1"/>
    <col min="15" max="15" width="11.28515625" customWidth="1"/>
    <col min="16" max="16" width="9.5703125" customWidth="1"/>
    <col min="17" max="17" width="8.42578125" customWidth="1"/>
    <col min="18" max="18" width="10.5703125" customWidth="1"/>
    <col min="19" max="19" width="9" customWidth="1"/>
    <col min="20" max="20" width="13.85546875" customWidth="1"/>
    <col min="21" max="21" width="11.42578125" bestFit="1" customWidth="1"/>
  </cols>
  <sheetData>
    <row r="1" spans="1:20" s="82" customFormat="1" ht="18.75" customHeight="1" x14ac:dyDescent="0.25">
      <c r="A1" s="294" t="s">
        <v>66</v>
      </c>
      <c r="B1" s="294"/>
      <c r="C1" s="294"/>
      <c r="D1" s="294"/>
      <c r="E1" s="294"/>
      <c r="F1" s="294"/>
      <c r="G1" s="294"/>
      <c r="H1" s="294"/>
      <c r="I1" s="294"/>
      <c r="J1" s="294"/>
      <c r="K1" s="294"/>
      <c r="L1" s="294"/>
      <c r="M1" s="294"/>
      <c r="N1" s="294"/>
      <c r="O1" s="294"/>
      <c r="P1" s="294"/>
      <c r="Q1" s="294"/>
      <c r="R1" s="294"/>
      <c r="S1" s="294"/>
      <c r="T1" s="294"/>
    </row>
    <row r="2" spans="1:20" ht="15" customHeight="1" x14ac:dyDescent="0.25">
      <c r="A2" s="294"/>
      <c r="B2" s="294"/>
      <c r="C2" s="294"/>
      <c r="D2" s="294"/>
      <c r="E2" s="294"/>
      <c r="F2" s="294"/>
      <c r="G2" s="294"/>
      <c r="H2" s="294"/>
      <c r="I2" s="294"/>
      <c r="J2" s="294"/>
      <c r="K2" s="294"/>
      <c r="L2" s="294"/>
      <c r="M2" s="294"/>
      <c r="N2" s="294"/>
      <c r="O2" s="294"/>
      <c r="P2" s="294"/>
      <c r="Q2" s="294"/>
      <c r="R2" s="294"/>
      <c r="S2" s="294"/>
      <c r="T2" s="294"/>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265" t="s">
        <v>61</v>
      </c>
      <c r="B5" s="265"/>
      <c r="C5" s="265"/>
      <c r="D5" s="265"/>
      <c r="E5" s="265"/>
      <c r="F5" s="265"/>
      <c r="G5" s="265"/>
      <c r="H5" s="265"/>
      <c r="I5" s="265"/>
      <c r="J5" s="265"/>
      <c r="K5" s="265"/>
      <c r="L5" s="265"/>
      <c r="M5" s="265"/>
      <c r="N5" s="265"/>
      <c r="O5" s="265"/>
      <c r="P5" s="265"/>
      <c r="Q5" s="265"/>
      <c r="R5" s="265"/>
      <c r="S5" s="265"/>
      <c r="T5" s="265"/>
    </row>
    <row r="6" spans="1:20" s="83" customFormat="1" ht="15.75" thickBot="1" x14ac:dyDescent="0.3">
      <c r="A6" s="265"/>
      <c r="B6" s="265"/>
      <c r="C6" s="265"/>
      <c r="D6" s="265"/>
      <c r="E6" s="265"/>
      <c r="F6" s="265"/>
      <c r="G6" s="265"/>
      <c r="H6" s="265"/>
      <c r="I6" s="265"/>
      <c r="J6" s="265"/>
      <c r="K6" s="265"/>
      <c r="L6" s="265"/>
      <c r="M6" s="265"/>
      <c r="N6" s="265"/>
      <c r="O6" s="265"/>
      <c r="P6" s="265"/>
      <c r="Q6" s="265"/>
      <c r="R6" s="265"/>
      <c r="S6" s="265"/>
      <c r="T6" s="265"/>
    </row>
    <row r="7" spans="1:20" ht="15.75" thickBot="1" x14ac:dyDescent="0.3">
      <c r="A7" s="227" t="s">
        <v>0</v>
      </c>
      <c r="B7" s="228"/>
      <c r="C7" s="228"/>
      <c r="D7" s="229"/>
      <c r="E7" s="235" t="s">
        <v>1</v>
      </c>
      <c r="F7" s="236"/>
      <c r="G7" s="249"/>
      <c r="H7" s="227" t="s">
        <v>2</v>
      </c>
      <c r="I7" s="228"/>
      <c r="J7" s="228"/>
      <c r="K7" s="229"/>
      <c r="L7" s="227" t="s">
        <v>32</v>
      </c>
      <c r="M7" s="228"/>
      <c r="N7" s="229"/>
    </row>
    <row r="8" spans="1:20" ht="45" customHeight="1" thickBot="1" x14ac:dyDescent="0.3">
      <c r="A8" s="116" t="s">
        <v>3</v>
      </c>
      <c r="B8" s="117" t="s">
        <v>33</v>
      </c>
      <c r="C8" s="117" t="s">
        <v>34</v>
      </c>
      <c r="D8" s="118" t="s">
        <v>4</v>
      </c>
      <c r="E8" s="116" t="s">
        <v>5</v>
      </c>
      <c r="F8" s="117" t="s">
        <v>6</v>
      </c>
      <c r="G8" s="118"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50</v>
      </c>
      <c r="F9" s="8">
        <f>IF(B23&gt;0,D9,0)</f>
        <v>20</v>
      </c>
      <c r="G9" s="8">
        <f>IF(E9&gt;0,IF(E9=B9,D9,IF(AND(E9&gt;B9,E9&lt;=C9),0+(E9-B9)*((D9-0)/(C9-B9)),0)),0)</f>
        <v>20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235" t="s">
        <v>39</v>
      </c>
      <c r="B13" s="236"/>
      <c r="C13" s="236"/>
      <c r="D13" s="236"/>
      <c r="E13" s="236"/>
      <c r="F13" s="249"/>
      <c r="H13" s="268" t="s">
        <v>40</v>
      </c>
      <c r="I13" s="269"/>
      <c r="J13" s="269"/>
      <c r="K13" s="269"/>
      <c r="L13" s="269"/>
      <c r="M13" s="270"/>
      <c r="O13" s="268" t="s">
        <v>41</v>
      </c>
      <c r="P13" s="269"/>
      <c r="Q13" s="269"/>
      <c r="R13" s="269"/>
      <c r="S13" s="269"/>
      <c r="T13" s="270"/>
    </row>
    <row r="14" spans="1:20" ht="30.75" thickBot="1" x14ac:dyDescent="0.3">
      <c r="A14" s="120" t="s">
        <v>3</v>
      </c>
      <c r="B14" s="117" t="s">
        <v>33</v>
      </c>
      <c r="C14" s="117" t="s">
        <v>34</v>
      </c>
      <c r="D14" s="117" t="s">
        <v>36</v>
      </c>
      <c r="E14" s="117" t="s">
        <v>7</v>
      </c>
      <c r="F14" s="118" t="s">
        <v>48</v>
      </c>
      <c r="H14" s="120" t="s">
        <v>3</v>
      </c>
      <c r="I14" s="117" t="s">
        <v>33</v>
      </c>
      <c r="J14" s="117" t="s">
        <v>34</v>
      </c>
      <c r="K14" s="117" t="s">
        <v>36</v>
      </c>
      <c r="L14" s="117" t="s">
        <v>47</v>
      </c>
      <c r="M14" s="118" t="s">
        <v>48</v>
      </c>
      <c r="O14" s="75" t="s">
        <v>3</v>
      </c>
      <c r="P14" s="67" t="s">
        <v>33</v>
      </c>
      <c r="Q14" s="67" t="s">
        <v>34</v>
      </c>
      <c r="R14" s="67" t="s">
        <v>36</v>
      </c>
      <c r="S14" s="67" t="s">
        <v>7</v>
      </c>
      <c r="T14" s="107" t="s">
        <v>48</v>
      </c>
    </row>
    <row r="15" spans="1:20" x14ac:dyDescent="0.25">
      <c r="A15" s="4">
        <v>1</v>
      </c>
      <c r="B15" s="5">
        <v>0</v>
      </c>
      <c r="C15" s="5">
        <f>IF(AND(B23&gt;B9,B23&lt;C9),B23,IF(B23&gt;=C9,C9,0))</f>
        <v>50</v>
      </c>
      <c r="D15" s="29">
        <f>MIN(D9,F9)</f>
        <v>20</v>
      </c>
      <c r="E15" s="29">
        <f>IF(AND(B$23&gt;B9,B$23&lt;C9),G9,IF(B$23&gt;=C9,D9,0))</f>
        <v>20</v>
      </c>
      <c r="F15" s="30">
        <f>(C15-B15)*(D15+E15)/2</f>
        <v>1000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1000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266" t="s">
        <v>37</v>
      </c>
      <c r="B21" s="266"/>
      <c r="C21" s="266"/>
      <c r="D21" s="267"/>
      <c r="E21" s="277" t="s">
        <v>44</v>
      </c>
      <c r="F21" s="278"/>
      <c r="G21" s="278"/>
      <c r="H21" s="278"/>
      <c r="I21" s="278"/>
      <c r="J21" s="278"/>
      <c r="K21" s="278"/>
      <c r="L21" s="278"/>
      <c r="M21" s="279"/>
      <c r="O21" s="274" t="s">
        <v>42</v>
      </c>
      <c r="P21" s="275"/>
      <c r="Q21" s="275"/>
      <c r="R21" s="275"/>
      <c r="S21" s="275"/>
      <c r="T21" s="276"/>
    </row>
    <row r="22" spans="1:20" ht="15.75" thickBot="1" x14ac:dyDescent="0.3">
      <c r="A22" s="263" t="s">
        <v>10</v>
      </c>
      <c r="B22" s="264"/>
      <c r="E22" s="227" t="s">
        <v>11</v>
      </c>
      <c r="F22" s="228"/>
      <c r="G22" s="228"/>
      <c r="H22" s="228"/>
      <c r="I22" s="228"/>
      <c r="J22" s="228"/>
      <c r="K22" s="228"/>
      <c r="L22" s="228"/>
      <c r="M22" s="229"/>
      <c r="O22" s="271" t="s">
        <v>11</v>
      </c>
      <c r="P22" s="272"/>
      <c r="Q22" s="272"/>
      <c r="R22" s="272"/>
      <c r="S22" s="272"/>
      <c r="T22" s="273"/>
    </row>
    <row r="23" spans="1:20" x14ac:dyDescent="0.25">
      <c r="A23" s="4" t="s">
        <v>5</v>
      </c>
      <c r="B23" s="13">
        <v>50</v>
      </c>
      <c r="E23" s="261" t="s">
        <v>12</v>
      </c>
      <c r="F23" s="262"/>
      <c r="G23" s="262"/>
      <c r="H23" s="262"/>
      <c r="I23" s="99"/>
      <c r="J23" s="10"/>
      <c r="K23" s="10"/>
      <c r="L23" s="10"/>
      <c r="M23" s="26"/>
      <c r="O23" s="16" t="s">
        <v>12</v>
      </c>
      <c r="P23" s="29"/>
      <c r="Q23" s="5"/>
      <c r="R23" s="5"/>
      <c r="S23" s="5"/>
      <c r="T23" s="13"/>
    </row>
    <row r="24" spans="1:20" ht="15.75" thickBot="1" x14ac:dyDescent="0.3">
      <c r="A24" s="17" t="s">
        <v>13</v>
      </c>
      <c r="B24" s="19">
        <v>15</v>
      </c>
      <c r="E24" s="240" t="s">
        <v>14</v>
      </c>
      <c r="F24" s="241"/>
      <c r="G24" s="241"/>
      <c r="H24" s="241"/>
      <c r="I24" s="42">
        <f>B23*B24</f>
        <v>750</v>
      </c>
      <c r="J24" s="5"/>
      <c r="K24" s="5"/>
      <c r="L24" s="5"/>
      <c r="M24" s="13"/>
      <c r="O24" s="245" t="s">
        <v>14</v>
      </c>
      <c r="P24" s="246"/>
      <c r="Q24" s="246"/>
      <c r="R24" s="246"/>
      <c r="S24" s="246"/>
      <c r="T24" s="56">
        <f>I24</f>
        <v>750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240" t="s">
        <v>15</v>
      </c>
      <c r="F27" s="241"/>
      <c r="G27" s="241"/>
      <c r="H27" s="241"/>
      <c r="I27" s="43">
        <f>M28</f>
        <v>250</v>
      </c>
      <c r="J27" s="5"/>
      <c r="K27" s="35" t="s">
        <v>16</v>
      </c>
      <c r="L27" s="36">
        <f>F19</f>
        <v>1000</v>
      </c>
      <c r="M27" s="105" t="s">
        <v>17</v>
      </c>
      <c r="O27" s="245" t="s">
        <v>15</v>
      </c>
      <c r="P27" s="246"/>
      <c r="Q27" s="246"/>
      <c r="R27" s="246"/>
      <c r="S27" s="246"/>
      <c r="T27" s="88">
        <f>I27</f>
        <v>250</v>
      </c>
    </row>
    <row r="28" spans="1:20" ht="15.75" thickBot="1" x14ac:dyDescent="0.3">
      <c r="A28" s="266" t="s">
        <v>37</v>
      </c>
      <c r="B28" s="266"/>
      <c r="C28" s="266"/>
      <c r="D28" s="267"/>
      <c r="E28" s="85"/>
      <c r="F28" s="86"/>
      <c r="G28" s="86"/>
      <c r="H28" s="86"/>
      <c r="I28" s="5"/>
      <c r="J28" s="5"/>
      <c r="K28" s="37" t="s">
        <v>18</v>
      </c>
      <c r="L28" s="38">
        <f>I24</f>
        <v>750</v>
      </c>
      <c r="M28" s="39">
        <f>MAX(L27-L28,0)</f>
        <v>250</v>
      </c>
      <c r="O28" s="16"/>
      <c r="P28" s="5"/>
      <c r="Q28" s="5"/>
      <c r="R28" s="5"/>
      <c r="S28" s="5"/>
      <c r="T28" s="13"/>
    </row>
    <row r="29" spans="1:20" x14ac:dyDescent="0.25">
      <c r="A29" s="263" t="s">
        <v>22</v>
      </c>
      <c r="B29" s="264"/>
      <c r="E29" s="240" t="str">
        <f>"DA Incremental Cost @ DA MW ("&amp;$B23&amp;" MW)"</f>
        <v>DA Incremental Cost @ DA MW (50 MW)</v>
      </c>
      <c r="F29" s="241"/>
      <c r="G29" s="241"/>
      <c r="H29" s="241"/>
      <c r="I29" s="44">
        <f>F19</f>
        <v>1000</v>
      </c>
      <c r="J29" s="5"/>
      <c r="K29" s="29"/>
      <c r="L29" s="5"/>
      <c r="M29" s="13"/>
      <c r="O29" s="245" t="str">
        <f>"DA Incremental Cost @ DA MW ("&amp;$B23&amp;" MW)"</f>
        <v>DA Incremental Cost @ DA MW (50 MW)</v>
      </c>
      <c r="P29" s="246"/>
      <c r="Q29" s="246"/>
      <c r="R29" s="246"/>
      <c r="S29" s="246"/>
      <c r="T29" s="89">
        <f>I29</f>
        <v>1000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-100</v>
      </c>
      <c r="D31" s="32"/>
      <c r="E31" s="240" t="s">
        <v>19</v>
      </c>
      <c r="F31" s="241"/>
      <c r="G31" s="241"/>
      <c r="H31" s="241"/>
      <c r="I31" s="40">
        <f>I24+I27-I29</f>
        <v>0</v>
      </c>
      <c r="J31" s="5"/>
      <c r="K31" s="29"/>
      <c r="L31" s="45"/>
      <c r="M31" s="13"/>
      <c r="O31" s="245" t="s">
        <v>19</v>
      </c>
      <c r="P31" s="246"/>
      <c r="Q31" s="246"/>
      <c r="R31" s="246"/>
      <c r="S31" s="246"/>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227" t="s">
        <v>20</v>
      </c>
      <c r="F35" s="228"/>
      <c r="G35" s="228"/>
      <c r="H35" s="228"/>
      <c r="I35" s="228"/>
      <c r="J35" s="228"/>
      <c r="K35" s="228"/>
      <c r="L35" s="228"/>
      <c r="M35" s="229"/>
      <c r="N35" s="5"/>
      <c r="O35" s="227" t="s">
        <v>20</v>
      </c>
      <c r="P35" s="228"/>
      <c r="Q35" s="228"/>
      <c r="R35" s="228"/>
      <c r="S35" s="228"/>
      <c r="T35" s="229"/>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240" t="s">
        <v>21</v>
      </c>
      <c r="F37" s="241"/>
      <c r="G37" s="241"/>
      <c r="H37" s="241"/>
      <c r="I37" s="29">
        <f>(B30-B23)*B31</f>
        <v>0</v>
      </c>
      <c r="J37" s="29"/>
      <c r="K37" s="29"/>
      <c r="L37" s="29"/>
      <c r="M37" s="13"/>
      <c r="N37" s="5"/>
      <c r="O37" s="245" t="s">
        <v>21</v>
      </c>
      <c r="P37" s="246"/>
      <c r="Q37" s="246"/>
      <c r="R37" s="246"/>
      <c r="S37" s="246"/>
      <c r="T37" s="30">
        <f>I37</f>
        <v>0</v>
      </c>
    </row>
    <row r="38" spans="1:20" ht="15.75" thickBot="1" x14ac:dyDescent="0.3">
      <c r="E38" s="85"/>
      <c r="F38" s="86"/>
      <c r="G38" s="86"/>
      <c r="H38" s="86"/>
      <c r="I38" s="5"/>
      <c r="J38" s="5"/>
      <c r="K38" s="5"/>
      <c r="L38" s="5"/>
      <c r="M38" s="30"/>
      <c r="N38" s="5"/>
      <c r="O38" s="16"/>
      <c r="P38" s="5"/>
      <c r="Q38" s="5"/>
      <c r="R38" s="5"/>
      <c r="S38" s="5"/>
      <c r="T38" s="13"/>
    </row>
    <row r="39" spans="1:20" x14ac:dyDescent="0.25">
      <c r="E39" s="240" t="s">
        <v>23</v>
      </c>
      <c r="F39" s="241"/>
      <c r="G39" s="241"/>
      <c r="H39" s="241"/>
      <c r="I39" s="29">
        <f>MAX(M44*-1,0)</f>
        <v>0</v>
      </c>
      <c r="J39" s="29"/>
      <c r="K39" s="256" t="s">
        <v>30</v>
      </c>
      <c r="L39" s="257"/>
      <c r="M39" s="258"/>
      <c r="N39" s="5"/>
      <c r="O39" s="245" t="s">
        <v>23</v>
      </c>
      <c r="P39" s="246"/>
      <c r="Q39" s="246"/>
      <c r="R39" s="246"/>
      <c r="S39" s="246"/>
      <c r="T39" s="30">
        <f>I39</f>
        <v>0</v>
      </c>
    </row>
    <row r="40" spans="1:20" x14ac:dyDescent="0.25">
      <c r="E40" s="92"/>
      <c r="F40" s="67"/>
      <c r="G40" s="67"/>
      <c r="H40" s="67"/>
      <c r="I40" s="76"/>
      <c r="J40" s="76"/>
      <c r="K40" s="259" t="s">
        <v>24</v>
      </c>
      <c r="L40" s="260"/>
      <c r="M40" s="56">
        <f>I24</f>
        <v>750</v>
      </c>
      <c r="N40" s="5"/>
      <c r="O40" s="75"/>
      <c r="P40" s="76"/>
      <c r="Q40" s="76"/>
      <c r="R40" s="76"/>
      <c r="S40" s="76"/>
      <c r="T40" s="77"/>
    </row>
    <row r="41" spans="1:20" ht="30" customHeight="1" x14ac:dyDescent="0.25">
      <c r="E41" s="291" t="str">
        <f>"Incremental Cost @ RT MW Used ("&amp;$B35&amp;" MW)"</f>
        <v>Incremental Cost @ RT MW Used (50 MW)</v>
      </c>
      <c r="F41" s="292"/>
      <c r="G41" s="292"/>
      <c r="H41" s="292"/>
      <c r="I41" s="8">
        <f>M43</f>
        <v>1000</v>
      </c>
      <c r="J41" s="8"/>
      <c r="K41" s="259" t="s">
        <v>17</v>
      </c>
      <c r="L41" s="260"/>
      <c r="M41" s="56">
        <f>I27</f>
        <v>250</v>
      </c>
      <c r="N41" s="5"/>
      <c r="O41" s="245" t="str">
        <f>"Incremental Cost @ Actual RT MW ("&amp;$B30&amp;" MW)"</f>
        <v>Incremental Cost @ Actual RT MW (50 MW)</v>
      </c>
      <c r="P41" s="246"/>
      <c r="Q41" s="246"/>
      <c r="R41" s="246"/>
      <c r="S41" s="246"/>
      <c r="T41" s="6">
        <f>T19</f>
        <v>1000</v>
      </c>
    </row>
    <row r="42" spans="1:20" x14ac:dyDescent="0.25">
      <c r="E42" s="93"/>
      <c r="F42" s="100"/>
      <c r="G42" s="100"/>
      <c r="H42" s="100"/>
      <c r="I42" s="48"/>
      <c r="J42" s="48"/>
      <c r="K42" s="289" t="s">
        <v>25</v>
      </c>
      <c r="L42" s="290"/>
      <c r="M42" s="30">
        <f>(B34-B23)*B31</f>
        <v>0</v>
      </c>
      <c r="N42" s="5"/>
      <c r="O42" s="47"/>
      <c r="P42" s="87"/>
      <c r="Q42" s="87"/>
      <c r="R42" s="87"/>
      <c r="S42" s="87"/>
      <c r="T42" s="90"/>
    </row>
    <row r="43" spans="1:20" ht="15.75" thickBot="1" x14ac:dyDescent="0.3">
      <c r="E43" s="287" t="s">
        <v>26</v>
      </c>
      <c r="F43" s="288"/>
      <c r="G43" s="288"/>
      <c r="H43" s="288"/>
      <c r="I43" s="50">
        <f>I24+I27+I37+I39-I41</f>
        <v>0</v>
      </c>
      <c r="J43" s="104"/>
      <c r="K43" s="245" t="s">
        <v>46</v>
      </c>
      <c r="L43" s="246"/>
      <c r="M43" s="30">
        <f>M19</f>
        <v>1000</v>
      </c>
      <c r="N43" s="5"/>
      <c r="O43" s="245" t="s">
        <v>26</v>
      </c>
      <c r="P43" s="246"/>
      <c r="Q43" s="246"/>
      <c r="R43" s="246"/>
      <c r="S43" s="246"/>
      <c r="T43" s="91">
        <f>T24+T27+T37+T39-T41</f>
        <v>0</v>
      </c>
    </row>
    <row r="44" spans="1:20" ht="30.75" customHeight="1" thickTop="1" thickBot="1" x14ac:dyDescent="0.3">
      <c r="E44" s="49"/>
      <c r="F44" s="8"/>
      <c r="G44" s="8"/>
      <c r="H44" s="8"/>
      <c r="I44" s="8"/>
      <c r="J44" s="8"/>
      <c r="K44" s="247" t="s">
        <v>70</v>
      </c>
      <c r="L44" s="248"/>
      <c r="M44" s="103">
        <f>M40+M41+M42-M43</f>
        <v>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286" t="s">
        <v>45</v>
      </c>
      <c r="B56" s="286"/>
      <c r="C56" s="286"/>
      <c r="D56" s="286"/>
      <c r="E56" s="286"/>
      <c r="F56" s="286"/>
      <c r="G56" s="286"/>
      <c r="H56" s="286"/>
      <c r="I56" s="286"/>
      <c r="J56" s="286"/>
      <c r="K56" s="286"/>
      <c r="L56" s="286"/>
      <c r="M56" s="286"/>
      <c r="N56" s="286"/>
      <c r="O56" s="286"/>
      <c r="P56" s="286"/>
      <c r="Q56" s="286"/>
      <c r="R56" s="286"/>
      <c r="S56" s="286"/>
      <c r="T56" s="286"/>
      <c r="U56" s="95"/>
      <c r="V56" s="95"/>
      <c r="W56" s="95"/>
    </row>
    <row r="57" spans="1:23" s="83" customFormat="1" ht="24" customHeight="1" thickBot="1" x14ac:dyDescent="0.3">
      <c r="A57" s="286"/>
      <c r="B57" s="286"/>
      <c r="C57" s="286"/>
      <c r="D57" s="286"/>
      <c r="E57" s="286"/>
      <c r="F57" s="286"/>
      <c r="G57" s="286"/>
      <c r="H57" s="286"/>
      <c r="I57" s="286"/>
      <c r="J57" s="286"/>
      <c r="K57" s="286"/>
      <c r="L57" s="286"/>
      <c r="M57" s="286"/>
      <c r="N57" s="286"/>
      <c r="O57" s="286"/>
      <c r="P57" s="286"/>
      <c r="Q57" s="286"/>
      <c r="R57" s="286"/>
      <c r="S57" s="286"/>
      <c r="T57" s="286"/>
      <c r="U57" s="95"/>
      <c r="V57" s="95"/>
      <c r="W57" s="95"/>
    </row>
    <row r="58" spans="1:23" ht="15.75" thickBot="1" x14ac:dyDescent="0.3">
      <c r="A58" s="250" t="s">
        <v>0</v>
      </c>
      <c r="B58" s="251"/>
      <c r="C58" s="251"/>
      <c r="D58" s="252"/>
      <c r="E58" s="235" t="s">
        <v>1</v>
      </c>
      <c r="F58" s="236"/>
      <c r="G58" s="249"/>
      <c r="H58" s="227" t="s">
        <v>2</v>
      </c>
      <c r="I58" s="228"/>
      <c r="J58" s="228"/>
      <c r="K58" s="229"/>
      <c r="L58" s="227" t="s">
        <v>32</v>
      </c>
      <c r="M58" s="228"/>
      <c r="N58" s="229"/>
    </row>
    <row r="59" spans="1:23" ht="64.5" customHeight="1" thickBot="1" x14ac:dyDescent="0.3">
      <c r="A59" s="120" t="s">
        <v>3</v>
      </c>
      <c r="B59" s="117" t="s">
        <v>33</v>
      </c>
      <c r="C59" s="117" t="s">
        <v>34</v>
      </c>
      <c r="D59" s="121" t="s">
        <v>4</v>
      </c>
      <c r="E59" s="120" t="s">
        <v>5</v>
      </c>
      <c r="F59" s="117" t="s">
        <v>6</v>
      </c>
      <c r="G59" s="118" t="s">
        <v>7</v>
      </c>
      <c r="H59" s="69" t="s">
        <v>38</v>
      </c>
      <c r="I59" s="65" t="s">
        <v>53</v>
      </c>
      <c r="J59" s="65" t="s">
        <v>6</v>
      </c>
      <c r="K59" s="66" t="s">
        <v>7</v>
      </c>
      <c r="L59" s="119" t="s">
        <v>5</v>
      </c>
      <c r="M59" s="65" t="s">
        <v>49</v>
      </c>
      <c r="N59" s="66" t="s">
        <v>47</v>
      </c>
    </row>
    <row r="60" spans="1:23" x14ac:dyDescent="0.25">
      <c r="A60" s="4">
        <v>1</v>
      </c>
      <c r="B60" s="5">
        <v>0</v>
      </c>
      <c r="C60" s="5">
        <v>50</v>
      </c>
      <c r="D60" s="6">
        <v>20</v>
      </c>
      <c r="E60" s="7">
        <f>IF(AND(B$74&gt;B60,B$74&lt;=C60),B$74,0)</f>
        <v>50</v>
      </c>
      <c r="F60" s="8">
        <f>IF(B74&gt;0,D60,0)</f>
        <v>20</v>
      </c>
      <c r="G60" s="8">
        <f>IF(E60&gt;0,IF(E60=B60,D60,IF(AND(E60&gt;B60,E60&lt;=C60),D60+(E60-B60)*((D60-D60)/(C60-B60)),0)),0)</f>
        <v>20</v>
      </c>
      <c r="H60" s="14">
        <f>IF(AND(MIN(B$81,B$84)&gt;B60,MIN(B$81,B$84)&lt;=C60),MIN(B$81,B$84),0)</f>
        <v>50</v>
      </c>
      <c r="I60" s="15">
        <f>IF(AND(B$86&gt;B60,B$86&lt;=C60),B$86,0)</f>
        <v>50</v>
      </c>
      <c r="J60" s="9">
        <f>IF(B81&gt;0,D60,0)</f>
        <v>20</v>
      </c>
      <c r="K60" s="11">
        <f>IF(H60&gt;0,IF(H60=B60,D60,IF(AND(H60&gt;B60,H60&lt;=C60),D60+(H60-B60)*((D60-D60)/(C60-B60)),0)),0)</f>
        <v>20</v>
      </c>
      <c r="L60" s="14">
        <f>IF(AND(B81&gt;B60,B81&lt;=C60),B81,0)</f>
        <v>0</v>
      </c>
      <c r="M60" s="9">
        <f>IF(B81&gt;0,D60,0)</f>
        <v>20</v>
      </c>
      <c r="N60" s="11">
        <f>IF(L60&gt;0,IF(L60=B60,D60,IF(AND(L60&gt;B60,L60&lt;=C60),D60+(L60-B60)*((D60-D60)/(C60-B60)),0)),0)</f>
        <v>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0</v>
      </c>
      <c r="I61" s="12">
        <f t="shared" ref="I61:I62" si="7">IF(AND(B$86&gt;B61,B$86&lt;=C61),B$86,0)</f>
        <v>0</v>
      </c>
      <c r="J61" s="5">
        <v>0</v>
      </c>
      <c r="K61" s="6">
        <f>IF(H61&gt;0,IF(H61=B61,D61,IF(AND(H61&gt;B61,H61&lt;=C61),D60+(H61-B61)*((D61-D60)/(C61-B61)),0)),0)</f>
        <v>0</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100</v>
      </c>
      <c r="M62" s="21">
        <v>0</v>
      </c>
      <c r="N62" s="19">
        <f>IF(L62&gt;0,IF(L62=B62,D62,IF(AND(L62&gt;B62,L62&lt;=C62),D62+(L62-B62)*((D62-D62)/(C62-B62)),0)),0)</f>
        <v>30</v>
      </c>
    </row>
    <row r="63" spans="1:23" ht="15.75" thickBot="1" x14ac:dyDescent="0.3">
      <c r="J63" s="25"/>
    </row>
    <row r="64" spans="1:23" ht="15.75" thickBot="1" x14ac:dyDescent="0.3">
      <c r="A64" s="227" t="s">
        <v>39</v>
      </c>
      <c r="B64" s="228"/>
      <c r="C64" s="228"/>
      <c r="D64" s="228"/>
      <c r="E64" s="228"/>
      <c r="F64" s="229"/>
      <c r="H64" s="253" t="s">
        <v>40</v>
      </c>
      <c r="I64" s="254"/>
      <c r="J64" s="254"/>
      <c r="K64" s="254"/>
      <c r="L64" s="254"/>
      <c r="M64" s="255"/>
      <c r="O64" s="253" t="s">
        <v>41</v>
      </c>
      <c r="P64" s="254"/>
      <c r="Q64" s="254"/>
      <c r="R64" s="254"/>
      <c r="S64" s="254"/>
      <c r="T64" s="255"/>
    </row>
    <row r="65" spans="1:20" ht="30.75" thickBot="1" x14ac:dyDescent="0.3">
      <c r="A65" s="116" t="s">
        <v>3</v>
      </c>
      <c r="B65" s="117" t="s">
        <v>33</v>
      </c>
      <c r="C65" s="117" t="s">
        <v>34</v>
      </c>
      <c r="D65" s="117" t="s">
        <v>49</v>
      </c>
      <c r="E65" s="117" t="s">
        <v>47</v>
      </c>
      <c r="F65" s="118" t="s">
        <v>48</v>
      </c>
      <c r="H65" s="116" t="s">
        <v>3</v>
      </c>
      <c r="I65" s="117" t="s">
        <v>50</v>
      </c>
      <c r="J65" s="117" t="s">
        <v>51</v>
      </c>
      <c r="K65" s="117" t="s">
        <v>49</v>
      </c>
      <c r="L65" s="117" t="s">
        <v>47</v>
      </c>
      <c r="M65" s="118" t="s">
        <v>48</v>
      </c>
      <c r="O65" s="116" t="s">
        <v>3</v>
      </c>
      <c r="P65" s="117" t="s">
        <v>33</v>
      </c>
      <c r="Q65" s="117" t="s">
        <v>34</v>
      </c>
      <c r="R65" s="117" t="s">
        <v>49</v>
      </c>
      <c r="S65" s="117" t="s">
        <v>47</v>
      </c>
      <c r="T65" s="118" t="s">
        <v>48</v>
      </c>
    </row>
    <row r="66" spans="1:20" x14ac:dyDescent="0.25">
      <c r="A66" s="4">
        <v>1</v>
      </c>
      <c r="B66" s="5">
        <v>0</v>
      </c>
      <c r="C66" s="5">
        <f>IF(AND(B74&gt;B60,B74&lt;C60),B74,IF(B74&gt;=C60,C60,0))</f>
        <v>50</v>
      </c>
      <c r="D66" s="29">
        <f>MIN(D60,F60)</f>
        <v>20</v>
      </c>
      <c r="E66" s="29">
        <f>IF(AND(B$74&gt;B60,B$74&lt;C60),G60,IF(B$74&gt;=C60,D60,0))</f>
        <v>20</v>
      </c>
      <c r="F66" s="30">
        <f>(C66-B66)*(D66+E66)/2</f>
        <v>1000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IF(B$74&gt;B61,C66,0)</f>
        <v>0</v>
      </c>
      <c r="C67" s="5">
        <f>IF(AND(B$74&gt;B61,B$74&lt;C61),B$74,IF(B$74&gt;=C61,C61,0))</f>
        <v>0</v>
      </c>
      <c r="D67" s="29">
        <f>IF(B67&lt;&gt;0,E66,0)</f>
        <v>0</v>
      </c>
      <c r="E67" s="29">
        <f>IF(AND(B$74&gt;B61,B$74&lt;C61),G61,IF(B$74&gt;=C61,D61,0))</f>
        <v>0</v>
      </c>
      <c r="F67" s="30">
        <f t="shared" ref="F67:F69" si="8">(C67-B67)*(D67+E67)/2</f>
        <v>0</v>
      </c>
      <c r="H67" s="4">
        <v>2</v>
      </c>
      <c r="I67" s="5">
        <f>IF(MAX(I$60:I$62)&gt;B61,C60,0)</f>
        <v>0</v>
      </c>
      <c r="J67" s="5">
        <f>IF(AND(MAX(I$60:I$62)&gt;B61,MAX(I$60:I$62)&lt;C61),MAX(I$60:I$62),IF(MAX(I$60:I$62)&gt;=C61,C61,0))</f>
        <v>0</v>
      </c>
      <c r="K67" s="29">
        <f>IF(I67&lt;&gt;0,L66,0)</f>
        <v>0</v>
      </c>
      <c r="L67" s="29">
        <f t="shared" ref="L67:L69" si="9">IF(AND(MAX(I$60:I$62)&gt;B61,MAX(I$60:I$62)&lt;C61),K61,IF(MAX(I$60:I$62)&gt;=C61,D61,0))</f>
        <v>0</v>
      </c>
      <c r="M67" s="30">
        <f t="shared" ref="M67:M69" si="10">(J67-I67)*(K67+L67)/2</f>
        <v>0</v>
      </c>
      <c r="O67" s="4">
        <v>2</v>
      </c>
      <c r="P67" s="5">
        <f>IF(B$81&gt;B61,Q66,0)</f>
        <v>50</v>
      </c>
      <c r="Q67" s="5">
        <f t="shared" ref="Q67:Q69" si="11">IF(AND(B$81&gt;B61,B$81&lt;C61),B$81,IF(B$81&gt;=C61,C61,0))</f>
        <v>75</v>
      </c>
      <c r="R67" s="29">
        <f>IF(P67&lt;&gt;0,S66,0)</f>
        <v>20</v>
      </c>
      <c r="S67" s="29">
        <f t="shared" ref="S67:S69" si="12">IF(AND(B$81&gt;B61,B$81&lt;C61),N61,IF(B$81&gt;=C61,D61,0))</f>
        <v>25</v>
      </c>
      <c r="T67" s="30">
        <f t="shared" ref="T67:T69" si="13">(Q67-P67)*(R67+S67)/2</f>
        <v>562.5</v>
      </c>
    </row>
    <row r="68" spans="1:20" x14ac:dyDescent="0.25">
      <c r="A68" s="4">
        <v>3</v>
      </c>
      <c r="B68" s="5">
        <f>IF(B$74&gt;B62,C67,0)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75</v>
      </c>
      <c r="Q68" s="5">
        <f t="shared" si="11"/>
        <v>100</v>
      </c>
      <c r="R68" s="29">
        <f>IF(P68&lt;&gt;0,S67,0)</f>
        <v>25</v>
      </c>
      <c r="S68" s="29">
        <f t="shared" si="12"/>
        <v>30</v>
      </c>
      <c r="T68" s="30">
        <f t="shared" si="13"/>
        <v>687.5</v>
      </c>
    </row>
    <row r="69" spans="1:20" x14ac:dyDescent="0.25">
      <c r="A69" s="4">
        <v>4</v>
      </c>
      <c r="B69" s="5">
        <f>IF(B$74&gt;B63,C68,0)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1000</v>
      </c>
      <c r="H70" s="24"/>
      <c r="I70" s="18"/>
      <c r="J70" s="18"/>
      <c r="K70" s="21"/>
      <c r="L70" s="21"/>
      <c r="M70" s="31">
        <f>SUM(M66:M69)</f>
        <v>1000</v>
      </c>
      <c r="O70" s="24"/>
      <c r="P70" s="18"/>
      <c r="Q70" s="18"/>
      <c r="R70" s="21"/>
      <c r="S70" s="21"/>
      <c r="T70" s="31">
        <f>SUM(T66:T69)</f>
        <v>2250</v>
      </c>
    </row>
    <row r="71" spans="1:20" ht="15.75" thickBot="1" x14ac:dyDescent="0.3"/>
    <row r="72" spans="1:20" ht="15.75" customHeight="1" thickBot="1" x14ac:dyDescent="0.3">
      <c r="A72" s="68" t="s">
        <v>37</v>
      </c>
      <c r="E72" s="277" t="s">
        <v>44</v>
      </c>
      <c r="F72" s="278"/>
      <c r="G72" s="278"/>
      <c r="H72" s="278"/>
      <c r="I72" s="278"/>
      <c r="J72" s="278"/>
      <c r="K72" s="278"/>
      <c r="L72" s="278"/>
      <c r="M72" s="279"/>
      <c r="O72" s="274" t="s">
        <v>42</v>
      </c>
      <c r="P72" s="275"/>
      <c r="Q72" s="275"/>
      <c r="R72" s="275"/>
      <c r="S72" s="275"/>
      <c r="T72" s="276"/>
    </row>
    <row r="73" spans="1:20" ht="15.75" thickBot="1" x14ac:dyDescent="0.3">
      <c r="A73" s="263" t="s">
        <v>10</v>
      </c>
      <c r="B73" s="264"/>
      <c r="E73" s="227" t="s">
        <v>11</v>
      </c>
      <c r="F73" s="228"/>
      <c r="G73" s="228"/>
      <c r="H73" s="228"/>
      <c r="I73" s="228"/>
      <c r="J73" s="228"/>
      <c r="K73" s="228"/>
      <c r="L73" s="228"/>
      <c r="M73" s="229"/>
      <c r="O73" s="280" t="s">
        <v>11</v>
      </c>
      <c r="P73" s="281"/>
      <c r="Q73" s="281"/>
      <c r="R73" s="281"/>
      <c r="S73" s="281"/>
      <c r="T73" s="282"/>
    </row>
    <row r="74" spans="1:20" x14ac:dyDescent="0.25">
      <c r="A74" s="4" t="s">
        <v>5</v>
      </c>
      <c r="B74" s="13">
        <v>50</v>
      </c>
      <c r="E74" s="261" t="s">
        <v>12</v>
      </c>
      <c r="F74" s="262"/>
      <c r="G74" s="262"/>
      <c r="H74" s="262"/>
      <c r="I74" s="99"/>
      <c r="J74" s="10"/>
      <c r="K74" s="10"/>
      <c r="L74" s="10"/>
      <c r="M74" s="26"/>
      <c r="O74" s="16" t="s">
        <v>12</v>
      </c>
      <c r="P74" s="29"/>
      <c r="Q74" s="5"/>
      <c r="R74" s="5"/>
      <c r="S74" s="5"/>
      <c r="T74" s="13"/>
    </row>
    <row r="75" spans="1:20" ht="15.75" thickBot="1" x14ac:dyDescent="0.3">
      <c r="A75" s="17" t="s">
        <v>13</v>
      </c>
      <c r="B75" s="19">
        <v>15</v>
      </c>
      <c r="E75" s="240" t="s">
        <v>14</v>
      </c>
      <c r="F75" s="241"/>
      <c r="G75" s="241"/>
      <c r="H75" s="241"/>
      <c r="I75" s="42">
        <f>B74*B75</f>
        <v>750</v>
      </c>
      <c r="J75" s="5"/>
      <c r="K75" s="5"/>
      <c r="L75" s="5"/>
      <c r="M75" s="13"/>
      <c r="O75" s="245" t="s">
        <v>14</v>
      </c>
      <c r="P75" s="246"/>
      <c r="Q75" s="246"/>
      <c r="R75" s="246"/>
      <c r="S75" s="246"/>
      <c r="T75" s="56">
        <f>I75</f>
        <v>750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240" t="s">
        <v>15</v>
      </c>
      <c r="F78" s="241"/>
      <c r="G78" s="241"/>
      <c r="H78" s="241"/>
      <c r="I78" s="43">
        <f>M79</f>
        <v>250</v>
      </c>
      <c r="J78" s="5"/>
      <c r="K78" s="35" t="s">
        <v>16</v>
      </c>
      <c r="L78" s="36">
        <f>F70</f>
        <v>1000</v>
      </c>
      <c r="M78" s="105" t="s">
        <v>17</v>
      </c>
      <c r="O78" s="245" t="s">
        <v>15</v>
      </c>
      <c r="P78" s="246"/>
      <c r="Q78" s="246"/>
      <c r="R78" s="246"/>
      <c r="S78" s="246"/>
      <c r="T78" s="88">
        <f>I78</f>
        <v>250</v>
      </c>
    </row>
    <row r="79" spans="1:20" ht="15.75" thickBot="1" x14ac:dyDescent="0.3">
      <c r="A79" s="68" t="s">
        <v>37</v>
      </c>
      <c r="E79" s="85"/>
      <c r="F79" s="86"/>
      <c r="G79" s="86"/>
      <c r="H79" s="86"/>
      <c r="I79" s="5"/>
      <c r="J79" s="5"/>
      <c r="K79" s="37" t="s">
        <v>18</v>
      </c>
      <c r="L79" s="38">
        <f>I75</f>
        <v>750</v>
      </c>
      <c r="M79" s="39">
        <f>MAX(L78-L79,0)</f>
        <v>250</v>
      </c>
      <c r="O79" s="16"/>
      <c r="P79" s="5"/>
      <c r="Q79" s="5"/>
      <c r="R79" s="5"/>
      <c r="S79" s="5"/>
      <c r="T79" s="13"/>
    </row>
    <row r="80" spans="1:20" x14ac:dyDescent="0.25">
      <c r="A80" s="263" t="s">
        <v>22</v>
      </c>
      <c r="B80" s="264"/>
      <c r="E80" s="240" t="str">
        <f>"DA Incremental Cost @ DA MW ("&amp;$B74&amp;" MW)"</f>
        <v>DA Incremental Cost @ DA MW (50 MW)</v>
      </c>
      <c r="F80" s="241"/>
      <c r="G80" s="241"/>
      <c r="H80" s="241"/>
      <c r="I80" s="44">
        <f>F70</f>
        <v>1000</v>
      </c>
      <c r="J80" s="5"/>
      <c r="K80" s="29"/>
      <c r="L80" s="5"/>
      <c r="M80" s="13"/>
      <c r="O80" s="245" t="str">
        <f>"DA Incremental Cost @ DA MW ("&amp;$B74&amp;" MW)"</f>
        <v>DA Incremental Cost @ DA MW (50 MW)</v>
      </c>
      <c r="P80" s="246"/>
      <c r="Q80" s="246"/>
      <c r="R80" s="246"/>
      <c r="S80" s="246"/>
      <c r="T80" s="89">
        <f>I80</f>
        <v>1000</v>
      </c>
    </row>
    <row r="81" spans="1:20" x14ac:dyDescent="0.25">
      <c r="A81" s="16" t="s">
        <v>43</v>
      </c>
      <c r="B81" s="13">
        <v>100</v>
      </c>
      <c r="E81" s="85"/>
      <c r="F81" s="86"/>
      <c r="G81" s="86"/>
      <c r="H81" s="86"/>
      <c r="I81" s="5"/>
      <c r="J81" s="5"/>
      <c r="K81" s="5"/>
      <c r="L81" s="29"/>
      <c r="M81" s="13"/>
      <c r="O81" s="16"/>
      <c r="P81" s="5"/>
      <c r="Q81" s="5"/>
      <c r="R81" s="5"/>
      <c r="S81" s="5"/>
      <c r="T81" s="13"/>
    </row>
    <row r="82" spans="1:20" ht="15.75" thickBot="1" x14ac:dyDescent="0.3">
      <c r="A82" s="16" t="s">
        <v>13</v>
      </c>
      <c r="B82" s="6">
        <v>-100</v>
      </c>
      <c r="D82" s="32"/>
      <c r="E82" s="240" t="s">
        <v>19</v>
      </c>
      <c r="F82" s="241"/>
      <c r="G82" s="241"/>
      <c r="H82" s="241"/>
      <c r="I82" s="40">
        <f>I75+I78-I80</f>
        <v>0</v>
      </c>
      <c r="J82" s="5"/>
      <c r="K82" s="29"/>
      <c r="L82" s="45"/>
      <c r="M82" s="13"/>
      <c r="O82" s="245" t="s">
        <v>19</v>
      </c>
      <c r="P82" s="246"/>
      <c r="Q82" s="246"/>
      <c r="R82" s="246"/>
      <c r="S82" s="246"/>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50</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100</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50</v>
      </c>
      <c r="E86" s="227" t="s">
        <v>20</v>
      </c>
      <c r="F86" s="228"/>
      <c r="G86" s="228"/>
      <c r="H86" s="228"/>
      <c r="I86" s="228"/>
      <c r="J86" s="228"/>
      <c r="K86" s="228"/>
      <c r="L86" s="228"/>
      <c r="M86" s="229"/>
      <c r="O86" s="283" t="s">
        <v>20</v>
      </c>
      <c r="P86" s="284"/>
      <c r="Q86" s="284"/>
      <c r="R86" s="284"/>
      <c r="S86" s="284"/>
      <c r="T86" s="285"/>
    </row>
    <row r="87" spans="1:20" x14ac:dyDescent="0.25">
      <c r="E87" s="85" t="s">
        <v>12</v>
      </c>
      <c r="F87" s="86"/>
      <c r="G87" s="86"/>
      <c r="H87" s="86"/>
      <c r="I87" s="5"/>
      <c r="J87" s="5"/>
      <c r="K87" s="5"/>
      <c r="L87" s="5"/>
      <c r="M87" s="13"/>
      <c r="O87" s="16" t="s">
        <v>12</v>
      </c>
      <c r="P87" s="5"/>
      <c r="Q87" s="5"/>
      <c r="R87" s="5"/>
      <c r="S87" s="5"/>
      <c r="T87" s="13"/>
    </row>
    <row r="88" spans="1:20" x14ac:dyDescent="0.25">
      <c r="E88" s="240" t="s">
        <v>21</v>
      </c>
      <c r="F88" s="241"/>
      <c r="G88" s="241"/>
      <c r="H88" s="241"/>
      <c r="I88" s="29">
        <f>(B81-B74)*B82</f>
        <v>-5000</v>
      </c>
      <c r="J88" s="29"/>
      <c r="K88" s="29"/>
      <c r="L88" s="29"/>
      <c r="M88" s="13"/>
      <c r="O88" s="245" t="s">
        <v>21</v>
      </c>
      <c r="P88" s="246"/>
      <c r="Q88" s="246"/>
      <c r="R88" s="246"/>
      <c r="S88" s="246"/>
      <c r="T88" s="30">
        <f>I88</f>
        <v>-5000</v>
      </c>
    </row>
    <row r="89" spans="1:20" ht="15.75" thickBot="1" x14ac:dyDescent="0.3">
      <c r="E89" s="85"/>
      <c r="F89" s="86"/>
      <c r="G89" s="86"/>
      <c r="H89" s="86"/>
      <c r="I89" s="5"/>
      <c r="J89" s="5"/>
      <c r="K89" s="5"/>
      <c r="L89" s="5"/>
      <c r="M89" s="30"/>
      <c r="O89" s="16"/>
      <c r="P89" s="5"/>
      <c r="Q89" s="5"/>
      <c r="R89" s="5"/>
      <c r="S89" s="5"/>
      <c r="T89" s="13"/>
    </row>
    <row r="90" spans="1:20" x14ac:dyDescent="0.25">
      <c r="E90" s="240" t="s">
        <v>23</v>
      </c>
      <c r="F90" s="241"/>
      <c r="G90" s="241"/>
      <c r="H90" s="241"/>
      <c r="I90" s="29">
        <f>MAX(M95*-1,0)</f>
        <v>5000</v>
      </c>
      <c r="J90" s="29"/>
      <c r="K90" s="256" t="s">
        <v>30</v>
      </c>
      <c r="L90" s="257"/>
      <c r="M90" s="258"/>
      <c r="O90" s="245" t="s">
        <v>23</v>
      </c>
      <c r="P90" s="246"/>
      <c r="Q90" s="246"/>
      <c r="R90" s="246"/>
      <c r="S90" s="246"/>
      <c r="T90" s="30">
        <f>I90</f>
        <v>5000</v>
      </c>
    </row>
    <row r="91" spans="1:20" x14ac:dyDescent="0.25">
      <c r="E91" s="92"/>
      <c r="F91" s="67"/>
      <c r="G91" s="67"/>
      <c r="H91" s="67"/>
      <c r="I91" s="76"/>
      <c r="J91" s="76"/>
      <c r="K91" s="259" t="s">
        <v>24</v>
      </c>
      <c r="L91" s="260"/>
      <c r="M91" s="56">
        <f>I75</f>
        <v>750</v>
      </c>
      <c r="O91" s="75"/>
      <c r="P91" s="76"/>
      <c r="Q91" s="76"/>
      <c r="R91" s="76"/>
      <c r="S91" s="76"/>
      <c r="T91" s="77"/>
    </row>
    <row r="92" spans="1:20" x14ac:dyDescent="0.25">
      <c r="E92" s="291" t="str">
        <f>"Incremental Cost @ RT MW Used ("&amp;$B86&amp;" MW)"</f>
        <v>Incremental Cost @ RT MW Used (50 MW)</v>
      </c>
      <c r="F92" s="292"/>
      <c r="G92" s="292"/>
      <c r="H92" s="292"/>
      <c r="I92" s="8">
        <f>M94</f>
        <v>1000</v>
      </c>
      <c r="J92" s="8"/>
      <c r="K92" s="259" t="s">
        <v>17</v>
      </c>
      <c r="L92" s="260"/>
      <c r="M92" s="56">
        <f>I78</f>
        <v>250</v>
      </c>
      <c r="O92" s="245" t="str">
        <f>"Incremental Cost @ Actual RT MW ("&amp;$B81&amp;" MW)"</f>
        <v>Incremental Cost @ Actual RT MW (100 MW)</v>
      </c>
      <c r="P92" s="246"/>
      <c r="Q92" s="246"/>
      <c r="R92" s="246"/>
      <c r="S92" s="246"/>
      <c r="T92" s="6">
        <f>T70</f>
        <v>2250</v>
      </c>
    </row>
    <row r="93" spans="1:20" x14ac:dyDescent="0.25">
      <c r="E93" s="93"/>
      <c r="F93" s="100"/>
      <c r="G93" s="100"/>
      <c r="H93" s="100"/>
      <c r="I93" s="48"/>
      <c r="J93" s="48"/>
      <c r="K93" s="289" t="s">
        <v>25</v>
      </c>
      <c r="L93" s="290"/>
      <c r="M93" s="30">
        <f>(B85-B74)*B82</f>
        <v>-5000</v>
      </c>
      <c r="O93" s="47"/>
      <c r="P93" s="87"/>
      <c r="Q93" s="87"/>
      <c r="R93" s="87"/>
      <c r="S93" s="87"/>
      <c r="T93" s="90"/>
    </row>
    <row r="94" spans="1:20" ht="15.75" thickBot="1" x14ac:dyDescent="0.3">
      <c r="E94" s="287" t="s">
        <v>26</v>
      </c>
      <c r="F94" s="288"/>
      <c r="G94" s="288"/>
      <c r="H94" s="288"/>
      <c r="I94" s="50">
        <f>I75+I78+I88+I90-I92</f>
        <v>0</v>
      </c>
      <c r="J94" s="104"/>
      <c r="K94" s="245" t="s">
        <v>46</v>
      </c>
      <c r="L94" s="246"/>
      <c r="M94" s="30">
        <f>M70</f>
        <v>1000</v>
      </c>
      <c r="O94" s="245" t="s">
        <v>26</v>
      </c>
      <c r="P94" s="246"/>
      <c r="Q94" s="246"/>
      <c r="R94" s="246"/>
      <c r="S94" s="246"/>
      <c r="T94" s="91">
        <f>T75+T78+T88+T90-T92</f>
        <v>-1250</v>
      </c>
    </row>
    <row r="95" spans="1:20" ht="29.25" customHeight="1" thickTop="1" thickBot="1" x14ac:dyDescent="0.3">
      <c r="E95" s="49"/>
      <c r="F95" s="8"/>
      <c r="G95" s="8"/>
      <c r="H95" s="8"/>
      <c r="I95" s="8"/>
      <c r="J95" s="8"/>
      <c r="K95" s="247" t="s">
        <v>70</v>
      </c>
      <c r="L95" s="248"/>
      <c r="M95" s="103">
        <f>M91+M92+M93-M94</f>
        <v>-5000</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122"/>
      <c r="E106" s="54"/>
      <c r="F106" s="54"/>
      <c r="G106" s="122"/>
      <c r="H106" s="53"/>
      <c r="I106" s="55"/>
      <c r="J106" s="53"/>
      <c r="K106" s="53"/>
      <c r="L106" s="53"/>
      <c r="M106" s="53"/>
      <c r="N106" s="53"/>
      <c r="O106" s="53"/>
      <c r="P106" s="53"/>
      <c r="Q106" s="53"/>
      <c r="R106" s="53"/>
      <c r="S106" s="53"/>
      <c r="T106" s="53"/>
    </row>
    <row r="107" spans="1:23" x14ac:dyDescent="0.25">
      <c r="A107" s="295" t="s">
        <v>54</v>
      </c>
      <c r="B107" s="295"/>
      <c r="C107" s="295"/>
      <c r="D107" s="295"/>
      <c r="E107" s="295"/>
      <c r="F107" s="295"/>
      <c r="G107" s="295"/>
      <c r="H107" s="295"/>
      <c r="I107" s="295"/>
      <c r="J107" s="295"/>
      <c r="K107" s="295"/>
      <c r="L107" s="295"/>
      <c r="M107" s="295"/>
      <c r="N107" s="295"/>
      <c r="O107" s="295"/>
      <c r="P107" s="295"/>
      <c r="Q107" s="295"/>
      <c r="R107" s="295"/>
      <c r="S107" s="295"/>
      <c r="T107" s="295"/>
    </row>
    <row r="108" spans="1:23" s="83" customFormat="1" ht="15.75" thickBot="1" x14ac:dyDescent="0.3">
      <c r="A108" s="296"/>
      <c r="B108" s="296"/>
      <c r="C108" s="296"/>
      <c r="D108" s="296"/>
      <c r="E108" s="296"/>
      <c r="F108" s="296"/>
      <c r="G108" s="296"/>
      <c r="H108" s="296"/>
      <c r="I108" s="296"/>
      <c r="J108" s="296"/>
      <c r="K108" s="296"/>
      <c r="L108" s="296"/>
      <c r="M108" s="296"/>
      <c r="N108" s="296"/>
      <c r="O108" s="296"/>
      <c r="P108" s="296"/>
      <c r="Q108" s="296"/>
      <c r="R108" s="296"/>
      <c r="S108" s="296"/>
      <c r="T108" s="296"/>
      <c r="U108" s="95"/>
      <c r="V108" s="95"/>
      <c r="W108" s="95"/>
    </row>
    <row r="109" spans="1:23" ht="15.75" thickBot="1" x14ac:dyDescent="0.3">
      <c r="A109" s="250" t="s">
        <v>0</v>
      </c>
      <c r="B109" s="251"/>
      <c r="C109" s="251"/>
      <c r="D109" s="252"/>
      <c r="E109" s="235" t="s">
        <v>1</v>
      </c>
      <c r="F109" s="236"/>
      <c r="G109" s="249"/>
      <c r="H109" s="227" t="s">
        <v>2</v>
      </c>
      <c r="I109" s="228"/>
      <c r="J109" s="228"/>
      <c r="K109" s="229"/>
      <c r="L109" s="227" t="s">
        <v>32</v>
      </c>
      <c r="M109" s="228"/>
      <c r="N109" s="229"/>
    </row>
    <row r="110" spans="1:23" ht="60.75" customHeight="1" thickBot="1" x14ac:dyDescent="0.3">
      <c r="A110" s="120" t="s">
        <v>3</v>
      </c>
      <c r="B110" s="117" t="s">
        <v>33</v>
      </c>
      <c r="C110" s="117" t="s">
        <v>34</v>
      </c>
      <c r="D110" s="121" t="s">
        <v>4</v>
      </c>
      <c r="E110" s="120" t="s">
        <v>5</v>
      </c>
      <c r="F110" s="117" t="s">
        <v>6</v>
      </c>
      <c r="G110" s="118" t="s">
        <v>7</v>
      </c>
      <c r="H110" s="69" t="s">
        <v>38</v>
      </c>
      <c r="I110" s="65" t="s">
        <v>8</v>
      </c>
      <c r="J110" s="65" t="s">
        <v>6</v>
      </c>
      <c r="K110" s="66" t="s">
        <v>7</v>
      </c>
      <c r="L110" s="119" t="s">
        <v>5</v>
      </c>
      <c r="M110" s="65" t="s">
        <v>49</v>
      </c>
      <c r="N110" s="66" t="s">
        <v>47</v>
      </c>
    </row>
    <row r="111" spans="1:23" x14ac:dyDescent="0.25">
      <c r="A111" s="4">
        <v>1</v>
      </c>
      <c r="B111" s="5">
        <v>0</v>
      </c>
      <c r="C111" s="5">
        <v>50</v>
      </c>
      <c r="D111" s="6">
        <v>20</v>
      </c>
      <c r="E111" s="7">
        <f>IF(AND(B$74&gt;B111,B$74&lt;=C111),B$74,0)</f>
        <v>50</v>
      </c>
      <c r="F111" s="8">
        <f>IF(B125&gt;0,D111,0)</f>
        <v>20</v>
      </c>
      <c r="G111" s="8">
        <f>IF(E111&gt;0,IF(E111=B111,D111,IF(AND(E111&gt;B111,E111&lt;=C111),D111+(E111-B111)*((D111-D111)/(C111-B111)),0)),0)</f>
        <v>20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0</v>
      </c>
      <c r="M111" s="9">
        <f>IF(B132&gt;0,D111,0)</f>
        <v>20</v>
      </c>
      <c r="N111" s="11">
        <f>IF(L111&gt;0,IF(L111=B111,D111,IF(AND(L111&gt;B111,L111&lt;=C111),D111+(L111-B111)*((D111-D111)/(C111-B111)),0)),0)</f>
        <v>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100</v>
      </c>
      <c r="M113" s="21">
        <v>0</v>
      </c>
      <c r="N113" s="19">
        <f>IF(L113&gt;0,IF(L113=B113,D113,IF(AND(L113&gt;B113,L113&lt;=C113),D113+(L113-B113)*((D113-D113)/(C113-B113)),0)),0)</f>
        <v>30</v>
      </c>
    </row>
    <row r="114" spans="1:20" ht="15.75" thickBot="1" x14ac:dyDescent="0.3">
      <c r="J114" s="25"/>
    </row>
    <row r="115" spans="1:20" ht="15.75" thickBot="1" x14ac:dyDescent="0.3">
      <c r="A115" s="235" t="s">
        <v>1</v>
      </c>
      <c r="B115" s="236"/>
      <c r="C115" s="10"/>
      <c r="D115" s="10"/>
      <c r="E115" s="10"/>
      <c r="F115" s="26"/>
      <c r="H115" s="235" t="s">
        <v>9</v>
      </c>
      <c r="I115" s="236"/>
      <c r="J115" s="236"/>
      <c r="K115" s="236"/>
      <c r="L115" s="236"/>
      <c r="M115" s="249"/>
      <c r="O115" s="235" t="s">
        <v>31</v>
      </c>
      <c r="P115" s="236"/>
      <c r="Q115" s="236"/>
      <c r="R115" s="236"/>
      <c r="S115" s="236"/>
      <c r="T115" s="249"/>
    </row>
    <row r="116" spans="1:20" ht="30.75" thickBot="1" x14ac:dyDescent="0.3">
      <c r="A116" s="116" t="s">
        <v>3</v>
      </c>
      <c r="B116" s="117" t="s">
        <v>33</v>
      </c>
      <c r="C116" s="117" t="s">
        <v>34</v>
      </c>
      <c r="D116" s="117" t="s">
        <v>49</v>
      </c>
      <c r="E116" s="117" t="s">
        <v>47</v>
      </c>
      <c r="F116" s="118" t="s">
        <v>48</v>
      </c>
      <c r="H116" s="116" t="s">
        <v>3</v>
      </c>
      <c r="I116" s="117" t="s">
        <v>50</v>
      </c>
      <c r="J116" s="117" t="s">
        <v>51</v>
      </c>
      <c r="K116" s="117" t="s">
        <v>49</v>
      </c>
      <c r="L116" s="117" t="s">
        <v>47</v>
      </c>
      <c r="M116" s="118" t="s">
        <v>48</v>
      </c>
      <c r="O116" s="116" t="s">
        <v>3</v>
      </c>
      <c r="P116" s="117" t="s">
        <v>33</v>
      </c>
      <c r="Q116" s="117" t="s">
        <v>34</v>
      </c>
      <c r="R116" s="117" t="s">
        <v>49</v>
      </c>
      <c r="S116" s="117" t="s">
        <v>47</v>
      </c>
      <c r="T116" s="118" t="s">
        <v>48</v>
      </c>
    </row>
    <row r="117" spans="1:20" x14ac:dyDescent="0.25">
      <c r="A117" s="4">
        <v>1</v>
      </c>
      <c r="B117" s="5">
        <v>0</v>
      </c>
      <c r="C117" s="5">
        <f>IF(AND(B125&gt;B111,B125&lt;C111),B125,IF(B125&gt;=C111,C111,0))</f>
        <v>50</v>
      </c>
      <c r="D117" s="29">
        <f>MIN(D111,F111)</f>
        <v>20</v>
      </c>
      <c r="E117" s="29">
        <f>IF(AND(B$125&gt;B111,B$125&lt;C111),G111,IF(B$125&gt;=C111,D111,0))</f>
        <v>20</v>
      </c>
      <c r="F117" s="30">
        <f>(C117-B117)*(D117+E117)/2</f>
        <v>1000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IF(B$125&gt;B112,C117,0)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50</v>
      </c>
      <c r="Q118" s="5">
        <f t="shared" ref="Q118:Q120" si="23">IF(AND(B$132&gt;B112,B$132&lt;C112),B$132,IF(B$132&gt;=C112,C112,0))</f>
        <v>75</v>
      </c>
      <c r="R118" s="29">
        <f>IF(P118&lt;&gt;0,S117,0)</f>
        <v>20</v>
      </c>
      <c r="S118" s="29">
        <f t="shared" ref="S118:S119" si="24">IF(AND(B$132&gt;B112,B$132&lt;C112),N112,IF(B$132&gt;=C112,D112,0))</f>
        <v>25</v>
      </c>
      <c r="T118" s="30">
        <f t="shared" ref="T118:T120" si="25">(Q118-P118)*(R118+S118)/2</f>
        <v>562.5</v>
      </c>
    </row>
    <row r="119" spans="1:20" x14ac:dyDescent="0.25">
      <c r="A119" s="4">
        <v>3</v>
      </c>
      <c r="B119" s="5">
        <f>IF(B$125&gt;B113,C118,0)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75</v>
      </c>
      <c r="Q119" s="5">
        <f t="shared" si="23"/>
        <v>100</v>
      </c>
      <c r="R119" s="29">
        <f>IF(P119&lt;&gt;0,S118,0)</f>
        <v>25</v>
      </c>
      <c r="S119" s="29">
        <f t="shared" si="24"/>
        <v>30</v>
      </c>
      <c r="T119" s="30">
        <f t="shared" si="25"/>
        <v>687.5</v>
      </c>
    </row>
    <row r="120" spans="1:20" x14ac:dyDescent="0.25">
      <c r="A120" s="4">
        <v>4</v>
      </c>
      <c r="B120" s="5">
        <f>IF(B$125&gt;C113,C119,0)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1000</v>
      </c>
      <c r="H121" s="24"/>
      <c r="I121" s="18"/>
      <c r="J121" s="18"/>
      <c r="K121" s="21"/>
      <c r="L121" s="21"/>
      <c r="M121" s="31">
        <f>SUM(M117:M120)</f>
        <v>1000</v>
      </c>
      <c r="O121" s="24"/>
      <c r="P121" s="18"/>
      <c r="Q121" s="18"/>
      <c r="R121" s="21"/>
      <c r="S121" s="21"/>
      <c r="T121" s="31">
        <f>SUM(T117:T120)</f>
        <v>2250</v>
      </c>
    </row>
    <row r="122" spans="1:20" ht="15.75" thickBot="1" x14ac:dyDescent="0.3"/>
    <row r="123" spans="1:20" ht="15.75" customHeight="1" thickBot="1" x14ac:dyDescent="0.3">
      <c r="A123" s="68" t="s">
        <v>37</v>
      </c>
      <c r="E123" s="277" t="s">
        <v>44</v>
      </c>
      <c r="F123" s="278"/>
      <c r="G123" s="278"/>
      <c r="H123" s="278"/>
      <c r="I123" s="278"/>
      <c r="J123" s="278"/>
      <c r="K123" s="278"/>
      <c r="L123" s="278"/>
      <c r="M123" s="279"/>
      <c r="O123" s="274" t="s">
        <v>42</v>
      </c>
      <c r="P123" s="275"/>
      <c r="Q123" s="275"/>
      <c r="R123" s="275"/>
      <c r="S123" s="275"/>
      <c r="T123" s="276"/>
    </row>
    <row r="124" spans="1:20" ht="15.75" thickBot="1" x14ac:dyDescent="0.3">
      <c r="A124" s="263" t="s">
        <v>10</v>
      </c>
      <c r="B124" s="264"/>
      <c r="E124" s="227" t="s">
        <v>11</v>
      </c>
      <c r="F124" s="228"/>
      <c r="G124" s="228"/>
      <c r="H124" s="228"/>
      <c r="I124" s="228"/>
      <c r="J124" s="228"/>
      <c r="K124" s="228"/>
      <c r="L124" s="228"/>
      <c r="M124" s="229"/>
      <c r="O124" s="280" t="s">
        <v>11</v>
      </c>
      <c r="P124" s="281"/>
      <c r="Q124" s="281"/>
      <c r="R124" s="281"/>
      <c r="S124" s="281"/>
      <c r="T124" s="282"/>
    </row>
    <row r="125" spans="1:20" x14ac:dyDescent="0.25">
      <c r="A125" s="4" t="s">
        <v>5</v>
      </c>
      <c r="B125" s="13">
        <v>50</v>
      </c>
      <c r="E125" s="261" t="s">
        <v>12</v>
      </c>
      <c r="F125" s="262"/>
      <c r="G125" s="262"/>
      <c r="H125" s="262"/>
      <c r="I125" s="99"/>
      <c r="J125" s="10"/>
      <c r="K125" s="10"/>
      <c r="L125" s="10"/>
      <c r="M125" s="26"/>
      <c r="O125" s="16" t="s">
        <v>12</v>
      </c>
      <c r="P125" s="29"/>
      <c r="Q125" s="5"/>
      <c r="R125" s="5"/>
      <c r="S125" s="5"/>
      <c r="T125" s="13"/>
    </row>
    <row r="126" spans="1:20" ht="15.75" thickBot="1" x14ac:dyDescent="0.3">
      <c r="A126" s="17" t="s">
        <v>13</v>
      </c>
      <c r="B126" s="19">
        <v>15</v>
      </c>
      <c r="E126" s="240" t="s">
        <v>14</v>
      </c>
      <c r="F126" s="241"/>
      <c r="G126" s="241"/>
      <c r="H126" s="241"/>
      <c r="I126" s="42">
        <f>B125*B126</f>
        <v>750</v>
      </c>
      <c r="J126" s="5"/>
      <c r="K126" s="5"/>
      <c r="L126" s="5"/>
      <c r="M126" s="13"/>
      <c r="O126" s="245" t="s">
        <v>14</v>
      </c>
      <c r="P126" s="246"/>
      <c r="Q126" s="246"/>
      <c r="R126" s="246"/>
      <c r="S126" s="246"/>
      <c r="T126" s="56">
        <f>I126</f>
        <v>750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240" t="s">
        <v>15</v>
      </c>
      <c r="F129" s="241"/>
      <c r="G129" s="241"/>
      <c r="H129" s="241"/>
      <c r="I129" s="43">
        <f>M130</f>
        <v>250</v>
      </c>
      <c r="J129" s="5"/>
      <c r="K129" s="35" t="s">
        <v>16</v>
      </c>
      <c r="L129" s="36">
        <f>F121</f>
        <v>1000</v>
      </c>
      <c r="M129" s="105" t="s">
        <v>17</v>
      </c>
      <c r="O129" s="245" t="s">
        <v>15</v>
      </c>
      <c r="P129" s="246"/>
      <c r="Q129" s="246"/>
      <c r="R129" s="246"/>
      <c r="S129" s="246"/>
      <c r="T129" s="88">
        <f>I129</f>
        <v>250</v>
      </c>
    </row>
    <row r="130" spans="1:20" ht="15.75" thickBot="1" x14ac:dyDescent="0.3">
      <c r="A130" s="68" t="s">
        <v>37</v>
      </c>
      <c r="E130" s="85"/>
      <c r="F130" s="86"/>
      <c r="G130" s="86"/>
      <c r="H130" s="86"/>
      <c r="I130" s="5"/>
      <c r="J130" s="5"/>
      <c r="K130" s="37" t="s">
        <v>18</v>
      </c>
      <c r="L130" s="38">
        <f>I126</f>
        <v>750</v>
      </c>
      <c r="M130" s="39">
        <f>MAX(L129-L130,0)</f>
        <v>250</v>
      </c>
      <c r="O130" s="16"/>
      <c r="P130" s="5"/>
      <c r="Q130" s="5"/>
      <c r="R130" s="5"/>
      <c r="S130" s="5"/>
      <c r="T130" s="13"/>
    </row>
    <row r="131" spans="1:20" x14ac:dyDescent="0.25">
      <c r="A131" s="263" t="s">
        <v>22</v>
      </c>
      <c r="B131" s="264"/>
      <c r="E131" s="240" t="str">
        <f>"DA Incremental Cost @ DA MW ("&amp;$B125&amp;" MW)"</f>
        <v>DA Incremental Cost @ DA MW (50 MW)</v>
      </c>
      <c r="F131" s="241"/>
      <c r="G131" s="241"/>
      <c r="H131" s="241"/>
      <c r="I131" s="44">
        <f>F121</f>
        <v>1000</v>
      </c>
      <c r="J131" s="5"/>
      <c r="K131" s="29"/>
      <c r="L131" s="5"/>
      <c r="M131" s="13"/>
      <c r="O131" s="245" t="str">
        <f>"DA Incremental Cost @ DA MW ("&amp;$B125&amp;" MW)"</f>
        <v>DA Incremental Cost @ DA MW (50 MW)</v>
      </c>
      <c r="P131" s="246"/>
      <c r="Q131" s="246"/>
      <c r="R131" s="246"/>
      <c r="S131" s="246"/>
      <c r="T131" s="89">
        <f>I131</f>
        <v>1000</v>
      </c>
    </row>
    <row r="132" spans="1:20" x14ac:dyDescent="0.25">
      <c r="A132" s="16" t="s">
        <v>43</v>
      </c>
      <c r="B132" s="13">
        <v>100</v>
      </c>
      <c r="E132" s="85"/>
      <c r="F132" s="86"/>
      <c r="G132" s="86"/>
      <c r="H132" s="86"/>
      <c r="I132" s="5"/>
      <c r="J132" s="5"/>
      <c r="K132" s="5"/>
      <c r="L132" s="29"/>
      <c r="M132" s="13"/>
      <c r="O132" s="16"/>
      <c r="P132" s="5"/>
      <c r="Q132" s="5"/>
      <c r="R132" s="5"/>
      <c r="S132" s="5"/>
      <c r="T132" s="13"/>
    </row>
    <row r="133" spans="1:20" ht="15.75" thickBot="1" x14ac:dyDescent="0.3">
      <c r="A133" s="16" t="s">
        <v>13</v>
      </c>
      <c r="B133" s="6">
        <v>-100</v>
      </c>
      <c r="D133" s="32"/>
      <c r="E133" s="240" t="s">
        <v>19</v>
      </c>
      <c r="F133" s="241"/>
      <c r="G133" s="241"/>
      <c r="H133" s="241"/>
      <c r="I133" s="40">
        <f>I126+I129-I131</f>
        <v>0</v>
      </c>
      <c r="J133" s="5"/>
      <c r="K133" s="29"/>
      <c r="L133" s="45"/>
      <c r="M133" s="13"/>
      <c r="O133" s="245" t="s">
        <v>19</v>
      </c>
      <c r="P133" s="246"/>
      <c r="Q133" s="246"/>
      <c r="R133" s="246"/>
      <c r="S133" s="246"/>
      <c r="T133" s="31">
        <f>T126+T129-T131</f>
        <v>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50</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50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227" t="s">
        <v>20</v>
      </c>
      <c r="F137" s="228"/>
      <c r="G137" s="228"/>
      <c r="H137" s="228"/>
      <c r="I137" s="228"/>
      <c r="J137" s="228"/>
      <c r="K137" s="228"/>
      <c r="L137" s="228"/>
      <c r="M137" s="229"/>
      <c r="O137" s="283" t="s">
        <v>20</v>
      </c>
      <c r="P137" s="284"/>
      <c r="Q137" s="284"/>
      <c r="R137" s="284"/>
      <c r="S137" s="284"/>
      <c r="T137" s="285"/>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240" t="s">
        <v>21</v>
      </c>
      <c r="F139" s="241"/>
      <c r="G139" s="241"/>
      <c r="H139" s="241"/>
      <c r="I139" s="29">
        <f>(B132-B125)*B133</f>
        <v>-5000</v>
      </c>
      <c r="J139" s="29"/>
      <c r="K139" s="29"/>
      <c r="L139" s="29"/>
      <c r="M139" s="13"/>
      <c r="O139" s="245" t="s">
        <v>21</v>
      </c>
      <c r="P139" s="246"/>
      <c r="Q139" s="246"/>
      <c r="R139" s="246"/>
      <c r="S139" s="246"/>
      <c r="T139" s="30">
        <f>I139</f>
        <v>-5000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240" t="s">
        <v>23</v>
      </c>
      <c r="F141" s="241"/>
      <c r="G141" s="241"/>
      <c r="H141" s="241"/>
      <c r="I141" s="29">
        <f>MAX(M146*-1,0)</f>
        <v>0</v>
      </c>
      <c r="J141" s="29"/>
      <c r="K141" s="256" t="s">
        <v>30</v>
      </c>
      <c r="L141" s="257"/>
      <c r="M141" s="258"/>
      <c r="O141" s="245" t="s">
        <v>23</v>
      </c>
      <c r="P141" s="246"/>
      <c r="Q141" s="246"/>
      <c r="R141" s="246"/>
      <c r="S141" s="246"/>
      <c r="T141" s="30">
        <f>I141</f>
        <v>0</v>
      </c>
    </row>
    <row r="142" spans="1:20" x14ac:dyDescent="0.25">
      <c r="E142" s="92"/>
      <c r="F142" s="67"/>
      <c r="G142" s="67"/>
      <c r="H142" s="67"/>
      <c r="I142" s="76"/>
      <c r="J142" s="76"/>
      <c r="K142" s="259" t="s">
        <v>24</v>
      </c>
      <c r="L142" s="260"/>
      <c r="M142" s="56">
        <f>I126</f>
        <v>750</v>
      </c>
      <c r="O142" s="75"/>
      <c r="P142" s="76"/>
      <c r="Q142" s="76"/>
      <c r="R142" s="76"/>
      <c r="S142" s="76"/>
      <c r="T142" s="77"/>
    </row>
    <row r="143" spans="1:20" x14ac:dyDescent="0.25">
      <c r="E143" s="291" t="str">
        <f>"Incremental Cost @ RT MW Used ("&amp;$B137&amp;" MW)"</f>
        <v>Incremental Cost @ RT MW Used (50 MW)</v>
      </c>
      <c r="F143" s="292"/>
      <c r="G143" s="292"/>
      <c r="H143" s="292"/>
      <c r="I143" s="8">
        <f>M145</f>
        <v>1000</v>
      </c>
      <c r="J143" s="8"/>
      <c r="K143" s="259" t="s">
        <v>17</v>
      </c>
      <c r="L143" s="260"/>
      <c r="M143" s="56">
        <f>I129</f>
        <v>250</v>
      </c>
      <c r="O143" s="245" t="str">
        <f>"Incremental Cost @ Actual RT MW ("&amp;$B132&amp;" MW)"</f>
        <v>Incremental Cost @ Actual RT MW (100 MW)</v>
      </c>
      <c r="P143" s="246"/>
      <c r="Q143" s="246"/>
      <c r="R143" s="246"/>
      <c r="S143" s="246"/>
      <c r="T143" s="6">
        <f>T121</f>
        <v>2250</v>
      </c>
    </row>
    <row r="144" spans="1:20" x14ac:dyDescent="0.25">
      <c r="E144" s="93"/>
      <c r="F144" s="100"/>
      <c r="G144" s="100"/>
      <c r="H144" s="100"/>
      <c r="I144" s="48"/>
      <c r="J144" s="48"/>
      <c r="K144" s="289" t="s">
        <v>25</v>
      </c>
      <c r="L144" s="290"/>
      <c r="M144" s="30">
        <f>(B136-B125)*B133</f>
        <v>0</v>
      </c>
      <c r="O144" s="47"/>
      <c r="P144" s="87"/>
      <c r="Q144" s="87"/>
      <c r="R144" s="87"/>
      <c r="S144" s="87"/>
      <c r="T144" s="90"/>
    </row>
    <row r="145" spans="4:20" ht="15.75" thickBot="1" x14ac:dyDescent="0.3">
      <c r="E145" s="287" t="s">
        <v>26</v>
      </c>
      <c r="F145" s="288"/>
      <c r="G145" s="288"/>
      <c r="H145" s="288"/>
      <c r="I145" s="50">
        <f>I126+I129+I139+I141-I143</f>
        <v>-5000</v>
      </c>
      <c r="J145" s="104"/>
      <c r="K145" s="245" t="s">
        <v>46</v>
      </c>
      <c r="L145" s="246"/>
      <c r="M145" s="30">
        <f>M121</f>
        <v>1000</v>
      </c>
      <c r="O145" s="245" t="s">
        <v>26</v>
      </c>
      <c r="P145" s="246"/>
      <c r="Q145" s="246"/>
      <c r="R145" s="246"/>
      <c r="S145" s="246"/>
      <c r="T145" s="91">
        <f>T126+T129+T139+T141-T143</f>
        <v>-6250</v>
      </c>
    </row>
    <row r="146" spans="4:20" ht="30" customHeight="1" thickTop="1" thickBot="1" x14ac:dyDescent="0.3">
      <c r="E146" s="49"/>
      <c r="F146" s="8"/>
      <c r="G146" s="8"/>
      <c r="H146" s="8"/>
      <c r="I146" s="8"/>
      <c r="J146" s="8"/>
      <c r="K146" s="247" t="s">
        <v>70</v>
      </c>
      <c r="L146" s="248"/>
      <c r="M146" s="103">
        <f>M142+M143+M144-M145</f>
        <v>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row r="181" spans="1:27" x14ac:dyDescent="0.25">
      <c r="A181" s="286" t="s">
        <v>92</v>
      </c>
      <c r="B181" s="286"/>
      <c r="C181" s="286"/>
      <c r="D181" s="286"/>
      <c r="E181" s="286"/>
      <c r="F181" s="286"/>
      <c r="G181" s="286"/>
      <c r="H181" s="286"/>
      <c r="I181" s="286"/>
      <c r="J181" s="286"/>
      <c r="K181" s="286"/>
      <c r="L181" s="286"/>
      <c r="M181" s="286"/>
      <c r="N181" s="286"/>
      <c r="O181" s="286"/>
      <c r="P181" s="286"/>
      <c r="Q181" s="286"/>
      <c r="R181" s="286"/>
      <c r="S181" s="286"/>
      <c r="T181" s="286"/>
      <c r="U181" s="286"/>
      <c r="V181" s="286"/>
      <c r="W181" s="286"/>
      <c r="X181" s="286"/>
      <c r="Y181" s="286"/>
      <c r="Z181" s="286"/>
      <c r="AA181" s="286"/>
    </row>
    <row r="182" spans="1:27" ht="15.75" thickBot="1" x14ac:dyDescent="0.3">
      <c r="A182" s="286"/>
      <c r="B182" s="286"/>
      <c r="C182" s="286"/>
      <c r="D182" s="286"/>
      <c r="E182" s="286"/>
      <c r="F182" s="286"/>
      <c r="G182" s="286"/>
      <c r="H182" s="286"/>
      <c r="I182" s="286"/>
      <c r="J182" s="286"/>
      <c r="K182" s="286"/>
      <c r="L182" s="286"/>
      <c r="M182" s="286"/>
      <c r="N182" s="286"/>
      <c r="O182" s="286"/>
      <c r="P182" s="286"/>
      <c r="Q182" s="286"/>
      <c r="R182" s="286"/>
      <c r="S182" s="286"/>
      <c r="T182" s="286"/>
      <c r="U182" s="286"/>
      <c r="V182" s="286"/>
      <c r="W182" s="286"/>
      <c r="X182" s="286"/>
      <c r="Y182" s="286"/>
      <c r="Z182" s="286"/>
      <c r="AA182" s="286"/>
    </row>
    <row r="183" spans="1:27" ht="15.75" thickBot="1" x14ac:dyDescent="0.3">
      <c r="A183" s="250" t="s">
        <v>0</v>
      </c>
      <c r="B183" s="251"/>
      <c r="C183" s="251"/>
      <c r="D183" s="252"/>
      <c r="E183" s="235" t="s">
        <v>1</v>
      </c>
      <c r="F183" s="236"/>
      <c r="G183" s="249"/>
      <c r="H183" s="227" t="s">
        <v>89</v>
      </c>
      <c r="I183" s="228"/>
      <c r="J183" s="228"/>
      <c r="K183" s="229"/>
      <c r="L183" s="227" t="s">
        <v>32</v>
      </c>
      <c r="M183" s="228"/>
      <c r="N183" s="229"/>
      <c r="O183" s="227" t="s">
        <v>71</v>
      </c>
      <c r="P183" s="228"/>
      <c r="Q183" s="229"/>
      <c r="R183" s="227"/>
      <c r="S183" s="228"/>
      <c r="T183" s="229"/>
    </row>
    <row r="184" spans="1:27" ht="45.75" thickBot="1" x14ac:dyDescent="0.3">
      <c r="A184" s="135" t="s">
        <v>3</v>
      </c>
      <c r="B184" s="132" t="s">
        <v>33</v>
      </c>
      <c r="C184" s="132" t="s">
        <v>34</v>
      </c>
      <c r="D184" s="136" t="s">
        <v>4</v>
      </c>
      <c r="E184" s="135" t="s">
        <v>5</v>
      </c>
      <c r="F184" s="132" t="s">
        <v>6</v>
      </c>
      <c r="G184" s="133" t="s">
        <v>7</v>
      </c>
      <c r="H184" s="69" t="s">
        <v>38</v>
      </c>
      <c r="I184" s="65" t="s">
        <v>8</v>
      </c>
      <c r="J184" s="65" t="s">
        <v>6</v>
      </c>
      <c r="K184" s="66" t="s">
        <v>7</v>
      </c>
      <c r="L184" s="134" t="s">
        <v>5</v>
      </c>
      <c r="M184" s="65" t="s">
        <v>49</v>
      </c>
      <c r="N184" s="66" t="s">
        <v>47</v>
      </c>
      <c r="O184" s="134" t="s">
        <v>5</v>
      </c>
      <c r="P184" s="65" t="s">
        <v>49</v>
      </c>
      <c r="Q184" s="66" t="s">
        <v>47</v>
      </c>
      <c r="R184" s="134"/>
      <c r="S184" s="65"/>
      <c r="T184" s="66"/>
    </row>
    <row r="185" spans="1:27" x14ac:dyDescent="0.25">
      <c r="A185" s="4">
        <v>1</v>
      </c>
      <c r="B185" s="5">
        <v>0</v>
      </c>
      <c r="C185" s="5">
        <v>50</v>
      </c>
      <c r="D185" s="6">
        <v>20</v>
      </c>
      <c r="E185" s="7">
        <f>IF(AND(B$199&gt;B185,B$199&lt;=C185),B$199,0)</f>
        <v>50</v>
      </c>
      <c r="F185" s="8">
        <f>IF(B199&gt;0,D185,0)</f>
        <v>20</v>
      </c>
      <c r="G185" s="8">
        <f>IF(E185&gt;0,IF(E185=B185,D185,IF(AND(E185&gt;B185,E185&lt;=C185),D185+(E185-B185)*((D185-D185)/(C185-B185)),0)),0)</f>
        <v>20</v>
      </c>
      <c r="H185" s="14">
        <f>IF(AND(MIN(B$132,B$134)&gt;B185,MIN(B$132,B$134)&lt;=C185),MIN(B$132,B$134),0)</f>
        <v>50</v>
      </c>
      <c r="I185" s="15">
        <f>IF(AND(B$137&gt;B185,B$137&lt;=C185),B$137,0)</f>
        <v>50</v>
      </c>
      <c r="J185" s="9">
        <f>IF(B206&gt;0,D185,0)</f>
        <v>20</v>
      </c>
      <c r="K185" s="11">
        <f>IF(H185&gt;0,IF(H185=B185,D185,IF(AND(H185&gt;B185,H185&lt;=C185),D185+(H185-B185)*((D185-D185)/(C185-B185)),0)),0)</f>
        <v>20</v>
      </c>
      <c r="L185" s="14">
        <f>IF(AND(B206&gt;B185,B206&lt;=C185),B206,0)</f>
        <v>0</v>
      </c>
      <c r="M185" s="9">
        <f>IF(B206&gt;0,D185,0)</f>
        <v>20</v>
      </c>
      <c r="N185" s="11">
        <f>IF(L185&gt;0,IF(L185=B185,D185,IF(AND(L185&gt;B185,L185&lt;=C185),D185+(L185-B185)*((D185-D185)/(C185-B185)),0)),0)</f>
        <v>0</v>
      </c>
      <c r="O185" s="14">
        <f>IF(AND(B208&gt;B185,B208&lt;=C185),B208,0)</f>
        <v>50</v>
      </c>
      <c r="P185" s="9">
        <f>IF(B206&gt;0,D185,0)</f>
        <v>20</v>
      </c>
      <c r="Q185" s="11">
        <f>IF(O185&gt;0,IF(O185=B185,D185,IF(AND(O185&gt;B185,O185&lt;=C185),D185+(O185-B185)*((D185-D185)/(C185-B185)),0)),0)</f>
        <v>20</v>
      </c>
      <c r="R185" s="14"/>
      <c r="S185" s="9"/>
      <c r="T185" s="11"/>
    </row>
    <row r="186" spans="1:27" x14ac:dyDescent="0.25">
      <c r="A186" s="4">
        <v>2</v>
      </c>
      <c r="B186" s="5">
        <v>50</v>
      </c>
      <c r="C186" s="5">
        <v>75</v>
      </c>
      <c r="D186" s="6">
        <v>25</v>
      </c>
      <c r="E186" s="7">
        <f>IF(AND(B199&gt;B186,B199&lt;=C186),B199,0)</f>
        <v>0</v>
      </c>
      <c r="F186" s="8">
        <v>0</v>
      </c>
      <c r="G186" s="8">
        <f>IF(E186&gt;0,IF(AND(E186&gt;B186,E186&lt;C186),D185+(E186-B186)*((D186-D185)/(C186-B186)),0),0)</f>
        <v>0</v>
      </c>
      <c r="H186" s="16">
        <f t="shared" ref="H186:H187" si="30">IF(AND(MIN(B$132,B$134)&gt;B186,MIN(B$132,B$134)&lt;=C186),MIN(B$132,B$134),0)</f>
        <v>0</v>
      </c>
      <c r="I186" s="12">
        <f>IF(AND(B$137&gt;B186,B$137&lt;=C186),B$137,0)</f>
        <v>0</v>
      </c>
      <c r="J186" s="5">
        <v>0</v>
      </c>
      <c r="K186" s="6">
        <f>IF(H186&gt;0,IF(H186=B186,D186,IF(AND(H186&gt;B186,H186&lt;=C186),D185+(H186-B186)*((D186-D185)/(C186-B186)),0)),0)</f>
        <v>0</v>
      </c>
      <c r="L186" s="16">
        <f>IF(AND(B206&gt;B186,B206&lt;=C186),B206,0)</f>
        <v>0</v>
      </c>
      <c r="M186" s="8">
        <v>0</v>
      </c>
      <c r="N186" s="6">
        <f>IF(L186&gt;0,IF(L186=B186,D186,IF(AND(L186&gt;B186,L186&lt;=C186),D186+(L186-B186)*((D186-D186)/(C186-B186)),0)),0)</f>
        <v>0</v>
      </c>
      <c r="O186" s="16">
        <f>IF(AND(B208&gt;B186,B208&lt;=C186),B208,0)</f>
        <v>0</v>
      </c>
      <c r="P186" s="8">
        <v>0</v>
      </c>
      <c r="Q186" s="6">
        <f>IF(O186&gt;0,IF(O186=B186,D186,IF(AND(O186&gt;B186,O186&lt;=C186),D185+(O186-B186)*((D186-D185)/(C186-B186)),0)),0)</f>
        <v>0</v>
      </c>
      <c r="R186" s="16"/>
      <c r="S186" s="8"/>
      <c r="T186" s="6"/>
    </row>
    <row r="187" spans="1:27" ht="15.75" thickBot="1" x14ac:dyDescent="0.3">
      <c r="A187" s="17">
        <v>3</v>
      </c>
      <c r="B187" s="18">
        <v>75</v>
      </c>
      <c r="C187" s="18">
        <v>100</v>
      </c>
      <c r="D187" s="19">
        <v>30</v>
      </c>
      <c r="E187" s="20">
        <f>IF(AND(B199&gt;B187,B199&lt;=C187),B199,0)</f>
        <v>0</v>
      </c>
      <c r="F187" s="21">
        <v>0</v>
      </c>
      <c r="G187" s="21">
        <f>IF(E187&gt;0,IF(E187=C187,D187,IF(AND(E187&gt;B187,E187&lt;C187),D186+(E187-B187)*((D187-D186)/(C187-B187)),IF(E187&gt;C187,D187,0))),0)</f>
        <v>0</v>
      </c>
      <c r="H187" s="24">
        <f t="shared" si="30"/>
        <v>0</v>
      </c>
      <c r="I187" s="22">
        <f>IF(AND(B$137&gt;B187,B$137&lt;=C187),B$137,0)</f>
        <v>0</v>
      </c>
      <c r="J187" s="18">
        <v>0</v>
      </c>
      <c r="K187" s="19">
        <f>IF(AND(I187&gt;0,H187&lt;&gt;I187),MAX(K185:K186),IF(H187&gt;0,IF(H187=B187,D187,IF(AND(H187&gt;B187,H187&lt;=C187),D186+(H187-B187)*((D187-D186)/(C187-B187)),0)),0))</f>
        <v>0</v>
      </c>
      <c r="L187" s="24">
        <f>IF(AND(B206&gt;B187,B206&lt;=C187),B206,IF(B206&gt;C187,B206,0))</f>
        <v>100</v>
      </c>
      <c r="M187" s="21">
        <v>0</v>
      </c>
      <c r="N187" s="19">
        <f>IF(L187&gt;0,IF(L187=B187,D187,IF(AND(L187&gt;B187,L187&lt;=C187),D187+(L187-B187)*((D187-D187)/(C187-B187)),IF(L187&gt;C187,D187,0))),0)</f>
        <v>30</v>
      </c>
      <c r="O187" s="24">
        <f>IF(AND(B208&gt;B187,B208&lt;=C187),B208,IF(B206&gt;C187,B208,0))</f>
        <v>0</v>
      </c>
      <c r="P187" s="21">
        <v>0</v>
      </c>
      <c r="Q187" s="19">
        <f>IF(O187&gt;0,IF(O187=B187,D187,IF(AND(O187&gt;B187,O187&lt;=C187),D187+(O187-B187)*((D187-D187)/(C187-B187)),IF(O187&gt;C187,D187,0))),0)</f>
        <v>0</v>
      </c>
      <c r="R187" s="24"/>
      <c r="S187" s="21"/>
      <c r="T187" s="19"/>
    </row>
    <row r="188" spans="1:27" ht="15.75" thickBot="1" x14ac:dyDescent="0.3">
      <c r="J188" s="25"/>
    </row>
    <row r="189" spans="1:27" ht="15.75" thickBot="1" x14ac:dyDescent="0.3">
      <c r="A189" s="227" t="s">
        <v>1</v>
      </c>
      <c r="B189" s="228"/>
      <c r="C189" s="228"/>
      <c r="D189" s="228"/>
      <c r="E189" s="228"/>
      <c r="F189" s="229"/>
      <c r="H189" s="235" t="s">
        <v>94</v>
      </c>
      <c r="I189" s="236"/>
      <c r="J189" s="236"/>
      <c r="K189" s="236"/>
      <c r="L189" s="236"/>
      <c r="M189" s="249"/>
      <c r="O189" s="235" t="s">
        <v>31</v>
      </c>
      <c r="P189" s="236"/>
      <c r="Q189" s="236"/>
      <c r="R189" s="236"/>
      <c r="S189" s="236"/>
      <c r="T189" s="249"/>
      <c r="V189" s="235" t="s">
        <v>86</v>
      </c>
      <c r="W189" s="236"/>
      <c r="X189" s="236"/>
      <c r="Y189" s="236"/>
      <c r="Z189" s="236"/>
      <c r="AA189" s="249"/>
    </row>
    <row r="190" spans="1:27" ht="30.75" thickBot="1" x14ac:dyDescent="0.3">
      <c r="A190" s="131" t="s">
        <v>3</v>
      </c>
      <c r="B190" s="132" t="s">
        <v>33</v>
      </c>
      <c r="C190" s="132" t="s">
        <v>34</v>
      </c>
      <c r="D190" s="132" t="s">
        <v>49</v>
      </c>
      <c r="E190" s="132" t="s">
        <v>47</v>
      </c>
      <c r="F190" s="133" t="s">
        <v>48</v>
      </c>
      <c r="H190" s="131" t="s">
        <v>3</v>
      </c>
      <c r="I190" s="132" t="s">
        <v>50</v>
      </c>
      <c r="J190" s="132" t="s">
        <v>51</v>
      </c>
      <c r="K190" s="132" t="s">
        <v>49</v>
      </c>
      <c r="L190" s="132" t="s">
        <v>47</v>
      </c>
      <c r="M190" s="133" t="s">
        <v>48</v>
      </c>
      <c r="O190" s="131" t="s">
        <v>3</v>
      </c>
      <c r="P190" s="132" t="s">
        <v>33</v>
      </c>
      <c r="Q190" s="132" t="s">
        <v>34</v>
      </c>
      <c r="R190" s="132" t="s">
        <v>49</v>
      </c>
      <c r="S190" s="132" t="s">
        <v>47</v>
      </c>
      <c r="T190" s="133" t="s">
        <v>48</v>
      </c>
      <c r="V190" s="131" t="s">
        <v>3</v>
      </c>
      <c r="W190" s="132" t="s">
        <v>33</v>
      </c>
      <c r="X190" s="132" t="s">
        <v>34</v>
      </c>
      <c r="Y190" s="132" t="s">
        <v>49</v>
      </c>
      <c r="Z190" s="132" t="s">
        <v>47</v>
      </c>
      <c r="AA190" s="133" t="s">
        <v>48</v>
      </c>
    </row>
    <row r="191" spans="1:27" x14ac:dyDescent="0.25">
      <c r="A191" s="4">
        <v>1</v>
      </c>
      <c r="B191" s="5">
        <v>0</v>
      </c>
      <c r="C191" s="5">
        <f>IF(AND(B199&gt;B185,B199&lt;C185),B199,IF(B199&gt;=C185,C185,0))</f>
        <v>50</v>
      </c>
      <c r="D191" s="29">
        <f>MIN(D185,F185)</f>
        <v>20</v>
      </c>
      <c r="E191" s="29">
        <f>IF(AND(B$199&gt;B185,B$199&lt;C185),G185,IF(B$199&gt;=C185,D185,0))</f>
        <v>20</v>
      </c>
      <c r="F191" s="30">
        <f>(C191-B191)*(D191+E191)/2</f>
        <v>1000</v>
      </c>
      <c r="H191" s="4">
        <v>1</v>
      </c>
      <c r="I191" s="5">
        <v>0</v>
      </c>
      <c r="J191" s="5">
        <f>IF(AND(MAX(I$111:I$113)&gt;B185,MAX(I$111:I$113)&lt;C185),MAX(I$111:I$113),IF(MAX(I$111:I$113)&gt;=C185,C185,0))</f>
        <v>50</v>
      </c>
      <c r="K191" s="29">
        <f>MIN(D185,J185)</f>
        <v>20</v>
      </c>
      <c r="L191" s="29">
        <f>IF(AND(MAX(I$111:I$113)&gt;B185,MAX(I$111:I$113)&lt;C185),K185,IF(MAX(I$111:I$113)&gt;=C185,D185,0))</f>
        <v>20</v>
      </c>
      <c r="M191" s="30">
        <f>(J191-I191)*(K191+L191)/2</f>
        <v>1000</v>
      </c>
      <c r="O191" s="4">
        <v>1</v>
      </c>
      <c r="P191" s="5">
        <v>0</v>
      </c>
      <c r="Q191" s="5">
        <f>IF(AND(B$206&gt;B185,B$206&lt;C185),B$206,IF(B$206&gt;=C185,C185,0))</f>
        <v>50</v>
      </c>
      <c r="R191" s="29">
        <f>MIN(D185,M185)</f>
        <v>20</v>
      </c>
      <c r="S191" s="29">
        <f>IF(AND(B$206&gt;B185,B$206&lt;C185),N185,IF(B$206&gt;=C185,D185,0))</f>
        <v>20</v>
      </c>
      <c r="T191" s="30">
        <f>(Q191-P191)*(R191+S191)/2</f>
        <v>1000</v>
      </c>
      <c r="V191" s="4">
        <v>1</v>
      </c>
      <c r="W191" s="5">
        <v>0</v>
      </c>
      <c r="X191" s="5">
        <f>IF(AND(B$208&gt;H185,B$208&lt;I185),B$208,IF(B$208&gt;=I185,I185,0))</f>
        <v>50</v>
      </c>
      <c r="Y191" s="29">
        <f>MIN(D185,P185)</f>
        <v>20</v>
      </c>
      <c r="Z191" s="29">
        <f>IF(AND(B208&gt;B185,B208&lt;C185),Q185,IF(B208&gt;=C185,D185,0))</f>
        <v>20</v>
      </c>
      <c r="AA191" s="30">
        <f>(X191-W191)*(Y191+Z191)/2</f>
        <v>1000</v>
      </c>
    </row>
    <row r="192" spans="1:27" x14ac:dyDescent="0.25">
      <c r="A192" s="4">
        <v>2</v>
      </c>
      <c r="B192" s="5">
        <f>IF(B$199&gt;B186,C191,0)</f>
        <v>0</v>
      </c>
      <c r="C192" s="5">
        <f>IF(AND(B$199&gt;B186,B$199&lt;C186),B$199,IF(B$199&gt;=C186,C186,0))</f>
        <v>0</v>
      </c>
      <c r="D192" s="29">
        <f>IF(B192&lt;&gt;0,E191,0)</f>
        <v>0</v>
      </c>
      <c r="E192" s="29">
        <f>IF(AND(B$199&gt;B186,B$199&lt;C186),G186,IF(B$199&gt;=C186,D186,0))</f>
        <v>0</v>
      </c>
      <c r="F192" s="30">
        <f t="shared" ref="F192:F194" si="31">(C192-B192)*(D192+E192)/2</f>
        <v>0</v>
      </c>
      <c r="H192" s="4">
        <v>2</v>
      </c>
      <c r="I192" s="5">
        <f>IF(MAX(I$111:I$113)&gt;B186,C185,0)</f>
        <v>0</v>
      </c>
      <c r="J192" s="5">
        <f t="shared" ref="J192:J194" si="32">IF(AND(MAX(I$111:I$113)&gt;B186,MAX(I$111:I$113)&lt;C186),MAX(I$111:I$113),IF(MAX(I$111:I$113)&gt;=C186,C186,0))</f>
        <v>0</v>
      </c>
      <c r="K192" s="29">
        <f>IF(I192&lt;&gt;0,L191,0)</f>
        <v>0</v>
      </c>
      <c r="L192" s="29">
        <f t="shared" ref="L192:L194" si="33">IF(AND(MAX(I$111:I$113)&gt;B186,MAX(I$111:I$113)&lt;C186),K186,IF(MAX(I$111:I$113)&gt;=C186,D186,0))</f>
        <v>0</v>
      </c>
      <c r="M192" s="30">
        <f t="shared" ref="M192:M194" si="34">(J192-I192)*(K192+L192)/2</f>
        <v>0</v>
      </c>
      <c r="O192" s="4">
        <v>2</v>
      </c>
      <c r="P192" s="5">
        <f>IF(B$206&gt;B186,Q191,0)</f>
        <v>50</v>
      </c>
      <c r="Q192" s="5">
        <f>IF(AND(B$206&gt;B186,B$206&lt;C186),B$206,IF(B$206&gt;=C186,C186,0))</f>
        <v>75</v>
      </c>
      <c r="R192" s="29">
        <f>IF(P192&lt;&gt;0,S191,0)</f>
        <v>20</v>
      </c>
      <c r="S192" s="29">
        <f>IF(AND(B$206&gt;B186,B$206&lt;C186),N186,IF(B$206&gt;=C186,D186,0))</f>
        <v>25</v>
      </c>
      <c r="T192" s="30">
        <f t="shared" ref="T192:T194" si="35">(Q192-P192)*(R192+S192)/2</f>
        <v>562.5</v>
      </c>
      <c r="V192" s="4">
        <v>2</v>
      </c>
      <c r="W192" s="5">
        <f>IF(B$208&gt;B186,X191,0)</f>
        <v>0</v>
      </c>
      <c r="X192" s="5">
        <f>IF(AND(B$208&gt;B186,B$208&lt;C186),B$208,IF(B$208&gt;=C186,C186,0))</f>
        <v>0</v>
      </c>
      <c r="Y192" s="29">
        <f>IF(W192&lt;&gt;0,Z191,0)</f>
        <v>0</v>
      </c>
      <c r="Z192" s="29">
        <f>IF(AND(B208&gt;B186,B208&lt;C186),Q186,IF(B208&gt;=C186,D186,0))</f>
        <v>0</v>
      </c>
      <c r="AA192" s="30">
        <f t="shared" ref="AA192:AA194" si="36">(X192-W192)*(Y192+Z192)/2</f>
        <v>0</v>
      </c>
    </row>
    <row r="193" spans="1:27" x14ac:dyDescent="0.25">
      <c r="A193" s="4">
        <v>3</v>
      </c>
      <c r="B193" s="5">
        <f>IF(B$199&gt;B187,C192,0)</f>
        <v>0</v>
      </c>
      <c r="C193" s="5">
        <f>IF(AND(B$199&gt;B187,B$199&lt;C187),B$199,IF(B$199&gt;=C187,C187,0))</f>
        <v>0</v>
      </c>
      <c r="D193" s="29">
        <f t="shared" ref="D193:D194" si="37">IF(B193&lt;&gt;0,E192,0)</f>
        <v>0</v>
      </c>
      <c r="E193" s="29">
        <f>IF(AND(B$199&gt;B187,B$199&lt;C187),G187,IF(B$199&gt;=C187,D187,0))</f>
        <v>0</v>
      </c>
      <c r="F193" s="30">
        <f t="shared" si="31"/>
        <v>0</v>
      </c>
      <c r="H193" s="4">
        <v>3</v>
      </c>
      <c r="I193" s="5">
        <f t="shared" ref="I193" si="38">IF(MAX(I$111:I$113)&gt;B187,C186,0)</f>
        <v>0</v>
      </c>
      <c r="J193" s="5">
        <f t="shared" si="32"/>
        <v>0</v>
      </c>
      <c r="K193" s="29">
        <f>IF(I193&lt;&gt;0,L192,0)</f>
        <v>0</v>
      </c>
      <c r="L193" s="29">
        <f t="shared" si="33"/>
        <v>0</v>
      </c>
      <c r="M193" s="30">
        <f t="shared" si="34"/>
        <v>0</v>
      </c>
      <c r="O193" s="4">
        <v>3</v>
      </c>
      <c r="P193" s="5">
        <f>IF(B$206&gt;B187,Q192,0)</f>
        <v>75</v>
      </c>
      <c r="Q193" s="5">
        <f>IF(AND(B$206&gt;B187,B$206&lt;C187),B$206,IF(B$206&gt;=C187,C187,0))</f>
        <v>100</v>
      </c>
      <c r="R193" s="29">
        <f>IF(P193&lt;&gt;0,S192,0)</f>
        <v>25</v>
      </c>
      <c r="S193" s="29">
        <f>IF(AND(B$206&gt;B187,B$206&lt;C187),N187,IF(B$206&gt;=C187,D187,0))</f>
        <v>30</v>
      </c>
      <c r="T193" s="30">
        <f t="shared" si="35"/>
        <v>687.5</v>
      </c>
      <c r="V193" s="4">
        <v>3</v>
      </c>
      <c r="W193" s="5">
        <f>IF(B$208&gt;I187,X192,0)</f>
        <v>0</v>
      </c>
      <c r="X193" s="5">
        <f>IF(AND(B$208&gt;B187,B$208&lt;C187),B$208,IF(B$208&gt;=C187,C187,0))</f>
        <v>0</v>
      </c>
      <c r="Y193" s="29">
        <f>IF(W193&lt;&gt;0,Z192,0)</f>
        <v>0</v>
      </c>
      <c r="Z193" s="29">
        <f>IF(AND(B208&gt;B187,B208&lt;C187),Q187,IF(B208&gt;=C187,D187,0))</f>
        <v>0</v>
      </c>
      <c r="AA193" s="30">
        <f t="shared" si="36"/>
        <v>0</v>
      </c>
    </row>
    <row r="194" spans="1:27" x14ac:dyDescent="0.25">
      <c r="A194" s="4">
        <v>4</v>
      </c>
      <c r="B194" s="5">
        <f>IF(B$199&gt;C187,C193,0)</f>
        <v>0</v>
      </c>
      <c r="C194" s="5">
        <f>IF(AND(B$199&gt;B188,B$199&lt;C188),B$199,IF(B$199&gt;=C188,C188,0))</f>
        <v>0</v>
      </c>
      <c r="D194" s="29">
        <f t="shared" si="37"/>
        <v>0</v>
      </c>
      <c r="E194" s="29">
        <f>IF(AND(B$199&gt;B188,B$199&lt;C188),G188,IF(B$199&gt;=C188,D188,0))</f>
        <v>0</v>
      </c>
      <c r="F194" s="30">
        <f t="shared" si="31"/>
        <v>0</v>
      </c>
      <c r="H194" s="4">
        <v>4</v>
      </c>
      <c r="I194" s="5">
        <f>IF(MAX(I$111:I$113)&gt;C187,C187,0)</f>
        <v>0</v>
      </c>
      <c r="J194" s="5">
        <f t="shared" si="32"/>
        <v>0</v>
      </c>
      <c r="K194" s="29">
        <f>IF(I194&lt;&gt;0,L193,0)</f>
        <v>0</v>
      </c>
      <c r="L194" s="29">
        <f t="shared" si="33"/>
        <v>0</v>
      </c>
      <c r="M194" s="30">
        <f t="shared" si="34"/>
        <v>0</v>
      </c>
      <c r="O194" s="4">
        <v>4</v>
      </c>
      <c r="P194" s="5">
        <f>IF(B$206&gt;C187,Q193,0)</f>
        <v>0</v>
      </c>
      <c r="Q194" s="5">
        <f>IF(B$206&gt;C187,B$206,IF(AND(B$206&gt;B188,B$206&lt;C188),B$206,IF(B$206&gt;=C188,C188,0)))</f>
        <v>0</v>
      </c>
      <c r="R194" s="29">
        <f>IF(P194&lt;&gt;0,S193,0)</f>
        <v>0</v>
      </c>
      <c r="S194" s="29">
        <f>IF(Q194&gt;0,IF(B$206&gt;=C188,N187,IF(AND(B$206&gt;B188,B$206&lt;C188),N187,0)),0)</f>
        <v>0</v>
      </c>
      <c r="T194" s="30">
        <f t="shared" si="35"/>
        <v>0</v>
      </c>
      <c r="V194" s="4">
        <v>4</v>
      </c>
      <c r="W194" s="5">
        <f>IF(B$208&gt;C187,X193,0)</f>
        <v>0</v>
      </c>
      <c r="X194" s="5">
        <f>IF(B$208&gt;C187,B$208,IF(AND(B$208&gt;B188,B$208&lt;C188),B$208,IF(B$208&gt;=C188,C188,0)))</f>
        <v>0</v>
      </c>
      <c r="Y194" s="29">
        <f>IF(W194&lt;&gt;0,Z193,0)</f>
        <v>0</v>
      </c>
      <c r="Z194" s="29">
        <f>IF(X194&gt;0,IF(B$208&gt;=C188,N187,IF(AND(B$208&gt;B188,B$208&lt;C188),N187,0)),0)</f>
        <v>0</v>
      </c>
      <c r="AA194" s="30">
        <f t="shared" si="36"/>
        <v>0</v>
      </c>
    </row>
    <row r="195" spans="1:27" ht="15.75" thickBot="1" x14ac:dyDescent="0.3">
      <c r="A195" s="24"/>
      <c r="B195" s="18"/>
      <c r="C195" s="18"/>
      <c r="D195" s="21"/>
      <c r="E195" s="21"/>
      <c r="F195" s="31">
        <f>SUM(F191:F194)</f>
        <v>1000</v>
      </c>
      <c r="H195" s="24"/>
      <c r="I195" s="18"/>
      <c r="J195" s="18"/>
      <c r="K195" s="21"/>
      <c r="L195" s="21"/>
      <c r="M195" s="31">
        <f>SUM(M191:M194)</f>
        <v>1000</v>
      </c>
      <c r="O195" s="24"/>
      <c r="P195" s="18"/>
      <c r="Q195" s="18"/>
      <c r="R195" s="21"/>
      <c r="S195" s="21"/>
      <c r="T195" s="31">
        <f>SUM(T191:T194)</f>
        <v>2250</v>
      </c>
      <c r="V195" s="24"/>
      <c r="W195" s="18"/>
      <c r="X195" s="18"/>
      <c r="Y195" s="21"/>
      <c r="Z195" s="21"/>
      <c r="AA195" s="31">
        <f>SUM(AA191:AA194)</f>
        <v>1000</v>
      </c>
    </row>
    <row r="196" spans="1:27" ht="15.75" thickBot="1" x14ac:dyDescent="0.3"/>
    <row r="197" spans="1:27" ht="15.75" thickBot="1" x14ac:dyDescent="0.3">
      <c r="A197" s="68" t="s">
        <v>37</v>
      </c>
      <c r="E197" s="227" t="s">
        <v>75</v>
      </c>
      <c r="F197" s="228"/>
      <c r="G197" s="228"/>
      <c r="H197" s="228"/>
      <c r="I197" s="229"/>
      <c r="J197" s="152"/>
      <c r="K197" s="152"/>
      <c r="L197" s="152"/>
      <c r="M197" s="152"/>
      <c r="N197" s="45"/>
      <c r="O197" s="153"/>
      <c r="P197" s="153"/>
      <c r="Q197" s="153"/>
      <c r="R197" s="153"/>
      <c r="S197" s="153"/>
      <c r="T197" s="153"/>
    </row>
    <row r="198" spans="1:27" ht="15.75" thickBot="1" x14ac:dyDescent="0.3">
      <c r="A198" s="263" t="s">
        <v>10</v>
      </c>
      <c r="B198" s="264"/>
      <c r="E198" s="227" t="s">
        <v>78</v>
      </c>
      <c r="F198" s="228"/>
      <c r="G198" s="228"/>
      <c r="H198" s="228"/>
      <c r="I198" s="139" t="s">
        <v>74</v>
      </c>
      <c r="J198" s="146"/>
      <c r="K198" s="146"/>
      <c r="L198" s="146"/>
      <c r="M198" s="146"/>
      <c r="N198" s="45"/>
      <c r="O198" s="154"/>
      <c r="P198" s="154"/>
      <c r="Q198" s="154"/>
      <c r="R198" s="154"/>
      <c r="S198" s="154"/>
      <c r="T198" s="154"/>
    </row>
    <row r="199" spans="1:27" x14ac:dyDescent="0.25">
      <c r="A199" s="4" t="s">
        <v>5</v>
      </c>
      <c r="B199" s="13">
        <v>50</v>
      </c>
      <c r="E199" s="245" t="s">
        <v>76</v>
      </c>
      <c r="F199" s="246"/>
      <c r="G199" s="246"/>
      <c r="H199" s="246"/>
      <c r="I199" s="123">
        <f>B199*B200</f>
        <v>750</v>
      </c>
      <c r="J199" s="45"/>
      <c r="K199" s="45"/>
      <c r="L199" s="45"/>
      <c r="M199" s="45"/>
      <c r="N199" s="45"/>
      <c r="O199" s="45"/>
      <c r="P199" s="140"/>
      <c r="Q199" s="45"/>
      <c r="R199" s="45"/>
      <c r="S199" s="45"/>
      <c r="T199" s="45"/>
    </row>
    <row r="200" spans="1:27" ht="15.75" thickBot="1" x14ac:dyDescent="0.3">
      <c r="A200" s="17" t="s">
        <v>13</v>
      </c>
      <c r="B200" s="19">
        <v>15</v>
      </c>
      <c r="E200" s="137"/>
      <c r="F200" s="142"/>
      <c r="G200" s="142"/>
      <c r="H200" s="142"/>
      <c r="I200" s="123"/>
      <c r="J200" s="45"/>
      <c r="K200" s="45"/>
      <c r="L200" s="45"/>
      <c r="M200" s="45"/>
      <c r="N200" s="45"/>
      <c r="O200" s="143"/>
      <c r="P200" s="143"/>
      <c r="Q200" s="143"/>
      <c r="R200" s="143"/>
      <c r="S200" s="143"/>
      <c r="T200" s="140"/>
    </row>
    <row r="201" spans="1:27" x14ac:dyDescent="0.25">
      <c r="A201" s="14" t="s">
        <v>55</v>
      </c>
      <c r="B201" s="26">
        <v>0</v>
      </c>
      <c r="E201" s="240" t="str">
        <f>"DA Incremental Cost @ "&amp;B199&amp;" MW"</f>
        <v>DA Incremental Cost @ 50 MW</v>
      </c>
      <c r="F201" s="241"/>
      <c r="G201" s="241"/>
      <c r="H201" s="241"/>
      <c r="I201" s="123">
        <f>F195</f>
        <v>1000</v>
      </c>
      <c r="J201" s="45"/>
      <c r="K201" s="45"/>
      <c r="L201" s="45"/>
      <c r="M201" s="45"/>
      <c r="N201" s="45"/>
      <c r="O201" s="45"/>
      <c r="P201" s="45"/>
      <c r="Q201" s="45"/>
      <c r="R201" s="45"/>
      <c r="S201" s="45"/>
      <c r="T201" s="45"/>
    </row>
    <row r="202" spans="1:27" ht="15.75" thickBot="1" x14ac:dyDescent="0.3">
      <c r="A202" s="24" t="s">
        <v>56</v>
      </c>
      <c r="B202" s="23">
        <v>0</v>
      </c>
      <c r="C202" s="32"/>
      <c r="D202" s="32"/>
      <c r="E202" s="240" t="s">
        <v>77</v>
      </c>
      <c r="F202" s="241"/>
      <c r="G202" s="241"/>
      <c r="H202" s="241"/>
      <c r="I202" s="147">
        <f>B202</f>
        <v>0</v>
      </c>
      <c r="J202" s="45"/>
      <c r="K202" s="45"/>
      <c r="L202" s="45"/>
      <c r="M202" s="45"/>
      <c r="N202" s="45"/>
      <c r="O202" s="45"/>
      <c r="P202" s="45"/>
      <c r="Q202" s="45"/>
      <c r="R202" s="45"/>
      <c r="S202" s="45"/>
      <c r="T202" s="45"/>
    </row>
    <row r="203" spans="1:27" x14ac:dyDescent="0.25">
      <c r="C203" s="32"/>
      <c r="E203" s="240" t="s">
        <v>72</v>
      </c>
      <c r="F203" s="241"/>
      <c r="G203" s="241"/>
      <c r="H203" s="241"/>
      <c r="I203" s="123">
        <f>B201</f>
        <v>0</v>
      </c>
      <c r="J203" s="45"/>
      <c r="K203" s="45"/>
      <c r="L203" s="140"/>
      <c r="M203" s="155"/>
      <c r="N203" s="45"/>
      <c r="O203" s="143"/>
      <c r="P203" s="143"/>
      <c r="Q203" s="143"/>
      <c r="R203" s="143"/>
      <c r="S203" s="143"/>
      <c r="T203" s="140"/>
    </row>
    <row r="204" spans="1:27" ht="15.75" thickBot="1" x14ac:dyDescent="0.3">
      <c r="A204" s="68" t="s">
        <v>37</v>
      </c>
      <c r="E204" s="85"/>
      <c r="F204" s="144"/>
      <c r="G204" s="144"/>
      <c r="H204" s="144"/>
      <c r="I204" s="141"/>
      <c r="J204" s="45"/>
      <c r="K204" s="45"/>
      <c r="L204" s="140"/>
      <c r="M204" s="140"/>
      <c r="N204" s="45"/>
      <c r="O204" s="45"/>
      <c r="P204" s="45"/>
      <c r="Q204" s="45"/>
      <c r="R204" s="45"/>
      <c r="S204" s="45"/>
      <c r="T204" s="45"/>
    </row>
    <row r="205" spans="1:27" x14ac:dyDescent="0.25">
      <c r="A205" s="263" t="s">
        <v>22</v>
      </c>
      <c r="B205" s="264"/>
      <c r="E205" s="240" t="s">
        <v>73</v>
      </c>
      <c r="F205" s="241"/>
      <c r="G205" s="241"/>
      <c r="H205" s="241"/>
      <c r="I205" s="158">
        <f>I199-I201-I202-I203</f>
        <v>-250</v>
      </c>
      <c r="J205" s="45"/>
      <c r="K205" s="140"/>
      <c r="L205" s="45"/>
      <c r="M205" s="45"/>
      <c r="N205" s="45"/>
      <c r="O205" s="143"/>
      <c r="P205" s="143"/>
      <c r="Q205" s="143"/>
      <c r="R205" s="143"/>
      <c r="S205" s="143"/>
      <c r="T205" s="140"/>
    </row>
    <row r="206" spans="1:27" x14ac:dyDescent="0.25">
      <c r="A206" s="16" t="s">
        <v>43</v>
      </c>
      <c r="B206" s="13">
        <v>100</v>
      </c>
      <c r="E206" s="137"/>
      <c r="F206" s="138"/>
      <c r="G206" s="138"/>
      <c r="H206" s="138"/>
      <c r="I206" s="123"/>
      <c r="J206" s="45"/>
      <c r="K206" s="45"/>
      <c r="L206" s="140"/>
      <c r="M206" s="45"/>
      <c r="N206" s="45"/>
      <c r="O206" s="45"/>
      <c r="P206" s="45"/>
      <c r="Q206" s="45"/>
      <c r="R206" s="45"/>
      <c r="S206" s="45"/>
      <c r="T206" s="45"/>
    </row>
    <row r="207" spans="1:27" ht="15.75" thickBot="1" x14ac:dyDescent="0.3">
      <c r="A207" s="16" t="s">
        <v>13</v>
      </c>
      <c r="B207" s="6">
        <v>-100</v>
      </c>
      <c r="D207" s="32"/>
      <c r="E207" s="240" t="s">
        <v>83</v>
      </c>
      <c r="F207" s="241"/>
      <c r="G207" s="241"/>
      <c r="H207" s="241"/>
      <c r="I207" s="151">
        <f>MAX(I205*-1,0)</f>
        <v>250</v>
      </c>
      <c r="J207" s="45"/>
      <c r="K207" s="140"/>
      <c r="L207" s="45"/>
      <c r="M207" s="45"/>
      <c r="N207" s="45"/>
      <c r="O207" s="143"/>
      <c r="P207" s="143"/>
      <c r="Q207" s="143"/>
      <c r="R207" s="143"/>
      <c r="S207" s="143"/>
      <c r="T207" s="140"/>
    </row>
    <row r="208" spans="1:27" ht="16.5" thickTop="1" thickBot="1" x14ac:dyDescent="0.3">
      <c r="A208" s="16" t="s">
        <v>27</v>
      </c>
      <c r="B208" s="13">
        <v>50</v>
      </c>
      <c r="E208" s="156"/>
      <c r="F208" s="157"/>
      <c r="G208" s="157"/>
      <c r="H208" s="157"/>
      <c r="I208" s="145"/>
      <c r="J208" s="45"/>
      <c r="K208" s="45"/>
      <c r="L208" s="45"/>
      <c r="M208" s="45"/>
      <c r="N208" s="45"/>
      <c r="O208" s="45"/>
      <c r="P208" s="45"/>
      <c r="Q208" s="45"/>
      <c r="R208" s="45"/>
      <c r="S208" s="45"/>
      <c r="T208" s="45"/>
    </row>
    <row r="209" spans="1:21" x14ac:dyDescent="0.25">
      <c r="A209" s="16" t="s">
        <v>29</v>
      </c>
      <c r="B209" s="13">
        <v>75</v>
      </c>
      <c r="E209" s="138"/>
      <c r="F209" s="142"/>
      <c r="G209" s="142"/>
      <c r="H209" s="142"/>
      <c r="I209" s="140"/>
      <c r="J209" s="45"/>
      <c r="K209" s="45"/>
      <c r="L209" s="45"/>
      <c r="M209" s="45"/>
      <c r="N209" s="45"/>
      <c r="O209" s="45"/>
      <c r="P209" s="140"/>
      <c r="Q209" s="45"/>
      <c r="R209" s="45"/>
      <c r="S209" s="45"/>
      <c r="T209" s="45"/>
    </row>
    <row r="210" spans="1:21" ht="15.75" thickBot="1" x14ac:dyDescent="0.3">
      <c r="A210" s="16" t="s">
        <v>28</v>
      </c>
      <c r="B210" s="13">
        <f>IF(AND(B207&lt;0,B206&gt;B199,B199&gt;0),B199,IF(AND(B199=0,B207&lt;0),MIN(B208,B206),IF(B199=0,B206,MAX(MIN(B208,B199),B206))))</f>
        <v>50</v>
      </c>
      <c r="E210" s="243" t="s">
        <v>98</v>
      </c>
      <c r="F210" s="243"/>
      <c r="G210" s="243"/>
      <c r="H210" s="243"/>
      <c r="I210" s="243"/>
      <c r="J210" s="188"/>
      <c r="K210" s="244" t="s">
        <v>97</v>
      </c>
      <c r="L210" s="244"/>
      <c r="M210" s="244"/>
      <c r="N210" s="244"/>
      <c r="O210" s="244"/>
      <c r="P210" s="188"/>
      <c r="Q210" s="244" t="s">
        <v>99</v>
      </c>
      <c r="R210" s="244"/>
      <c r="S210" s="244"/>
      <c r="T210" s="244"/>
      <c r="U210" s="244"/>
    </row>
    <row r="211" spans="1:21" ht="15.75" thickBot="1" x14ac:dyDescent="0.3">
      <c r="A211" s="24" t="s">
        <v>8</v>
      </c>
      <c r="B211" s="23">
        <f>IF(AND(B208*0.9&lt;=B206,B208*1.1&gt;=B206),B206,MIN(B208,B206))</f>
        <v>50</v>
      </c>
      <c r="E211" s="227" t="s">
        <v>90</v>
      </c>
      <c r="F211" s="228"/>
      <c r="G211" s="228"/>
      <c r="H211" s="228"/>
      <c r="I211" s="229"/>
      <c r="J211" s="146"/>
      <c r="K211" s="227" t="s">
        <v>85</v>
      </c>
      <c r="L211" s="228"/>
      <c r="M211" s="228"/>
      <c r="N211" s="228"/>
      <c r="O211" s="229"/>
      <c r="P211" s="154"/>
      <c r="Q211" s="227" t="s">
        <v>88</v>
      </c>
      <c r="R211" s="228"/>
      <c r="S211" s="228"/>
      <c r="T211" s="228"/>
      <c r="U211" s="229"/>
    </row>
    <row r="212" spans="1:21" ht="15.75" thickBot="1" x14ac:dyDescent="0.3">
      <c r="A212" s="14" t="s">
        <v>55</v>
      </c>
      <c r="B212" s="26">
        <v>0</v>
      </c>
      <c r="E212" s="227" t="s">
        <v>78</v>
      </c>
      <c r="F212" s="228"/>
      <c r="G212" s="228"/>
      <c r="H212" s="228"/>
      <c r="I212" s="139" t="s">
        <v>74</v>
      </c>
      <c r="J212" s="45"/>
      <c r="K212" s="227" t="s">
        <v>78</v>
      </c>
      <c r="L212" s="228"/>
      <c r="M212" s="228"/>
      <c r="N212" s="228"/>
      <c r="O212" s="139" t="s">
        <v>74</v>
      </c>
      <c r="P212" s="45"/>
      <c r="Q212" s="227" t="s">
        <v>78</v>
      </c>
      <c r="R212" s="228"/>
      <c r="S212" s="228"/>
      <c r="T212" s="228"/>
      <c r="U212" s="139" t="s">
        <v>74</v>
      </c>
    </row>
    <row r="213" spans="1:21" ht="15.75" thickBot="1" x14ac:dyDescent="0.3">
      <c r="A213" s="24" t="s">
        <v>56</v>
      </c>
      <c r="B213" s="23">
        <v>0</v>
      </c>
      <c r="E213" s="245" t="s">
        <v>76</v>
      </c>
      <c r="F213" s="246"/>
      <c r="G213" s="246"/>
      <c r="H213" s="246"/>
      <c r="I213" s="160">
        <f>I199</f>
        <v>750</v>
      </c>
      <c r="J213" s="140"/>
      <c r="K213" s="245" t="s">
        <v>76</v>
      </c>
      <c r="L213" s="246"/>
      <c r="M213" s="246"/>
      <c r="N213" s="246"/>
      <c r="O213" s="160">
        <f>I199</f>
        <v>750</v>
      </c>
      <c r="P213" s="143"/>
      <c r="Q213" s="245" t="s">
        <v>76</v>
      </c>
      <c r="R213" s="246"/>
      <c r="S213" s="246"/>
      <c r="T213" s="246"/>
      <c r="U213" s="160">
        <f>I199</f>
        <v>750</v>
      </c>
    </row>
    <row r="214" spans="1:21" x14ac:dyDescent="0.25">
      <c r="E214" s="75"/>
      <c r="F214" s="76"/>
      <c r="G214" s="76"/>
      <c r="H214" s="76"/>
      <c r="I214" s="161"/>
      <c r="J214" s="45"/>
      <c r="K214" s="75"/>
      <c r="L214" s="76"/>
      <c r="M214" s="76"/>
      <c r="N214" s="76"/>
      <c r="O214" s="161"/>
      <c r="P214" s="45"/>
      <c r="Q214" s="75"/>
      <c r="R214" s="76"/>
      <c r="S214" s="76"/>
      <c r="T214" s="76"/>
      <c r="U214" s="161"/>
    </row>
    <row r="215" spans="1:21" x14ac:dyDescent="0.25">
      <c r="E215" s="240" t="s">
        <v>83</v>
      </c>
      <c r="F215" s="241"/>
      <c r="G215" s="241"/>
      <c r="H215" s="241"/>
      <c r="I215" s="160">
        <f>I207</f>
        <v>250</v>
      </c>
      <c r="J215" s="140"/>
      <c r="K215" s="240" t="s">
        <v>83</v>
      </c>
      <c r="L215" s="241"/>
      <c r="M215" s="241"/>
      <c r="N215" s="241"/>
      <c r="O215" s="160">
        <f>I207</f>
        <v>250</v>
      </c>
      <c r="P215" s="143"/>
      <c r="Q215" s="240" t="s">
        <v>83</v>
      </c>
      <c r="R215" s="241"/>
      <c r="S215" s="241"/>
      <c r="T215" s="241"/>
      <c r="U215" s="160">
        <f>I207</f>
        <v>250</v>
      </c>
    </row>
    <row r="216" spans="1:21" x14ac:dyDescent="0.25">
      <c r="E216" s="75"/>
      <c r="F216" s="76"/>
      <c r="G216" s="76"/>
      <c r="H216" s="76"/>
      <c r="I216" s="159"/>
      <c r="J216" s="146"/>
      <c r="K216" s="75"/>
      <c r="L216" s="76"/>
      <c r="M216" s="76"/>
      <c r="N216" s="76"/>
      <c r="O216" s="159"/>
      <c r="P216" s="146"/>
      <c r="Q216" s="75"/>
      <c r="R216" s="76"/>
      <c r="S216" s="76"/>
      <c r="T216" s="76"/>
      <c r="U216" s="159"/>
    </row>
    <row r="217" spans="1:21" x14ac:dyDescent="0.25">
      <c r="E217" s="240" t="s">
        <v>79</v>
      </c>
      <c r="F217" s="241"/>
      <c r="G217" s="241"/>
      <c r="H217" s="241"/>
      <c r="I217" s="123">
        <f>(B210-B199)*B207</f>
        <v>0</v>
      </c>
      <c r="J217" s="104"/>
      <c r="K217" s="240" t="s">
        <v>87</v>
      </c>
      <c r="L217" s="241"/>
      <c r="M217" s="241"/>
      <c r="N217" s="241"/>
      <c r="O217" s="123">
        <f>(B208-B199)*B207</f>
        <v>0</v>
      </c>
      <c r="P217" s="143"/>
      <c r="Q217" s="240" t="s">
        <v>87</v>
      </c>
      <c r="R217" s="241"/>
      <c r="S217" s="241"/>
      <c r="T217" s="241"/>
      <c r="U217" s="123">
        <f>(B206-B199)*B207</f>
        <v>-5000</v>
      </c>
    </row>
    <row r="218" spans="1:21" x14ac:dyDescent="0.25">
      <c r="E218" s="137"/>
      <c r="F218" s="142"/>
      <c r="G218" s="142"/>
      <c r="H218" s="142"/>
      <c r="I218" s="123"/>
      <c r="J218" s="149"/>
      <c r="K218" s="137"/>
      <c r="L218" s="142"/>
      <c r="M218" s="142"/>
      <c r="N218" s="142"/>
      <c r="O218" s="123"/>
      <c r="P218" s="150"/>
      <c r="Q218" s="137"/>
      <c r="R218" s="142"/>
      <c r="S218" s="142"/>
      <c r="T218" s="142"/>
      <c r="U218" s="123"/>
    </row>
    <row r="219" spans="1:21" x14ac:dyDescent="0.25">
      <c r="E219" s="240" t="str">
        <f>"RT Incremental Cost @ "&amp;B211&amp;" MW"</f>
        <v>RT Incremental Cost @ 50 MW</v>
      </c>
      <c r="F219" s="241"/>
      <c r="G219" s="241"/>
      <c r="H219" s="241"/>
      <c r="I219" s="123">
        <f>M195</f>
        <v>1000</v>
      </c>
      <c r="J219" s="104"/>
      <c r="K219" s="240" t="str">
        <f>"RT Incremental Cost @ "&amp;B211&amp;" MW"</f>
        <v>RT Incremental Cost @ 50 MW</v>
      </c>
      <c r="L219" s="241"/>
      <c r="M219" s="241"/>
      <c r="N219" s="241"/>
      <c r="O219" s="123">
        <f>AA195</f>
        <v>1000</v>
      </c>
      <c r="P219" s="143"/>
      <c r="Q219" s="240" t="str">
        <f>"RT Incremental Cost @ "&amp;B206&amp;" MW"</f>
        <v>RT Incremental Cost @ 100 MW</v>
      </c>
      <c r="R219" s="241"/>
      <c r="S219" s="241"/>
      <c r="T219" s="241"/>
      <c r="U219" s="123">
        <f>T195</f>
        <v>2250</v>
      </c>
    </row>
    <row r="220" spans="1:21" x14ac:dyDescent="0.25">
      <c r="E220" s="240" t="s">
        <v>80</v>
      </c>
      <c r="F220" s="241"/>
      <c r="G220" s="241"/>
      <c r="H220" s="241"/>
      <c r="I220" s="147">
        <f>B213</f>
        <v>0</v>
      </c>
      <c r="J220" s="104"/>
      <c r="K220" s="240" t="s">
        <v>80</v>
      </c>
      <c r="L220" s="241"/>
      <c r="M220" s="241"/>
      <c r="N220" s="241"/>
      <c r="O220" s="147">
        <f>B213</f>
        <v>0</v>
      </c>
      <c r="P220" s="45"/>
      <c r="Q220" s="240" t="s">
        <v>80</v>
      </c>
      <c r="R220" s="241"/>
      <c r="S220" s="241"/>
      <c r="T220" s="241"/>
      <c r="U220" s="147">
        <f>B213</f>
        <v>0</v>
      </c>
    </row>
    <row r="221" spans="1:21" x14ac:dyDescent="0.25">
      <c r="D221" s="33"/>
      <c r="E221" s="240" t="s">
        <v>81</v>
      </c>
      <c r="F221" s="241"/>
      <c r="G221" s="241"/>
      <c r="H221" s="241"/>
      <c r="I221" s="123">
        <f>B212</f>
        <v>0</v>
      </c>
      <c r="J221" s="104"/>
      <c r="K221" s="240" t="s">
        <v>81</v>
      </c>
      <c r="L221" s="241"/>
      <c r="M221" s="241"/>
      <c r="N221" s="241"/>
      <c r="O221" s="123">
        <f>B212</f>
        <v>0</v>
      </c>
      <c r="P221" s="45"/>
      <c r="Q221" s="240" t="s">
        <v>81</v>
      </c>
      <c r="R221" s="241"/>
      <c r="S221" s="241"/>
      <c r="T221" s="241"/>
      <c r="U221" s="123">
        <f>B212</f>
        <v>0</v>
      </c>
    </row>
    <row r="222" spans="1:21" x14ac:dyDescent="0.25">
      <c r="E222" s="85"/>
      <c r="F222" s="144"/>
      <c r="G222" s="144"/>
      <c r="H222" s="144"/>
      <c r="I222" s="141"/>
      <c r="K222" s="85"/>
      <c r="L222" s="144"/>
      <c r="M222" s="144"/>
      <c r="N222" s="144"/>
      <c r="O222" s="141"/>
      <c r="Q222" s="85"/>
      <c r="R222" s="144"/>
      <c r="S222" s="144"/>
      <c r="T222" s="144"/>
      <c r="U222" s="141"/>
    </row>
    <row r="223" spans="1:21" x14ac:dyDescent="0.25">
      <c r="E223" s="240" t="s">
        <v>82</v>
      </c>
      <c r="F223" s="241"/>
      <c r="G223" s="241"/>
      <c r="H223" s="241"/>
      <c r="I223" s="158">
        <f>I213+I217-I219-I220-I221</f>
        <v>-250</v>
      </c>
      <c r="K223" s="240" t="s">
        <v>82</v>
      </c>
      <c r="L223" s="241"/>
      <c r="M223" s="241"/>
      <c r="N223" s="241"/>
      <c r="O223" s="158">
        <f>O213+O217-O219-O220-O221</f>
        <v>-250</v>
      </c>
      <c r="Q223" s="240" t="s">
        <v>82</v>
      </c>
      <c r="R223" s="241"/>
      <c r="S223" s="241"/>
      <c r="T223" s="241"/>
      <c r="U223" s="158">
        <f>U213+U217-U219-U220-U221</f>
        <v>-6500</v>
      </c>
    </row>
    <row r="224" spans="1:21" x14ac:dyDescent="0.25">
      <c r="E224" s="93"/>
      <c r="F224" s="148"/>
      <c r="G224" s="148"/>
      <c r="H224" s="148"/>
      <c r="I224" s="162"/>
      <c r="K224" s="93"/>
      <c r="L224" s="148"/>
      <c r="M224" s="148"/>
      <c r="N224" s="148"/>
      <c r="O224" s="162"/>
      <c r="Q224" s="93"/>
      <c r="R224" s="148"/>
      <c r="S224" s="148"/>
      <c r="T224" s="148"/>
      <c r="U224" s="162"/>
    </row>
    <row r="225" spans="5:21" ht="15.75" thickBot="1" x14ac:dyDescent="0.3">
      <c r="E225" s="240" t="s">
        <v>84</v>
      </c>
      <c r="F225" s="241"/>
      <c r="G225" s="241"/>
      <c r="H225" s="241"/>
      <c r="I225" s="163">
        <f>MAX(MAX(I223*-1,0)-I215,0)</f>
        <v>0</v>
      </c>
      <c r="K225" s="240" t="s">
        <v>84</v>
      </c>
      <c r="L225" s="241"/>
      <c r="M225" s="241"/>
      <c r="N225" s="241"/>
      <c r="O225" s="163">
        <f>MAX(MAX(O223*-1,0)-O215,0)</f>
        <v>0</v>
      </c>
      <c r="Q225" s="240" t="s">
        <v>84</v>
      </c>
      <c r="R225" s="241"/>
      <c r="S225" s="241"/>
      <c r="T225" s="241"/>
      <c r="U225" s="163">
        <f>MAX(MAX(U223*-1,0)-U215,0)</f>
        <v>6250</v>
      </c>
    </row>
    <row r="226" spans="5:21" ht="16.5" thickTop="1" thickBot="1" x14ac:dyDescent="0.3">
      <c r="E226" s="51"/>
      <c r="F226" s="164"/>
      <c r="G226" s="164"/>
      <c r="H226" s="164"/>
      <c r="I226" s="165"/>
      <c r="K226" s="51"/>
      <c r="L226" s="164"/>
      <c r="M226" s="164"/>
      <c r="N226" s="164"/>
      <c r="O226" s="165"/>
      <c r="Q226" s="51"/>
      <c r="R226" s="164"/>
      <c r="S226" s="164"/>
      <c r="T226" s="164"/>
      <c r="U226" s="165"/>
    </row>
    <row r="227" spans="5:21" x14ac:dyDescent="0.25">
      <c r="E227" s="8"/>
      <c r="F227" s="104"/>
      <c r="G227" s="104"/>
      <c r="H227" s="104"/>
      <c r="I227" s="104"/>
    </row>
    <row r="230" spans="5:21" x14ac:dyDescent="0.25">
      <c r="K230" s="209" t="s">
        <v>105</v>
      </c>
    </row>
    <row r="231" spans="5:21" x14ac:dyDescent="0.25">
      <c r="J231" s="41" t="s">
        <v>96</v>
      </c>
      <c r="K231" s="242" t="s">
        <v>93</v>
      </c>
      <c r="L231" s="242"/>
      <c r="M231" s="242"/>
      <c r="N231" s="32">
        <f>MIN(O225,U225)</f>
        <v>0</v>
      </c>
    </row>
    <row r="232" spans="5:21" x14ac:dyDescent="0.25">
      <c r="K232" s="297" t="s">
        <v>106</v>
      </c>
      <c r="L232" s="297"/>
      <c r="M232" s="297"/>
      <c r="N232" s="297"/>
      <c r="O232" s="297"/>
      <c r="P232" s="297"/>
      <c r="Q232" s="297"/>
      <c r="R232" s="297"/>
      <c r="S232" s="176"/>
    </row>
    <row r="233" spans="5:21" x14ac:dyDescent="0.25">
      <c r="K233" s="297"/>
      <c r="L233" s="297"/>
      <c r="M233" s="297"/>
      <c r="N233" s="297"/>
      <c r="O233" s="297"/>
      <c r="P233" s="297"/>
      <c r="Q233" s="297"/>
      <c r="R233" s="297"/>
    </row>
  </sheetData>
  <mergeCells count="176">
    <mergeCell ref="A1:T2"/>
    <mergeCell ref="A5:T6"/>
    <mergeCell ref="A7:D7"/>
    <mergeCell ref="E7:G7"/>
    <mergeCell ref="H7:K7"/>
    <mergeCell ref="L7:N7"/>
    <mergeCell ref="A22:B22"/>
    <mergeCell ref="E22:M22"/>
    <mergeCell ref="O22:T22"/>
    <mergeCell ref="E23:H23"/>
    <mergeCell ref="E24:H24"/>
    <mergeCell ref="O24:S24"/>
    <mergeCell ref="A13:F13"/>
    <mergeCell ref="H13:M13"/>
    <mergeCell ref="O13:T13"/>
    <mergeCell ref="A21:D21"/>
    <mergeCell ref="E21:M21"/>
    <mergeCell ref="O21:T21"/>
    <mergeCell ref="E31:H31"/>
    <mergeCell ref="O31:S31"/>
    <mergeCell ref="E35:M35"/>
    <mergeCell ref="O35:T35"/>
    <mergeCell ref="E37:H37"/>
    <mergeCell ref="O37:S37"/>
    <mergeCell ref="E27:H27"/>
    <mergeCell ref="O27:S27"/>
    <mergeCell ref="A28:D28"/>
    <mergeCell ref="A29:B29"/>
    <mergeCell ref="E29:H29"/>
    <mergeCell ref="O29:S29"/>
    <mergeCell ref="O43:S43"/>
    <mergeCell ref="K44:L44"/>
    <mergeCell ref="A56:T57"/>
    <mergeCell ref="E39:H39"/>
    <mergeCell ref="K39:M39"/>
    <mergeCell ref="O39:S39"/>
    <mergeCell ref="K40:L40"/>
    <mergeCell ref="E41:H41"/>
    <mergeCell ref="K41:L41"/>
    <mergeCell ref="O41:S41"/>
    <mergeCell ref="A58:D58"/>
    <mergeCell ref="E58:G58"/>
    <mergeCell ref="H58:K58"/>
    <mergeCell ref="L58:N58"/>
    <mergeCell ref="A64:F64"/>
    <mergeCell ref="H64:M64"/>
    <mergeCell ref="K42:L42"/>
    <mergeCell ref="E43:H43"/>
    <mergeCell ref="K43:L43"/>
    <mergeCell ref="A80:B80"/>
    <mergeCell ref="E80:H80"/>
    <mergeCell ref="O80:S80"/>
    <mergeCell ref="O64:T64"/>
    <mergeCell ref="E72:M72"/>
    <mergeCell ref="O72:T72"/>
    <mergeCell ref="A73:B73"/>
    <mergeCell ref="E73:M73"/>
    <mergeCell ref="O73:T73"/>
    <mergeCell ref="E82:H82"/>
    <mergeCell ref="O82:S82"/>
    <mergeCell ref="E86:M86"/>
    <mergeCell ref="O86:T86"/>
    <mergeCell ref="E88:H88"/>
    <mergeCell ref="O88:S88"/>
    <mergeCell ref="E74:H74"/>
    <mergeCell ref="E75:H75"/>
    <mergeCell ref="O75:S75"/>
    <mergeCell ref="E78:H78"/>
    <mergeCell ref="O78:S78"/>
    <mergeCell ref="O94:S94"/>
    <mergeCell ref="K95:L95"/>
    <mergeCell ref="A107:T108"/>
    <mergeCell ref="E90:H90"/>
    <mergeCell ref="K90:M90"/>
    <mergeCell ref="O90:S90"/>
    <mergeCell ref="K91:L91"/>
    <mergeCell ref="E92:H92"/>
    <mergeCell ref="K92:L92"/>
    <mergeCell ref="O92:S92"/>
    <mergeCell ref="A109:D109"/>
    <mergeCell ref="E109:G109"/>
    <mergeCell ref="H109:K109"/>
    <mergeCell ref="L109:N109"/>
    <mergeCell ref="A115:B115"/>
    <mergeCell ref="H115:M115"/>
    <mergeCell ref="K93:L93"/>
    <mergeCell ref="E94:H94"/>
    <mergeCell ref="K94:L94"/>
    <mergeCell ref="A131:B131"/>
    <mergeCell ref="E131:H131"/>
    <mergeCell ref="O131:S131"/>
    <mergeCell ref="O115:T115"/>
    <mergeCell ref="E123:M123"/>
    <mergeCell ref="O123:T123"/>
    <mergeCell ref="A124:B124"/>
    <mergeCell ref="E124:M124"/>
    <mergeCell ref="O124:T124"/>
    <mergeCell ref="E133:H133"/>
    <mergeCell ref="O133:S133"/>
    <mergeCell ref="E137:M137"/>
    <mergeCell ref="O137:T137"/>
    <mergeCell ref="E139:H139"/>
    <mergeCell ref="O139:S139"/>
    <mergeCell ref="E125:H125"/>
    <mergeCell ref="E126:H126"/>
    <mergeCell ref="O126:S126"/>
    <mergeCell ref="E129:H129"/>
    <mergeCell ref="O129:S129"/>
    <mergeCell ref="K144:L144"/>
    <mergeCell ref="E145:H145"/>
    <mergeCell ref="K145:L145"/>
    <mergeCell ref="O145:S145"/>
    <mergeCell ref="K146:L146"/>
    <mergeCell ref="E141:H141"/>
    <mergeCell ref="K141:M141"/>
    <mergeCell ref="O141:S141"/>
    <mergeCell ref="K142:L142"/>
    <mergeCell ref="E143:H143"/>
    <mergeCell ref="K143:L143"/>
    <mergeCell ref="O143:S143"/>
    <mergeCell ref="A181:AA182"/>
    <mergeCell ref="A183:D183"/>
    <mergeCell ref="E183:G183"/>
    <mergeCell ref="H183:K183"/>
    <mergeCell ref="L183:N183"/>
    <mergeCell ref="O183:Q183"/>
    <mergeCell ref="R183:T183"/>
    <mergeCell ref="A189:F189"/>
    <mergeCell ref="H189:M189"/>
    <mergeCell ref="O189:T189"/>
    <mergeCell ref="V189:AA189"/>
    <mergeCell ref="E197:I197"/>
    <mergeCell ref="A198:B198"/>
    <mergeCell ref="E198:H198"/>
    <mergeCell ref="E199:H199"/>
    <mergeCell ref="E201:H201"/>
    <mergeCell ref="E202:H202"/>
    <mergeCell ref="E203:H203"/>
    <mergeCell ref="A205:B205"/>
    <mergeCell ref="E205:H205"/>
    <mergeCell ref="E207:H207"/>
    <mergeCell ref="E211:I211"/>
    <mergeCell ref="K211:O211"/>
    <mergeCell ref="Q211:U211"/>
    <mergeCell ref="E212:H212"/>
    <mergeCell ref="K212:N212"/>
    <mergeCell ref="Q212:T212"/>
    <mergeCell ref="E213:H213"/>
    <mergeCell ref="K213:N213"/>
    <mergeCell ref="Q213:T213"/>
    <mergeCell ref="E210:I210"/>
    <mergeCell ref="K210:O210"/>
    <mergeCell ref="Q210:U210"/>
    <mergeCell ref="E215:H215"/>
    <mergeCell ref="K215:N215"/>
    <mergeCell ref="Q215:T215"/>
    <mergeCell ref="E217:H217"/>
    <mergeCell ref="K217:N217"/>
    <mergeCell ref="Q217:T217"/>
    <mergeCell ref="E219:H219"/>
    <mergeCell ref="K219:N219"/>
    <mergeCell ref="Q219:T219"/>
    <mergeCell ref="K232:R233"/>
    <mergeCell ref="E225:H225"/>
    <mergeCell ref="K225:N225"/>
    <mergeCell ref="Q225:T225"/>
    <mergeCell ref="K231:M231"/>
    <mergeCell ref="E220:H220"/>
    <mergeCell ref="K220:N220"/>
    <mergeCell ref="Q220:T220"/>
    <mergeCell ref="E221:H221"/>
    <mergeCell ref="K221:N221"/>
    <mergeCell ref="Q221:T221"/>
    <mergeCell ref="E223:H223"/>
    <mergeCell ref="K223:N223"/>
    <mergeCell ref="Q223:T223"/>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30"/>
  <sheetViews>
    <sheetView topLeftCell="A178" zoomScale="110" zoomScaleNormal="110" workbookViewId="0">
      <selection activeCell="A222" sqref="A222"/>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14.42578125" customWidth="1"/>
    <col min="15" max="15" width="14.28515625" customWidth="1"/>
    <col min="16" max="16" width="9.5703125" customWidth="1"/>
    <col min="17" max="17" width="8.42578125" customWidth="1"/>
    <col min="18" max="18" width="10.5703125" customWidth="1"/>
    <col min="19" max="19" width="9" customWidth="1"/>
    <col min="20" max="20" width="13.85546875" customWidth="1"/>
    <col min="21" max="21" width="13" customWidth="1"/>
  </cols>
  <sheetData>
    <row r="1" spans="1:20" s="82" customFormat="1" ht="18.75" customHeight="1" x14ac:dyDescent="0.25">
      <c r="A1" s="294" t="s">
        <v>67</v>
      </c>
      <c r="B1" s="294"/>
      <c r="C1" s="294"/>
      <c r="D1" s="294"/>
      <c r="E1" s="294"/>
      <c r="F1" s="294"/>
      <c r="G1" s="294"/>
      <c r="H1" s="294"/>
      <c r="I1" s="294"/>
      <c r="J1" s="294"/>
      <c r="K1" s="294"/>
      <c r="L1" s="294"/>
      <c r="M1" s="294"/>
      <c r="N1" s="294"/>
      <c r="O1" s="294"/>
      <c r="P1" s="294"/>
      <c r="Q1" s="294"/>
      <c r="R1" s="294"/>
      <c r="S1" s="294"/>
      <c r="T1" s="294"/>
    </row>
    <row r="2" spans="1:20" ht="15" customHeight="1" x14ac:dyDescent="0.25">
      <c r="A2" s="294"/>
      <c r="B2" s="294"/>
      <c r="C2" s="294"/>
      <c r="D2" s="294"/>
      <c r="E2" s="294"/>
      <c r="F2" s="294"/>
      <c r="G2" s="294"/>
      <c r="H2" s="294"/>
      <c r="I2" s="294"/>
      <c r="J2" s="294"/>
      <c r="K2" s="294"/>
      <c r="L2" s="294"/>
      <c r="M2" s="294"/>
      <c r="N2" s="294"/>
      <c r="O2" s="294"/>
      <c r="P2" s="294"/>
      <c r="Q2" s="294"/>
      <c r="R2" s="294"/>
      <c r="S2" s="294"/>
      <c r="T2" s="294"/>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265" t="s">
        <v>61</v>
      </c>
      <c r="B5" s="265"/>
      <c r="C5" s="265"/>
      <c r="D5" s="265"/>
      <c r="E5" s="265"/>
      <c r="F5" s="265"/>
      <c r="G5" s="265"/>
      <c r="H5" s="265"/>
      <c r="I5" s="265"/>
      <c r="J5" s="265"/>
      <c r="K5" s="265"/>
      <c r="L5" s="265"/>
      <c r="M5" s="265"/>
      <c r="N5" s="265"/>
      <c r="O5" s="265"/>
      <c r="P5" s="265"/>
      <c r="Q5" s="265"/>
      <c r="R5" s="265"/>
      <c r="S5" s="265"/>
      <c r="T5" s="265"/>
    </row>
    <row r="6" spans="1:20" s="83" customFormat="1" ht="15.75" thickBot="1" x14ac:dyDescent="0.3">
      <c r="A6" s="265"/>
      <c r="B6" s="265"/>
      <c r="C6" s="265"/>
      <c r="D6" s="265"/>
      <c r="E6" s="265"/>
      <c r="F6" s="265"/>
      <c r="G6" s="265"/>
      <c r="H6" s="265"/>
      <c r="I6" s="265"/>
      <c r="J6" s="265"/>
      <c r="K6" s="265"/>
      <c r="L6" s="265"/>
      <c r="M6" s="265"/>
      <c r="N6" s="265"/>
      <c r="O6" s="265"/>
      <c r="P6" s="265"/>
      <c r="Q6" s="265"/>
      <c r="R6" s="265"/>
      <c r="S6" s="265"/>
      <c r="T6" s="265"/>
    </row>
    <row r="7" spans="1:20" ht="15.75" thickBot="1" x14ac:dyDescent="0.3">
      <c r="A7" s="227" t="s">
        <v>0</v>
      </c>
      <c r="B7" s="228"/>
      <c r="C7" s="228"/>
      <c r="D7" s="229"/>
      <c r="E7" s="235" t="s">
        <v>1</v>
      </c>
      <c r="F7" s="236"/>
      <c r="G7" s="249"/>
      <c r="H7" s="227" t="s">
        <v>2</v>
      </c>
      <c r="I7" s="228"/>
      <c r="J7" s="228"/>
      <c r="K7" s="229"/>
      <c r="L7" s="227" t="s">
        <v>32</v>
      </c>
      <c r="M7" s="228"/>
      <c r="N7" s="229"/>
    </row>
    <row r="8" spans="1:20" ht="45" customHeight="1" thickBot="1" x14ac:dyDescent="0.3">
      <c r="A8" s="112" t="s">
        <v>3</v>
      </c>
      <c r="B8" s="113" t="s">
        <v>33</v>
      </c>
      <c r="C8" s="113" t="s">
        <v>34</v>
      </c>
      <c r="D8" s="114" t="s">
        <v>4</v>
      </c>
      <c r="E8" s="112" t="s">
        <v>5</v>
      </c>
      <c r="F8" s="113" t="s">
        <v>6</v>
      </c>
      <c r="G8" s="114"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0</v>
      </c>
      <c r="G9" s="8">
        <f>IF(E9&gt;0,IF(E9=B9,D9,IF(AND(E9&gt;B9,E9&lt;=C9),0+(E9-B9)*((D9-0)/(C9-B9)),0)),0)</f>
        <v>0</v>
      </c>
      <c r="H9" s="14">
        <f>IF(AND(MIN(B$30,B$33)&gt;B9,MIN(B$30,B$33)&lt;=C9),MIN(B$30,B$33),0)</f>
        <v>45</v>
      </c>
      <c r="I9" s="15">
        <f>IF(AND(B$35&gt;B9,B$35&lt;=C9),B$35,0)</f>
        <v>45</v>
      </c>
      <c r="J9" s="9">
        <f>IF(B30&gt;0,D9,0)</f>
        <v>20</v>
      </c>
      <c r="K9" s="9">
        <f>IF(H9&gt;0,IF(H9=B9,D9,IF(AND(H9&gt;B9,H9&lt;=C9),D9+(H9-B9)*((D9-D9)/(C9-B9)),0)),0)</f>
        <v>20</v>
      </c>
      <c r="L9" s="14">
        <f>IF(AND(B30&gt;B9,B30&lt;=C9),B30,0)</f>
        <v>45</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235" t="s">
        <v>39</v>
      </c>
      <c r="B13" s="236"/>
      <c r="C13" s="236"/>
      <c r="D13" s="236"/>
      <c r="E13" s="236"/>
      <c r="F13" s="249"/>
      <c r="H13" s="268" t="s">
        <v>40</v>
      </c>
      <c r="I13" s="269"/>
      <c r="J13" s="269"/>
      <c r="K13" s="269"/>
      <c r="L13" s="269"/>
      <c r="M13" s="270"/>
      <c r="O13" s="268" t="s">
        <v>41</v>
      </c>
      <c r="P13" s="269"/>
      <c r="Q13" s="269"/>
      <c r="R13" s="269"/>
      <c r="S13" s="269"/>
      <c r="T13" s="270"/>
    </row>
    <row r="14" spans="1:20" ht="30.75" thickBot="1" x14ac:dyDescent="0.3">
      <c r="A14" s="109" t="s">
        <v>3</v>
      </c>
      <c r="B14" s="113" t="s">
        <v>33</v>
      </c>
      <c r="C14" s="113" t="s">
        <v>34</v>
      </c>
      <c r="D14" s="113" t="s">
        <v>36</v>
      </c>
      <c r="E14" s="113" t="s">
        <v>7</v>
      </c>
      <c r="F14" s="114" t="s">
        <v>48</v>
      </c>
      <c r="H14" s="109" t="s">
        <v>3</v>
      </c>
      <c r="I14" s="113" t="s">
        <v>33</v>
      </c>
      <c r="J14" s="113" t="s">
        <v>34</v>
      </c>
      <c r="K14" s="113" t="s">
        <v>36</v>
      </c>
      <c r="L14" s="113" t="s">
        <v>47</v>
      </c>
      <c r="M14" s="114" t="s">
        <v>48</v>
      </c>
      <c r="O14" s="75" t="s">
        <v>3</v>
      </c>
      <c r="P14" s="67" t="s">
        <v>33</v>
      </c>
      <c r="Q14" s="67" t="s">
        <v>34</v>
      </c>
      <c r="R14" s="67" t="s">
        <v>36</v>
      </c>
      <c r="S14" s="67" t="s">
        <v>7</v>
      </c>
      <c r="T14" s="107" t="s">
        <v>48</v>
      </c>
    </row>
    <row r="15" spans="1:20" x14ac:dyDescent="0.25">
      <c r="A15" s="4">
        <v>1</v>
      </c>
      <c r="B15" s="5">
        <v>0</v>
      </c>
      <c r="C15" s="5">
        <f>IF(AND(B23&gt;B9,B23&lt;C9),B23,IF(B23&gt;=C9,C9,0))</f>
        <v>0</v>
      </c>
      <c r="D15" s="29">
        <f>MIN(D9,F9)</f>
        <v>0</v>
      </c>
      <c r="E15" s="29">
        <f>IF(AND(B$23&gt;B9,B$23&lt;C9),G9,IF(B$23&gt;=C9,D9,0))</f>
        <v>0</v>
      </c>
      <c r="F15" s="30">
        <f>(C15-B15)*(D15+E15)/2</f>
        <v>0</v>
      </c>
      <c r="H15" s="4">
        <v>1</v>
      </c>
      <c r="I15" s="5">
        <v>0</v>
      </c>
      <c r="J15" s="5">
        <f>IF(AND(MAX(I$9:I$11)&gt;B9,MAX(I$9:I$11)&lt;C9),MAX(I$9:I$11),IF(MAX(I$9:I$11)&gt;=C9,C9,0))</f>
        <v>45</v>
      </c>
      <c r="K15" s="29">
        <f>MIN(D9,J9)</f>
        <v>20</v>
      </c>
      <c r="L15" s="29">
        <f>IF(AND(MAX(I$9:I$11)&gt;B9,MAX(I$9:I$11)&lt;C9),K9,IF(MAX(I$9:I$11)&gt;=C9,D9,0))</f>
        <v>20</v>
      </c>
      <c r="M15" s="30">
        <f>(J15-I15)*(K15+L15)/2</f>
        <v>900</v>
      </c>
      <c r="O15" s="75">
        <v>1</v>
      </c>
      <c r="P15" s="5">
        <v>0</v>
      </c>
      <c r="Q15" s="5">
        <f>IF(AND(B$30&gt;B9,B$30&lt;C9),B$30,IF(B$30&gt;=C9,C9,0))</f>
        <v>45</v>
      </c>
      <c r="R15" s="29">
        <f>MIN(D9,M9)</f>
        <v>20</v>
      </c>
      <c r="S15" s="29">
        <f>IF(AND(B$30&gt;B9,B$30&lt;C9),N9,IF(B$30&gt;=C9,D9,0))</f>
        <v>20</v>
      </c>
      <c r="T15" s="30">
        <f>(Q15-P15)*(R15+S15)/2</f>
        <v>900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0</v>
      </c>
      <c r="H19" s="24"/>
      <c r="I19" s="18"/>
      <c r="J19" s="18"/>
      <c r="K19" s="21"/>
      <c r="L19" s="21"/>
      <c r="M19" s="31">
        <f>SUM(M15:M18)</f>
        <v>900</v>
      </c>
      <c r="O19" s="24"/>
      <c r="P19" s="18"/>
      <c r="Q19" s="18"/>
      <c r="R19" s="21"/>
      <c r="S19" s="21"/>
      <c r="T19" s="31">
        <f>SUM(T15:T18)</f>
        <v>900</v>
      </c>
    </row>
    <row r="20" spans="1:20" ht="9.75" customHeight="1" thickBot="1" x14ac:dyDescent="0.3"/>
    <row r="21" spans="1:20" ht="15.75" customHeight="1" thickBot="1" x14ac:dyDescent="0.3">
      <c r="A21" s="266" t="s">
        <v>37</v>
      </c>
      <c r="B21" s="266"/>
      <c r="C21" s="266"/>
      <c r="D21" s="267"/>
      <c r="E21" s="277" t="s">
        <v>44</v>
      </c>
      <c r="F21" s="278"/>
      <c r="G21" s="278"/>
      <c r="H21" s="278"/>
      <c r="I21" s="278"/>
      <c r="J21" s="278"/>
      <c r="K21" s="278"/>
      <c r="L21" s="278"/>
      <c r="M21" s="279"/>
      <c r="O21" s="274" t="s">
        <v>42</v>
      </c>
      <c r="P21" s="275"/>
      <c r="Q21" s="275"/>
      <c r="R21" s="275"/>
      <c r="S21" s="275"/>
      <c r="T21" s="276"/>
    </row>
    <row r="22" spans="1:20" ht="15.75" thickBot="1" x14ac:dyDescent="0.3">
      <c r="A22" s="263" t="s">
        <v>10</v>
      </c>
      <c r="B22" s="264"/>
      <c r="E22" s="227" t="s">
        <v>11</v>
      </c>
      <c r="F22" s="228"/>
      <c r="G22" s="228"/>
      <c r="H22" s="228"/>
      <c r="I22" s="228"/>
      <c r="J22" s="228"/>
      <c r="K22" s="228"/>
      <c r="L22" s="228"/>
      <c r="M22" s="229"/>
      <c r="O22" s="271" t="s">
        <v>11</v>
      </c>
      <c r="P22" s="272"/>
      <c r="Q22" s="272"/>
      <c r="R22" s="272"/>
      <c r="S22" s="272"/>
      <c r="T22" s="273"/>
    </row>
    <row r="23" spans="1:20" x14ac:dyDescent="0.25">
      <c r="A23" s="4" t="s">
        <v>5</v>
      </c>
      <c r="B23" s="13">
        <v>0</v>
      </c>
      <c r="E23" s="261" t="s">
        <v>12</v>
      </c>
      <c r="F23" s="262"/>
      <c r="G23" s="262"/>
      <c r="H23" s="262"/>
      <c r="I23" s="99"/>
      <c r="J23" s="10"/>
      <c r="K23" s="10"/>
      <c r="L23" s="10"/>
      <c r="M23" s="26"/>
      <c r="O23" s="16" t="s">
        <v>12</v>
      </c>
      <c r="P23" s="29"/>
      <c r="Q23" s="5"/>
      <c r="R23" s="5"/>
      <c r="S23" s="5"/>
      <c r="T23" s="13"/>
    </row>
    <row r="24" spans="1:20" ht="15.75" thickBot="1" x14ac:dyDescent="0.3">
      <c r="A24" s="17" t="s">
        <v>13</v>
      </c>
      <c r="B24" s="19">
        <v>0</v>
      </c>
      <c r="E24" s="240" t="s">
        <v>14</v>
      </c>
      <c r="F24" s="241"/>
      <c r="G24" s="241"/>
      <c r="H24" s="241"/>
      <c r="I24" s="42">
        <f>B23*B24</f>
        <v>0</v>
      </c>
      <c r="J24" s="5"/>
      <c r="K24" s="5"/>
      <c r="L24" s="5"/>
      <c r="M24" s="13"/>
      <c r="O24" s="245" t="s">
        <v>14</v>
      </c>
      <c r="P24" s="246"/>
      <c r="Q24" s="246"/>
      <c r="R24" s="246"/>
      <c r="S24" s="246"/>
      <c r="T24" s="56">
        <f>I24</f>
        <v>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240" t="s">
        <v>15</v>
      </c>
      <c r="F27" s="241"/>
      <c r="G27" s="241"/>
      <c r="H27" s="241"/>
      <c r="I27" s="43">
        <f>M28</f>
        <v>0</v>
      </c>
      <c r="J27" s="5"/>
      <c r="K27" s="35" t="s">
        <v>16</v>
      </c>
      <c r="L27" s="36">
        <f>F19</f>
        <v>0</v>
      </c>
      <c r="M27" s="105" t="s">
        <v>17</v>
      </c>
      <c r="O27" s="245" t="s">
        <v>15</v>
      </c>
      <c r="P27" s="246"/>
      <c r="Q27" s="246"/>
      <c r="R27" s="246"/>
      <c r="S27" s="246"/>
      <c r="T27" s="88">
        <f>I27</f>
        <v>0</v>
      </c>
    </row>
    <row r="28" spans="1:20" ht="15.75" thickBot="1" x14ac:dyDescent="0.3">
      <c r="A28" s="266" t="s">
        <v>37</v>
      </c>
      <c r="B28" s="266"/>
      <c r="C28" s="266"/>
      <c r="D28" s="267"/>
      <c r="E28" s="85"/>
      <c r="F28" s="86"/>
      <c r="G28" s="86"/>
      <c r="H28" s="86"/>
      <c r="I28" s="5"/>
      <c r="J28" s="5"/>
      <c r="K28" s="37" t="s">
        <v>18</v>
      </c>
      <c r="L28" s="38">
        <f>I24</f>
        <v>0</v>
      </c>
      <c r="M28" s="39">
        <f>MAX(L27-L28,0)</f>
        <v>0</v>
      </c>
      <c r="O28" s="16"/>
      <c r="P28" s="5"/>
      <c r="Q28" s="5"/>
      <c r="R28" s="5"/>
      <c r="S28" s="5"/>
      <c r="T28" s="13"/>
    </row>
    <row r="29" spans="1:20" x14ac:dyDescent="0.25">
      <c r="A29" s="263" t="s">
        <v>22</v>
      </c>
      <c r="B29" s="264"/>
      <c r="E29" s="240" t="str">
        <f>"DA Incremental Cost @ DA MW ("&amp;$B23&amp;" MW)"</f>
        <v>DA Incremental Cost @ DA MW (0 MW)</v>
      </c>
      <c r="F29" s="241"/>
      <c r="G29" s="241"/>
      <c r="H29" s="241"/>
      <c r="I29" s="44">
        <f>F19</f>
        <v>0</v>
      </c>
      <c r="J29" s="5"/>
      <c r="K29" s="29"/>
      <c r="L29" s="5"/>
      <c r="M29" s="13"/>
      <c r="O29" s="245" t="str">
        <f>"DA Incremental Cost @ DA MW ("&amp;$B23&amp;" MW)"</f>
        <v>DA Incremental Cost @ DA MW (0 MW)</v>
      </c>
      <c r="P29" s="246"/>
      <c r="Q29" s="246"/>
      <c r="R29" s="246"/>
      <c r="S29" s="246"/>
      <c r="T29" s="89">
        <f>I29</f>
        <v>0</v>
      </c>
    </row>
    <row r="30" spans="1:20" x14ac:dyDescent="0.25">
      <c r="A30" s="16" t="s">
        <v>43</v>
      </c>
      <c r="B30" s="13">
        <v>45</v>
      </c>
      <c r="E30" s="85"/>
      <c r="F30" s="86"/>
      <c r="G30" s="86"/>
      <c r="H30" s="86"/>
      <c r="I30" s="5"/>
      <c r="J30" s="5"/>
      <c r="K30" s="5"/>
      <c r="L30" s="29"/>
      <c r="M30" s="13"/>
      <c r="O30" s="16"/>
      <c r="P30" s="5"/>
      <c r="Q30" s="5"/>
      <c r="R30" s="5"/>
      <c r="S30" s="5"/>
      <c r="T30" s="13"/>
    </row>
    <row r="31" spans="1:20" ht="15.75" thickBot="1" x14ac:dyDescent="0.3">
      <c r="A31" s="16" t="s">
        <v>13</v>
      </c>
      <c r="B31" s="6">
        <v>0</v>
      </c>
      <c r="D31" s="32"/>
      <c r="E31" s="240" t="s">
        <v>19</v>
      </c>
      <c r="F31" s="241"/>
      <c r="G31" s="241"/>
      <c r="H31" s="241"/>
      <c r="I31" s="40">
        <f>I24+I27-I29</f>
        <v>0</v>
      </c>
      <c r="J31" s="5"/>
      <c r="K31" s="29"/>
      <c r="L31" s="45"/>
      <c r="M31" s="13"/>
      <c r="O31" s="245" t="s">
        <v>19</v>
      </c>
      <c r="P31" s="246"/>
      <c r="Q31" s="246"/>
      <c r="R31" s="246"/>
      <c r="S31" s="246"/>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45</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45</v>
      </c>
      <c r="E35" s="227" t="s">
        <v>20</v>
      </c>
      <c r="F35" s="228"/>
      <c r="G35" s="228"/>
      <c r="H35" s="228"/>
      <c r="I35" s="228"/>
      <c r="J35" s="228"/>
      <c r="K35" s="228"/>
      <c r="L35" s="228"/>
      <c r="M35" s="229"/>
      <c r="N35" s="5"/>
      <c r="O35" s="227" t="s">
        <v>20</v>
      </c>
      <c r="P35" s="228"/>
      <c r="Q35" s="228"/>
      <c r="R35" s="228"/>
      <c r="S35" s="228"/>
      <c r="T35" s="229"/>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240" t="s">
        <v>21</v>
      </c>
      <c r="F37" s="241"/>
      <c r="G37" s="241"/>
      <c r="H37" s="241"/>
      <c r="I37" s="29">
        <f>(B30-B23)*B31</f>
        <v>0</v>
      </c>
      <c r="J37" s="29"/>
      <c r="K37" s="29"/>
      <c r="L37" s="29"/>
      <c r="M37" s="13"/>
      <c r="N37" s="5"/>
      <c r="O37" s="245" t="s">
        <v>21</v>
      </c>
      <c r="P37" s="246"/>
      <c r="Q37" s="246"/>
      <c r="R37" s="246"/>
      <c r="S37" s="246"/>
      <c r="T37" s="30">
        <f>I37</f>
        <v>0</v>
      </c>
    </row>
    <row r="38" spans="1:20" ht="15.75" thickBot="1" x14ac:dyDescent="0.3">
      <c r="E38" s="85"/>
      <c r="F38" s="86"/>
      <c r="G38" s="86"/>
      <c r="H38" s="86"/>
      <c r="I38" s="5"/>
      <c r="J38" s="5"/>
      <c r="K38" s="5"/>
      <c r="L38" s="5"/>
      <c r="M38" s="30"/>
      <c r="N38" s="5"/>
      <c r="O38" s="16"/>
      <c r="P38" s="5"/>
      <c r="Q38" s="5"/>
      <c r="R38" s="5"/>
      <c r="S38" s="5"/>
      <c r="T38" s="13"/>
    </row>
    <row r="39" spans="1:20" x14ac:dyDescent="0.25">
      <c r="E39" s="240" t="s">
        <v>23</v>
      </c>
      <c r="F39" s="241"/>
      <c r="G39" s="241"/>
      <c r="H39" s="241"/>
      <c r="I39" s="29">
        <f>MAX(M44*-1,0)</f>
        <v>900</v>
      </c>
      <c r="J39" s="29"/>
      <c r="K39" s="256" t="s">
        <v>30</v>
      </c>
      <c r="L39" s="257"/>
      <c r="M39" s="258"/>
      <c r="N39" s="5"/>
      <c r="O39" s="245" t="s">
        <v>23</v>
      </c>
      <c r="P39" s="246"/>
      <c r="Q39" s="246"/>
      <c r="R39" s="246"/>
      <c r="S39" s="246"/>
      <c r="T39" s="30">
        <f>I39</f>
        <v>900</v>
      </c>
    </row>
    <row r="40" spans="1:20" x14ac:dyDescent="0.25">
      <c r="E40" s="92"/>
      <c r="F40" s="67"/>
      <c r="G40" s="67"/>
      <c r="H40" s="67"/>
      <c r="I40" s="76"/>
      <c r="J40" s="76"/>
      <c r="K40" s="259" t="s">
        <v>24</v>
      </c>
      <c r="L40" s="260"/>
      <c r="M40" s="56">
        <f>I24</f>
        <v>0</v>
      </c>
      <c r="N40" s="5"/>
      <c r="O40" s="75"/>
      <c r="P40" s="76"/>
      <c r="Q40" s="76"/>
      <c r="R40" s="76"/>
      <c r="S40" s="76"/>
      <c r="T40" s="77"/>
    </row>
    <row r="41" spans="1:20" ht="30" customHeight="1" x14ac:dyDescent="0.25">
      <c r="E41" s="291" t="str">
        <f>"Incremental Cost @ RT MW Used ("&amp;$B35&amp;" MW)"</f>
        <v>Incremental Cost @ RT MW Used (45 MW)</v>
      </c>
      <c r="F41" s="292"/>
      <c r="G41" s="292"/>
      <c r="H41" s="292"/>
      <c r="I41" s="8">
        <f>M43</f>
        <v>900</v>
      </c>
      <c r="J41" s="8"/>
      <c r="K41" s="259" t="s">
        <v>17</v>
      </c>
      <c r="L41" s="260"/>
      <c r="M41" s="56">
        <f>I27</f>
        <v>0</v>
      </c>
      <c r="N41" s="5"/>
      <c r="O41" s="245" t="str">
        <f>"Incremental Cost @ Actual RT MW ("&amp;$B30&amp;" MW)"</f>
        <v>Incremental Cost @ Actual RT MW (45 MW)</v>
      </c>
      <c r="P41" s="246"/>
      <c r="Q41" s="246"/>
      <c r="R41" s="246"/>
      <c r="S41" s="246"/>
      <c r="T41" s="6">
        <f>T19</f>
        <v>900</v>
      </c>
    </row>
    <row r="42" spans="1:20" x14ac:dyDescent="0.25">
      <c r="E42" s="93"/>
      <c r="F42" s="100"/>
      <c r="G42" s="100"/>
      <c r="H42" s="100"/>
      <c r="I42" s="48"/>
      <c r="J42" s="48"/>
      <c r="K42" s="289" t="s">
        <v>25</v>
      </c>
      <c r="L42" s="290"/>
      <c r="M42" s="30">
        <f>(B34-B23)*B31</f>
        <v>0</v>
      </c>
      <c r="N42" s="5"/>
      <c r="O42" s="47"/>
      <c r="P42" s="87"/>
      <c r="Q42" s="87"/>
      <c r="R42" s="87"/>
      <c r="S42" s="87"/>
      <c r="T42" s="90"/>
    </row>
    <row r="43" spans="1:20" ht="15.75" thickBot="1" x14ac:dyDescent="0.3">
      <c r="E43" s="287" t="s">
        <v>26</v>
      </c>
      <c r="F43" s="288"/>
      <c r="G43" s="288"/>
      <c r="H43" s="288"/>
      <c r="I43" s="50">
        <f>I24+I27+I37+I39-I41</f>
        <v>0</v>
      </c>
      <c r="J43" s="104"/>
      <c r="K43" s="245" t="s">
        <v>46</v>
      </c>
      <c r="L43" s="246"/>
      <c r="M43" s="30">
        <f>M19</f>
        <v>900</v>
      </c>
      <c r="N43" s="5"/>
      <c r="O43" s="245" t="s">
        <v>26</v>
      </c>
      <c r="P43" s="246"/>
      <c r="Q43" s="246"/>
      <c r="R43" s="246"/>
      <c r="S43" s="246"/>
      <c r="T43" s="91">
        <f>T24+T27+T37+T39-T41</f>
        <v>0</v>
      </c>
    </row>
    <row r="44" spans="1:20" ht="30.75" customHeight="1" thickTop="1" thickBot="1" x14ac:dyDescent="0.3">
      <c r="E44" s="49"/>
      <c r="F44" s="8"/>
      <c r="G44" s="8"/>
      <c r="H44" s="8"/>
      <c r="I44" s="8"/>
      <c r="J44" s="8"/>
      <c r="K44" s="247" t="s">
        <v>70</v>
      </c>
      <c r="L44" s="248"/>
      <c r="M44" s="103">
        <f>M40+M41+M42-M43</f>
        <v>-900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286" t="s">
        <v>57</v>
      </c>
      <c r="B56" s="286"/>
      <c r="C56" s="286"/>
      <c r="D56" s="286"/>
      <c r="E56" s="286"/>
      <c r="F56" s="286"/>
      <c r="G56" s="286"/>
      <c r="H56" s="286"/>
      <c r="I56" s="286"/>
      <c r="J56" s="286"/>
      <c r="K56" s="286"/>
      <c r="L56" s="286"/>
      <c r="M56" s="286"/>
      <c r="N56" s="286"/>
      <c r="O56" s="286"/>
      <c r="P56" s="286"/>
      <c r="Q56" s="286"/>
      <c r="R56" s="286"/>
      <c r="S56" s="286"/>
      <c r="T56" s="286"/>
      <c r="U56" s="95"/>
      <c r="V56" s="95"/>
      <c r="W56" s="95"/>
    </row>
    <row r="57" spans="1:23" s="83" customFormat="1" ht="24" customHeight="1" thickBot="1" x14ac:dyDescent="0.3">
      <c r="A57" s="286"/>
      <c r="B57" s="286"/>
      <c r="C57" s="286"/>
      <c r="D57" s="286"/>
      <c r="E57" s="286"/>
      <c r="F57" s="286"/>
      <c r="G57" s="286"/>
      <c r="H57" s="286"/>
      <c r="I57" s="286"/>
      <c r="J57" s="286"/>
      <c r="K57" s="286"/>
      <c r="L57" s="286"/>
      <c r="M57" s="286"/>
      <c r="N57" s="286"/>
      <c r="O57" s="286"/>
      <c r="P57" s="286"/>
      <c r="Q57" s="286"/>
      <c r="R57" s="286"/>
      <c r="S57" s="286"/>
      <c r="T57" s="286"/>
      <c r="U57" s="95"/>
      <c r="V57" s="95"/>
      <c r="W57" s="95"/>
    </row>
    <row r="58" spans="1:23" ht="15.75" thickBot="1" x14ac:dyDescent="0.3">
      <c r="A58" s="250" t="s">
        <v>0</v>
      </c>
      <c r="B58" s="251"/>
      <c r="C58" s="251"/>
      <c r="D58" s="252"/>
      <c r="E58" s="235" t="s">
        <v>1</v>
      </c>
      <c r="F58" s="236"/>
      <c r="G58" s="249"/>
      <c r="H58" s="227" t="s">
        <v>2</v>
      </c>
      <c r="I58" s="228"/>
      <c r="J58" s="228"/>
      <c r="K58" s="229"/>
      <c r="L58" s="227" t="s">
        <v>32</v>
      </c>
      <c r="M58" s="228"/>
      <c r="N58" s="229"/>
    </row>
    <row r="59" spans="1:23" ht="64.5" customHeight="1" thickBot="1" x14ac:dyDescent="0.3">
      <c r="A59" s="109" t="s">
        <v>3</v>
      </c>
      <c r="B59" s="113" t="s">
        <v>33</v>
      </c>
      <c r="C59" s="113" t="s">
        <v>34</v>
      </c>
      <c r="D59" s="110" t="s">
        <v>4</v>
      </c>
      <c r="E59" s="109" t="s">
        <v>5</v>
      </c>
      <c r="F59" s="113" t="s">
        <v>6</v>
      </c>
      <c r="G59" s="114" t="s">
        <v>7</v>
      </c>
      <c r="H59" s="69" t="s">
        <v>38</v>
      </c>
      <c r="I59" s="65" t="s">
        <v>53</v>
      </c>
      <c r="J59" s="65" t="s">
        <v>6</v>
      </c>
      <c r="K59" s="66" t="s">
        <v>7</v>
      </c>
      <c r="L59" s="111" t="s">
        <v>5</v>
      </c>
      <c r="M59" s="65" t="s">
        <v>49</v>
      </c>
      <c r="N59" s="66" t="s">
        <v>47</v>
      </c>
    </row>
    <row r="60" spans="1:23" x14ac:dyDescent="0.25">
      <c r="A60" s="4">
        <v>1</v>
      </c>
      <c r="B60" s="5">
        <v>0</v>
      </c>
      <c r="C60" s="5">
        <v>50</v>
      </c>
      <c r="D60" s="6">
        <v>20</v>
      </c>
      <c r="E60" s="7">
        <f>IF(AND(B$74&gt;B60,B$74&lt;=C60),B$74,0)</f>
        <v>0</v>
      </c>
      <c r="F60" s="8">
        <f>IF(B74&gt;0,D60,0)</f>
        <v>0</v>
      </c>
      <c r="G60" s="8">
        <f>IF(E60&gt;0,IF(E60=B60,D60,IF(AND(E60&gt;B60,E60&lt;=C60),D60+(E60-B60)*((D60-D60)/(C60-B60)),0)),0)</f>
        <v>0</v>
      </c>
      <c r="H60" s="14">
        <f>IF(AND(MIN(B$81,B$84)&gt;B60,MIN(B$81,B$84)&lt;=C60),MIN(B$81,B$84),0)</f>
        <v>45</v>
      </c>
      <c r="I60" s="15">
        <f>IF(AND(B$86&gt;B60,B$86&lt;=C60),B$86,0)</f>
        <v>45</v>
      </c>
      <c r="J60" s="9">
        <f>IF(B81&gt;0,D60,0)</f>
        <v>20</v>
      </c>
      <c r="K60" s="11">
        <f>IF(H60&gt;0,IF(H60=B60,D60,IF(AND(H60&gt;B60,H60&lt;=C60),D60+(H60-B60)*((D60-D60)/(C60-B60)),0)),0)</f>
        <v>20</v>
      </c>
      <c r="L60" s="14">
        <f>IF(AND(B81&gt;B60,B81&lt;=C60),B81,0)</f>
        <v>45</v>
      </c>
      <c r="M60" s="9">
        <f>IF(B81&gt;0,D60,0)</f>
        <v>20</v>
      </c>
      <c r="N60" s="11">
        <f>IF(L60&gt;0,IF(L60=B60,D60,IF(AND(L60&gt;B60,L60&lt;=C60),D60+(L60-B60)*((D60-D60)/(C60-B60)),0)),0)</f>
        <v>20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0</v>
      </c>
      <c r="I61" s="12">
        <f t="shared" ref="I61:I62" si="7">IF(AND(B$86&gt;B61,B$86&lt;=C61),B$86,0)</f>
        <v>0</v>
      </c>
      <c r="J61" s="5">
        <v>0</v>
      </c>
      <c r="K61" s="6">
        <f>IF(H61&gt;0,IF(H61=B61,D61,IF(AND(H61&gt;B61,H61&lt;=C61),D60+(H61-B61)*((D61-D60)/(C61-B61)),0)),0)</f>
        <v>0</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0</v>
      </c>
      <c r="M62" s="21">
        <v>0</v>
      </c>
      <c r="N62" s="19">
        <f>IF(L62&gt;0,IF(L62=B62,D62,IF(AND(L62&gt;B62,L62&lt;=C62),D62+(L62-B62)*((D62-D62)/(C62-B62)),0)),0)</f>
        <v>0</v>
      </c>
    </row>
    <row r="63" spans="1:23" ht="15.75" thickBot="1" x14ac:dyDescent="0.3">
      <c r="J63" s="25"/>
    </row>
    <row r="64" spans="1:23" ht="15.75" thickBot="1" x14ac:dyDescent="0.3">
      <c r="A64" s="227" t="s">
        <v>39</v>
      </c>
      <c r="B64" s="228"/>
      <c r="C64" s="228"/>
      <c r="D64" s="228"/>
      <c r="E64" s="228"/>
      <c r="F64" s="229"/>
      <c r="H64" s="253" t="s">
        <v>40</v>
      </c>
      <c r="I64" s="254"/>
      <c r="J64" s="254"/>
      <c r="K64" s="254"/>
      <c r="L64" s="254"/>
      <c r="M64" s="255"/>
      <c r="O64" s="253" t="s">
        <v>41</v>
      </c>
      <c r="P64" s="254"/>
      <c r="Q64" s="254"/>
      <c r="R64" s="254"/>
      <c r="S64" s="254"/>
      <c r="T64" s="255"/>
    </row>
    <row r="65" spans="1:20" ht="30.75" thickBot="1" x14ac:dyDescent="0.3">
      <c r="A65" s="112" t="s">
        <v>3</v>
      </c>
      <c r="B65" s="113" t="s">
        <v>33</v>
      </c>
      <c r="C65" s="113" t="s">
        <v>34</v>
      </c>
      <c r="D65" s="113" t="s">
        <v>49</v>
      </c>
      <c r="E65" s="113" t="s">
        <v>47</v>
      </c>
      <c r="F65" s="114" t="s">
        <v>48</v>
      </c>
      <c r="H65" s="112" t="s">
        <v>3</v>
      </c>
      <c r="I65" s="113" t="s">
        <v>50</v>
      </c>
      <c r="J65" s="113" t="s">
        <v>51</v>
      </c>
      <c r="K65" s="113" t="s">
        <v>49</v>
      </c>
      <c r="L65" s="113" t="s">
        <v>47</v>
      </c>
      <c r="M65" s="114" t="s">
        <v>48</v>
      </c>
      <c r="O65" s="112" t="s">
        <v>3</v>
      </c>
      <c r="P65" s="113" t="s">
        <v>33</v>
      </c>
      <c r="Q65" s="113" t="s">
        <v>34</v>
      </c>
      <c r="R65" s="113" t="s">
        <v>49</v>
      </c>
      <c r="S65" s="113" t="s">
        <v>47</v>
      </c>
      <c r="T65" s="114" t="s">
        <v>48</v>
      </c>
    </row>
    <row r="66" spans="1:20" x14ac:dyDescent="0.25">
      <c r="A66" s="4">
        <v>1</v>
      </c>
      <c r="B66" s="5">
        <v>0</v>
      </c>
      <c r="C66" s="5">
        <f>IF(AND(B74&gt;B60,B74&lt;C60),B74,IF(B74&gt;=C60,C60,0))</f>
        <v>0</v>
      </c>
      <c r="D66" s="29">
        <f>MIN(D60,F60)</f>
        <v>0</v>
      </c>
      <c r="E66" s="29">
        <f>IF(AND(B$74&gt;B60,B$74&lt;C60),G60,IF(B$74&gt;=C60,D60,0))</f>
        <v>0</v>
      </c>
      <c r="F66" s="30">
        <f>(C66-B66)*(D66+E66)/2</f>
        <v>0</v>
      </c>
      <c r="H66" s="4">
        <v>1</v>
      </c>
      <c r="I66" s="5">
        <v>0</v>
      </c>
      <c r="J66" s="5">
        <f>IF(AND(MAX(I$60:I$62)&gt;B60,MAX(I$60:I$62)&lt;C60),MAX(I$60:I$62),IF(MAX(I$60:I$62)&gt;=C60,C60,0))</f>
        <v>45</v>
      </c>
      <c r="K66" s="29">
        <f>MIN(D60,J60)</f>
        <v>20</v>
      </c>
      <c r="L66" s="29">
        <f>IF(AND(MAX(I$60:I$62)&gt;B60,MAX(I$60:I$62)&lt;C60),K60,IF(MAX(I$60:I$62)&gt;=C60,D60,0))</f>
        <v>20</v>
      </c>
      <c r="M66" s="30">
        <f>(J66-I66)*(K66+L66)/2</f>
        <v>900</v>
      </c>
      <c r="O66" s="4">
        <v>1</v>
      </c>
      <c r="P66" s="5">
        <v>0</v>
      </c>
      <c r="Q66" s="5">
        <f>IF(AND(B$81&gt;B60,B$81&lt;C60),B$81,IF(B$81&gt;=C60,C60,0))</f>
        <v>45</v>
      </c>
      <c r="R66" s="29">
        <f>MIN(D60,M60)</f>
        <v>20</v>
      </c>
      <c r="S66" s="29">
        <f>IF(AND(B$81&gt;B60,B$81&lt;C60),N60,IF(B$81&gt;=C60,D60,0))</f>
        <v>20</v>
      </c>
      <c r="T66" s="30">
        <f>(Q66-P66)*(R66+S66)/2</f>
        <v>900</v>
      </c>
    </row>
    <row r="67" spans="1:20" x14ac:dyDescent="0.25">
      <c r="A67" s="4">
        <v>2</v>
      </c>
      <c r="B67" s="5">
        <f>IF(B$23&gt;B61,C66,0)</f>
        <v>0</v>
      </c>
      <c r="C67" s="5">
        <f>IF(AND(B$74&gt;B61,B$74&lt;C61),B$74,IF(B$74&gt;=C61,C61,0))</f>
        <v>0</v>
      </c>
      <c r="D67" s="29">
        <f>IF(B67&lt;&gt;0,E66,0)</f>
        <v>0</v>
      </c>
      <c r="E67" s="29">
        <f>IF(AND(B$74&gt;B61,B$74&lt;C61),G61,IF(B$74&gt;=C61,D61,0))</f>
        <v>0</v>
      </c>
      <c r="F67" s="30">
        <f t="shared" ref="F67:F69" si="8">(C67-B67)*(D67+E67)/2</f>
        <v>0</v>
      </c>
      <c r="H67" s="4">
        <v>2</v>
      </c>
      <c r="I67" s="5">
        <f>IF(MAX(I$60:I$62)&gt;B61,C60,0)</f>
        <v>0</v>
      </c>
      <c r="J67" s="5">
        <f>IF(AND(MAX(I$60:I$62)&gt;B61,MAX(I$60:I$62)&lt;C61),MAX(I$60:I$62),IF(MAX(I$60:I$62)&gt;=C61,C61,0))</f>
        <v>0</v>
      </c>
      <c r="K67" s="29">
        <f>IF(I67&lt;&gt;0,L66,0)</f>
        <v>0</v>
      </c>
      <c r="L67" s="29">
        <f t="shared" ref="L67:L69" si="9">IF(AND(MAX(I$60:I$62)&gt;B61,MAX(I$60:I$62)&lt;C61),K61,IF(MAX(I$60:I$62)&gt;=C61,D61,0))</f>
        <v>0</v>
      </c>
      <c r="M67" s="30">
        <f t="shared" ref="M67:M69" si="10">(J67-I67)*(K67+L67)/2</f>
        <v>0</v>
      </c>
      <c r="O67" s="4">
        <v>2</v>
      </c>
      <c r="P67" s="5">
        <f>IF(B$81&gt;B61,Q66,0)</f>
        <v>0</v>
      </c>
      <c r="Q67" s="5">
        <f t="shared" ref="Q67:Q69" si="11">IF(AND(B$81&gt;B61,B$81&lt;C61),B$81,IF(B$81&gt;=C61,C61,0))</f>
        <v>0</v>
      </c>
      <c r="R67" s="29">
        <f>IF(P67&lt;&gt;0,S66,0)</f>
        <v>0</v>
      </c>
      <c r="S67" s="29">
        <f t="shared" ref="S67:S69" si="12">IF(AND(B$81&gt;B61,B$81&lt;C61),N61,IF(B$81&gt;=C61,D61,0))</f>
        <v>0</v>
      </c>
      <c r="T67" s="30">
        <f t="shared" ref="T67:T69" si="13">(Q67-P67)*(R67+S67)/2</f>
        <v>0</v>
      </c>
    </row>
    <row r="68" spans="1:20" x14ac:dyDescent="0.25">
      <c r="A68" s="4">
        <v>3</v>
      </c>
      <c r="B68" s="5">
        <f>IF(B$23&gt;B62,C67,0)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0</v>
      </c>
      <c r="Q68" s="5">
        <f t="shared" si="11"/>
        <v>0</v>
      </c>
      <c r="R68" s="29">
        <f>IF(P68&lt;&gt;0,S67,0)</f>
        <v>0</v>
      </c>
      <c r="S68" s="29">
        <f t="shared" si="12"/>
        <v>0</v>
      </c>
      <c r="T68" s="30">
        <f t="shared" si="13"/>
        <v>0</v>
      </c>
    </row>
    <row r="69" spans="1:20" x14ac:dyDescent="0.25">
      <c r="A69" s="4">
        <v>4</v>
      </c>
      <c r="B69" s="5">
        <f>IF(B$23&gt;B63,C68,0)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0</v>
      </c>
      <c r="H70" s="24"/>
      <c r="I70" s="18"/>
      <c r="J70" s="18"/>
      <c r="K70" s="21"/>
      <c r="L70" s="21"/>
      <c r="M70" s="31">
        <f>SUM(M66:M69)</f>
        <v>900</v>
      </c>
      <c r="O70" s="24"/>
      <c r="P70" s="18"/>
      <c r="Q70" s="18"/>
      <c r="R70" s="21"/>
      <c r="S70" s="21"/>
      <c r="T70" s="31">
        <f>SUM(T66:T69)</f>
        <v>900</v>
      </c>
    </row>
    <row r="71" spans="1:20" ht="15.75" thickBot="1" x14ac:dyDescent="0.3"/>
    <row r="72" spans="1:20" ht="15.75" customHeight="1" thickBot="1" x14ac:dyDescent="0.3">
      <c r="A72" s="68" t="s">
        <v>37</v>
      </c>
      <c r="E72" s="277" t="s">
        <v>44</v>
      </c>
      <c r="F72" s="278"/>
      <c r="G72" s="278"/>
      <c r="H72" s="278"/>
      <c r="I72" s="278"/>
      <c r="J72" s="278"/>
      <c r="K72" s="278"/>
      <c r="L72" s="278"/>
      <c r="M72" s="279"/>
      <c r="O72" s="274" t="s">
        <v>42</v>
      </c>
      <c r="P72" s="275"/>
      <c r="Q72" s="275"/>
      <c r="R72" s="275"/>
      <c r="S72" s="275"/>
      <c r="T72" s="276"/>
    </row>
    <row r="73" spans="1:20" ht="15.75" thickBot="1" x14ac:dyDescent="0.3">
      <c r="A73" s="263" t="s">
        <v>10</v>
      </c>
      <c r="B73" s="264"/>
      <c r="E73" s="227" t="s">
        <v>11</v>
      </c>
      <c r="F73" s="228"/>
      <c r="G73" s="228"/>
      <c r="H73" s="228"/>
      <c r="I73" s="228"/>
      <c r="J73" s="228"/>
      <c r="K73" s="228"/>
      <c r="L73" s="228"/>
      <c r="M73" s="229"/>
      <c r="O73" s="280" t="s">
        <v>11</v>
      </c>
      <c r="P73" s="281"/>
      <c r="Q73" s="281"/>
      <c r="R73" s="281"/>
      <c r="S73" s="281"/>
      <c r="T73" s="282"/>
    </row>
    <row r="74" spans="1:20" x14ac:dyDescent="0.25">
      <c r="A74" s="4" t="s">
        <v>5</v>
      </c>
      <c r="B74" s="13">
        <v>0</v>
      </c>
      <c r="E74" s="261" t="s">
        <v>12</v>
      </c>
      <c r="F74" s="262"/>
      <c r="G74" s="262"/>
      <c r="H74" s="262"/>
      <c r="I74" s="99"/>
      <c r="J74" s="10"/>
      <c r="K74" s="10"/>
      <c r="L74" s="10"/>
      <c r="M74" s="26"/>
      <c r="O74" s="16" t="s">
        <v>12</v>
      </c>
      <c r="P74" s="29"/>
      <c r="Q74" s="5"/>
      <c r="R74" s="5"/>
      <c r="S74" s="5"/>
      <c r="T74" s="13"/>
    </row>
    <row r="75" spans="1:20" ht="15.75" thickBot="1" x14ac:dyDescent="0.3">
      <c r="A75" s="17" t="s">
        <v>13</v>
      </c>
      <c r="B75" s="19">
        <v>0</v>
      </c>
      <c r="E75" s="240" t="s">
        <v>14</v>
      </c>
      <c r="F75" s="241"/>
      <c r="G75" s="241"/>
      <c r="H75" s="241"/>
      <c r="I75" s="42">
        <f>B74*B75</f>
        <v>0</v>
      </c>
      <c r="J75" s="5"/>
      <c r="K75" s="5"/>
      <c r="L75" s="5"/>
      <c r="M75" s="13"/>
      <c r="O75" s="245" t="s">
        <v>14</v>
      </c>
      <c r="P75" s="246"/>
      <c r="Q75" s="246"/>
      <c r="R75" s="246"/>
      <c r="S75" s="246"/>
      <c r="T75" s="56">
        <f>I75</f>
        <v>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240" t="s">
        <v>15</v>
      </c>
      <c r="F78" s="241"/>
      <c r="G78" s="241"/>
      <c r="H78" s="241"/>
      <c r="I78" s="43">
        <f>M79</f>
        <v>0</v>
      </c>
      <c r="J78" s="5"/>
      <c r="K78" s="35" t="s">
        <v>16</v>
      </c>
      <c r="L78" s="36">
        <f>F70</f>
        <v>0</v>
      </c>
      <c r="M78" s="105" t="s">
        <v>17</v>
      </c>
      <c r="O78" s="245" t="s">
        <v>15</v>
      </c>
      <c r="P78" s="246"/>
      <c r="Q78" s="246"/>
      <c r="R78" s="246"/>
      <c r="S78" s="246"/>
      <c r="T78" s="88">
        <f>I78</f>
        <v>0</v>
      </c>
    </row>
    <row r="79" spans="1:20" ht="15.75" thickBot="1" x14ac:dyDescent="0.3">
      <c r="A79" s="68" t="s">
        <v>37</v>
      </c>
      <c r="E79" s="85"/>
      <c r="F79" s="86"/>
      <c r="G79" s="86"/>
      <c r="H79" s="86"/>
      <c r="I79" s="5"/>
      <c r="J79" s="5"/>
      <c r="K79" s="37" t="s">
        <v>18</v>
      </c>
      <c r="L79" s="38">
        <f>I75</f>
        <v>0</v>
      </c>
      <c r="M79" s="39">
        <f>MAX(L78-L79,0)</f>
        <v>0</v>
      </c>
      <c r="O79" s="16"/>
      <c r="P79" s="5"/>
      <c r="Q79" s="5"/>
      <c r="R79" s="5"/>
      <c r="S79" s="5"/>
      <c r="T79" s="13"/>
    </row>
    <row r="80" spans="1:20" x14ac:dyDescent="0.25">
      <c r="A80" s="263" t="s">
        <v>22</v>
      </c>
      <c r="B80" s="264"/>
      <c r="E80" s="240" t="str">
        <f>"DA Incremental Cost @ DA MW ("&amp;$B74&amp;" MW)"</f>
        <v>DA Incremental Cost @ DA MW (0 MW)</v>
      </c>
      <c r="F80" s="241"/>
      <c r="G80" s="241"/>
      <c r="H80" s="241"/>
      <c r="I80" s="44">
        <f>F70</f>
        <v>0</v>
      </c>
      <c r="J80" s="5"/>
      <c r="K80" s="29"/>
      <c r="L80" s="5"/>
      <c r="M80" s="13"/>
      <c r="O80" s="245" t="str">
        <f>"DA Incremental Cost @ DA MW ("&amp;$B74&amp;" MW)"</f>
        <v>DA Incremental Cost @ DA MW (0 MW)</v>
      </c>
      <c r="P80" s="246"/>
      <c r="Q80" s="246"/>
      <c r="R80" s="246"/>
      <c r="S80" s="246"/>
      <c r="T80" s="89">
        <f>I80</f>
        <v>0</v>
      </c>
    </row>
    <row r="81" spans="1:20" x14ac:dyDescent="0.25">
      <c r="A81" s="16" t="s">
        <v>43</v>
      </c>
      <c r="B81" s="13">
        <v>45</v>
      </c>
      <c r="E81" s="85"/>
      <c r="F81" s="86"/>
      <c r="G81" s="86"/>
      <c r="H81" s="86"/>
      <c r="I81" s="5"/>
      <c r="J81" s="5"/>
      <c r="K81" s="5"/>
      <c r="L81" s="29"/>
      <c r="M81" s="13"/>
      <c r="O81" s="16"/>
      <c r="P81" s="5"/>
      <c r="Q81" s="5"/>
      <c r="R81" s="5"/>
      <c r="S81" s="5"/>
      <c r="T81" s="13"/>
    </row>
    <row r="82" spans="1:20" ht="15.75" thickBot="1" x14ac:dyDescent="0.3">
      <c r="A82" s="16" t="s">
        <v>13</v>
      </c>
      <c r="B82" s="6">
        <v>0</v>
      </c>
      <c r="D82" s="32"/>
      <c r="E82" s="240" t="s">
        <v>19</v>
      </c>
      <c r="F82" s="241"/>
      <c r="G82" s="241"/>
      <c r="H82" s="241"/>
      <c r="I82" s="40">
        <f>I75+I78-I80</f>
        <v>0</v>
      </c>
      <c r="J82" s="5"/>
      <c r="K82" s="29"/>
      <c r="L82" s="45"/>
      <c r="M82" s="13"/>
      <c r="O82" s="245" t="s">
        <v>19</v>
      </c>
      <c r="P82" s="246"/>
      <c r="Q82" s="246"/>
      <c r="R82" s="246"/>
      <c r="S82" s="246"/>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50</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45</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45</v>
      </c>
      <c r="E86" s="227" t="s">
        <v>20</v>
      </c>
      <c r="F86" s="228"/>
      <c r="G86" s="228"/>
      <c r="H86" s="228"/>
      <c r="I86" s="228"/>
      <c r="J86" s="228"/>
      <c r="K86" s="228"/>
      <c r="L86" s="228"/>
      <c r="M86" s="229"/>
      <c r="O86" s="283" t="s">
        <v>20</v>
      </c>
      <c r="P86" s="284"/>
      <c r="Q86" s="284"/>
      <c r="R86" s="284"/>
      <c r="S86" s="284"/>
      <c r="T86" s="285"/>
    </row>
    <row r="87" spans="1:20" x14ac:dyDescent="0.25">
      <c r="E87" s="85" t="s">
        <v>12</v>
      </c>
      <c r="F87" s="86"/>
      <c r="G87" s="86"/>
      <c r="H87" s="86"/>
      <c r="I87" s="5"/>
      <c r="J87" s="5"/>
      <c r="K87" s="5"/>
      <c r="L87" s="5"/>
      <c r="M87" s="13"/>
      <c r="O87" s="16" t="s">
        <v>12</v>
      </c>
      <c r="P87" s="5"/>
      <c r="Q87" s="5"/>
      <c r="R87" s="5"/>
      <c r="S87" s="5"/>
      <c r="T87" s="13"/>
    </row>
    <row r="88" spans="1:20" x14ac:dyDescent="0.25">
      <c r="E88" s="240" t="s">
        <v>21</v>
      </c>
      <c r="F88" s="241"/>
      <c r="G88" s="241"/>
      <c r="H88" s="241"/>
      <c r="I88" s="29">
        <f>(B81-B74)*B82</f>
        <v>0</v>
      </c>
      <c r="J88" s="29"/>
      <c r="K88" s="29"/>
      <c r="L88" s="29"/>
      <c r="M88" s="13"/>
      <c r="O88" s="245" t="s">
        <v>21</v>
      </c>
      <c r="P88" s="246"/>
      <c r="Q88" s="246"/>
      <c r="R88" s="246"/>
      <c r="S88" s="246"/>
      <c r="T88" s="30">
        <f>I88</f>
        <v>0</v>
      </c>
    </row>
    <row r="89" spans="1:20" ht="15.75" thickBot="1" x14ac:dyDescent="0.3">
      <c r="E89" s="85"/>
      <c r="F89" s="86"/>
      <c r="G89" s="86"/>
      <c r="H89" s="86"/>
      <c r="I89" s="5"/>
      <c r="J89" s="5"/>
      <c r="K89" s="5"/>
      <c r="L89" s="5"/>
      <c r="M89" s="30"/>
      <c r="O89" s="16"/>
      <c r="P89" s="5"/>
      <c r="Q89" s="5"/>
      <c r="R89" s="5"/>
      <c r="S89" s="5"/>
      <c r="T89" s="13"/>
    </row>
    <row r="90" spans="1:20" x14ac:dyDescent="0.25">
      <c r="E90" s="240" t="s">
        <v>23</v>
      </c>
      <c r="F90" s="241"/>
      <c r="G90" s="241"/>
      <c r="H90" s="241"/>
      <c r="I90" s="29">
        <f>MAX(M95*-1,0)</f>
        <v>900</v>
      </c>
      <c r="J90" s="29"/>
      <c r="K90" s="256" t="s">
        <v>30</v>
      </c>
      <c r="L90" s="257"/>
      <c r="M90" s="258"/>
      <c r="O90" s="245" t="s">
        <v>23</v>
      </c>
      <c r="P90" s="246"/>
      <c r="Q90" s="246"/>
      <c r="R90" s="246"/>
      <c r="S90" s="246"/>
      <c r="T90" s="30">
        <f>I90</f>
        <v>900</v>
      </c>
    </row>
    <row r="91" spans="1:20" x14ac:dyDescent="0.25">
      <c r="E91" s="92"/>
      <c r="F91" s="67"/>
      <c r="G91" s="67"/>
      <c r="H91" s="67"/>
      <c r="I91" s="76"/>
      <c r="J91" s="76"/>
      <c r="K91" s="259" t="s">
        <v>24</v>
      </c>
      <c r="L91" s="260"/>
      <c r="M91" s="56">
        <f>I75</f>
        <v>0</v>
      </c>
      <c r="O91" s="75"/>
      <c r="P91" s="76"/>
      <c r="Q91" s="76"/>
      <c r="R91" s="76"/>
      <c r="S91" s="76"/>
      <c r="T91" s="77"/>
    </row>
    <row r="92" spans="1:20" x14ac:dyDescent="0.25">
      <c r="E92" s="291" t="str">
        <f>"Incremental Cost @ RT MW Used ("&amp;$B86&amp;" MW)"</f>
        <v>Incremental Cost @ RT MW Used (45 MW)</v>
      </c>
      <c r="F92" s="292"/>
      <c r="G92" s="292"/>
      <c r="H92" s="292"/>
      <c r="I92" s="8">
        <f>M94</f>
        <v>900</v>
      </c>
      <c r="J92" s="8"/>
      <c r="K92" s="259" t="s">
        <v>17</v>
      </c>
      <c r="L92" s="260"/>
      <c r="M92" s="56">
        <f>I78</f>
        <v>0</v>
      </c>
      <c r="O92" s="245" t="str">
        <f>"Incremental Cost @ Actual RT MW ("&amp;$B81&amp;" MW)"</f>
        <v>Incremental Cost @ Actual RT MW (45 MW)</v>
      </c>
      <c r="P92" s="246"/>
      <c r="Q92" s="246"/>
      <c r="R92" s="246"/>
      <c r="S92" s="246"/>
      <c r="T92" s="6">
        <f>T70</f>
        <v>900</v>
      </c>
    </row>
    <row r="93" spans="1:20" x14ac:dyDescent="0.25">
      <c r="E93" s="93"/>
      <c r="F93" s="100"/>
      <c r="G93" s="100"/>
      <c r="H93" s="100"/>
      <c r="I93" s="48"/>
      <c r="J93" s="48"/>
      <c r="K93" s="289" t="s">
        <v>25</v>
      </c>
      <c r="L93" s="290"/>
      <c r="M93" s="30">
        <f>(B85-B74)*B82</f>
        <v>0</v>
      </c>
      <c r="O93" s="47"/>
      <c r="P93" s="87"/>
      <c r="Q93" s="87"/>
      <c r="R93" s="87"/>
      <c r="S93" s="87"/>
      <c r="T93" s="90"/>
    </row>
    <row r="94" spans="1:20" ht="15.75" thickBot="1" x14ac:dyDescent="0.3">
      <c r="E94" s="287" t="s">
        <v>26</v>
      </c>
      <c r="F94" s="288"/>
      <c r="G94" s="288"/>
      <c r="H94" s="288"/>
      <c r="I94" s="50">
        <f>I75+I78+I88+I90-I92</f>
        <v>0</v>
      </c>
      <c r="J94" s="104"/>
      <c r="K94" s="245" t="s">
        <v>46</v>
      </c>
      <c r="L94" s="246"/>
      <c r="M94" s="30">
        <f>M70</f>
        <v>900</v>
      </c>
      <c r="O94" s="245" t="s">
        <v>26</v>
      </c>
      <c r="P94" s="246"/>
      <c r="Q94" s="246"/>
      <c r="R94" s="246"/>
      <c r="S94" s="246"/>
      <c r="T94" s="91">
        <f>T75+T78+T88+T90-T92</f>
        <v>0</v>
      </c>
    </row>
    <row r="95" spans="1:20" ht="29.25" customHeight="1" thickTop="1" thickBot="1" x14ac:dyDescent="0.3">
      <c r="E95" s="49"/>
      <c r="F95" s="8"/>
      <c r="G95" s="8"/>
      <c r="H95" s="8"/>
      <c r="I95" s="8"/>
      <c r="J95" s="8"/>
      <c r="K95" s="247" t="s">
        <v>70</v>
      </c>
      <c r="L95" s="248"/>
      <c r="M95" s="103">
        <f>M91+M92+M93-M94</f>
        <v>-900</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115"/>
      <c r="E106" s="54"/>
      <c r="F106" s="54"/>
      <c r="G106" s="115"/>
      <c r="H106" s="53"/>
      <c r="I106" s="55"/>
      <c r="J106" s="53"/>
      <c r="K106" s="53"/>
      <c r="L106" s="53"/>
      <c r="M106" s="53"/>
      <c r="N106" s="53"/>
      <c r="O106" s="53"/>
      <c r="P106" s="53"/>
      <c r="Q106" s="53"/>
      <c r="R106" s="53"/>
      <c r="S106" s="53"/>
      <c r="T106" s="53"/>
    </row>
    <row r="107" spans="1:23" x14ac:dyDescent="0.25">
      <c r="A107" s="286" t="s">
        <v>95</v>
      </c>
      <c r="B107" s="286"/>
      <c r="C107" s="286"/>
      <c r="D107" s="286"/>
      <c r="E107" s="286"/>
      <c r="F107" s="286"/>
      <c r="G107" s="286"/>
      <c r="H107" s="286"/>
      <c r="I107" s="286"/>
      <c r="J107" s="286"/>
      <c r="K107" s="286"/>
      <c r="L107" s="286"/>
      <c r="M107" s="286"/>
      <c r="N107" s="286"/>
      <c r="O107" s="286"/>
      <c r="P107" s="286"/>
      <c r="Q107" s="286"/>
      <c r="R107" s="286"/>
      <c r="S107" s="286"/>
      <c r="T107" s="286"/>
    </row>
    <row r="108" spans="1:23" s="83" customFormat="1" ht="31.5" customHeight="1" thickBot="1" x14ac:dyDescent="0.3">
      <c r="A108" s="293"/>
      <c r="B108" s="293"/>
      <c r="C108" s="293"/>
      <c r="D108" s="293"/>
      <c r="E108" s="293"/>
      <c r="F108" s="293"/>
      <c r="G108" s="293"/>
      <c r="H108" s="293"/>
      <c r="I108" s="293"/>
      <c r="J108" s="293"/>
      <c r="K108" s="293"/>
      <c r="L108" s="293"/>
      <c r="M108" s="293"/>
      <c r="N108" s="293"/>
      <c r="O108" s="293"/>
      <c r="P108" s="293"/>
      <c r="Q108" s="293"/>
      <c r="R108" s="293"/>
      <c r="S108" s="293"/>
      <c r="T108" s="293"/>
      <c r="U108" s="95"/>
      <c r="V108" s="95"/>
      <c r="W108" s="95"/>
    </row>
    <row r="109" spans="1:23" ht="15.75" thickBot="1" x14ac:dyDescent="0.3">
      <c r="A109" s="250" t="s">
        <v>0</v>
      </c>
      <c r="B109" s="251"/>
      <c r="C109" s="251"/>
      <c r="D109" s="252"/>
      <c r="E109" s="235" t="s">
        <v>1</v>
      </c>
      <c r="F109" s="236"/>
      <c r="G109" s="249"/>
      <c r="H109" s="227" t="s">
        <v>2</v>
      </c>
      <c r="I109" s="228"/>
      <c r="J109" s="228"/>
      <c r="K109" s="229"/>
      <c r="L109" s="227" t="s">
        <v>32</v>
      </c>
      <c r="M109" s="228"/>
      <c r="N109" s="229"/>
    </row>
    <row r="110" spans="1:23" ht="60.75" customHeight="1" thickBot="1" x14ac:dyDescent="0.3">
      <c r="A110" s="109" t="s">
        <v>3</v>
      </c>
      <c r="B110" s="113" t="s">
        <v>33</v>
      </c>
      <c r="C110" s="113" t="s">
        <v>34</v>
      </c>
      <c r="D110" s="110" t="s">
        <v>4</v>
      </c>
      <c r="E110" s="109" t="s">
        <v>5</v>
      </c>
      <c r="F110" s="113" t="s">
        <v>6</v>
      </c>
      <c r="G110" s="114" t="s">
        <v>7</v>
      </c>
      <c r="H110" s="69" t="s">
        <v>38</v>
      </c>
      <c r="I110" s="65" t="s">
        <v>8</v>
      </c>
      <c r="J110" s="65" t="s">
        <v>6</v>
      </c>
      <c r="K110" s="66" t="s">
        <v>7</v>
      </c>
      <c r="L110" s="111" t="s">
        <v>5</v>
      </c>
      <c r="M110" s="65" t="s">
        <v>49</v>
      </c>
      <c r="N110" s="66" t="s">
        <v>47</v>
      </c>
    </row>
    <row r="111" spans="1:23" x14ac:dyDescent="0.25">
      <c r="A111" s="4">
        <v>1</v>
      </c>
      <c r="B111" s="5">
        <v>0</v>
      </c>
      <c r="C111" s="5">
        <v>50</v>
      </c>
      <c r="D111" s="6">
        <v>20</v>
      </c>
      <c r="E111" s="7">
        <f>IF(AND(B$74&gt;B111,B$74&lt;=C111),B$74,0)</f>
        <v>0</v>
      </c>
      <c r="F111" s="8">
        <f>IF(B125&gt;0,D111,0)</f>
        <v>0</v>
      </c>
      <c r="G111" s="8">
        <f>IF(E111&gt;0,IF(E111=B111,D111,IF(AND(E111&gt;B111,E111&lt;=C111),D111+(E111-B111)*((D111-D111)/(C111-B111)),0)),0)</f>
        <v>0</v>
      </c>
      <c r="H111" s="14">
        <f>IF(AND(MIN(B$132,B$134)&gt;B111,MIN(B$132,B$134)&lt;=C111),MIN(B$132,B$134),0)</f>
        <v>45</v>
      </c>
      <c r="I111" s="15">
        <f>IF(AND(B$137&gt;B111,B$137&lt;=C111),B$137,0)</f>
        <v>45</v>
      </c>
      <c r="J111" s="9">
        <f>IF(B132&gt;0,D111,0)</f>
        <v>20</v>
      </c>
      <c r="K111" s="11">
        <f>IF(H111&gt;0,IF(H111=B111,D111,IF(AND(H111&gt;B111,H111&lt;=C111),D111+(H111-B111)*((D111-D111)/(C111-B111)),0)),0)</f>
        <v>20</v>
      </c>
      <c r="L111" s="14">
        <f>IF(AND(B132&gt;B111,B132&lt;=C111),B132,0)</f>
        <v>45</v>
      </c>
      <c r="M111" s="9">
        <f>IF(B132&gt;0,D111,0)</f>
        <v>20</v>
      </c>
      <c r="N111" s="11">
        <f>IF(L111&gt;0,IF(L111=B111,D111,IF(AND(L111&gt;B111,L111&lt;=C111),D111+(L111-B111)*((D111-D111)/(C111-B111)),0)),0)</f>
        <v>20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0</v>
      </c>
      <c r="M113" s="21">
        <v>0</v>
      </c>
      <c r="N113" s="19">
        <f>IF(L113&gt;0,IF(L113=B113,D113,IF(AND(L113&gt;B113,L113&lt;=C113),D113+(L113-B113)*((D113-D113)/(C113-B113)),0)),0)</f>
        <v>0</v>
      </c>
    </row>
    <row r="114" spans="1:20" ht="15.75" thickBot="1" x14ac:dyDescent="0.3">
      <c r="J114" s="25"/>
    </row>
    <row r="115" spans="1:20" ht="15.75" thickBot="1" x14ac:dyDescent="0.3">
      <c r="A115" s="235" t="s">
        <v>1</v>
      </c>
      <c r="B115" s="236"/>
      <c r="C115" s="10"/>
      <c r="D115" s="10"/>
      <c r="E115" s="10"/>
      <c r="F115" s="26"/>
      <c r="H115" s="235" t="s">
        <v>9</v>
      </c>
      <c r="I115" s="236"/>
      <c r="J115" s="236"/>
      <c r="K115" s="236"/>
      <c r="L115" s="236"/>
      <c r="M115" s="249"/>
      <c r="O115" s="235" t="s">
        <v>31</v>
      </c>
      <c r="P115" s="236"/>
      <c r="Q115" s="236"/>
      <c r="R115" s="236"/>
      <c r="S115" s="236"/>
      <c r="T115" s="249"/>
    </row>
    <row r="116" spans="1:20" ht="30.75" thickBot="1" x14ac:dyDescent="0.3">
      <c r="A116" s="112" t="s">
        <v>3</v>
      </c>
      <c r="B116" s="113" t="s">
        <v>33</v>
      </c>
      <c r="C116" s="113" t="s">
        <v>34</v>
      </c>
      <c r="D116" s="113" t="s">
        <v>49</v>
      </c>
      <c r="E116" s="113" t="s">
        <v>47</v>
      </c>
      <c r="F116" s="114" t="s">
        <v>48</v>
      </c>
      <c r="H116" s="112" t="s">
        <v>3</v>
      </c>
      <c r="I116" s="113" t="s">
        <v>50</v>
      </c>
      <c r="J116" s="113" t="s">
        <v>51</v>
      </c>
      <c r="K116" s="113" t="s">
        <v>49</v>
      </c>
      <c r="L116" s="113" t="s">
        <v>47</v>
      </c>
      <c r="M116" s="114" t="s">
        <v>48</v>
      </c>
      <c r="O116" s="112" t="s">
        <v>3</v>
      </c>
      <c r="P116" s="113" t="s">
        <v>33</v>
      </c>
      <c r="Q116" s="113" t="s">
        <v>34</v>
      </c>
      <c r="R116" s="113" t="s">
        <v>49</v>
      </c>
      <c r="S116" s="113" t="s">
        <v>47</v>
      </c>
      <c r="T116" s="114" t="s">
        <v>48</v>
      </c>
    </row>
    <row r="117" spans="1:20" x14ac:dyDescent="0.25">
      <c r="A117" s="4">
        <v>1</v>
      </c>
      <c r="B117" s="5">
        <v>0</v>
      </c>
      <c r="C117" s="5">
        <f>IF(AND(B125&gt;B111,B125&lt;C111),B125,IF(B125&gt;=C111,C111,0))</f>
        <v>0</v>
      </c>
      <c r="D117" s="29">
        <f>MIN(D111,F111)</f>
        <v>0</v>
      </c>
      <c r="E117" s="29">
        <f>IF(AND(B$125&gt;B111,B$125&lt;C111),G111,IF(B$125&gt;=C111,D111,0))</f>
        <v>0</v>
      </c>
      <c r="F117" s="30">
        <f>(C117-B117)*(D117+E117)/2</f>
        <v>0</v>
      </c>
      <c r="H117" s="4">
        <v>1</v>
      </c>
      <c r="I117" s="5">
        <v>0</v>
      </c>
      <c r="J117" s="5">
        <f>IF(AND(MAX(I$111:I$113)&gt;B111,MAX(I$111:I$113)&lt;C111),MAX(I$111:I$113),IF(MAX(I$111:I$113)&gt;=C111,C111,0))</f>
        <v>45</v>
      </c>
      <c r="K117" s="29">
        <f>MIN(D111,J111)</f>
        <v>20</v>
      </c>
      <c r="L117" s="29">
        <f>IF(AND(MAX(I$111:I$113)&gt;B111,MAX(I$111:I$113)&lt;C111),K111,IF(MAX(I$111:I$113)&gt;=C111,D111,0))</f>
        <v>20</v>
      </c>
      <c r="M117" s="30">
        <f>(J117-I117)*(K117+L117)/2</f>
        <v>900</v>
      </c>
      <c r="O117" s="4">
        <v>1</v>
      </c>
      <c r="P117" s="5">
        <v>0</v>
      </c>
      <c r="Q117" s="5">
        <f>IF(AND(B$132&gt;B111,B$132&lt;C111),B$132,IF(B$132&gt;=C111,C111,0))</f>
        <v>45</v>
      </c>
      <c r="R117" s="29">
        <f>MIN(D111,M111)</f>
        <v>20</v>
      </c>
      <c r="S117" s="29">
        <f>IF(AND(B$132&gt;B111,B$132&lt;C111),N111,IF(B$132&gt;=C111,D111,0))</f>
        <v>20</v>
      </c>
      <c r="T117" s="30">
        <f>(Q117-P117)*(R117+S117)/2</f>
        <v>900</v>
      </c>
    </row>
    <row r="118" spans="1:20" x14ac:dyDescent="0.25">
      <c r="A118" s="4">
        <v>2</v>
      </c>
      <c r="B118" s="5">
        <f>IF(B$23&gt;B112,C117,0)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0</v>
      </c>
      <c r="Q118" s="5">
        <f t="shared" ref="Q118:Q120" si="23">IF(AND(B$132&gt;B112,B$132&lt;C112),B$132,IF(B$132&gt;=C112,C112,0))</f>
        <v>0</v>
      </c>
      <c r="R118" s="29">
        <f>IF(P118&lt;&gt;0,S117,0)</f>
        <v>0</v>
      </c>
      <c r="S118" s="29">
        <f t="shared" ref="S118:S119" si="24">IF(AND(B$132&gt;B112,B$132&lt;C112),N112,IF(B$132&gt;=C112,D112,0))</f>
        <v>0</v>
      </c>
      <c r="T118" s="30">
        <f t="shared" ref="T118:T120" si="25">(Q118-P118)*(R118+S118)/2</f>
        <v>0</v>
      </c>
    </row>
    <row r="119" spans="1:20" x14ac:dyDescent="0.25">
      <c r="A119" s="4">
        <v>3</v>
      </c>
      <c r="B119" s="5">
        <f>IF(B$23&gt;B113,C118,0)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0</v>
      </c>
      <c r="Q119" s="5">
        <f t="shared" si="23"/>
        <v>0</v>
      </c>
      <c r="R119" s="29">
        <f>IF(P119&lt;&gt;0,S118,0)</f>
        <v>0</v>
      </c>
      <c r="S119" s="29">
        <f t="shared" si="24"/>
        <v>0</v>
      </c>
      <c r="T119" s="30">
        <f t="shared" si="25"/>
        <v>0</v>
      </c>
    </row>
    <row r="120" spans="1:20" x14ac:dyDescent="0.25">
      <c r="A120" s="4">
        <v>4</v>
      </c>
      <c r="B120" s="5">
        <f>IF(B$23&gt;B114,C119,0)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0</v>
      </c>
      <c r="H121" s="24"/>
      <c r="I121" s="18"/>
      <c r="J121" s="18"/>
      <c r="K121" s="21"/>
      <c r="L121" s="21"/>
      <c r="M121" s="31">
        <f>SUM(M117:M120)</f>
        <v>900</v>
      </c>
      <c r="O121" s="24"/>
      <c r="P121" s="18"/>
      <c r="Q121" s="18"/>
      <c r="R121" s="21"/>
      <c r="S121" s="21"/>
      <c r="T121" s="31">
        <f>SUM(T117:T120)</f>
        <v>900</v>
      </c>
    </row>
    <row r="122" spans="1:20" ht="15.75" thickBot="1" x14ac:dyDescent="0.3"/>
    <row r="123" spans="1:20" ht="15.75" customHeight="1" thickBot="1" x14ac:dyDescent="0.3">
      <c r="A123" s="68" t="s">
        <v>37</v>
      </c>
      <c r="E123" s="277" t="s">
        <v>44</v>
      </c>
      <c r="F123" s="278"/>
      <c r="G123" s="278"/>
      <c r="H123" s="278"/>
      <c r="I123" s="278"/>
      <c r="J123" s="278"/>
      <c r="K123" s="278"/>
      <c r="L123" s="278"/>
      <c r="M123" s="279"/>
      <c r="O123" s="274" t="s">
        <v>42</v>
      </c>
      <c r="P123" s="275"/>
      <c r="Q123" s="275"/>
      <c r="R123" s="275"/>
      <c r="S123" s="275"/>
      <c r="T123" s="276"/>
    </row>
    <row r="124" spans="1:20" ht="15.75" thickBot="1" x14ac:dyDescent="0.3">
      <c r="A124" s="263" t="s">
        <v>10</v>
      </c>
      <c r="B124" s="264"/>
      <c r="E124" s="227" t="s">
        <v>11</v>
      </c>
      <c r="F124" s="228"/>
      <c r="G124" s="228"/>
      <c r="H124" s="228"/>
      <c r="I124" s="228"/>
      <c r="J124" s="228"/>
      <c r="K124" s="228"/>
      <c r="L124" s="228"/>
      <c r="M124" s="229"/>
      <c r="O124" s="280" t="s">
        <v>11</v>
      </c>
      <c r="P124" s="281"/>
      <c r="Q124" s="281"/>
      <c r="R124" s="281"/>
      <c r="S124" s="281"/>
      <c r="T124" s="282"/>
    </row>
    <row r="125" spans="1:20" x14ac:dyDescent="0.25">
      <c r="A125" s="4" t="s">
        <v>5</v>
      </c>
      <c r="B125" s="13">
        <v>0</v>
      </c>
      <c r="E125" s="261" t="s">
        <v>12</v>
      </c>
      <c r="F125" s="262"/>
      <c r="G125" s="262"/>
      <c r="H125" s="262"/>
      <c r="I125" s="99"/>
      <c r="J125" s="10"/>
      <c r="K125" s="10"/>
      <c r="L125" s="10"/>
      <c r="M125" s="26"/>
      <c r="O125" s="16" t="s">
        <v>12</v>
      </c>
      <c r="P125" s="29"/>
      <c r="Q125" s="5"/>
      <c r="R125" s="5"/>
      <c r="S125" s="5"/>
      <c r="T125" s="13"/>
    </row>
    <row r="126" spans="1:20" ht="15.75" thickBot="1" x14ac:dyDescent="0.3">
      <c r="A126" s="17" t="s">
        <v>13</v>
      </c>
      <c r="B126" s="19">
        <v>0</v>
      </c>
      <c r="E126" s="240" t="s">
        <v>14</v>
      </c>
      <c r="F126" s="241"/>
      <c r="G126" s="241"/>
      <c r="H126" s="241"/>
      <c r="I126" s="42">
        <f>B125*B126</f>
        <v>0</v>
      </c>
      <c r="J126" s="5"/>
      <c r="K126" s="5"/>
      <c r="L126" s="5"/>
      <c r="M126" s="13"/>
      <c r="O126" s="245" t="s">
        <v>14</v>
      </c>
      <c r="P126" s="246"/>
      <c r="Q126" s="246"/>
      <c r="R126" s="246"/>
      <c r="S126" s="246"/>
      <c r="T126" s="56">
        <f>I126</f>
        <v>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240" t="s">
        <v>15</v>
      </c>
      <c r="F129" s="241"/>
      <c r="G129" s="241"/>
      <c r="H129" s="241"/>
      <c r="I129" s="43">
        <f>M130</f>
        <v>0</v>
      </c>
      <c r="J129" s="5"/>
      <c r="K129" s="35" t="s">
        <v>16</v>
      </c>
      <c r="L129" s="36">
        <f>F121</f>
        <v>0</v>
      </c>
      <c r="M129" s="105" t="s">
        <v>17</v>
      </c>
      <c r="O129" s="245" t="s">
        <v>15</v>
      </c>
      <c r="P129" s="246"/>
      <c r="Q129" s="246"/>
      <c r="R129" s="246"/>
      <c r="S129" s="246"/>
      <c r="T129" s="88">
        <f>I129</f>
        <v>0</v>
      </c>
    </row>
    <row r="130" spans="1:20" ht="15.75" thickBot="1" x14ac:dyDescent="0.3">
      <c r="A130" s="68" t="s">
        <v>37</v>
      </c>
      <c r="E130" s="85"/>
      <c r="F130" s="86"/>
      <c r="G130" s="86"/>
      <c r="H130" s="86"/>
      <c r="I130" s="5"/>
      <c r="J130" s="5"/>
      <c r="K130" s="37" t="s">
        <v>18</v>
      </c>
      <c r="L130" s="38">
        <f>I126</f>
        <v>0</v>
      </c>
      <c r="M130" s="39">
        <f>MAX(L129-L130,0)</f>
        <v>0</v>
      </c>
      <c r="O130" s="16"/>
      <c r="P130" s="5"/>
      <c r="Q130" s="5"/>
      <c r="R130" s="5"/>
      <c r="S130" s="5"/>
      <c r="T130" s="13"/>
    </row>
    <row r="131" spans="1:20" x14ac:dyDescent="0.25">
      <c r="A131" s="263" t="s">
        <v>22</v>
      </c>
      <c r="B131" s="264"/>
      <c r="E131" s="240" t="str">
        <f>"DA Incremental Cost @ DA MW ("&amp;$B125&amp;" MW)"</f>
        <v>DA Incremental Cost @ DA MW (0 MW)</v>
      </c>
      <c r="F131" s="241"/>
      <c r="G131" s="241"/>
      <c r="H131" s="241"/>
      <c r="I131" s="44">
        <f>F121</f>
        <v>0</v>
      </c>
      <c r="J131" s="5"/>
      <c r="K131" s="29"/>
      <c r="L131" s="5"/>
      <c r="M131" s="13"/>
      <c r="O131" s="245" t="str">
        <f>"DA Incremental Cost @ DA MW ("&amp;$B125&amp;" MW)"</f>
        <v>DA Incremental Cost @ DA MW (0 MW)</v>
      </c>
      <c r="P131" s="246"/>
      <c r="Q131" s="246"/>
      <c r="R131" s="246"/>
      <c r="S131" s="246"/>
      <c r="T131" s="89">
        <f>I131</f>
        <v>0</v>
      </c>
    </row>
    <row r="132" spans="1:20" x14ac:dyDescent="0.25">
      <c r="A132" s="16" t="s">
        <v>43</v>
      </c>
      <c r="B132" s="13">
        <v>45</v>
      </c>
      <c r="E132" s="85"/>
      <c r="F132" s="86"/>
      <c r="G132" s="86"/>
      <c r="H132" s="86"/>
      <c r="I132" s="5"/>
      <c r="J132" s="5"/>
      <c r="K132" s="5"/>
      <c r="L132" s="29"/>
      <c r="M132" s="13"/>
      <c r="O132" s="16"/>
      <c r="P132" s="5"/>
      <c r="Q132" s="5"/>
      <c r="R132" s="5"/>
      <c r="S132" s="5"/>
      <c r="T132" s="13"/>
    </row>
    <row r="133" spans="1:20" ht="15.75" thickBot="1" x14ac:dyDescent="0.3">
      <c r="A133" s="16" t="s">
        <v>13</v>
      </c>
      <c r="B133" s="6">
        <v>0</v>
      </c>
      <c r="D133" s="32"/>
      <c r="E133" s="240" t="s">
        <v>19</v>
      </c>
      <c r="F133" s="241"/>
      <c r="G133" s="241"/>
      <c r="H133" s="241"/>
      <c r="I133" s="40">
        <f>I126+I129-I131</f>
        <v>0</v>
      </c>
      <c r="J133" s="5"/>
      <c r="K133" s="29"/>
      <c r="L133" s="45"/>
      <c r="M133" s="13"/>
      <c r="O133" s="245" t="s">
        <v>19</v>
      </c>
      <c r="P133" s="246"/>
      <c r="Q133" s="246"/>
      <c r="R133" s="246"/>
      <c r="S133" s="246"/>
      <c r="T133" s="31">
        <f>T126+T129-T131</f>
        <v>0</v>
      </c>
    </row>
    <row r="134" spans="1:20" ht="15.75" thickTop="1" x14ac:dyDescent="0.25">
      <c r="A134" s="16" t="s">
        <v>27</v>
      </c>
      <c r="B134" s="13">
        <v>50</v>
      </c>
      <c r="E134" s="16"/>
      <c r="F134" s="5"/>
      <c r="G134" s="5"/>
      <c r="H134" s="8"/>
      <c r="I134" s="5"/>
      <c r="J134" s="5"/>
      <c r="K134" s="5"/>
      <c r="L134" s="5"/>
      <c r="M134" s="13"/>
      <c r="O134" s="16"/>
      <c r="P134" s="5"/>
      <c r="Q134" s="5"/>
      <c r="R134" s="5"/>
      <c r="S134" s="5"/>
      <c r="T134" s="13"/>
    </row>
    <row r="135" spans="1:20" ht="15.75" thickBot="1" x14ac:dyDescent="0.3">
      <c r="A135" s="16" t="s">
        <v>29</v>
      </c>
      <c r="B135" s="13">
        <v>50</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45</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45</v>
      </c>
      <c r="E137" s="227" t="s">
        <v>20</v>
      </c>
      <c r="F137" s="228"/>
      <c r="G137" s="228"/>
      <c r="H137" s="228"/>
      <c r="I137" s="228"/>
      <c r="J137" s="228"/>
      <c r="K137" s="228"/>
      <c r="L137" s="228"/>
      <c r="M137" s="229"/>
      <c r="O137" s="283" t="s">
        <v>20</v>
      </c>
      <c r="P137" s="284"/>
      <c r="Q137" s="284"/>
      <c r="R137" s="284"/>
      <c r="S137" s="284"/>
      <c r="T137" s="285"/>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240" t="s">
        <v>21</v>
      </c>
      <c r="F139" s="241"/>
      <c r="G139" s="241"/>
      <c r="H139" s="241"/>
      <c r="I139" s="29">
        <f>(B132-B125)*B133</f>
        <v>0</v>
      </c>
      <c r="J139" s="29"/>
      <c r="K139" s="29"/>
      <c r="L139" s="29"/>
      <c r="M139" s="13"/>
      <c r="O139" s="245" t="s">
        <v>21</v>
      </c>
      <c r="P139" s="246"/>
      <c r="Q139" s="246"/>
      <c r="R139" s="246"/>
      <c r="S139" s="246"/>
      <c r="T139" s="30">
        <f>I139</f>
        <v>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240" t="s">
        <v>23</v>
      </c>
      <c r="F141" s="241"/>
      <c r="G141" s="241"/>
      <c r="H141" s="241"/>
      <c r="I141" s="29">
        <f>MAX(M146*-1,0)</f>
        <v>900</v>
      </c>
      <c r="J141" s="29"/>
      <c r="K141" s="256" t="s">
        <v>30</v>
      </c>
      <c r="L141" s="257"/>
      <c r="M141" s="258"/>
      <c r="O141" s="245" t="s">
        <v>23</v>
      </c>
      <c r="P141" s="246"/>
      <c r="Q141" s="246"/>
      <c r="R141" s="246"/>
      <c r="S141" s="246"/>
      <c r="T141" s="30">
        <f>I141</f>
        <v>900</v>
      </c>
    </row>
    <row r="142" spans="1:20" x14ac:dyDescent="0.25">
      <c r="E142" s="92"/>
      <c r="F142" s="67"/>
      <c r="G142" s="67"/>
      <c r="H142" s="67"/>
      <c r="I142" s="76"/>
      <c r="J142" s="76"/>
      <c r="K142" s="259" t="s">
        <v>24</v>
      </c>
      <c r="L142" s="260"/>
      <c r="M142" s="56">
        <f>I126</f>
        <v>0</v>
      </c>
      <c r="O142" s="75"/>
      <c r="P142" s="76"/>
      <c r="Q142" s="76"/>
      <c r="R142" s="76"/>
      <c r="S142" s="76"/>
      <c r="T142" s="77"/>
    </row>
    <row r="143" spans="1:20" x14ac:dyDescent="0.25">
      <c r="E143" s="291" t="str">
        <f>"Incremental Cost @ RT MW Used ("&amp;$B137&amp;" MW)"</f>
        <v>Incremental Cost @ RT MW Used (45 MW)</v>
      </c>
      <c r="F143" s="292"/>
      <c r="G143" s="292"/>
      <c r="H143" s="292"/>
      <c r="I143" s="8">
        <f>M145</f>
        <v>900</v>
      </c>
      <c r="J143" s="8"/>
      <c r="K143" s="259" t="s">
        <v>17</v>
      </c>
      <c r="L143" s="260"/>
      <c r="M143" s="56">
        <f>I129</f>
        <v>0</v>
      </c>
      <c r="O143" s="245" t="str">
        <f>"Incremental Cost @ Actual RT MW ("&amp;$B132&amp;" MW)"</f>
        <v>Incremental Cost @ Actual RT MW (45 MW)</v>
      </c>
      <c r="P143" s="246"/>
      <c r="Q143" s="246"/>
      <c r="R143" s="246"/>
      <c r="S143" s="246"/>
      <c r="T143" s="6">
        <f>T121</f>
        <v>900</v>
      </c>
    </row>
    <row r="144" spans="1:20" x14ac:dyDescent="0.25">
      <c r="E144" s="93"/>
      <c r="F144" s="100"/>
      <c r="G144" s="100"/>
      <c r="H144" s="100"/>
      <c r="I144" s="48"/>
      <c r="J144" s="48"/>
      <c r="K144" s="289" t="s">
        <v>25</v>
      </c>
      <c r="L144" s="290"/>
      <c r="M144" s="30">
        <f>(B136-B125)*B133</f>
        <v>0</v>
      </c>
      <c r="O144" s="47"/>
      <c r="P144" s="87"/>
      <c r="Q144" s="87"/>
      <c r="R144" s="87"/>
      <c r="S144" s="87"/>
      <c r="T144" s="90"/>
    </row>
    <row r="145" spans="4:20" ht="15.75" thickBot="1" x14ac:dyDescent="0.3">
      <c r="E145" s="287" t="s">
        <v>26</v>
      </c>
      <c r="F145" s="288"/>
      <c r="G145" s="288"/>
      <c r="H145" s="288"/>
      <c r="I145" s="50">
        <f>I126+I129+I139+I141-I143</f>
        <v>0</v>
      </c>
      <c r="J145" s="104"/>
      <c r="K145" s="245" t="s">
        <v>46</v>
      </c>
      <c r="L145" s="246"/>
      <c r="M145" s="30">
        <f>M121</f>
        <v>900</v>
      </c>
      <c r="O145" s="245" t="s">
        <v>26</v>
      </c>
      <c r="P145" s="246"/>
      <c r="Q145" s="246"/>
      <c r="R145" s="246"/>
      <c r="S145" s="246"/>
      <c r="T145" s="91">
        <f>T126+T129+T139+T141-T143</f>
        <v>0</v>
      </c>
    </row>
    <row r="146" spans="4:20" ht="30" customHeight="1" thickTop="1" thickBot="1" x14ac:dyDescent="0.3">
      <c r="E146" s="49"/>
      <c r="F146" s="8"/>
      <c r="G146" s="8"/>
      <c r="H146" s="8"/>
      <c r="I146" s="8"/>
      <c r="J146" s="8"/>
      <c r="K146" s="247" t="s">
        <v>70</v>
      </c>
      <c r="L146" s="248"/>
      <c r="M146" s="103">
        <f>M142+M143+M144-M145</f>
        <v>-900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row r="178" spans="1:27" x14ac:dyDescent="0.25">
      <c r="A178" s="286" t="s">
        <v>109</v>
      </c>
      <c r="B178" s="286"/>
      <c r="C178" s="286"/>
      <c r="D178" s="286"/>
      <c r="E178" s="286"/>
      <c r="F178" s="286"/>
      <c r="G178" s="286"/>
      <c r="H178" s="286"/>
      <c r="I178" s="286"/>
      <c r="J178" s="286"/>
      <c r="K178" s="286"/>
      <c r="L178" s="286"/>
      <c r="M178" s="286"/>
      <c r="N178" s="286"/>
      <c r="O178" s="286"/>
      <c r="P178" s="286"/>
      <c r="Q178" s="286"/>
      <c r="R178" s="286"/>
      <c r="S178" s="286"/>
      <c r="T178" s="286"/>
      <c r="U178" s="286"/>
      <c r="V178" s="286"/>
      <c r="W178" s="286"/>
      <c r="X178" s="286"/>
      <c r="Y178" s="286"/>
      <c r="Z178" s="286"/>
      <c r="AA178" s="286"/>
    </row>
    <row r="179" spans="1:27" ht="15.75" thickBot="1" x14ac:dyDescent="0.3">
      <c r="A179" s="286"/>
      <c r="B179" s="286"/>
      <c r="C179" s="286"/>
      <c r="D179" s="286"/>
      <c r="E179" s="286"/>
      <c r="F179" s="286"/>
      <c r="G179" s="286"/>
      <c r="H179" s="286"/>
      <c r="I179" s="286"/>
      <c r="J179" s="286"/>
      <c r="K179" s="286"/>
      <c r="L179" s="286"/>
      <c r="M179" s="286"/>
      <c r="N179" s="286"/>
      <c r="O179" s="286"/>
      <c r="P179" s="286"/>
      <c r="Q179" s="286"/>
      <c r="R179" s="286"/>
      <c r="S179" s="286"/>
      <c r="T179" s="286"/>
      <c r="U179" s="286"/>
      <c r="V179" s="286"/>
      <c r="W179" s="286"/>
      <c r="X179" s="286"/>
      <c r="Y179" s="286"/>
      <c r="Z179" s="286"/>
      <c r="AA179" s="286"/>
    </row>
    <row r="180" spans="1:27" ht="15.75" thickBot="1" x14ac:dyDescent="0.3">
      <c r="A180" s="250" t="s">
        <v>0</v>
      </c>
      <c r="B180" s="251"/>
      <c r="C180" s="251"/>
      <c r="D180" s="252"/>
      <c r="E180" s="235" t="s">
        <v>1</v>
      </c>
      <c r="F180" s="236"/>
      <c r="G180" s="249"/>
      <c r="H180" s="227" t="s">
        <v>89</v>
      </c>
      <c r="I180" s="228"/>
      <c r="J180" s="228"/>
      <c r="K180" s="229"/>
      <c r="L180" s="227" t="s">
        <v>32</v>
      </c>
      <c r="M180" s="228"/>
      <c r="N180" s="229"/>
      <c r="O180" s="227" t="s">
        <v>71</v>
      </c>
      <c r="P180" s="228"/>
      <c r="Q180" s="229"/>
      <c r="R180" s="227"/>
      <c r="S180" s="228"/>
      <c r="T180" s="229"/>
    </row>
    <row r="181" spans="1:27" ht="45.75" thickBot="1" x14ac:dyDescent="0.3">
      <c r="A181" s="135" t="s">
        <v>3</v>
      </c>
      <c r="B181" s="132" t="s">
        <v>33</v>
      </c>
      <c r="C181" s="132" t="s">
        <v>34</v>
      </c>
      <c r="D181" s="136" t="s">
        <v>4</v>
      </c>
      <c r="E181" s="135" t="s">
        <v>5</v>
      </c>
      <c r="F181" s="132" t="s">
        <v>6</v>
      </c>
      <c r="G181" s="133" t="s">
        <v>7</v>
      </c>
      <c r="H181" s="69" t="s">
        <v>38</v>
      </c>
      <c r="I181" s="65" t="s">
        <v>8</v>
      </c>
      <c r="J181" s="65" t="s">
        <v>6</v>
      </c>
      <c r="K181" s="66" t="s">
        <v>7</v>
      </c>
      <c r="L181" s="134" t="s">
        <v>5</v>
      </c>
      <c r="M181" s="65" t="s">
        <v>49</v>
      </c>
      <c r="N181" s="66" t="s">
        <v>47</v>
      </c>
      <c r="O181" s="134" t="s">
        <v>5</v>
      </c>
      <c r="P181" s="65" t="s">
        <v>49</v>
      </c>
      <c r="Q181" s="66" t="s">
        <v>47</v>
      </c>
      <c r="R181" s="134"/>
      <c r="S181" s="65"/>
      <c r="T181" s="66"/>
    </row>
    <row r="182" spans="1:27" x14ac:dyDescent="0.25">
      <c r="A182" s="4">
        <v>1</v>
      </c>
      <c r="B182" s="5">
        <v>0</v>
      </c>
      <c r="C182" s="5">
        <v>50</v>
      </c>
      <c r="D182" s="6">
        <v>20</v>
      </c>
      <c r="E182" s="7">
        <f>IF(AND(B$196&gt;B182,B$196&lt;=C182),B$196,0)</f>
        <v>0</v>
      </c>
      <c r="F182" s="8">
        <f>IF(B196&gt;0,D182,0)</f>
        <v>0</v>
      </c>
      <c r="G182" s="8">
        <f>IF(E182&gt;0,IF(E182=B182,D182,IF(AND(E182&gt;B182,E182&lt;=C182),D182+(E182-B182)*((D182-D182)/(C182-B182)),0)),0)</f>
        <v>0</v>
      </c>
      <c r="H182" s="14">
        <f>IF(AND(MIN(B$203,B$205)&gt;B182,MIN(B$203,B$205)&lt;=C182),MIN(B$203,B$205),0)</f>
        <v>45</v>
      </c>
      <c r="I182" s="15">
        <f>IF(AND(B$203&gt;B182,B$203&lt;=C182),B$203,0)</f>
        <v>45</v>
      </c>
      <c r="J182" s="9">
        <f>IF(B203&gt;0,D182,0)</f>
        <v>20</v>
      </c>
      <c r="K182" s="11">
        <f>IF(H182&gt;0,IF(H182=B182,D182,IF(AND(H182&gt;B182,H182&lt;=C182),D182+(H182-B182)*((D182-D182)/(C182-B182)),0)),0)</f>
        <v>20</v>
      </c>
      <c r="L182" s="14">
        <f>IF(AND(B203&gt;B182,B203&lt;=C182),B203,0)</f>
        <v>45</v>
      </c>
      <c r="M182" s="9">
        <f>IF(B203&gt;0,D182,0)</f>
        <v>20</v>
      </c>
      <c r="N182" s="11">
        <f>IF(L182&gt;0,IF(L182=B182,D182,IF(AND(L182&gt;B182,L182&lt;=C182),D182+(L182-B182)*((D182-D182)/(C182-B182)),0)),0)</f>
        <v>20</v>
      </c>
      <c r="O182" s="14">
        <f>IF(AND(B205&gt;B182,B205&lt;=C182),B205,0)</f>
        <v>50</v>
      </c>
      <c r="P182" s="9">
        <f>IF(B203&gt;0,D182,0)</f>
        <v>20</v>
      </c>
      <c r="Q182" s="11">
        <f>IF(O182&gt;0,IF(O182=B182,D182,IF(AND(O182&gt;B182,O182&lt;=C182),D182+(O182-B182)*((D182-D182)/(C182-B182)),0)),0)</f>
        <v>20</v>
      </c>
      <c r="R182" s="14"/>
      <c r="S182" s="9"/>
      <c r="T182" s="11"/>
    </row>
    <row r="183" spans="1:27" x14ac:dyDescent="0.25">
      <c r="A183" s="4">
        <v>2</v>
      </c>
      <c r="B183" s="5">
        <v>50</v>
      </c>
      <c r="C183" s="5">
        <v>75</v>
      </c>
      <c r="D183" s="6">
        <v>25</v>
      </c>
      <c r="E183" s="7">
        <f>IF(AND(B196&gt;B183,B196&lt;=C183),B196,0)</f>
        <v>0</v>
      </c>
      <c r="F183" s="8">
        <v>0</v>
      </c>
      <c r="G183" s="8">
        <f>IF(E183&gt;0,IF(AND(E183&gt;B183,E183&lt;C183),D182+(E183-B183)*((D183-D182)/(C183-B183)),0),0)</f>
        <v>0</v>
      </c>
      <c r="H183" s="16">
        <f t="shared" ref="H183:H184" si="30">IF(AND(MIN(B$132,B$134)&gt;B183,MIN(B$132,B$134)&lt;=C183),MIN(B$132,B$134),0)</f>
        <v>0</v>
      </c>
      <c r="I183" s="12">
        <f>IF(AND(B$137&gt;B183,B$137&lt;=C183),B$137,0)</f>
        <v>0</v>
      </c>
      <c r="J183" s="5">
        <v>0</v>
      </c>
      <c r="K183" s="6">
        <f>IF(H183&gt;0,IF(H183=B183,D183,IF(AND(H183&gt;B183,H183&lt;=C183),D182+(H183-B183)*((D183-D182)/(C183-B183)),0)),0)</f>
        <v>0</v>
      </c>
      <c r="L183" s="16">
        <f>IF(AND(B203&gt;B183,B203&lt;=C183),B203,0)</f>
        <v>0</v>
      </c>
      <c r="M183" s="8">
        <v>0</v>
      </c>
      <c r="N183" s="6">
        <f>IF(L183&gt;0,IF(L183=B183,D183,IF(AND(L183&gt;B183,L183&lt;=C183),D183+(L183-B183)*((D183-D183)/(C183-B183)),0)),0)</f>
        <v>0</v>
      </c>
      <c r="O183" s="16">
        <f>IF(AND(B205&gt;B183,B205&lt;=C183),B205,0)</f>
        <v>0</v>
      </c>
      <c r="P183" s="8">
        <v>0</v>
      </c>
      <c r="Q183" s="6">
        <f>IF(O183&gt;0,IF(O183=B183,D183,IF(AND(O183&gt;B183,O183&lt;=C183),D182+(O183-B183)*((D183-D182)/(C183-B183)),0)),0)</f>
        <v>0</v>
      </c>
      <c r="R183" s="16"/>
      <c r="S183" s="8"/>
      <c r="T183" s="6"/>
    </row>
    <row r="184" spans="1:27" ht="15.75" thickBot="1" x14ac:dyDescent="0.3">
      <c r="A184" s="17">
        <v>3</v>
      </c>
      <c r="B184" s="18">
        <v>75</v>
      </c>
      <c r="C184" s="18">
        <v>100</v>
      </c>
      <c r="D184" s="19">
        <v>30</v>
      </c>
      <c r="E184" s="20">
        <f>IF(AND(B196&gt;B184,B196&lt;=C184),B196,0)</f>
        <v>0</v>
      </c>
      <c r="F184" s="21">
        <v>0</v>
      </c>
      <c r="G184" s="21">
        <f>IF(E184&gt;0,IF(E184=C184,D184,IF(AND(E184&gt;B184,E184&lt;C184),D183+(E184-B184)*((D184-D183)/(C184-B184)),IF(E184&gt;C184,D184,0))),0)</f>
        <v>0</v>
      </c>
      <c r="H184" s="24">
        <f t="shared" si="30"/>
        <v>0</v>
      </c>
      <c r="I184" s="22">
        <f>IF(AND(B$137&gt;B184,B$137&lt;=C184),B$137,0)</f>
        <v>0</v>
      </c>
      <c r="J184" s="18">
        <v>0</v>
      </c>
      <c r="K184" s="19">
        <f>IF(AND(I184&gt;0,H184&lt;&gt;I184),MAX(K182:K183),IF(H184&gt;0,IF(H184=B184,D184,IF(AND(H184&gt;B184,H184&lt;=C184),D183+(H184-B184)*((D184-D183)/(C184-B184)),0)),0))</f>
        <v>0</v>
      </c>
      <c r="L184" s="24">
        <f>IF(AND(B203&gt;B184,B203&lt;=C184),B203,IF(B203&gt;C184,B203,0))</f>
        <v>0</v>
      </c>
      <c r="M184" s="21">
        <v>0</v>
      </c>
      <c r="N184" s="19">
        <f>IF(L184&gt;0,IF(L184=B184,D184,IF(AND(L184&gt;B184,L184&lt;=C184),D184+(L184-B184)*((D184-D184)/(C184-B184)),IF(L184&gt;C184,D184,0))),0)</f>
        <v>0</v>
      </c>
      <c r="O184" s="24">
        <f>IF(AND(B205&gt;B184,B205&lt;=C184),B205,IF(B203&gt;C184,B205,0))</f>
        <v>0</v>
      </c>
      <c r="P184" s="21">
        <v>0</v>
      </c>
      <c r="Q184" s="19">
        <f>IF(O184&gt;0,IF(O184=B184,D184,IF(AND(O184&gt;B184,O184&lt;=C184),D184+(O184-B184)*((D184-D184)/(C184-B184)),IF(O184&gt;C184,D184,0))),0)</f>
        <v>0</v>
      </c>
      <c r="R184" s="24"/>
      <c r="S184" s="21"/>
      <c r="T184" s="19"/>
    </row>
    <row r="185" spans="1:27" ht="15.75" thickBot="1" x14ac:dyDescent="0.3">
      <c r="J185" s="25"/>
    </row>
    <row r="186" spans="1:27" ht="15.75" thickBot="1" x14ac:dyDescent="0.3">
      <c r="A186" s="227" t="s">
        <v>1</v>
      </c>
      <c r="B186" s="228"/>
      <c r="C186" s="228"/>
      <c r="D186" s="228"/>
      <c r="E186" s="228"/>
      <c r="F186" s="229"/>
      <c r="H186" s="235" t="s">
        <v>94</v>
      </c>
      <c r="I186" s="236"/>
      <c r="J186" s="236"/>
      <c r="K186" s="236"/>
      <c r="L186" s="236"/>
      <c r="M186" s="249"/>
      <c r="O186" s="235" t="s">
        <v>31</v>
      </c>
      <c r="P186" s="236"/>
      <c r="Q186" s="236"/>
      <c r="R186" s="236"/>
      <c r="S186" s="236"/>
      <c r="T186" s="249"/>
      <c r="V186" s="235" t="s">
        <v>86</v>
      </c>
      <c r="W186" s="236"/>
      <c r="X186" s="236"/>
      <c r="Y186" s="236"/>
      <c r="Z186" s="236"/>
      <c r="AA186" s="249"/>
    </row>
    <row r="187" spans="1:27" ht="30.75" thickBot="1" x14ac:dyDescent="0.3">
      <c r="A187" s="131" t="s">
        <v>3</v>
      </c>
      <c r="B187" s="132" t="s">
        <v>33</v>
      </c>
      <c r="C187" s="132" t="s">
        <v>34</v>
      </c>
      <c r="D187" s="132" t="s">
        <v>49</v>
      </c>
      <c r="E187" s="132" t="s">
        <v>47</v>
      </c>
      <c r="F187" s="133" t="s">
        <v>48</v>
      </c>
      <c r="H187" s="131" t="s">
        <v>3</v>
      </c>
      <c r="I187" s="132" t="s">
        <v>50</v>
      </c>
      <c r="J187" s="132" t="s">
        <v>51</v>
      </c>
      <c r="K187" s="132" t="s">
        <v>49</v>
      </c>
      <c r="L187" s="132" t="s">
        <v>47</v>
      </c>
      <c r="M187" s="133" t="s">
        <v>48</v>
      </c>
      <c r="O187" s="131" t="s">
        <v>3</v>
      </c>
      <c r="P187" s="132" t="s">
        <v>33</v>
      </c>
      <c r="Q187" s="132" t="s">
        <v>34</v>
      </c>
      <c r="R187" s="132" t="s">
        <v>49</v>
      </c>
      <c r="S187" s="132" t="s">
        <v>47</v>
      </c>
      <c r="T187" s="133" t="s">
        <v>48</v>
      </c>
      <c r="V187" s="131" t="s">
        <v>3</v>
      </c>
      <c r="W187" s="132" t="s">
        <v>33</v>
      </c>
      <c r="X187" s="132" t="s">
        <v>34</v>
      </c>
      <c r="Y187" s="132" t="s">
        <v>49</v>
      </c>
      <c r="Z187" s="132" t="s">
        <v>47</v>
      </c>
      <c r="AA187" s="133" t="s">
        <v>48</v>
      </c>
    </row>
    <row r="188" spans="1:27" x14ac:dyDescent="0.25">
      <c r="A188" s="4">
        <v>1</v>
      </c>
      <c r="B188" s="5">
        <v>0</v>
      </c>
      <c r="C188" s="5">
        <f>IF(AND(B196&gt;B182,B196&lt;C182),B196,IF(B196&gt;=C182,C182,0))</f>
        <v>0</v>
      </c>
      <c r="D188" s="29">
        <f>MIN(D182,F182)</f>
        <v>0</v>
      </c>
      <c r="E188" s="29">
        <f>IF(AND(B$196&gt;B182,B$196&lt;C182),G182,IF(B$196&gt;=C182,D182,0))</f>
        <v>0</v>
      </c>
      <c r="F188" s="30">
        <f>(C188-B188)*(D188+E188)/2</f>
        <v>0</v>
      </c>
      <c r="H188" s="4">
        <v>1</v>
      </c>
      <c r="I188" s="5">
        <v>0</v>
      </c>
      <c r="J188" s="5">
        <f>IF(AND(MAX(I$182:I$184)&gt;B182,MAX(I$182:I$184)&lt;C182),MAX(I$182:I$184),IF(MAX(I$182:I$184)&gt;=C182,C182,0))</f>
        <v>45</v>
      </c>
      <c r="K188" s="29">
        <f>MIN(D182,J182)</f>
        <v>20</v>
      </c>
      <c r="L188" s="29">
        <f>IF(AND(MAX(I$111:I$113)&gt;B182,MAX(I$111:I$113)&lt;C182),K182,IF(MAX(I$111:I$113)&gt;=C182,D182,0))</f>
        <v>20</v>
      </c>
      <c r="M188" s="30">
        <f>(J188-I188)*(K188+L188)/2</f>
        <v>900</v>
      </c>
      <c r="O188" s="4">
        <v>1</v>
      </c>
      <c r="P188" s="5">
        <v>0</v>
      </c>
      <c r="Q188" s="5">
        <f>IF(AND(B$203&gt;B182,B$203&lt;C182),B$203,IF(B$203&gt;=C182,C182,0))</f>
        <v>45</v>
      </c>
      <c r="R188" s="29">
        <f>MIN(D182,M182)</f>
        <v>20</v>
      </c>
      <c r="S188" s="29">
        <f>IF(AND(B$203&gt;B182,B$203&lt;C182),N182,IF(B$203&gt;=C182,D182,0))</f>
        <v>20</v>
      </c>
      <c r="T188" s="30">
        <f>(Q188-P188)*(R188+S188)/2</f>
        <v>900</v>
      </c>
      <c r="V188" s="4">
        <v>1</v>
      </c>
      <c r="W188" s="5">
        <v>0</v>
      </c>
      <c r="X188" s="5">
        <f>IF(AND(B$205&gt;B182,B$205&lt;C182),B$205,IF(B$205&gt;=C182,C182,0))</f>
        <v>50</v>
      </c>
      <c r="Y188" s="29">
        <f>MIN(D182,P182)</f>
        <v>20</v>
      </c>
      <c r="Z188" s="29">
        <f>IF(AND(B205&gt;B182,B205&lt;C182),Q182,IF(B205&gt;=C182,D182,0))</f>
        <v>20</v>
      </c>
      <c r="AA188" s="30">
        <f>(X188-W188)*(Y188+Z188)/2</f>
        <v>1000</v>
      </c>
    </row>
    <row r="189" spans="1:27" x14ac:dyDescent="0.25">
      <c r="A189" s="4">
        <v>2</v>
      </c>
      <c r="B189" s="5">
        <f>IF(B$196&gt;B183,C188,0)</f>
        <v>0</v>
      </c>
      <c r="C189" s="5">
        <f>IF(AND(B$196&gt;B183,B$196&lt;C183),B$196,IF(B$196&gt;=C183,C183,0))</f>
        <v>0</v>
      </c>
      <c r="D189" s="29">
        <f>IF(B189&lt;&gt;0,E188,0)</f>
        <v>0</v>
      </c>
      <c r="E189" s="29">
        <f>IF(AND(B$196&gt;B183,B$196&lt;C183),G183,IF(B$196&gt;=C183,D183,0))</f>
        <v>0</v>
      </c>
      <c r="F189" s="30">
        <f t="shared" ref="F189:F191" si="31">(C189-B189)*(D189+E189)/2</f>
        <v>0</v>
      </c>
      <c r="H189" s="4">
        <v>2</v>
      </c>
      <c r="I189" s="5">
        <f>IF(MAX(I$111:I$113)&gt;B183,C182,0)</f>
        <v>0</v>
      </c>
      <c r="J189" s="5">
        <f t="shared" ref="J189:J191" si="32">IF(AND(MAX(I$111:I$113)&gt;B183,MAX(I$111:I$113)&lt;C183),MAX(I$111:I$113),IF(MAX(I$111:I$113)&gt;=C183,C183,0))</f>
        <v>0</v>
      </c>
      <c r="K189" s="29">
        <f>IF(I189&lt;&gt;0,L188,0)</f>
        <v>0</v>
      </c>
      <c r="L189" s="29">
        <f t="shared" ref="L189:L191" si="33">IF(AND(MAX(I$111:I$113)&gt;B183,MAX(I$111:I$113)&lt;C183),K183,IF(MAX(I$111:I$113)&gt;=C183,D183,0))</f>
        <v>0</v>
      </c>
      <c r="M189" s="30">
        <f t="shared" ref="M189:M191" si="34">(J189-I189)*(K189+L189)/2</f>
        <v>0</v>
      </c>
      <c r="O189" s="4">
        <v>2</v>
      </c>
      <c r="P189" s="5">
        <f>IF(B$203&gt;B183,Q188,0)</f>
        <v>0</v>
      </c>
      <c r="Q189" s="5">
        <f>IF(AND(B$203&gt;B183,B$203&lt;C183),B$203,IF(B$203&gt;=C183,C183,0))</f>
        <v>0</v>
      </c>
      <c r="R189" s="29">
        <f>IF(P189&lt;&gt;0,S188,0)</f>
        <v>0</v>
      </c>
      <c r="S189" s="29">
        <f>IF(AND(B$203&gt;B183,B$203&lt;C183),N183,IF(B$203&gt;=C183,D183,0))</f>
        <v>0</v>
      </c>
      <c r="T189" s="30">
        <f t="shared" ref="T189:T191" si="35">(Q189-P189)*(R189+S189)/2</f>
        <v>0</v>
      </c>
      <c r="V189" s="4">
        <v>2</v>
      </c>
      <c r="W189" s="5">
        <f>IF(B$205&gt;B183,X188,0)</f>
        <v>0</v>
      </c>
      <c r="X189" s="5">
        <f>IF(AND(B$205&gt;B183,B$205&lt;C183),B$205,IF(B$205&gt;=C183,C183,0))</f>
        <v>0</v>
      </c>
      <c r="Y189" s="29">
        <f>IF(W189&lt;&gt;0,Z188,0)</f>
        <v>0</v>
      </c>
      <c r="Z189" s="29">
        <f>IF(AND(B205&gt;B183,B205&lt;C183),Q183,IF(B205&gt;=C183,D183,0))</f>
        <v>0</v>
      </c>
      <c r="AA189" s="30">
        <f t="shared" ref="AA189:AA191" si="36">(X189-W189)*(Y189+Z189)/2</f>
        <v>0</v>
      </c>
    </row>
    <row r="190" spans="1:27" x14ac:dyDescent="0.25">
      <c r="A190" s="4">
        <v>3</v>
      </c>
      <c r="B190" s="5">
        <f>IF(B$196&gt;B184,C189,0)</f>
        <v>0</v>
      </c>
      <c r="C190" s="5">
        <f>IF(AND(B$196&gt;B184,B$196&lt;C184),B$196,IF(B$196&gt;=C184,C184,0))</f>
        <v>0</v>
      </c>
      <c r="D190" s="29">
        <f t="shared" ref="D190:D191" si="37">IF(B190&lt;&gt;0,E189,0)</f>
        <v>0</v>
      </c>
      <c r="E190" s="29">
        <f>IF(AND(B$196&gt;B184,B$196&lt;C184),G184,IF(B$196&gt;=C184,D184,0))</f>
        <v>0</v>
      </c>
      <c r="F190" s="30">
        <f t="shared" si="31"/>
        <v>0</v>
      </c>
      <c r="H190" s="4">
        <v>3</v>
      </c>
      <c r="I190" s="5">
        <f t="shared" ref="I190" si="38">IF(MAX(I$111:I$113)&gt;B184,C183,0)</f>
        <v>0</v>
      </c>
      <c r="J190" s="5">
        <f t="shared" si="32"/>
        <v>0</v>
      </c>
      <c r="K190" s="29">
        <f>IF(I190&lt;&gt;0,L189,0)</f>
        <v>0</v>
      </c>
      <c r="L190" s="29">
        <f t="shared" si="33"/>
        <v>0</v>
      </c>
      <c r="M190" s="30">
        <f t="shared" si="34"/>
        <v>0</v>
      </c>
      <c r="O190" s="4">
        <v>3</v>
      </c>
      <c r="P190" s="5">
        <f>IF(B$203&gt;B184,Q189,0)</f>
        <v>0</v>
      </c>
      <c r="Q190" s="5">
        <f>IF(AND(B$203&gt;B184,B$203&lt;C184),B$203,IF(B$203&gt;=C184,C184,0))</f>
        <v>0</v>
      </c>
      <c r="R190" s="29">
        <f>IF(P190&lt;&gt;0,S189,0)</f>
        <v>0</v>
      </c>
      <c r="S190" s="29">
        <f>IF(AND(B$203&gt;B184,B$203&lt;C184),N184,IF(B$203&gt;=C184,D184,0))</f>
        <v>0</v>
      </c>
      <c r="T190" s="30">
        <f t="shared" si="35"/>
        <v>0</v>
      </c>
      <c r="V190" s="4">
        <v>3</v>
      </c>
      <c r="W190" s="5">
        <f>IF(B$205&gt;I184,X189,0)</f>
        <v>0</v>
      </c>
      <c r="X190" s="5">
        <f>IF(AND(B$205&gt;B184,B$205&lt;C184),B$205,IF(B$205&gt;=C184,C184,0))</f>
        <v>0</v>
      </c>
      <c r="Y190" s="29">
        <f>IF(W190&lt;&gt;0,Z189,0)</f>
        <v>0</v>
      </c>
      <c r="Z190" s="29">
        <f>IF(AND(B205&gt;B184,B205&lt;C184),Q184,IF(B205&gt;=C184,D184,0))</f>
        <v>0</v>
      </c>
      <c r="AA190" s="30">
        <f t="shared" si="36"/>
        <v>0</v>
      </c>
    </row>
    <row r="191" spans="1:27" x14ac:dyDescent="0.25">
      <c r="A191" s="4">
        <v>4</v>
      </c>
      <c r="B191" s="5">
        <f>IF(B$196&gt;C184,C190,0)</f>
        <v>0</v>
      </c>
      <c r="C191" s="5">
        <f>IF(AND(B$196&gt;B185,B$196&lt;C185),B$196,IF(B$196&gt;=C185,C185,0))</f>
        <v>0</v>
      </c>
      <c r="D191" s="29">
        <f t="shared" si="37"/>
        <v>0</v>
      </c>
      <c r="E191" s="29">
        <f>IF(AND(B$196&gt;B185,B$196&lt;C185),G185,IF(B$196&gt;=C185,D185,0))</f>
        <v>0</v>
      </c>
      <c r="F191" s="30">
        <f t="shared" si="31"/>
        <v>0</v>
      </c>
      <c r="H191" s="4">
        <v>4</v>
      </c>
      <c r="I191" s="5">
        <f>IF(MAX(I$111:I$113)&gt;C184,C184,0)</f>
        <v>0</v>
      </c>
      <c r="J191" s="5">
        <f t="shared" si="32"/>
        <v>0</v>
      </c>
      <c r="K191" s="29">
        <f>IF(I191&lt;&gt;0,L190,0)</f>
        <v>0</v>
      </c>
      <c r="L191" s="29">
        <f t="shared" si="33"/>
        <v>0</v>
      </c>
      <c r="M191" s="30">
        <f t="shared" si="34"/>
        <v>0</v>
      </c>
      <c r="O191" s="4">
        <v>4</v>
      </c>
      <c r="P191" s="5">
        <f>IF(B$203&gt;C184,Q190,0)</f>
        <v>0</v>
      </c>
      <c r="Q191" s="5">
        <f>IF(B$203&gt;C184,B$203,IF(AND(B$203&gt;B185,B$203&lt;C185),B$203,IF(B$203&gt;=C185,C185,0)))</f>
        <v>0</v>
      </c>
      <c r="R191" s="29">
        <f>IF(P191&lt;&gt;0,S190,0)</f>
        <v>0</v>
      </c>
      <c r="S191" s="29">
        <f>IF(Q191&gt;0,IF(B$203&gt;=C185,N184,IF(AND(B$203&gt;B185,B$203&lt;C185),N184,0)),0)</f>
        <v>0</v>
      </c>
      <c r="T191" s="30">
        <f t="shared" si="35"/>
        <v>0</v>
      </c>
      <c r="V191" s="4">
        <v>4</v>
      </c>
      <c r="W191" s="5">
        <f>IF(B$205&gt;C184,X190,0)</f>
        <v>0</v>
      </c>
      <c r="X191" s="5">
        <f>IF(B$205&gt;C184,B$205,IF(AND(B$205&gt;B185,B$205&lt;C185),B$205,IF(B$205&gt;=C185,C185,0)))</f>
        <v>0</v>
      </c>
      <c r="Y191" s="29">
        <f>IF(W191&lt;&gt;0,Z190,0)</f>
        <v>0</v>
      </c>
      <c r="Z191" s="29">
        <f>IF(X191&gt;0,IF(B$205&gt;=C185,N184,IF(AND(B$205&gt;B185,B$205&lt;C185),N184,0)),0)</f>
        <v>0</v>
      </c>
      <c r="AA191" s="30">
        <f t="shared" si="36"/>
        <v>0</v>
      </c>
    </row>
    <row r="192" spans="1:27" ht="15.75" thickBot="1" x14ac:dyDescent="0.3">
      <c r="A192" s="24"/>
      <c r="B192" s="18"/>
      <c r="C192" s="18"/>
      <c r="D192" s="21"/>
      <c r="E192" s="21"/>
      <c r="F192" s="31">
        <f>SUM(F188:F191)</f>
        <v>0</v>
      </c>
      <c r="H192" s="24"/>
      <c r="I192" s="18"/>
      <c r="J192" s="18"/>
      <c r="K192" s="21"/>
      <c r="L192" s="21"/>
      <c r="M192" s="31">
        <f>SUM(M188:M191)</f>
        <v>900</v>
      </c>
      <c r="O192" s="24"/>
      <c r="P192" s="18"/>
      <c r="Q192" s="18"/>
      <c r="R192" s="21"/>
      <c r="S192" s="21"/>
      <c r="T192" s="31">
        <f>SUM(T188:T191)</f>
        <v>900</v>
      </c>
      <c r="V192" s="24"/>
      <c r="W192" s="18"/>
      <c r="X192" s="18"/>
      <c r="Y192" s="21"/>
      <c r="Z192" s="21"/>
      <c r="AA192" s="31">
        <f>SUM(AA188:AA191)</f>
        <v>1000</v>
      </c>
    </row>
    <row r="193" spans="1:21" ht="15.75" thickBot="1" x14ac:dyDescent="0.3"/>
    <row r="194" spans="1:21" ht="15.75" thickBot="1" x14ac:dyDescent="0.3">
      <c r="A194" s="68" t="s">
        <v>37</v>
      </c>
      <c r="E194" s="227" t="s">
        <v>75</v>
      </c>
      <c r="F194" s="228"/>
      <c r="G194" s="228"/>
      <c r="H194" s="228"/>
      <c r="I194" s="229"/>
      <c r="J194" s="152"/>
      <c r="K194" s="152"/>
      <c r="L194" s="152"/>
      <c r="M194" s="152"/>
      <c r="N194" s="45"/>
      <c r="O194" s="153"/>
      <c r="P194" s="153"/>
      <c r="Q194" s="153"/>
      <c r="R194" s="153"/>
      <c r="S194" s="153"/>
      <c r="T194" s="153"/>
    </row>
    <row r="195" spans="1:21" ht="15.75" thickBot="1" x14ac:dyDescent="0.3">
      <c r="A195" s="263" t="s">
        <v>10</v>
      </c>
      <c r="B195" s="264"/>
      <c r="E195" s="227" t="s">
        <v>78</v>
      </c>
      <c r="F195" s="228"/>
      <c r="G195" s="228"/>
      <c r="H195" s="228"/>
      <c r="I195" s="139" t="s">
        <v>74</v>
      </c>
      <c r="J195" s="146"/>
      <c r="K195" s="146"/>
      <c r="L195" s="146"/>
      <c r="M195" s="146"/>
      <c r="N195" s="45"/>
      <c r="O195" s="154"/>
      <c r="P195" s="154"/>
      <c r="Q195" s="154"/>
      <c r="R195" s="154"/>
      <c r="S195" s="154"/>
      <c r="T195" s="154"/>
    </row>
    <row r="196" spans="1:21" x14ac:dyDescent="0.25">
      <c r="A196" s="4" t="s">
        <v>5</v>
      </c>
      <c r="B196" s="13">
        <v>0</v>
      </c>
      <c r="E196" s="245" t="s">
        <v>76</v>
      </c>
      <c r="F196" s="246"/>
      <c r="G196" s="246"/>
      <c r="H196" s="246"/>
      <c r="I196" s="123">
        <f>B196*B197</f>
        <v>0</v>
      </c>
      <c r="J196" s="45"/>
      <c r="K196" s="45"/>
      <c r="L196" s="45"/>
      <c r="M196" s="45"/>
      <c r="N196" s="45"/>
      <c r="O196" s="45"/>
      <c r="P196" s="140"/>
      <c r="Q196" s="45"/>
      <c r="R196" s="45"/>
      <c r="S196" s="45"/>
      <c r="T196" s="45"/>
    </row>
    <row r="197" spans="1:21" ht="15.75" thickBot="1" x14ac:dyDescent="0.3">
      <c r="A197" s="17" t="s">
        <v>13</v>
      </c>
      <c r="B197" s="19">
        <v>0</v>
      </c>
      <c r="E197" s="137"/>
      <c r="F197" s="142"/>
      <c r="G197" s="142"/>
      <c r="H197" s="142"/>
      <c r="I197" s="123"/>
      <c r="J197" s="45"/>
      <c r="K197" s="45"/>
      <c r="L197" s="45"/>
      <c r="M197" s="45"/>
      <c r="N197" s="45"/>
      <c r="O197" s="143"/>
      <c r="P197" s="143"/>
      <c r="Q197" s="143"/>
      <c r="R197" s="143"/>
      <c r="S197" s="143"/>
      <c r="T197" s="140"/>
    </row>
    <row r="198" spans="1:21" x14ac:dyDescent="0.25">
      <c r="A198" s="14" t="s">
        <v>55</v>
      </c>
      <c r="B198" s="26">
        <v>0</v>
      </c>
      <c r="E198" s="240" t="str">
        <f>"DA Incremental Cost @ "&amp;B196&amp;" MW"</f>
        <v>DA Incremental Cost @ 0 MW</v>
      </c>
      <c r="F198" s="241"/>
      <c r="G198" s="241"/>
      <c r="H198" s="241"/>
      <c r="I198" s="123">
        <f>F192</f>
        <v>0</v>
      </c>
      <c r="J198" s="45"/>
      <c r="K198" s="45"/>
      <c r="L198" s="45"/>
      <c r="M198" s="45"/>
      <c r="N198" s="45"/>
      <c r="O198" s="45"/>
      <c r="P198" s="45"/>
      <c r="Q198" s="45"/>
      <c r="R198" s="45"/>
      <c r="S198" s="45"/>
      <c r="T198" s="45"/>
    </row>
    <row r="199" spans="1:21" ht="15.75" thickBot="1" x14ac:dyDescent="0.3">
      <c r="A199" s="24" t="s">
        <v>56</v>
      </c>
      <c r="B199" s="23">
        <v>0</v>
      </c>
      <c r="C199" s="32"/>
      <c r="D199" s="32"/>
      <c r="E199" s="240" t="s">
        <v>77</v>
      </c>
      <c r="F199" s="241"/>
      <c r="G199" s="241"/>
      <c r="H199" s="241"/>
      <c r="I199" s="147">
        <f>B199</f>
        <v>0</v>
      </c>
      <c r="J199" s="45"/>
      <c r="K199" s="45"/>
      <c r="L199" s="45"/>
      <c r="M199" s="45"/>
      <c r="N199" s="45"/>
      <c r="O199" s="45"/>
      <c r="P199" s="45"/>
      <c r="Q199" s="45"/>
      <c r="R199" s="45"/>
      <c r="S199" s="45"/>
      <c r="T199" s="45"/>
    </row>
    <row r="200" spans="1:21" x14ac:dyDescent="0.25">
      <c r="C200" s="32"/>
      <c r="E200" s="240" t="s">
        <v>72</v>
      </c>
      <c r="F200" s="241"/>
      <c r="G200" s="241"/>
      <c r="H200" s="241"/>
      <c r="I200" s="123">
        <f>B198</f>
        <v>0</v>
      </c>
      <c r="J200" s="45"/>
      <c r="K200" s="45"/>
      <c r="L200" s="140"/>
      <c r="M200" s="155"/>
      <c r="N200" s="45"/>
      <c r="O200" s="143"/>
      <c r="P200" s="143"/>
      <c r="Q200" s="143"/>
      <c r="R200" s="143"/>
      <c r="S200" s="143"/>
      <c r="T200" s="140"/>
    </row>
    <row r="201" spans="1:21" ht="15.75" thickBot="1" x14ac:dyDescent="0.3">
      <c r="A201" s="68" t="s">
        <v>37</v>
      </c>
      <c r="E201" s="85"/>
      <c r="F201" s="144"/>
      <c r="G201" s="144"/>
      <c r="H201" s="144"/>
      <c r="I201" s="141"/>
      <c r="J201" s="45"/>
      <c r="K201" s="45"/>
      <c r="L201" s="140"/>
      <c r="M201" s="140"/>
      <c r="N201" s="45"/>
      <c r="O201" s="45"/>
      <c r="P201" s="45"/>
      <c r="Q201" s="45"/>
      <c r="R201" s="45"/>
      <c r="S201" s="45"/>
      <c r="T201" s="45"/>
    </row>
    <row r="202" spans="1:21" x14ac:dyDescent="0.25">
      <c r="A202" s="263" t="s">
        <v>22</v>
      </c>
      <c r="B202" s="264"/>
      <c r="E202" s="240" t="s">
        <v>73</v>
      </c>
      <c r="F202" s="241"/>
      <c r="G202" s="241"/>
      <c r="H202" s="241"/>
      <c r="I202" s="158">
        <f>I196-I198-I199-I200</f>
        <v>0</v>
      </c>
      <c r="J202" s="45"/>
      <c r="K202" s="140"/>
      <c r="L202" s="45"/>
      <c r="M202" s="45"/>
      <c r="N202" s="45"/>
      <c r="O202" s="143"/>
      <c r="P202" s="143"/>
      <c r="Q202" s="143"/>
      <c r="R202" s="143"/>
      <c r="S202" s="143"/>
      <c r="T202" s="140"/>
    </row>
    <row r="203" spans="1:21" x14ac:dyDescent="0.25">
      <c r="A203" s="16" t="s">
        <v>43</v>
      </c>
      <c r="B203" s="13">
        <v>45</v>
      </c>
      <c r="E203" s="137"/>
      <c r="F203" s="138"/>
      <c r="G203" s="138"/>
      <c r="H203" s="138"/>
      <c r="I203" s="123"/>
      <c r="J203" s="45"/>
      <c r="K203" s="45"/>
      <c r="L203" s="140"/>
      <c r="M203" s="45"/>
      <c r="N203" s="45"/>
      <c r="O203" s="45"/>
      <c r="P203" s="45"/>
      <c r="Q203" s="45"/>
      <c r="R203" s="45"/>
      <c r="S203" s="45"/>
      <c r="T203" s="45"/>
    </row>
    <row r="204" spans="1:21" ht="15.75" thickBot="1" x14ac:dyDescent="0.3">
      <c r="A204" s="16" t="s">
        <v>13</v>
      </c>
      <c r="B204" s="6">
        <v>0</v>
      </c>
      <c r="D204" s="32"/>
      <c r="E204" s="240" t="s">
        <v>83</v>
      </c>
      <c r="F204" s="241"/>
      <c r="G204" s="241"/>
      <c r="H204" s="241"/>
      <c r="I204" s="151">
        <f>MAX(I202*-1,0)</f>
        <v>0</v>
      </c>
      <c r="J204" s="45"/>
      <c r="K204" s="140"/>
      <c r="L204" s="45"/>
      <c r="M204" s="45"/>
      <c r="N204" s="45"/>
      <c r="O204" s="143"/>
      <c r="P204" s="143"/>
      <c r="Q204" s="143"/>
      <c r="R204" s="143"/>
      <c r="S204" s="143"/>
      <c r="T204" s="140"/>
    </row>
    <row r="205" spans="1:21" ht="16.5" thickTop="1" thickBot="1" x14ac:dyDescent="0.3">
      <c r="A205" s="16" t="s">
        <v>27</v>
      </c>
      <c r="B205" s="13">
        <v>50</v>
      </c>
      <c r="E205" s="156"/>
      <c r="F205" s="157"/>
      <c r="G205" s="157"/>
      <c r="H205" s="157"/>
      <c r="I205" s="145"/>
      <c r="J205" s="45"/>
      <c r="K205" s="45"/>
      <c r="L205" s="45"/>
      <c r="M205" s="45"/>
      <c r="N205" s="45"/>
      <c r="O205" s="45"/>
      <c r="P205" s="45"/>
      <c r="Q205" s="45"/>
      <c r="R205" s="45"/>
      <c r="S205" s="45"/>
      <c r="T205" s="45"/>
    </row>
    <row r="206" spans="1:21" x14ac:dyDescent="0.25">
      <c r="A206" s="16" t="s">
        <v>29</v>
      </c>
      <c r="B206" s="13">
        <v>50</v>
      </c>
      <c r="E206" s="138"/>
      <c r="F206" s="142"/>
      <c r="G206" s="142"/>
      <c r="H206" s="142"/>
      <c r="I206" s="140"/>
      <c r="J206" s="45"/>
      <c r="K206" s="45"/>
      <c r="L206" s="45"/>
      <c r="M206" s="45"/>
      <c r="N206" s="45"/>
      <c r="O206" s="45"/>
      <c r="P206" s="140"/>
      <c r="Q206" s="45"/>
      <c r="R206" s="45"/>
      <c r="S206" s="45"/>
      <c r="T206" s="45"/>
    </row>
    <row r="207" spans="1:21" ht="15.75" thickBot="1" x14ac:dyDescent="0.3">
      <c r="A207" s="16" t="s">
        <v>28</v>
      </c>
      <c r="B207" s="13">
        <f>IF(AND(B204&lt;0,B203&gt;B196,B196&gt;0),B196,IF(AND(B196=0,B204&lt;0),MIN(B205,B203),IF(B196=0,B203,MAX(MIN(B205,B196),B203))))</f>
        <v>45</v>
      </c>
      <c r="E207" s="243" t="s">
        <v>98</v>
      </c>
      <c r="F207" s="243"/>
      <c r="G207" s="243"/>
      <c r="H207" s="243"/>
      <c r="I207" s="243"/>
      <c r="J207" s="188"/>
      <c r="K207" s="244" t="s">
        <v>97</v>
      </c>
      <c r="L207" s="244"/>
      <c r="M207" s="244"/>
      <c r="N207" s="244"/>
      <c r="O207" s="244"/>
      <c r="P207" s="188"/>
      <c r="Q207" s="244" t="s">
        <v>99</v>
      </c>
      <c r="R207" s="244"/>
      <c r="S207" s="244"/>
      <c r="T207" s="244"/>
      <c r="U207" s="244"/>
    </row>
    <row r="208" spans="1:21" ht="15.75" thickBot="1" x14ac:dyDescent="0.3">
      <c r="A208" s="24" t="s">
        <v>8</v>
      </c>
      <c r="B208" s="23">
        <f>IF(AND(B205*0.9&lt;=B203,B205*1.1&gt;=B203),B203,MIN(B205,B203))</f>
        <v>45</v>
      </c>
      <c r="E208" s="227" t="s">
        <v>90</v>
      </c>
      <c r="F208" s="228"/>
      <c r="G208" s="228"/>
      <c r="H208" s="228"/>
      <c r="I208" s="229"/>
      <c r="J208" s="146"/>
      <c r="K208" s="227" t="s">
        <v>85</v>
      </c>
      <c r="L208" s="228"/>
      <c r="M208" s="228"/>
      <c r="N208" s="228"/>
      <c r="O208" s="229"/>
      <c r="P208" s="154"/>
      <c r="Q208" s="227" t="s">
        <v>88</v>
      </c>
      <c r="R208" s="228"/>
      <c r="S208" s="228"/>
      <c r="T208" s="228"/>
      <c r="U208" s="229"/>
    </row>
    <row r="209" spans="1:21" ht="15.75" thickBot="1" x14ac:dyDescent="0.3">
      <c r="A209" s="14" t="s">
        <v>55</v>
      </c>
      <c r="B209" s="26">
        <v>0</v>
      </c>
      <c r="E209" s="227" t="s">
        <v>78</v>
      </c>
      <c r="F209" s="228"/>
      <c r="G209" s="228"/>
      <c r="H209" s="228"/>
      <c r="I209" s="139" t="s">
        <v>74</v>
      </c>
      <c r="J209" s="45"/>
      <c r="K209" s="227" t="s">
        <v>78</v>
      </c>
      <c r="L209" s="228"/>
      <c r="M209" s="228"/>
      <c r="N209" s="228"/>
      <c r="O209" s="139" t="s">
        <v>74</v>
      </c>
      <c r="P209" s="45"/>
      <c r="Q209" s="227" t="s">
        <v>78</v>
      </c>
      <c r="R209" s="228"/>
      <c r="S209" s="228"/>
      <c r="T209" s="228"/>
      <c r="U209" s="139" t="s">
        <v>74</v>
      </c>
    </row>
    <row r="210" spans="1:21" ht="15.75" thickBot="1" x14ac:dyDescent="0.3">
      <c r="A210" s="24" t="s">
        <v>56</v>
      </c>
      <c r="B210" s="23">
        <v>0</v>
      </c>
      <c r="E210" s="245" t="s">
        <v>76</v>
      </c>
      <c r="F210" s="246"/>
      <c r="G210" s="246"/>
      <c r="H210" s="246"/>
      <c r="I210" s="160">
        <f>I196</f>
        <v>0</v>
      </c>
      <c r="J210" s="140"/>
      <c r="K210" s="245" t="s">
        <v>76</v>
      </c>
      <c r="L210" s="246"/>
      <c r="M210" s="246"/>
      <c r="N210" s="246"/>
      <c r="O210" s="160">
        <f>I196</f>
        <v>0</v>
      </c>
      <c r="P210" s="143"/>
      <c r="Q210" s="245" t="s">
        <v>76</v>
      </c>
      <c r="R210" s="246"/>
      <c r="S210" s="246"/>
      <c r="T210" s="246"/>
      <c r="U210" s="160">
        <f>I196</f>
        <v>0</v>
      </c>
    </row>
    <row r="211" spans="1:21" x14ac:dyDescent="0.25">
      <c r="E211" s="75"/>
      <c r="F211" s="76"/>
      <c r="G211" s="76"/>
      <c r="H211" s="76"/>
      <c r="I211" s="161"/>
      <c r="J211" s="45"/>
      <c r="K211" s="75"/>
      <c r="L211" s="76"/>
      <c r="M211" s="76"/>
      <c r="N211" s="76"/>
      <c r="O211" s="161"/>
      <c r="P211" s="45"/>
      <c r="Q211" s="75"/>
      <c r="R211" s="76"/>
      <c r="S211" s="76"/>
      <c r="T211" s="76"/>
      <c r="U211" s="161"/>
    </row>
    <row r="212" spans="1:21" x14ac:dyDescent="0.25">
      <c r="E212" s="240" t="s">
        <v>83</v>
      </c>
      <c r="F212" s="241"/>
      <c r="G212" s="241"/>
      <c r="H212" s="241"/>
      <c r="I212" s="160">
        <f>I204</f>
        <v>0</v>
      </c>
      <c r="J212" s="140"/>
      <c r="K212" s="240" t="s">
        <v>83</v>
      </c>
      <c r="L212" s="241"/>
      <c r="M212" s="241"/>
      <c r="N212" s="241"/>
      <c r="O212" s="160">
        <f>I204</f>
        <v>0</v>
      </c>
      <c r="P212" s="143"/>
      <c r="Q212" s="240" t="s">
        <v>83</v>
      </c>
      <c r="R212" s="241"/>
      <c r="S212" s="241"/>
      <c r="T212" s="241"/>
      <c r="U212" s="160">
        <f>I204</f>
        <v>0</v>
      </c>
    </row>
    <row r="213" spans="1:21" x14ac:dyDescent="0.25">
      <c r="E213" s="75"/>
      <c r="F213" s="76"/>
      <c r="G213" s="76"/>
      <c r="H213" s="76"/>
      <c r="I213" s="159"/>
      <c r="J213" s="146"/>
      <c r="K213" s="75"/>
      <c r="L213" s="76"/>
      <c r="M213" s="76"/>
      <c r="N213" s="76"/>
      <c r="O213" s="159"/>
      <c r="P213" s="146"/>
      <c r="Q213" s="75"/>
      <c r="R213" s="76"/>
      <c r="S213" s="76"/>
      <c r="T213" s="76"/>
      <c r="U213" s="159"/>
    </row>
    <row r="214" spans="1:21" x14ac:dyDescent="0.25">
      <c r="E214" s="240" t="s">
        <v>79</v>
      </c>
      <c r="F214" s="241"/>
      <c r="G214" s="241"/>
      <c r="H214" s="241"/>
      <c r="I214" s="123">
        <f>(B207-B196)*B204</f>
        <v>0</v>
      </c>
      <c r="J214" s="104"/>
      <c r="K214" s="240" t="s">
        <v>87</v>
      </c>
      <c r="L214" s="241"/>
      <c r="M214" s="241"/>
      <c r="N214" s="241"/>
      <c r="O214" s="123">
        <f>(B205-B196)*B204</f>
        <v>0</v>
      </c>
      <c r="P214" s="143"/>
      <c r="Q214" s="240" t="s">
        <v>87</v>
      </c>
      <c r="R214" s="241"/>
      <c r="S214" s="241"/>
      <c r="T214" s="241"/>
      <c r="U214" s="123">
        <f>(B203-B196)*B204</f>
        <v>0</v>
      </c>
    </row>
    <row r="215" spans="1:21" x14ac:dyDescent="0.25">
      <c r="E215" s="137"/>
      <c r="F215" s="142"/>
      <c r="G215" s="142"/>
      <c r="H215" s="142"/>
      <c r="I215" s="123"/>
      <c r="J215" s="149"/>
      <c r="K215" s="137"/>
      <c r="L215" s="142"/>
      <c r="M215" s="142"/>
      <c r="N215" s="142"/>
      <c r="O215" s="123"/>
      <c r="P215" s="150"/>
      <c r="Q215" s="137"/>
      <c r="R215" s="142"/>
      <c r="S215" s="142"/>
      <c r="T215" s="142"/>
      <c r="U215" s="123"/>
    </row>
    <row r="216" spans="1:21" x14ac:dyDescent="0.25">
      <c r="E216" s="240" t="str">
        <f>"RT Incremental Cost @ "&amp;B208&amp;" MW"</f>
        <v>RT Incremental Cost @ 45 MW</v>
      </c>
      <c r="F216" s="241"/>
      <c r="G216" s="241"/>
      <c r="H216" s="241"/>
      <c r="I216" s="123">
        <f>M192</f>
        <v>900</v>
      </c>
      <c r="J216" s="104"/>
      <c r="K216" s="240" t="str">
        <f>"RT Incremental Cost @ "&amp;B205&amp;" MW"</f>
        <v>RT Incremental Cost @ 50 MW</v>
      </c>
      <c r="L216" s="241"/>
      <c r="M216" s="241"/>
      <c r="N216" s="241"/>
      <c r="O216" s="123">
        <f>AA192</f>
        <v>1000</v>
      </c>
      <c r="P216" s="143"/>
      <c r="Q216" s="240" t="str">
        <f>"RT Incremental Cost @ "&amp;B203&amp;" MW"</f>
        <v>RT Incremental Cost @ 45 MW</v>
      </c>
      <c r="R216" s="241"/>
      <c r="S216" s="241"/>
      <c r="T216" s="241"/>
      <c r="U216" s="123">
        <f>T192</f>
        <v>900</v>
      </c>
    </row>
    <row r="217" spans="1:21" x14ac:dyDescent="0.25">
      <c r="E217" s="240" t="s">
        <v>80</v>
      </c>
      <c r="F217" s="241"/>
      <c r="G217" s="241"/>
      <c r="H217" s="241"/>
      <c r="I217" s="147">
        <f>B210</f>
        <v>0</v>
      </c>
      <c r="J217" s="104"/>
      <c r="K217" s="240" t="s">
        <v>80</v>
      </c>
      <c r="L217" s="241"/>
      <c r="M217" s="241"/>
      <c r="N217" s="241"/>
      <c r="O217" s="147">
        <f>B210</f>
        <v>0</v>
      </c>
      <c r="P217" s="45"/>
      <c r="Q217" s="240" t="s">
        <v>80</v>
      </c>
      <c r="R217" s="241"/>
      <c r="S217" s="241"/>
      <c r="T217" s="241"/>
      <c r="U217" s="147">
        <f>B210</f>
        <v>0</v>
      </c>
    </row>
    <row r="218" spans="1:21" x14ac:dyDescent="0.25">
      <c r="D218" s="33"/>
      <c r="E218" s="240" t="s">
        <v>81</v>
      </c>
      <c r="F218" s="241"/>
      <c r="G218" s="241"/>
      <c r="H218" s="241"/>
      <c r="I218" s="123">
        <f>B209</f>
        <v>0</v>
      </c>
      <c r="J218" s="104"/>
      <c r="K218" s="240" t="s">
        <v>81</v>
      </c>
      <c r="L218" s="241"/>
      <c r="M218" s="241"/>
      <c r="N218" s="241"/>
      <c r="O218" s="123">
        <f>B209</f>
        <v>0</v>
      </c>
      <c r="P218" s="45"/>
      <c r="Q218" s="240" t="s">
        <v>81</v>
      </c>
      <c r="R218" s="241"/>
      <c r="S218" s="241"/>
      <c r="T218" s="241"/>
      <c r="U218" s="123">
        <f>B209</f>
        <v>0</v>
      </c>
    </row>
    <row r="219" spans="1:21" x14ac:dyDescent="0.25">
      <c r="E219" s="85"/>
      <c r="F219" s="144"/>
      <c r="G219" s="144"/>
      <c r="H219" s="144"/>
      <c r="I219" s="141"/>
      <c r="K219" s="85"/>
      <c r="L219" s="144"/>
      <c r="M219" s="144"/>
      <c r="N219" s="144"/>
      <c r="O219" s="141"/>
      <c r="Q219" s="85"/>
      <c r="R219" s="144"/>
      <c r="S219" s="144"/>
      <c r="T219" s="144"/>
      <c r="U219" s="141"/>
    </row>
    <row r="220" spans="1:21" x14ac:dyDescent="0.25">
      <c r="E220" s="240" t="s">
        <v>82</v>
      </c>
      <c r="F220" s="241"/>
      <c r="G220" s="241"/>
      <c r="H220" s="241"/>
      <c r="I220" s="158">
        <f>I210+I214-I216-I217-I218</f>
        <v>-900</v>
      </c>
      <c r="K220" s="240" t="s">
        <v>82</v>
      </c>
      <c r="L220" s="241"/>
      <c r="M220" s="241"/>
      <c r="N220" s="241"/>
      <c r="O220" s="158">
        <f>O210+O214-O216-O217-O218</f>
        <v>-1000</v>
      </c>
      <c r="Q220" s="240" t="s">
        <v>82</v>
      </c>
      <c r="R220" s="241"/>
      <c r="S220" s="241"/>
      <c r="T220" s="241"/>
      <c r="U220" s="158">
        <f>U210+U214-U216-U217-U218</f>
        <v>-900</v>
      </c>
    </row>
    <row r="221" spans="1:21" x14ac:dyDescent="0.25">
      <c r="E221" s="93"/>
      <c r="F221" s="148"/>
      <c r="G221" s="148"/>
      <c r="H221" s="148"/>
      <c r="I221" s="162"/>
      <c r="K221" s="93"/>
      <c r="L221" s="148"/>
      <c r="M221" s="148"/>
      <c r="N221" s="148"/>
      <c r="O221" s="162"/>
      <c r="Q221" s="93"/>
      <c r="R221" s="148"/>
      <c r="S221" s="148"/>
      <c r="T221" s="148"/>
      <c r="U221" s="162"/>
    </row>
    <row r="222" spans="1:21" ht="15.75" thickBot="1" x14ac:dyDescent="0.3">
      <c r="E222" s="240" t="s">
        <v>84</v>
      </c>
      <c r="F222" s="241"/>
      <c r="G222" s="241"/>
      <c r="H222" s="241"/>
      <c r="I222" s="163">
        <f>MAX(MAX(I220*-1,0)-I212,0)</f>
        <v>900</v>
      </c>
      <c r="K222" s="240" t="s">
        <v>84</v>
      </c>
      <c r="L222" s="241"/>
      <c r="M222" s="241"/>
      <c r="N222" s="241"/>
      <c r="O222" s="163">
        <f>MAX(MAX(O220*-1,0)-O212,0)</f>
        <v>1000</v>
      </c>
      <c r="Q222" s="240" t="s">
        <v>84</v>
      </c>
      <c r="R222" s="241"/>
      <c r="S222" s="241"/>
      <c r="T222" s="241"/>
      <c r="U222" s="163">
        <f>MAX(MAX(U220*-1,0)-U212,0)</f>
        <v>900</v>
      </c>
    </row>
    <row r="223" spans="1:21" ht="16.5" thickTop="1" thickBot="1" x14ac:dyDescent="0.3">
      <c r="E223" s="51"/>
      <c r="F223" s="164"/>
      <c r="G223" s="164"/>
      <c r="H223" s="164"/>
      <c r="I223" s="165"/>
      <c r="K223" s="51"/>
      <c r="L223" s="164"/>
      <c r="M223" s="164"/>
      <c r="N223" s="164"/>
      <c r="O223" s="165"/>
      <c r="Q223" s="51"/>
      <c r="R223" s="164"/>
      <c r="S223" s="164"/>
      <c r="T223" s="164"/>
      <c r="U223" s="165"/>
    </row>
    <row r="224" spans="1:21" x14ac:dyDescent="0.25">
      <c r="E224" s="8"/>
      <c r="F224" s="104"/>
      <c r="G224" s="104"/>
      <c r="H224" s="104"/>
      <c r="I224" s="104"/>
    </row>
    <row r="227" spans="1:19" x14ac:dyDescent="0.25">
      <c r="K227" s="209" t="s">
        <v>105</v>
      </c>
    </row>
    <row r="228" spans="1:19" x14ac:dyDescent="0.25">
      <c r="J228" s="41" t="s">
        <v>96</v>
      </c>
      <c r="K228" s="242" t="s">
        <v>93</v>
      </c>
      <c r="L228" s="242"/>
      <c r="M228" s="242"/>
      <c r="N228" s="32">
        <f>MIN(O222,U222)</f>
        <v>900</v>
      </c>
    </row>
    <row r="229" spans="1:19" x14ac:dyDescent="0.25">
      <c r="K229" s="297" t="s">
        <v>106</v>
      </c>
      <c r="L229" s="297"/>
      <c r="M229" s="297"/>
      <c r="N229" s="297"/>
      <c r="O229" s="297"/>
      <c r="P229" s="297"/>
      <c r="Q229" s="297"/>
      <c r="R229" s="297"/>
      <c r="S229" s="176"/>
    </row>
    <row r="230" spans="1:19" x14ac:dyDescent="0.25">
      <c r="A230" s="178"/>
      <c r="K230" s="297"/>
      <c r="L230" s="297"/>
      <c r="M230" s="297"/>
      <c r="N230" s="297"/>
      <c r="O230" s="297"/>
      <c r="P230" s="297"/>
      <c r="Q230" s="297"/>
      <c r="R230" s="297"/>
    </row>
  </sheetData>
  <mergeCells count="176">
    <mergeCell ref="K144:L144"/>
    <mergeCell ref="E145:H145"/>
    <mergeCell ref="K145:L145"/>
    <mergeCell ref="O145:S145"/>
    <mergeCell ref="K146:L146"/>
    <mergeCell ref="E141:H141"/>
    <mergeCell ref="K141:M141"/>
    <mergeCell ref="O141:S141"/>
    <mergeCell ref="K142:L142"/>
    <mergeCell ref="E143:H143"/>
    <mergeCell ref="K143:L143"/>
    <mergeCell ref="O143:S143"/>
    <mergeCell ref="E133:H133"/>
    <mergeCell ref="O133:S133"/>
    <mergeCell ref="E137:M137"/>
    <mergeCell ref="O137:T137"/>
    <mergeCell ref="E139:H139"/>
    <mergeCell ref="O139:S139"/>
    <mergeCell ref="E125:H125"/>
    <mergeCell ref="E126:H126"/>
    <mergeCell ref="O126:S126"/>
    <mergeCell ref="E129:H129"/>
    <mergeCell ref="O129:S129"/>
    <mergeCell ref="A131:B131"/>
    <mergeCell ref="E131:H131"/>
    <mergeCell ref="O131:S131"/>
    <mergeCell ref="O115:T115"/>
    <mergeCell ref="E123:M123"/>
    <mergeCell ref="O123:T123"/>
    <mergeCell ref="A124:B124"/>
    <mergeCell ref="E124:M124"/>
    <mergeCell ref="O124:T124"/>
    <mergeCell ref="A109:D109"/>
    <mergeCell ref="E109:G109"/>
    <mergeCell ref="H109:K109"/>
    <mergeCell ref="L109:N109"/>
    <mergeCell ref="A115:B115"/>
    <mergeCell ref="H115:M115"/>
    <mergeCell ref="K93:L93"/>
    <mergeCell ref="E94:H94"/>
    <mergeCell ref="K94:L94"/>
    <mergeCell ref="O94:S94"/>
    <mergeCell ref="K95:L95"/>
    <mergeCell ref="A107:T108"/>
    <mergeCell ref="E90:H90"/>
    <mergeCell ref="K90:M90"/>
    <mergeCell ref="O90:S90"/>
    <mergeCell ref="K91:L91"/>
    <mergeCell ref="E92:H92"/>
    <mergeCell ref="K92:L92"/>
    <mergeCell ref="O92:S92"/>
    <mergeCell ref="E82:H82"/>
    <mergeCell ref="O82:S82"/>
    <mergeCell ref="E86:M86"/>
    <mergeCell ref="O86:T86"/>
    <mergeCell ref="E88:H88"/>
    <mergeCell ref="O88:S88"/>
    <mergeCell ref="E74:H74"/>
    <mergeCell ref="E75:H75"/>
    <mergeCell ref="O75:S75"/>
    <mergeCell ref="E78:H78"/>
    <mergeCell ref="O78:S78"/>
    <mergeCell ref="A80:B80"/>
    <mergeCell ref="E80:H80"/>
    <mergeCell ref="O80:S80"/>
    <mergeCell ref="O64:T64"/>
    <mergeCell ref="E72:M72"/>
    <mergeCell ref="O72:T72"/>
    <mergeCell ref="A73:B73"/>
    <mergeCell ref="E73:M73"/>
    <mergeCell ref="O73:T73"/>
    <mergeCell ref="A58:D58"/>
    <mergeCell ref="E58:G58"/>
    <mergeCell ref="H58:K58"/>
    <mergeCell ref="L58:N58"/>
    <mergeCell ref="A64:F64"/>
    <mergeCell ref="H64:M64"/>
    <mergeCell ref="K42:L42"/>
    <mergeCell ref="E43:H43"/>
    <mergeCell ref="K43:L43"/>
    <mergeCell ref="O43:S43"/>
    <mergeCell ref="K44:L44"/>
    <mergeCell ref="A56:T57"/>
    <mergeCell ref="E39:H39"/>
    <mergeCell ref="K39:M39"/>
    <mergeCell ref="O39:S39"/>
    <mergeCell ref="K40:L40"/>
    <mergeCell ref="E41:H41"/>
    <mergeCell ref="K41:L41"/>
    <mergeCell ref="O41:S41"/>
    <mergeCell ref="E31:H31"/>
    <mergeCell ref="O31:S31"/>
    <mergeCell ref="E35:M35"/>
    <mergeCell ref="O35:T35"/>
    <mergeCell ref="E37:H37"/>
    <mergeCell ref="O37:S37"/>
    <mergeCell ref="E27:H27"/>
    <mergeCell ref="O27:S27"/>
    <mergeCell ref="A28:D28"/>
    <mergeCell ref="A29:B29"/>
    <mergeCell ref="E29:H29"/>
    <mergeCell ref="O29:S29"/>
    <mergeCell ref="E23:H23"/>
    <mergeCell ref="E24:H24"/>
    <mergeCell ref="O24:S24"/>
    <mergeCell ref="A13:F13"/>
    <mergeCell ref="H13:M13"/>
    <mergeCell ref="O13:T13"/>
    <mergeCell ref="A21:D21"/>
    <mergeCell ref="E21:M21"/>
    <mergeCell ref="O21:T21"/>
    <mergeCell ref="A1:T2"/>
    <mergeCell ref="A5:T6"/>
    <mergeCell ref="A7:D7"/>
    <mergeCell ref="E7:G7"/>
    <mergeCell ref="H7:K7"/>
    <mergeCell ref="L7:N7"/>
    <mergeCell ref="A22:B22"/>
    <mergeCell ref="E22:M22"/>
    <mergeCell ref="O22:T22"/>
    <mergeCell ref="A178:AA179"/>
    <mergeCell ref="A180:D180"/>
    <mergeCell ref="E180:G180"/>
    <mergeCell ref="H180:K180"/>
    <mergeCell ref="L180:N180"/>
    <mergeCell ref="O180:Q180"/>
    <mergeCell ref="R180:T180"/>
    <mergeCell ref="A186:F186"/>
    <mergeCell ref="H186:M186"/>
    <mergeCell ref="O186:T186"/>
    <mergeCell ref="V186:AA186"/>
    <mergeCell ref="E194:I194"/>
    <mergeCell ref="A195:B195"/>
    <mergeCell ref="E195:H195"/>
    <mergeCell ref="E196:H196"/>
    <mergeCell ref="E198:H198"/>
    <mergeCell ref="E199:H199"/>
    <mergeCell ref="E200:H200"/>
    <mergeCell ref="A202:B202"/>
    <mergeCell ref="E202:H202"/>
    <mergeCell ref="E204:H204"/>
    <mergeCell ref="E208:I208"/>
    <mergeCell ref="K208:O208"/>
    <mergeCell ref="Q208:U208"/>
    <mergeCell ref="E209:H209"/>
    <mergeCell ref="K209:N209"/>
    <mergeCell ref="Q209:T209"/>
    <mergeCell ref="E210:H210"/>
    <mergeCell ref="K210:N210"/>
    <mergeCell ref="Q210:T210"/>
    <mergeCell ref="E207:I207"/>
    <mergeCell ref="K207:O207"/>
    <mergeCell ref="Q207:U207"/>
    <mergeCell ref="E212:H212"/>
    <mergeCell ref="K212:N212"/>
    <mergeCell ref="Q212:T212"/>
    <mergeCell ref="E214:H214"/>
    <mergeCell ref="K214:N214"/>
    <mergeCell ref="Q214:T214"/>
    <mergeCell ref="E216:H216"/>
    <mergeCell ref="K216:N216"/>
    <mergeCell ref="Q216:T216"/>
    <mergeCell ref="K229:R230"/>
    <mergeCell ref="E222:H222"/>
    <mergeCell ref="K222:N222"/>
    <mergeCell ref="Q222:T222"/>
    <mergeCell ref="K228:M228"/>
    <mergeCell ref="E217:H217"/>
    <mergeCell ref="K217:N217"/>
    <mergeCell ref="Q217:T217"/>
    <mergeCell ref="E218:H218"/>
    <mergeCell ref="K218:N218"/>
    <mergeCell ref="Q218:T218"/>
    <mergeCell ref="E220:H220"/>
    <mergeCell ref="K220:N220"/>
    <mergeCell ref="Q220:T220"/>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32"/>
  <sheetViews>
    <sheetView topLeftCell="A180" zoomScale="110" zoomScaleNormal="110" workbookViewId="0">
      <selection activeCell="Q191" sqref="Q191"/>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1.42578125" bestFit="1"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10.85546875" bestFit="1" customWidth="1"/>
    <col min="15" max="15" width="11.28515625" customWidth="1"/>
    <col min="16" max="16" width="9.5703125" customWidth="1"/>
    <col min="17" max="17" width="8.42578125" customWidth="1"/>
    <col min="18" max="18" width="10.5703125" customWidth="1"/>
    <col min="19" max="19" width="9" customWidth="1"/>
    <col min="20" max="20" width="13.85546875" customWidth="1"/>
    <col min="21" max="21" width="12.5703125" bestFit="1" customWidth="1"/>
    <col min="27" max="27" width="10.85546875" bestFit="1" customWidth="1"/>
  </cols>
  <sheetData>
    <row r="1" spans="1:20" s="82" customFormat="1" ht="18.75" customHeight="1" x14ac:dyDescent="0.25">
      <c r="A1" s="294" t="s">
        <v>68</v>
      </c>
      <c r="B1" s="294"/>
      <c r="C1" s="294"/>
      <c r="D1" s="294"/>
      <c r="E1" s="294"/>
      <c r="F1" s="294"/>
      <c r="G1" s="294"/>
      <c r="H1" s="294"/>
      <c r="I1" s="294"/>
      <c r="J1" s="294"/>
      <c r="K1" s="294"/>
      <c r="L1" s="294"/>
      <c r="M1" s="294"/>
      <c r="N1" s="294"/>
      <c r="O1" s="294"/>
      <c r="P1" s="294"/>
      <c r="Q1" s="294"/>
      <c r="R1" s="294"/>
      <c r="S1" s="294"/>
      <c r="T1" s="294"/>
    </row>
    <row r="2" spans="1:20" ht="15" customHeight="1" x14ac:dyDescent="0.25">
      <c r="A2" s="294"/>
      <c r="B2" s="294"/>
      <c r="C2" s="294"/>
      <c r="D2" s="294"/>
      <c r="E2" s="294"/>
      <c r="F2" s="294"/>
      <c r="G2" s="294"/>
      <c r="H2" s="294"/>
      <c r="I2" s="294"/>
      <c r="J2" s="294"/>
      <c r="K2" s="294"/>
      <c r="L2" s="294"/>
      <c r="M2" s="294"/>
      <c r="N2" s="294"/>
      <c r="O2" s="294"/>
      <c r="P2" s="294"/>
      <c r="Q2" s="294"/>
      <c r="R2" s="294"/>
      <c r="S2" s="294"/>
      <c r="T2" s="294"/>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265" t="s">
        <v>61</v>
      </c>
      <c r="B5" s="265"/>
      <c r="C5" s="265"/>
      <c r="D5" s="265"/>
      <c r="E5" s="265"/>
      <c r="F5" s="265"/>
      <c r="G5" s="265"/>
      <c r="H5" s="265"/>
      <c r="I5" s="265"/>
      <c r="J5" s="265"/>
      <c r="K5" s="265"/>
      <c r="L5" s="265"/>
      <c r="M5" s="265"/>
      <c r="N5" s="265"/>
      <c r="O5" s="265"/>
      <c r="P5" s="265"/>
      <c r="Q5" s="265"/>
      <c r="R5" s="265"/>
      <c r="S5" s="265"/>
      <c r="T5" s="265"/>
    </row>
    <row r="6" spans="1:20" s="83" customFormat="1" ht="15.75" thickBot="1" x14ac:dyDescent="0.3">
      <c r="A6" s="265"/>
      <c r="B6" s="265"/>
      <c r="C6" s="265"/>
      <c r="D6" s="265"/>
      <c r="E6" s="265"/>
      <c r="F6" s="265"/>
      <c r="G6" s="265"/>
      <c r="H6" s="265"/>
      <c r="I6" s="265"/>
      <c r="J6" s="265"/>
      <c r="K6" s="265"/>
      <c r="L6" s="265"/>
      <c r="M6" s="265"/>
      <c r="N6" s="265"/>
      <c r="O6" s="265"/>
      <c r="P6" s="265"/>
      <c r="Q6" s="265"/>
      <c r="R6" s="265"/>
      <c r="S6" s="265"/>
      <c r="T6" s="265"/>
    </row>
    <row r="7" spans="1:20" ht="15.75" thickBot="1" x14ac:dyDescent="0.3">
      <c r="A7" s="227" t="s">
        <v>0</v>
      </c>
      <c r="B7" s="228"/>
      <c r="C7" s="228"/>
      <c r="D7" s="229"/>
      <c r="E7" s="235" t="s">
        <v>1</v>
      </c>
      <c r="F7" s="236"/>
      <c r="G7" s="249"/>
      <c r="H7" s="227" t="s">
        <v>2</v>
      </c>
      <c r="I7" s="228"/>
      <c r="J7" s="228"/>
      <c r="K7" s="229"/>
      <c r="L7" s="227" t="s">
        <v>32</v>
      </c>
      <c r="M7" s="228"/>
      <c r="N7" s="229"/>
    </row>
    <row r="8" spans="1:20" ht="45" customHeight="1" thickBot="1" x14ac:dyDescent="0.3">
      <c r="A8" s="116" t="s">
        <v>3</v>
      </c>
      <c r="B8" s="117" t="s">
        <v>33</v>
      </c>
      <c r="C8" s="117" t="s">
        <v>34</v>
      </c>
      <c r="D8" s="118" t="s">
        <v>4</v>
      </c>
      <c r="E8" s="116" t="s">
        <v>5</v>
      </c>
      <c r="F8" s="117" t="s">
        <v>6</v>
      </c>
      <c r="G8" s="118"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20</v>
      </c>
      <c r="G9" s="8">
        <f>IF(E9&gt;0,IF(E9=B9,D9,IF(AND(E9&gt;B9,E9&lt;=C9),0+(E9-B9)*((D9-0)/(C9-B9)),0)),0)</f>
        <v>0</v>
      </c>
      <c r="H9" s="14">
        <f>IF(AND(MIN(B$30,B$33)&gt;B9,MIN(B$30,B$33)&lt;=C9),MIN(B$30,B$33),0)</f>
        <v>0</v>
      </c>
      <c r="I9" s="15">
        <f>IF(AND(B$35&gt;B9,B$35&lt;=C9),B$35,0)</f>
        <v>0</v>
      </c>
      <c r="J9" s="9">
        <f>IF(B30&gt;0,D9,0)</f>
        <v>20</v>
      </c>
      <c r="K9" s="9">
        <f>IF(H9&gt;0,IF(H9=B9,D9,IF(AND(H9&gt;B9,H9&lt;=C9),D9+(H9-B9)*((D9-D9)/(C9-B9)),0)),0)</f>
        <v>0</v>
      </c>
      <c r="L9" s="14">
        <f>IF(AND(B30&gt;B9,B30&lt;=C9),B30,0)</f>
        <v>0</v>
      </c>
      <c r="M9" s="9">
        <f>IF(B30&gt;0,D9,0)</f>
        <v>20</v>
      </c>
      <c r="N9" s="11">
        <f>IF(L9&gt;0,IF(L9=B9,D9,IF(AND(L9&gt;B9,L9&lt;=C9),D9+(L9-B9)*((D9-D9)/(C9-B9)),0)),0)</f>
        <v>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100</v>
      </c>
      <c r="F11" s="21">
        <v>0</v>
      </c>
      <c r="G11" s="21">
        <f>IF(E11&gt;0,IF(E11=C11,D11,IF(AND(E11&gt;B11,E11&lt;C11),D10+(E11-B11)*((D11-D10)/(C11-B11)),IF(E11&gt;C11,D11,0))),0)</f>
        <v>30</v>
      </c>
      <c r="H11" s="24">
        <f>IF(AND(MIN(B$30,B$33)&gt;B11,MIN(B$30,B$33)&lt;=C11),MIN(B$30,B$33),0)</f>
        <v>100</v>
      </c>
      <c r="I11" s="22">
        <f>IF(AND(B$35&gt;B11,B$35&lt;=C11),B$35,0)</f>
        <v>100</v>
      </c>
      <c r="J11" s="21">
        <v>0</v>
      </c>
      <c r="K11" s="21">
        <f>IF(AND(I11&gt;0,H11&lt;&gt;I11),MAX(K9:K10),IF(H11&gt;0,IF(H11=B11,D11,IF(AND(H11&gt;B11,H11&lt;=C11),D10+(H11-B11)*((D11-D10)/(C11-B11)),0)),0))</f>
        <v>30</v>
      </c>
      <c r="L11" s="24">
        <f>IF(OR(AND(B30&gt;B11,B30&lt;=C11),B30&gt;C11),B30,0)</f>
        <v>100</v>
      </c>
      <c r="M11" s="21">
        <v>0</v>
      </c>
      <c r="N11" s="19">
        <f>IF(L11&gt;0,IF(L11=B11,D11,IF(AND(L11&gt;B11,L11&lt;=C11),D10+(L11-B11)*((D11-D10)/(C11-B11)),D11)),0)</f>
        <v>30</v>
      </c>
    </row>
    <row r="12" spans="1:20" ht="8.25" customHeight="1" thickBot="1" x14ac:dyDescent="0.3">
      <c r="J12" s="25"/>
    </row>
    <row r="13" spans="1:20" ht="15.75" thickBot="1" x14ac:dyDescent="0.3">
      <c r="A13" s="235" t="s">
        <v>39</v>
      </c>
      <c r="B13" s="236"/>
      <c r="C13" s="236"/>
      <c r="D13" s="236"/>
      <c r="E13" s="236"/>
      <c r="F13" s="249"/>
      <c r="H13" s="268" t="s">
        <v>40</v>
      </c>
      <c r="I13" s="269"/>
      <c r="J13" s="269"/>
      <c r="K13" s="269"/>
      <c r="L13" s="269"/>
      <c r="M13" s="270"/>
      <c r="O13" s="268" t="s">
        <v>41</v>
      </c>
      <c r="P13" s="269"/>
      <c r="Q13" s="269"/>
      <c r="R13" s="269"/>
      <c r="S13" s="269"/>
      <c r="T13" s="270"/>
    </row>
    <row r="14" spans="1:20" ht="30.75" thickBot="1" x14ac:dyDescent="0.3">
      <c r="A14" s="120" t="s">
        <v>3</v>
      </c>
      <c r="B14" s="117" t="s">
        <v>33</v>
      </c>
      <c r="C14" s="117" t="s">
        <v>34</v>
      </c>
      <c r="D14" s="117" t="s">
        <v>36</v>
      </c>
      <c r="E14" s="117" t="s">
        <v>7</v>
      </c>
      <c r="F14" s="118" t="s">
        <v>48</v>
      </c>
      <c r="H14" s="120" t="s">
        <v>3</v>
      </c>
      <c r="I14" s="117" t="s">
        <v>33</v>
      </c>
      <c r="J14" s="117" t="s">
        <v>34</v>
      </c>
      <c r="K14" s="117" t="s">
        <v>36</v>
      </c>
      <c r="L14" s="117" t="s">
        <v>47</v>
      </c>
      <c r="M14" s="118" t="s">
        <v>48</v>
      </c>
      <c r="O14" s="75" t="s">
        <v>3</v>
      </c>
      <c r="P14" s="67" t="s">
        <v>33</v>
      </c>
      <c r="Q14" s="67" t="s">
        <v>34</v>
      </c>
      <c r="R14" s="67" t="s">
        <v>36</v>
      </c>
      <c r="S14" s="67" t="s">
        <v>7</v>
      </c>
      <c r="T14" s="107" t="s">
        <v>48</v>
      </c>
    </row>
    <row r="15" spans="1:20" x14ac:dyDescent="0.25">
      <c r="A15" s="4">
        <v>1</v>
      </c>
      <c r="B15" s="5">
        <v>0</v>
      </c>
      <c r="C15" s="5">
        <f>IF(AND(B23&gt;B9,B23&lt;C9),B23,IF(B23&gt;=C9,C9,0))</f>
        <v>50</v>
      </c>
      <c r="D15" s="29">
        <f>MIN(D9,F9)</f>
        <v>20</v>
      </c>
      <c r="E15" s="29">
        <f>IF(AND(B$23&gt;B9,B$23&lt;C9),G9,IF(B$23&gt;=C9,D9,0))</f>
        <v>20</v>
      </c>
      <c r="F15" s="30">
        <f>(C15-B15)*(D15+E15)/2</f>
        <v>1000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50</v>
      </c>
      <c r="C16" s="5">
        <f>IF(AND(B$23&gt;B10,B$23&lt;C10),B$23,IF(B$23&gt;=C10,C10,0))</f>
        <v>75</v>
      </c>
      <c r="D16" s="29">
        <f>IF(B16&lt;&gt;0,E15,0)</f>
        <v>20</v>
      </c>
      <c r="E16" s="29">
        <f>IF(AND(B$23&gt;B10,B$23&lt;C10),G10,IF(B$23&gt;=C10,D10,0))</f>
        <v>25</v>
      </c>
      <c r="F16" s="30">
        <f t="shared" ref="F16:F18" si="0">(C16-B16)*(D16+E16)/2</f>
        <v>562.5</v>
      </c>
      <c r="H16" s="4">
        <v>2</v>
      </c>
      <c r="I16" s="5">
        <f>IF(MAX(I$9:I$11)&gt;B10,C9,0)</f>
        <v>50</v>
      </c>
      <c r="J16" s="5">
        <f>IF(AND(MAX(I$9:I$11)&gt;B10,MAX(I$9:I$11)&lt;C10),MAX(I$9:I$11),IF(MAX(I$9:I$11)&gt;=C10,C10,0))</f>
        <v>75</v>
      </c>
      <c r="K16" s="29">
        <f>IF(I16&lt;&gt;0,L15,0)</f>
        <v>20</v>
      </c>
      <c r="L16" s="29">
        <f t="shared" ref="L16:L18" si="1">IF(AND(MAX(I$9:I$11)&gt;B10,MAX(I$9:I$11)&lt;C10),K10,IF(MAX(I$9:I$11)&gt;=C10,D10,0))</f>
        <v>25</v>
      </c>
      <c r="M16" s="30">
        <f t="shared" ref="M16:M18" si="2">(J16-I16)*(K16+L16)/2</f>
        <v>562.5</v>
      </c>
      <c r="O16" s="75">
        <v>2</v>
      </c>
      <c r="P16" s="5">
        <f>IF(B$30&gt;B10,Q15,0)</f>
        <v>50</v>
      </c>
      <c r="Q16" s="5">
        <f>IF(AND(B$30&gt;B10,B$30&lt;C10),B$30,IF(B$30&gt;=C10,C10,0))</f>
        <v>75</v>
      </c>
      <c r="R16" s="29">
        <f>IF(P16&lt;&gt;0,S15,0)</f>
        <v>20</v>
      </c>
      <c r="S16" s="29">
        <f>IF(AND(B$30&gt;B10,B$30&lt;C10),N10,IF(B$30&gt;=C10,D10,0))</f>
        <v>25</v>
      </c>
      <c r="T16" s="30">
        <f t="shared" ref="T16:T18" si="3">(Q16-P16)*(R16+S16)/2</f>
        <v>562.5</v>
      </c>
    </row>
    <row r="17" spans="1:20" x14ac:dyDescent="0.25">
      <c r="A17" s="4">
        <v>3</v>
      </c>
      <c r="B17" s="5">
        <f>IF(B$23&gt;B11,C16,0)</f>
        <v>75</v>
      </c>
      <c r="C17" s="5">
        <f>IF(AND(B$23&gt;B11,B$23&lt;C11),B$23,IF(B$23&gt;=C11,C11,0))</f>
        <v>100</v>
      </c>
      <c r="D17" s="29">
        <f t="shared" ref="D17:D18" si="4">IF(B17&lt;&gt;0,E16,0)</f>
        <v>25</v>
      </c>
      <c r="E17" s="29">
        <f>IF(AND(B$23&gt;B11,B$23&lt;C11),G11,IF(B$23&gt;=C11,D11,0))</f>
        <v>30</v>
      </c>
      <c r="F17" s="30">
        <f t="shared" si="0"/>
        <v>687.5</v>
      </c>
      <c r="H17" s="4">
        <v>3</v>
      </c>
      <c r="I17" s="5">
        <f>IF(MAX(I$9:I$11)&gt;B11,C10,0)</f>
        <v>75</v>
      </c>
      <c r="J17" s="5">
        <f t="shared" ref="J17:J18" si="5">IF(AND(MAX(I$9:I$11)&gt;B11,MAX(I$9:I$11)&lt;C11),MAX(I$9:I$11),IF(MAX(I$9:I$11)&gt;=C11,C11,0))</f>
        <v>100</v>
      </c>
      <c r="K17" s="29">
        <f>IF(I17&lt;&gt;0,L16,0)</f>
        <v>25</v>
      </c>
      <c r="L17" s="29">
        <f t="shared" si="1"/>
        <v>30</v>
      </c>
      <c r="M17" s="30">
        <f t="shared" si="2"/>
        <v>687.5</v>
      </c>
      <c r="O17" s="75">
        <v>3</v>
      </c>
      <c r="P17" s="5">
        <f>IF(B$30&gt;B11,Q16,0)</f>
        <v>75</v>
      </c>
      <c r="Q17" s="5">
        <f>IF(AND(B$30&gt;B11,B$30&lt;C11),B$30,IF(B$30&gt;=C11,C11,0))</f>
        <v>100</v>
      </c>
      <c r="R17" s="29">
        <f>IF(P17&lt;&gt;0,S16,0)</f>
        <v>25</v>
      </c>
      <c r="S17" s="29">
        <f>IF(AND(B$30&gt;B11,B$30&lt;C11),N11,IF(B$30&gt;=C11,D11,0))</f>
        <v>30</v>
      </c>
      <c r="T17" s="30">
        <f t="shared" si="3"/>
        <v>687.5</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2250</v>
      </c>
      <c r="H19" s="24"/>
      <c r="I19" s="18"/>
      <c r="J19" s="18"/>
      <c r="K19" s="21"/>
      <c r="L19" s="21"/>
      <c r="M19" s="31">
        <f>SUM(M15:M18)</f>
        <v>2250</v>
      </c>
      <c r="O19" s="24"/>
      <c r="P19" s="18"/>
      <c r="Q19" s="18"/>
      <c r="R19" s="21"/>
      <c r="S19" s="21"/>
      <c r="T19" s="31">
        <f>SUM(T15:T18)</f>
        <v>2250</v>
      </c>
    </row>
    <row r="20" spans="1:20" ht="9.75" customHeight="1" thickBot="1" x14ac:dyDescent="0.3"/>
    <row r="21" spans="1:20" ht="15.75" customHeight="1" thickBot="1" x14ac:dyDescent="0.3">
      <c r="A21" s="266" t="s">
        <v>37</v>
      </c>
      <c r="B21" s="266"/>
      <c r="C21" s="266"/>
      <c r="D21" s="267"/>
      <c r="E21" s="277" t="s">
        <v>44</v>
      </c>
      <c r="F21" s="278"/>
      <c r="G21" s="278"/>
      <c r="H21" s="278"/>
      <c r="I21" s="278"/>
      <c r="J21" s="278"/>
      <c r="K21" s="278"/>
      <c r="L21" s="278"/>
      <c r="M21" s="279"/>
      <c r="O21" s="274" t="s">
        <v>42</v>
      </c>
      <c r="P21" s="275"/>
      <c r="Q21" s="275"/>
      <c r="R21" s="275"/>
      <c r="S21" s="275"/>
      <c r="T21" s="276"/>
    </row>
    <row r="22" spans="1:20" ht="15.75" thickBot="1" x14ac:dyDescent="0.3">
      <c r="A22" s="263" t="s">
        <v>10</v>
      </c>
      <c r="B22" s="264"/>
      <c r="E22" s="227" t="s">
        <v>11</v>
      </c>
      <c r="F22" s="228"/>
      <c r="G22" s="228"/>
      <c r="H22" s="228"/>
      <c r="I22" s="228"/>
      <c r="J22" s="228"/>
      <c r="K22" s="228"/>
      <c r="L22" s="228"/>
      <c r="M22" s="229"/>
      <c r="O22" s="271" t="s">
        <v>11</v>
      </c>
      <c r="P22" s="272"/>
      <c r="Q22" s="272"/>
      <c r="R22" s="272"/>
      <c r="S22" s="272"/>
      <c r="T22" s="273"/>
    </row>
    <row r="23" spans="1:20" x14ac:dyDescent="0.25">
      <c r="A23" s="4" t="s">
        <v>5</v>
      </c>
      <c r="B23" s="13">
        <v>100</v>
      </c>
      <c r="E23" s="261" t="s">
        <v>12</v>
      </c>
      <c r="F23" s="262"/>
      <c r="G23" s="262"/>
      <c r="H23" s="262"/>
      <c r="I23" s="99"/>
      <c r="J23" s="10"/>
      <c r="K23" s="10"/>
      <c r="L23" s="10"/>
      <c r="M23" s="26"/>
      <c r="O23" s="16" t="s">
        <v>12</v>
      </c>
      <c r="P23" s="29"/>
      <c r="Q23" s="5"/>
      <c r="R23" s="5"/>
      <c r="S23" s="5"/>
      <c r="T23" s="13"/>
    </row>
    <row r="24" spans="1:20" ht="15.75" thickBot="1" x14ac:dyDescent="0.3">
      <c r="A24" s="17" t="s">
        <v>13</v>
      </c>
      <c r="B24" s="19">
        <v>45</v>
      </c>
      <c r="E24" s="240" t="s">
        <v>14</v>
      </c>
      <c r="F24" s="241"/>
      <c r="G24" s="241"/>
      <c r="H24" s="241"/>
      <c r="I24" s="42">
        <f>B23*B24</f>
        <v>4500</v>
      </c>
      <c r="J24" s="5"/>
      <c r="K24" s="5"/>
      <c r="L24" s="5"/>
      <c r="M24" s="13"/>
      <c r="O24" s="245" t="s">
        <v>14</v>
      </c>
      <c r="P24" s="246"/>
      <c r="Q24" s="246"/>
      <c r="R24" s="246"/>
      <c r="S24" s="246"/>
      <c r="T24" s="56">
        <f>I24</f>
        <v>4500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240" t="s">
        <v>15</v>
      </c>
      <c r="F27" s="241"/>
      <c r="G27" s="241"/>
      <c r="H27" s="241"/>
      <c r="I27" s="43">
        <f>M28</f>
        <v>0</v>
      </c>
      <c r="J27" s="5"/>
      <c r="K27" s="35" t="s">
        <v>16</v>
      </c>
      <c r="L27" s="36">
        <f>F19</f>
        <v>2250</v>
      </c>
      <c r="M27" s="105" t="s">
        <v>17</v>
      </c>
      <c r="O27" s="245" t="s">
        <v>15</v>
      </c>
      <c r="P27" s="246"/>
      <c r="Q27" s="246"/>
      <c r="R27" s="246"/>
      <c r="S27" s="246"/>
      <c r="T27" s="88">
        <f>I27</f>
        <v>0</v>
      </c>
    </row>
    <row r="28" spans="1:20" ht="15.75" thickBot="1" x14ac:dyDescent="0.3">
      <c r="A28" s="266" t="s">
        <v>37</v>
      </c>
      <c r="B28" s="266"/>
      <c r="C28" s="266"/>
      <c r="D28" s="267"/>
      <c r="E28" s="85"/>
      <c r="F28" s="86"/>
      <c r="G28" s="86"/>
      <c r="H28" s="86"/>
      <c r="I28" s="5"/>
      <c r="J28" s="5"/>
      <c r="K28" s="37" t="s">
        <v>18</v>
      </c>
      <c r="L28" s="38">
        <f>I24</f>
        <v>4500</v>
      </c>
      <c r="M28" s="39">
        <f>MAX(L27-L28,0)</f>
        <v>0</v>
      </c>
      <c r="O28" s="16"/>
      <c r="P28" s="5"/>
      <c r="Q28" s="5"/>
      <c r="R28" s="5"/>
      <c r="S28" s="5"/>
      <c r="T28" s="13"/>
    </row>
    <row r="29" spans="1:20" x14ac:dyDescent="0.25">
      <c r="A29" s="263" t="s">
        <v>22</v>
      </c>
      <c r="B29" s="264"/>
      <c r="E29" s="240" t="str">
        <f>"DA Incremental Cost @ DA MW ("&amp;$B23&amp;" MW)"</f>
        <v>DA Incremental Cost @ DA MW (100 MW)</v>
      </c>
      <c r="F29" s="241"/>
      <c r="G29" s="241"/>
      <c r="H29" s="241"/>
      <c r="I29" s="44">
        <f>F19</f>
        <v>2250</v>
      </c>
      <c r="J29" s="5"/>
      <c r="K29" s="29"/>
      <c r="L29" s="5"/>
      <c r="M29" s="13"/>
      <c r="O29" s="245" t="str">
        <f>"DA Incremental Cost @ DA MW ("&amp;$B23&amp;" MW)"</f>
        <v>DA Incremental Cost @ DA MW (100 MW)</v>
      </c>
      <c r="P29" s="246"/>
      <c r="Q29" s="246"/>
      <c r="R29" s="246"/>
      <c r="S29" s="246"/>
      <c r="T29" s="89">
        <f>I29</f>
        <v>2250</v>
      </c>
    </row>
    <row r="30" spans="1:20" x14ac:dyDescent="0.25">
      <c r="A30" s="16" t="s">
        <v>43</v>
      </c>
      <c r="B30" s="13">
        <v>100</v>
      </c>
      <c r="E30" s="85"/>
      <c r="F30" s="86"/>
      <c r="G30" s="86"/>
      <c r="H30" s="86"/>
      <c r="I30" s="5"/>
      <c r="J30" s="5"/>
      <c r="K30" s="5"/>
      <c r="L30" s="29"/>
      <c r="M30" s="13"/>
      <c r="O30" s="16"/>
      <c r="P30" s="5"/>
      <c r="Q30" s="5"/>
      <c r="R30" s="5"/>
      <c r="S30" s="5"/>
      <c r="T30" s="13"/>
    </row>
    <row r="31" spans="1:20" ht="15.75" thickBot="1" x14ac:dyDescent="0.3">
      <c r="A31" s="16" t="s">
        <v>13</v>
      </c>
      <c r="B31" s="6">
        <v>200</v>
      </c>
      <c r="D31" s="32"/>
      <c r="E31" s="240" t="s">
        <v>19</v>
      </c>
      <c r="F31" s="241"/>
      <c r="G31" s="241"/>
      <c r="H31" s="241"/>
      <c r="I31" s="40">
        <f>I24+I27-I29</f>
        <v>2250</v>
      </c>
      <c r="J31" s="5"/>
      <c r="K31" s="29"/>
      <c r="L31" s="45"/>
      <c r="M31" s="13"/>
      <c r="O31" s="245" t="s">
        <v>19</v>
      </c>
      <c r="P31" s="246"/>
      <c r="Q31" s="246"/>
      <c r="R31" s="246"/>
      <c r="S31" s="246"/>
      <c r="T31" s="31">
        <f>T24+T27-T29</f>
        <v>2250</v>
      </c>
    </row>
    <row r="32" spans="1:20" ht="15.75" thickTop="1" x14ac:dyDescent="0.25">
      <c r="A32" s="16" t="s">
        <v>27</v>
      </c>
      <c r="B32" s="13">
        <v>100</v>
      </c>
      <c r="E32" s="16"/>
      <c r="F32" s="5"/>
      <c r="G32" s="5"/>
      <c r="H32" s="8"/>
      <c r="I32" s="5"/>
      <c r="J32" s="5"/>
      <c r="K32" s="5"/>
      <c r="L32" s="5"/>
      <c r="M32" s="13"/>
      <c r="O32" s="16"/>
      <c r="P32" s="5"/>
      <c r="Q32" s="5"/>
      <c r="R32" s="5"/>
      <c r="S32" s="5"/>
      <c r="T32" s="13"/>
    </row>
    <row r="33" spans="1:20" ht="15.75" thickBot="1" x14ac:dyDescent="0.3">
      <c r="A33" s="16" t="s">
        <v>29</v>
      </c>
      <c r="B33" s="13">
        <v>100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100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100</v>
      </c>
      <c r="E35" s="227" t="s">
        <v>20</v>
      </c>
      <c r="F35" s="228"/>
      <c r="G35" s="228"/>
      <c r="H35" s="228"/>
      <c r="I35" s="228"/>
      <c r="J35" s="228"/>
      <c r="K35" s="228"/>
      <c r="L35" s="228"/>
      <c r="M35" s="229"/>
      <c r="N35" s="5"/>
      <c r="O35" s="227" t="s">
        <v>20</v>
      </c>
      <c r="P35" s="228"/>
      <c r="Q35" s="228"/>
      <c r="R35" s="228"/>
      <c r="S35" s="228"/>
      <c r="T35" s="229"/>
    </row>
    <row r="36" spans="1:20" x14ac:dyDescent="0.25">
      <c r="A36" s="74"/>
      <c r="E36" s="85" t="s">
        <v>12</v>
      </c>
      <c r="F36" s="86"/>
      <c r="G36" s="86"/>
      <c r="H36" s="86"/>
      <c r="I36" s="5"/>
      <c r="J36" s="5"/>
      <c r="K36" s="5"/>
      <c r="L36" s="5"/>
      <c r="M36" s="13"/>
      <c r="N36" s="5"/>
      <c r="O36" s="16" t="s">
        <v>12</v>
      </c>
      <c r="P36" s="5"/>
      <c r="Q36" s="5"/>
      <c r="R36" s="5"/>
      <c r="S36" s="5"/>
      <c r="T36" s="13"/>
    </row>
    <row r="37" spans="1:20" ht="30" customHeight="1" x14ac:dyDescent="0.25">
      <c r="E37" s="240" t="s">
        <v>21</v>
      </c>
      <c r="F37" s="241"/>
      <c r="G37" s="241"/>
      <c r="H37" s="241"/>
      <c r="I37" s="29">
        <f>(B30-B23)*B31</f>
        <v>0</v>
      </c>
      <c r="J37" s="29"/>
      <c r="K37" s="29"/>
      <c r="L37" s="29"/>
      <c r="M37" s="13"/>
      <c r="N37" s="5"/>
      <c r="O37" s="245" t="s">
        <v>21</v>
      </c>
      <c r="P37" s="246"/>
      <c r="Q37" s="246"/>
      <c r="R37" s="246"/>
      <c r="S37" s="246"/>
      <c r="T37" s="30">
        <f>I37</f>
        <v>0</v>
      </c>
    </row>
    <row r="38" spans="1:20" ht="15.75" thickBot="1" x14ac:dyDescent="0.3">
      <c r="E38" s="85"/>
      <c r="F38" s="86"/>
      <c r="G38" s="86"/>
      <c r="H38" s="86"/>
      <c r="I38" s="5"/>
      <c r="J38" s="5"/>
      <c r="K38" s="5"/>
      <c r="L38" s="5"/>
      <c r="M38" s="30"/>
      <c r="N38" s="5"/>
      <c r="O38" s="16"/>
      <c r="P38" s="5"/>
      <c r="Q38" s="5"/>
      <c r="R38" s="5"/>
      <c r="S38" s="5"/>
      <c r="T38" s="13"/>
    </row>
    <row r="39" spans="1:20" x14ac:dyDescent="0.25">
      <c r="E39" s="240" t="s">
        <v>23</v>
      </c>
      <c r="F39" s="241"/>
      <c r="G39" s="241"/>
      <c r="H39" s="241"/>
      <c r="I39" s="29">
        <f>MAX(M44*-1,0)</f>
        <v>0</v>
      </c>
      <c r="J39" s="29"/>
      <c r="K39" s="256" t="s">
        <v>30</v>
      </c>
      <c r="L39" s="257"/>
      <c r="M39" s="258"/>
      <c r="N39" s="5"/>
      <c r="O39" s="245" t="s">
        <v>23</v>
      </c>
      <c r="P39" s="246"/>
      <c r="Q39" s="246"/>
      <c r="R39" s="246"/>
      <c r="S39" s="246"/>
      <c r="T39" s="30">
        <f>I39</f>
        <v>0</v>
      </c>
    </row>
    <row r="40" spans="1:20" x14ac:dyDescent="0.25">
      <c r="E40" s="92"/>
      <c r="F40" s="67"/>
      <c r="G40" s="67"/>
      <c r="H40" s="67"/>
      <c r="I40" s="76"/>
      <c r="J40" s="76"/>
      <c r="K40" s="259" t="s">
        <v>24</v>
      </c>
      <c r="L40" s="260"/>
      <c r="M40" s="56">
        <f>I24</f>
        <v>4500</v>
      </c>
      <c r="N40" s="5"/>
      <c r="O40" s="75"/>
      <c r="P40" s="76"/>
      <c r="Q40" s="76"/>
      <c r="R40" s="76"/>
      <c r="S40" s="76"/>
      <c r="T40" s="77"/>
    </row>
    <row r="41" spans="1:20" ht="30" customHeight="1" x14ac:dyDescent="0.25">
      <c r="E41" s="291" t="str">
        <f>"Incremental Cost @ RT MW Used ("&amp;$B35&amp;" MW)"</f>
        <v>Incremental Cost @ RT MW Used (100 MW)</v>
      </c>
      <c r="F41" s="292"/>
      <c r="G41" s="292"/>
      <c r="H41" s="292"/>
      <c r="I41" s="8">
        <f>M43</f>
        <v>2250</v>
      </c>
      <c r="J41" s="8"/>
      <c r="K41" s="259" t="s">
        <v>17</v>
      </c>
      <c r="L41" s="260"/>
      <c r="M41" s="56">
        <f>I27</f>
        <v>0</v>
      </c>
      <c r="N41" s="5"/>
      <c r="O41" s="245" t="str">
        <f>"Incremental Cost @ Actual RT MW ("&amp;$B30&amp;" MW)"</f>
        <v>Incremental Cost @ Actual RT MW (100 MW)</v>
      </c>
      <c r="P41" s="246"/>
      <c r="Q41" s="246"/>
      <c r="R41" s="246"/>
      <c r="S41" s="246"/>
      <c r="T41" s="6">
        <f>T19</f>
        <v>2250</v>
      </c>
    </row>
    <row r="42" spans="1:20" x14ac:dyDescent="0.25">
      <c r="E42" s="93"/>
      <c r="F42" s="100"/>
      <c r="G42" s="100"/>
      <c r="H42" s="100"/>
      <c r="I42" s="48"/>
      <c r="J42" s="48"/>
      <c r="K42" s="289" t="s">
        <v>25</v>
      </c>
      <c r="L42" s="290"/>
      <c r="M42" s="30">
        <f>(B34-B23)*B31</f>
        <v>0</v>
      </c>
      <c r="N42" s="5"/>
      <c r="O42" s="47"/>
      <c r="P42" s="87"/>
      <c r="Q42" s="87"/>
      <c r="R42" s="87"/>
      <c r="S42" s="87"/>
      <c r="T42" s="90"/>
    </row>
    <row r="43" spans="1:20" ht="15.75" thickBot="1" x14ac:dyDescent="0.3">
      <c r="E43" s="287" t="s">
        <v>26</v>
      </c>
      <c r="F43" s="288"/>
      <c r="G43" s="288"/>
      <c r="H43" s="288"/>
      <c r="I43" s="50">
        <f>I24+I27+I37+I39-I41</f>
        <v>2250</v>
      </c>
      <c r="J43" s="104"/>
      <c r="K43" s="245" t="s">
        <v>46</v>
      </c>
      <c r="L43" s="246"/>
      <c r="M43" s="30">
        <f>M19</f>
        <v>2250</v>
      </c>
      <c r="N43" s="5"/>
      <c r="O43" s="245" t="s">
        <v>26</v>
      </c>
      <c r="P43" s="246"/>
      <c r="Q43" s="246"/>
      <c r="R43" s="246"/>
      <c r="S43" s="246"/>
      <c r="T43" s="91">
        <f>T24+T27+T37+T39-T41</f>
        <v>2250</v>
      </c>
    </row>
    <row r="44" spans="1:20" ht="30.75" customHeight="1" thickTop="1" thickBot="1" x14ac:dyDescent="0.3">
      <c r="E44" s="49"/>
      <c r="F44" s="8"/>
      <c r="G44" s="8"/>
      <c r="H44" s="8"/>
      <c r="I44" s="8"/>
      <c r="J44" s="8"/>
      <c r="K44" s="247" t="s">
        <v>70</v>
      </c>
      <c r="L44" s="248"/>
      <c r="M44" s="103">
        <f>M40+M41+M42-M43</f>
        <v>2250</v>
      </c>
      <c r="N44" s="5"/>
      <c r="O44" s="51"/>
      <c r="P44" s="21"/>
      <c r="Q44" s="18"/>
      <c r="R44" s="18"/>
      <c r="S44" s="18"/>
      <c r="T44" s="23"/>
    </row>
    <row r="45" spans="1:20" ht="11.25" customHeight="1" thickTop="1" thickBot="1" x14ac:dyDescent="0.3">
      <c r="D45" s="33"/>
      <c r="E45" s="51"/>
      <c r="F45" s="21"/>
      <c r="G45" s="21"/>
      <c r="H45" s="21"/>
      <c r="I45" s="21"/>
      <c r="J45" s="21"/>
      <c r="K45" s="51"/>
      <c r="L45" s="18"/>
      <c r="M45" s="101"/>
      <c r="N45" s="5"/>
      <c r="O45" s="8"/>
      <c r="P45" s="8"/>
      <c r="Q45" s="5"/>
      <c r="R45" s="5"/>
      <c r="S45" s="5"/>
      <c r="T45" s="5"/>
    </row>
    <row r="46" spans="1:20" x14ac:dyDescent="0.25">
      <c r="D46" s="33"/>
      <c r="E46" s="8"/>
      <c r="F46" s="8"/>
      <c r="G46" s="76"/>
      <c r="H46" s="5"/>
      <c r="I46" s="29"/>
      <c r="J46" s="5"/>
    </row>
    <row r="47" spans="1:20" x14ac:dyDescent="0.25">
      <c r="D47" s="33"/>
      <c r="E47" s="8"/>
      <c r="F47" s="8"/>
      <c r="G47" s="76"/>
      <c r="H47" s="5"/>
      <c r="I47" s="29"/>
      <c r="J47" s="5"/>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286" t="s">
        <v>60</v>
      </c>
      <c r="B56" s="286"/>
      <c r="C56" s="286"/>
      <c r="D56" s="286"/>
      <c r="E56" s="286"/>
      <c r="F56" s="286"/>
      <c r="G56" s="286"/>
      <c r="H56" s="286"/>
      <c r="I56" s="286"/>
      <c r="J56" s="286"/>
      <c r="K56" s="286"/>
      <c r="L56" s="286"/>
      <c r="M56" s="286"/>
      <c r="N56" s="286"/>
      <c r="O56" s="286"/>
      <c r="P56" s="286"/>
      <c r="Q56" s="286"/>
      <c r="R56" s="286"/>
      <c r="S56" s="286"/>
      <c r="T56" s="286"/>
      <c r="U56" s="95"/>
      <c r="V56" s="95"/>
      <c r="W56" s="95"/>
    </row>
    <row r="57" spans="1:23" s="83" customFormat="1" ht="24" customHeight="1" thickBot="1" x14ac:dyDescent="0.3">
      <c r="A57" s="286"/>
      <c r="B57" s="286"/>
      <c r="C57" s="286"/>
      <c r="D57" s="286"/>
      <c r="E57" s="286"/>
      <c r="F57" s="286"/>
      <c r="G57" s="286"/>
      <c r="H57" s="286"/>
      <c r="I57" s="286"/>
      <c r="J57" s="286"/>
      <c r="K57" s="286"/>
      <c r="L57" s="286"/>
      <c r="M57" s="286"/>
      <c r="N57" s="286"/>
      <c r="O57" s="286"/>
      <c r="P57" s="286"/>
      <c r="Q57" s="286"/>
      <c r="R57" s="286"/>
      <c r="S57" s="286"/>
      <c r="T57" s="286"/>
      <c r="U57" s="95"/>
      <c r="V57" s="95"/>
      <c r="W57" s="95"/>
    </row>
    <row r="58" spans="1:23" ht="15.75" thickBot="1" x14ac:dyDescent="0.3">
      <c r="A58" s="250" t="s">
        <v>0</v>
      </c>
      <c r="B58" s="251"/>
      <c r="C58" s="251"/>
      <c r="D58" s="252"/>
      <c r="E58" s="235" t="s">
        <v>1</v>
      </c>
      <c r="F58" s="236"/>
      <c r="G58" s="249"/>
      <c r="H58" s="227" t="s">
        <v>2</v>
      </c>
      <c r="I58" s="228"/>
      <c r="J58" s="228"/>
      <c r="K58" s="229"/>
      <c r="L58" s="227" t="s">
        <v>32</v>
      </c>
      <c r="M58" s="228"/>
      <c r="N58" s="229"/>
    </row>
    <row r="59" spans="1:23" ht="64.5" customHeight="1" thickBot="1" x14ac:dyDescent="0.3">
      <c r="A59" s="120" t="s">
        <v>3</v>
      </c>
      <c r="B59" s="117" t="s">
        <v>33</v>
      </c>
      <c r="C59" s="117" t="s">
        <v>34</v>
      </c>
      <c r="D59" s="121" t="s">
        <v>4</v>
      </c>
      <c r="E59" s="120" t="s">
        <v>5</v>
      </c>
      <c r="F59" s="117" t="s">
        <v>6</v>
      </c>
      <c r="G59" s="118" t="s">
        <v>7</v>
      </c>
      <c r="H59" s="69" t="s">
        <v>38</v>
      </c>
      <c r="I59" s="65" t="s">
        <v>53</v>
      </c>
      <c r="J59" s="65" t="s">
        <v>6</v>
      </c>
      <c r="K59" s="66" t="s">
        <v>7</v>
      </c>
      <c r="L59" s="119" t="s">
        <v>5</v>
      </c>
      <c r="M59" s="65" t="s">
        <v>49</v>
      </c>
      <c r="N59" s="66" t="s">
        <v>47</v>
      </c>
    </row>
    <row r="60" spans="1:23" x14ac:dyDescent="0.25">
      <c r="A60" s="4">
        <v>1</v>
      </c>
      <c r="B60" s="5">
        <v>0</v>
      </c>
      <c r="C60" s="5">
        <v>50</v>
      </c>
      <c r="D60" s="6">
        <v>20</v>
      </c>
      <c r="E60" s="7">
        <f>IF(AND(B$74&gt;B60,B$74&lt;=C60),B$74,0)</f>
        <v>0</v>
      </c>
      <c r="F60" s="8">
        <f>IF(B74&gt;0,D60,0)</f>
        <v>20</v>
      </c>
      <c r="G60" s="8">
        <f>IF(E60&gt;0,IF(E60=B60,D60,IF(AND(E60&gt;B60,E60&lt;=C60),D60+(E60-B60)*((D60-D60)/(C60-B60)),0)),0)</f>
        <v>0</v>
      </c>
      <c r="H60" s="14">
        <f>IF(AND(MIN(B$81,B$84)&gt;B60,MIN(B$81,B$84)&lt;=C60),MIN(B$81,B$84),0)</f>
        <v>50</v>
      </c>
      <c r="I60" s="15">
        <f>IF(AND(B$86&gt;B60,B$86&lt;=C60),B$86,0)</f>
        <v>50</v>
      </c>
      <c r="J60" s="9">
        <f>IF(B81&gt;0,D60,0)</f>
        <v>20</v>
      </c>
      <c r="K60" s="11">
        <f>IF(H60&gt;0,IF(H60=B60,D60,IF(AND(H60&gt;B60,H60&lt;=C60),D60+(H60-B60)*((D60-D60)/(C60-B60)),0)),0)</f>
        <v>20</v>
      </c>
      <c r="L60" s="14">
        <f>IF(AND(B81&gt;B60,B81&lt;=C60),B81,0)</f>
        <v>50</v>
      </c>
      <c r="M60" s="9">
        <f>IF(B81&gt;0,D60,0)</f>
        <v>20</v>
      </c>
      <c r="N60" s="11">
        <f>IF(L60&gt;0,IF(L60=B60,D60,IF(AND(L60&gt;B60,L60&lt;=C60),D60+(L60-B60)*((D60-D60)/(C60-B60)),0)),0)</f>
        <v>20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0</v>
      </c>
      <c r="I61" s="12">
        <f t="shared" ref="I61:I62" si="7">IF(AND(B$86&gt;B61,B$86&lt;=C61),B$86,0)</f>
        <v>0</v>
      </c>
      <c r="J61" s="5">
        <v>0</v>
      </c>
      <c r="K61" s="6">
        <f>IF(H61&gt;0,IF(H61=B61,D61,IF(AND(H61&gt;B61,H61&lt;=C61),D60+(H61-B61)*((D61-D60)/(C61-B61)),0)),0)</f>
        <v>0</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100</v>
      </c>
      <c r="F62" s="21">
        <v>0</v>
      </c>
      <c r="G62" s="21">
        <f>IF(E62&gt;0,IF(E62=C62,D62,IF(AND(E62&gt;B62,E62&lt;C62),D61+(E62-B62)*((D62-D61)/(C62-B62)),IF(E62&gt;C62,D62,0))),0)</f>
        <v>30</v>
      </c>
      <c r="H62" s="24">
        <f t="shared" si="6"/>
        <v>0</v>
      </c>
      <c r="I62" s="22">
        <f t="shared" si="7"/>
        <v>0</v>
      </c>
      <c r="J62" s="18">
        <v>0</v>
      </c>
      <c r="K62" s="19">
        <f>IF(AND(I62&gt;0,H62&lt;&gt;I62),MAX(K60:K61),IF(H62&gt;0,IF(H62=B62,D62,IF(AND(H62&gt;B62,H62&lt;=C62),D61+(H62-B62)*((D62-D61)/(C62-B62)),0)),0))</f>
        <v>0</v>
      </c>
      <c r="L62" s="24">
        <f>IF(AND(B81&gt;B62,B81&lt;=C62),B81,0)</f>
        <v>0</v>
      </c>
      <c r="M62" s="21">
        <v>0</v>
      </c>
      <c r="N62" s="19">
        <f>IF(L62&gt;0,IF(L62=B62,D62,IF(AND(L62&gt;B62,L62&lt;=C62),D62+(L62-B62)*((D62-D62)/(C62-B62)),0)),0)</f>
        <v>0</v>
      </c>
    </row>
    <row r="63" spans="1:23" ht="15.75" thickBot="1" x14ac:dyDescent="0.3">
      <c r="J63" s="25"/>
    </row>
    <row r="64" spans="1:23" ht="15.75" thickBot="1" x14ac:dyDescent="0.3">
      <c r="A64" s="227" t="s">
        <v>39</v>
      </c>
      <c r="B64" s="228"/>
      <c r="C64" s="228"/>
      <c r="D64" s="228"/>
      <c r="E64" s="228"/>
      <c r="F64" s="229"/>
      <c r="H64" s="253" t="s">
        <v>40</v>
      </c>
      <c r="I64" s="254"/>
      <c r="J64" s="254"/>
      <c r="K64" s="254"/>
      <c r="L64" s="254"/>
      <c r="M64" s="255"/>
      <c r="O64" s="253" t="s">
        <v>41</v>
      </c>
      <c r="P64" s="254"/>
      <c r="Q64" s="254"/>
      <c r="R64" s="254"/>
      <c r="S64" s="254"/>
      <c r="T64" s="255"/>
    </row>
    <row r="65" spans="1:20" ht="30.75" thickBot="1" x14ac:dyDescent="0.3">
      <c r="A65" s="116" t="s">
        <v>3</v>
      </c>
      <c r="B65" s="117" t="s">
        <v>33</v>
      </c>
      <c r="C65" s="117" t="s">
        <v>34</v>
      </c>
      <c r="D65" s="117" t="s">
        <v>49</v>
      </c>
      <c r="E65" s="117" t="s">
        <v>47</v>
      </c>
      <c r="F65" s="118" t="s">
        <v>48</v>
      </c>
      <c r="H65" s="116" t="s">
        <v>3</v>
      </c>
      <c r="I65" s="117" t="s">
        <v>50</v>
      </c>
      <c r="J65" s="117" t="s">
        <v>51</v>
      </c>
      <c r="K65" s="117" t="s">
        <v>49</v>
      </c>
      <c r="L65" s="117" t="s">
        <v>47</v>
      </c>
      <c r="M65" s="118" t="s">
        <v>48</v>
      </c>
      <c r="O65" s="116" t="s">
        <v>3</v>
      </c>
      <c r="P65" s="117" t="s">
        <v>33</v>
      </c>
      <c r="Q65" s="117" t="s">
        <v>34</v>
      </c>
      <c r="R65" s="117" t="s">
        <v>49</v>
      </c>
      <c r="S65" s="117" t="s">
        <v>47</v>
      </c>
      <c r="T65" s="118" t="s">
        <v>48</v>
      </c>
    </row>
    <row r="66" spans="1:20" x14ac:dyDescent="0.25">
      <c r="A66" s="4">
        <v>1</v>
      </c>
      <c r="B66" s="5">
        <v>0</v>
      </c>
      <c r="C66" s="5">
        <f>IF(AND(B74&gt;B60,B74&lt;C60),B74,IF(B74&gt;=C60,C60,0))</f>
        <v>50</v>
      </c>
      <c r="D66" s="29">
        <f>MIN(D60,F60)</f>
        <v>20</v>
      </c>
      <c r="E66" s="29">
        <f>IF(AND(B$74&gt;B60,B$74&lt;C60),G60,IF(B$74&gt;=C60,D60,0))</f>
        <v>20</v>
      </c>
      <c r="F66" s="30">
        <f>(C66-B66)*(D66+E66)/2</f>
        <v>1000</v>
      </c>
      <c r="H66" s="4">
        <v>1</v>
      </c>
      <c r="I66" s="5">
        <v>0</v>
      </c>
      <c r="J66" s="5">
        <f>IF(AND(MAX(I$60:I$62)&gt;B60,MAX(I$60:I$62)&lt;C60),MAX(I$60:I$62),IF(MAX(I$60:I$62)&gt;=C60,C60,0))</f>
        <v>50</v>
      </c>
      <c r="K66" s="29">
        <f>MIN(D60,J60)</f>
        <v>20</v>
      </c>
      <c r="L66" s="29">
        <f>IF(AND(MAX(I$60:I$62)&gt;B60,MAX(I$60:I$62)&lt;C60),K60,IF(MAX(I$60:I$62)&gt;=C60,D60,0))</f>
        <v>20</v>
      </c>
      <c r="M66" s="30">
        <f>(J66-I66)*(K66+L66)/2</f>
        <v>1000</v>
      </c>
      <c r="O66" s="4">
        <v>1</v>
      </c>
      <c r="P66" s="5">
        <v>0</v>
      </c>
      <c r="Q66" s="5">
        <f>IF(AND(B$81&gt;B60,B$81&lt;C60),B$81,IF(B$81&gt;=C60,C60,0))</f>
        <v>50</v>
      </c>
      <c r="R66" s="29">
        <f>MIN(D60,M60)</f>
        <v>20</v>
      </c>
      <c r="S66" s="29">
        <f>IF(AND(B$81&gt;B60,B$81&lt;C60),N60,IF(B$81&gt;=C60,D60,0))</f>
        <v>20</v>
      </c>
      <c r="T66" s="30">
        <f>(Q66-P66)*(R66+S66)/2</f>
        <v>1000</v>
      </c>
    </row>
    <row r="67" spans="1:20" x14ac:dyDescent="0.25">
      <c r="A67" s="4">
        <v>2</v>
      </c>
      <c r="B67" s="5">
        <f>IF(B$23&gt;B61,C66,0)</f>
        <v>50</v>
      </c>
      <c r="C67" s="5">
        <f>IF(AND(B$74&gt;B61,B$74&lt;C61),B$74,IF(B$74&gt;=C61,C61,0))</f>
        <v>75</v>
      </c>
      <c r="D67" s="29">
        <f>IF(B67&lt;&gt;0,E66,0)</f>
        <v>20</v>
      </c>
      <c r="E67" s="29">
        <f>IF(AND(B$74&gt;B61,B$74&lt;C61),G61,IF(B$74&gt;=C61,D61,0))</f>
        <v>25</v>
      </c>
      <c r="F67" s="30">
        <f t="shared" ref="F67:F69" si="8">(C67-B67)*(D67+E67)/2</f>
        <v>562.5</v>
      </c>
      <c r="H67" s="4">
        <v>2</v>
      </c>
      <c r="I67" s="5">
        <f>IF(MAX(I$60:I$62)&gt;B61,C60,0)</f>
        <v>0</v>
      </c>
      <c r="J67" s="5">
        <f>IF(AND(MAX(I$60:I$62)&gt;B61,MAX(I$60:I$62)&lt;C61),MAX(I$60:I$62),IF(MAX(I$60:I$62)&gt;=C61,C61,0))</f>
        <v>0</v>
      </c>
      <c r="K67" s="29">
        <f>IF(I67&lt;&gt;0,L66,0)</f>
        <v>0</v>
      </c>
      <c r="L67" s="29">
        <f t="shared" ref="L67:L69" si="9">IF(AND(MAX(I$60:I$62)&gt;B61,MAX(I$60:I$62)&lt;C61),K61,IF(MAX(I$60:I$62)&gt;=C61,D61,0))</f>
        <v>0</v>
      </c>
      <c r="M67" s="30">
        <f t="shared" ref="M67:M69" si="10">(J67-I67)*(K67+L67)/2</f>
        <v>0</v>
      </c>
      <c r="O67" s="4">
        <v>2</v>
      </c>
      <c r="P67" s="5">
        <f>IF(B$81&gt;B61,Q66,0)</f>
        <v>0</v>
      </c>
      <c r="Q67" s="5">
        <f t="shared" ref="Q67:Q69" si="11">IF(AND(B$81&gt;B61,B$81&lt;C61),B$81,IF(B$81&gt;=C61,C61,0))</f>
        <v>0</v>
      </c>
      <c r="R67" s="29">
        <f>IF(P67&lt;&gt;0,S66,0)</f>
        <v>0</v>
      </c>
      <c r="S67" s="29">
        <f t="shared" ref="S67:S69" si="12">IF(AND(B$81&gt;B61,B$81&lt;C61),N61,IF(B$81&gt;=C61,D61,0))</f>
        <v>0</v>
      </c>
      <c r="T67" s="30">
        <f t="shared" ref="T67:T69" si="13">(Q67-P67)*(R67+S67)/2</f>
        <v>0</v>
      </c>
    </row>
    <row r="68" spans="1:20" x14ac:dyDescent="0.25">
      <c r="A68" s="4">
        <v>3</v>
      </c>
      <c r="B68" s="5">
        <f>IF(B$23&gt;B62,C67,0)</f>
        <v>75</v>
      </c>
      <c r="C68" s="5">
        <f>IF(AND(B$74&gt;B62,B$74&lt;C62),B$74,IF(B$74&gt;=C62,C62,0))</f>
        <v>100</v>
      </c>
      <c r="D68" s="29">
        <f t="shared" ref="D68:D69" si="14">IF(B68&lt;&gt;0,E67,0)</f>
        <v>25</v>
      </c>
      <c r="E68" s="29">
        <f t="shared" ref="E68:E69" si="15">IF(AND(B$74&gt;B62,B$74&lt;C62),G62,IF(B$74&gt;=C62,D62,0))</f>
        <v>30</v>
      </c>
      <c r="F68" s="30">
        <f t="shared" si="8"/>
        <v>687.5</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0</v>
      </c>
      <c r="Q68" s="5">
        <f t="shared" si="11"/>
        <v>0</v>
      </c>
      <c r="R68" s="29">
        <f>IF(P68&lt;&gt;0,S67,0)</f>
        <v>0</v>
      </c>
      <c r="S68" s="29">
        <f t="shared" si="12"/>
        <v>0</v>
      </c>
      <c r="T68" s="30">
        <f t="shared" si="13"/>
        <v>0</v>
      </c>
    </row>
    <row r="69" spans="1:20" x14ac:dyDescent="0.25">
      <c r="A69" s="4">
        <v>4</v>
      </c>
      <c r="B69" s="5">
        <f>IF(B$23&gt;C62,C68,0)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2250</v>
      </c>
      <c r="H70" s="24"/>
      <c r="I70" s="18"/>
      <c r="J70" s="18"/>
      <c r="K70" s="21"/>
      <c r="L70" s="21"/>
      <c r="M70" s="31">
        <f>SUM(M66:M69)</f>
        <v>1000</v>
      </c>
      <c r="O70" s="24"/>
      <c r="P70" s="18"/>
      <c r="Q70" s="18"/>
      <c r="R70" s="21"/>
      <c r="S70" s="21"/>
      <c r="T70" s="31">
        <f>SUM(T66:T69)</f>
        <v>1000</v>
      </c>
    </row>
    <row r="71" spans="1:20" ht="15.75" thickBot="1" x14ac:dyDescent="0.3"/>
    <row r="72" spans="1:20" ht="15.75" customHeight="1" thickBot="1" x14ac:dyDescent="0.3">
      <c r="A72" s="68" t="s">
        <v>37</v>
      </c>
      <c r="E72" s="277" t="s">
        <v>44</v>
      </c>
      <c r="F72" s="278"/>
      <c r="G72" s="278"/>
      <c r="H72" s="278"/>
      <c r="I72" s="278"/>
      <c r="J72" s="278"/>
      <c r="K72" s="278"/>
      <c r="L72" s="278"/>
      <c r="M72" s="279"/>
      <c r="O72" s="274" t="s">
        <v>42</v>
      </c>
      <c r="P72" s="275"/>
      <c r="Q72" s="275"/>
      <c r="R72" s="275"/>
      <c r="S72" s="275"/>
      <c r="T72" s="276"/>
    </row>
    <row r="73" spans="1:20" ht="15.75" thickBot="1" x14ac:dyDescent="0.3">
      <c r="A73" s="263" t="s">
        <v>10</v>
      </c>
      <c r="B73" s="264"/>
      <c r="E73" s="227" t="s">
        <v>11</v>
      </c>
      <c r="F73" s="228"/>
      <c r="G73" s="228"/>
      <c r="H73" s="228"/>
      <c r="I73" s="228"/>
      <c r="J73" s="228"/>
      <c r="K73" s="228"/>
      <c r="L73" s="228"/>
      <c r="M73" s="229"/>
      <c r="O73" s="280" t="s">
        <v>11</v>
      </c>
      <c r="P73" s="281"/>
      <c r="Q73" s="281"/>
      <c r="R73" s="281"/>
      <c r="S73" s="281"/>
      <c r="T73" s="282"/>
    </row>
    <row r="74" spans="1:20" x14ac:dyDescent="0.25">
      <c r="A74" s="4" t="s">
        <v>5</v>
      </c>
      <c r="B74" s="13">
        <v>100</v>
      </c>
      <c r="E74" s="261" t="s">
        <v>12</v>
      </c>
      <c r="F74" s="262"/>
      <c r="G74" s="262"/>
      <c r="H74" s="262"/>
      <c r="I74" s="99"/>
      <c r="J74" s="10"/>
      <c r="K74" s="10"/>
      <c r="L74" s="10"/>
      <c r="M74" s="26"/>
      <c r="O74" s="16" t="s">
        <v>12</v>
      </c>
      <c r="P74" s="29"/>
      <c r="Q74" s="5"/>
      <c r="R74" s="5"/>
      <c r="S74" s="5"/>
      <c r="T74" s="13"/>
    </row>
    <row r="75" spans="1:20" ht="15.75" thickBot="1" x14ac:dyDescent="0.3">
      <c r="A75" s="17" t="s">
        <v>13</v>
      </c>
      <c r="B75" s="19">
        <v>45</v>
      </c>
      <c r="E75" s="240" t="s">
        <v>14</v>
      </c>
      <c r="F75" s="241"/>
      <c r="G75" s="241"/>
      <c r="H75" s="241"/>
      <c r="I75" s="42">
        <f>B74*B75</f>
        <v>4500</v>
      </c>
      <c r="J75" s="5"/>
      <c r="K75" s="5"/>
      <c r="L75" s="5"/>
      <c r="M75" s="13"/>
      <c r="O75" s="245" t="s">
        <v>14</v>
      </c>
      <c r="P75" s="246"/>
      <c r="Q75" s="246"/>
      <c r="R75" s="246"/>
      <c r="S75" s="246"/>
      <c r="T75" s="56">
        <f>I75</f>
        <v>4500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240" t="s">
        <v>15</v>
      </c>
      <c r="F78" s="241"/>
      <c r="G78" s="241"/>
      <c r="H78" s="241"/>
      <c r="I78" s="43">
        <f>M79</f>
        <v>0</v>
      </c>
      <c r="J78" s="5"/>
      <c r="K78" s="35" t="s">
        <v>16</v>
      </c>
      <c r="L78" s="36">
        <f>F70</f>
        <v>2250</v>
      </c>
      <c r="M78" s="105" t="s">
        <v>17</v>
      </c>
      <c r="O78" s="245" t="s">
        <v>15</v>
      </c>
      <c r="P78" s="246"/>
      <c r="Q78" s="246"/>
      <c r="R78" s="246"/>
      <c r="S78" s="246"/>
      <c r="T78" s="88">
        <f>I78</f>
        <v>0</v>
      </c>
    </row>
    <row r="79" spans="1:20" ht="15.75" thickBot="1" x14ac:dyDescent="0.3">
      <c r="A79" s="68" t="s">
        <v>37</v>
      </c>
      <c r="E79" s="85"/>
      <c r="F79" s="86"/>
      <c r="G79" s="86"/>
      <c r="H79" s="86"/>
      <c r="I79" s="5"/>
      <c r="J79" s="5"/>
      <c r="K79" s="37" t="s">
        <v>18</v>
      </c>
      <c r="L79" s="38">
        <f>I75</f>
        <v>4500</v>
      </c>
      <c r="M79" s="39">
        <f>MAX(L78-L79,0)</f>
        <v>0</v>
      </c>
      <c r="O79" s="16"/>
      <c r="P79" s="5"/>
      <c r="Q79" s="5"/>
      <c r="R79" s="5"/>
      <c r="S79" s="5"/>
      <c r="T79" s="13"/>
    </row>
    <row r="80" spans="1:20" x14ac:dyDescent="0.25">
      <c r="A80" s="263" t="s">
        <v>22</v>
      </c>
      <c r="B80" s="264"/>
      <c r="E80" s="240" t="str">
        <f>"DA Incremental Cost @ DA MW ("&amp;$B74&amp;" MW)"</f>
        <v>DA Incremental Cost @ DA MW (100 MW)</v>
      </c>
      <c r="F80" s="241"/>
      <c r="G80" s="241"/>
      <c r="H80" s="241"/>
      <c r="I80" s="44">
        <f>F70</f>
        <v>2250</v>
      </c>
      <c r="J80" s="5"/>
      <c r="K80" s="29"/>
      <c r="L80" s="5"/>
      <c r="M80" s="13"/>
      <c r="O80" s="245" t="str">
        <f>"DA Incremental Cost @ DA MW ("&amp;$B74&amp;" MW)"</f>
        <v>DA Incremental Cost @ DA MW (100 MW)</v>
      </c>
      <c r="P80" s="246"/>
      <c r="Q80" s="246"/>
      <c r="R80" s="246"/>
      <c r="S80" s="246"/>
      <c r="T80" s="89">
        <f>I80</f>
        <v>2250</v>
      </c>
    </row>
    <row r="81" spans="1:20" x14ac:dyDescent="0.25">
      <c r="A81" s="16" t="s">
        <v>43</v>
      </c>
      <c r="B81" s="13">
        <v>50</v>
      </c>
      <c r="E81" s="85"/>
      <c r="F81" s="86"/>
      <c r="G81" s="86"/>
      <c r="H81" s="86"/>
      <c r="I81" s="5"/>
      <c r="J81" s="5"/>
      <c r="K81" s="5"/>
      <c r="L81" s="29"/>
      <c r="M81" s="13"/>
      <c r="O81" s="16"/>
      <c r="P81" s="5"/>
      <c r="Q81" s="5"/>
      <c r="R81" s="5"/>
      <c r="S81" s="5"/>
      <c r="T81" s="13"/>
    </row>
    <row r="82" spans="1:20" ht="15.75" thickBot="1" x14ac:dyDescent="0.3">
      <c r="A82" s="16" t="s">
        <v>13</v>
      </c>
      <c r="B82" s="6">
        <v>200</v>
      </c>
      <c r="D82" s="32"/>
      <c r="E82" s="240" t="s">
        <v>19</v>
      </c>
      <c r="F82" s="241"/>
      <c r="G82" s="241"/>
      <c r="H82" s="241"/>
      <c r="I82" s="40">
        <f>I75+I78-I80</f>
        <v>2250</v>
      </c>
      <c r="J82" s="5"/>
      <c r="K82" s="29"/>
      <c r="L82" s="45"/>
      <c r="M82" s="13"/>
      <c r="O82" s="245" t="s">
        <v>19</v>
      </c>
      <c r="P82" s="246"/>
      <c r="Q82" s="246"/>
      <c r="R82" s="246"/>
      <c r="S82" s="246"/>
      <c r="T82" s="31">
        <f>T75+T78-T80</f>
        <v>2250</v>
      </c>
    </row>
    <row r="83" spans="1:20" ht="15.75" thickTop="1" x14ac:dyDescent="0.25">
      <c r="A83" s="16" t="s">
        <v>27</v>
      </c>
      <c r="B83" s="13">
        <v>100</v>
      </c>
      <c r="E83" s="16"/>
      <c r="F83" s="5"/>
      <c r="G83" s="5"/>
      <c r="H83" s="8"/>
      <c r="I83" s="5"/>
      <c r="J83" s="5"/>
      <c r="K83" s="5"/>
      <c r="L83" s="5"/>
      <c r="M83" s="13"/>
      <c r="O83" s="16"/>
      <c r="P83" s="5"/>
      <c r="Q83" s="5"/>
      <c r="R83" s="5"/>
      <c r="S83" s="5"/>
      <c r="T83" s="13"/>
    </row>
    <row r="84" spans="1:20" ht="15.75" thickBot="1" x14ac:dyDescent="0.3">
      <c r="A84" s="16" t="s">
        <v>29</v>
      </c>
      <c r="B84" s="13">
        <v>75</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75</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50</v>
      </c>
      <c r="E86" s="227" t="s">
        <v>20</v>
      </c>
      <c r="F86" s="228"/>
      <c r="G86" s="228"/>
      <c r="H86" s="228"/>
      <c r="I86" s="228"/>
      <c r="J86" s="228"/>
      <c r="K86" s="228"/>
      <c r="L86" s="228"/>
      <c r="M86" s="229"/>
      <c r="O86" s="283" t="s">
        <v>20</v>
      </c>
      <c r="P86" s="284"/>
      <c r="Q86" s="284"/>
      <c r="R86" s="284"/>
      <c r="S86" s="284"/>
      <c r="T86" s="285"/>
    </row>
    <row r="87" spans="1:20" x14ac:dyDescent="0.25">
      <c r="E87" s="85" t="s">
        <v>12</v>
      </c>
      <c r="F87" s="86"/>
      <c r="G87" s="86"/>
      <c r="H87" s="86"/>
      <c r="I87" s="5"/>
      <c r="J87" s="5"/>
      <c r="K87" s="5"/>
      <c r="L87" s="5"/>
      <c r="M87" s="13"/>
      <c r="O87" s="16" t="s">
        <v>12</v>
      </c>
      <c r="P87" s="5"/>
      <c r="Q87" s="5"/>
      <c r="R87" s="5"/>
      <c r="S87" s="5"/>
      <c r="T87" s="13"/>
    </row>
    <row r="88" spans="1:20" x14ac:dyDescent="0.25">
      <c r="E88" s="240" t="s">
        <v>21</v>
      </c>
      <c r="F88" s="241"/>
      <c r="G88" s="241"/>
      <c r="H88" s="241"/>
      <c r="I88" s="29">
        <f>(B81-B74)*B82</f>
        <v>-10000</v>
      </c>
      <c r="J88" s="29"/>
      <c r="K88" s="29"/>
      <c r="L88" s="29"/>
      <c r="M88" s="13"/>
      <c r="O88" s="245" t="s">
        <v>21</v>
      </c>
      <c r="P88" s="246"/>
      <c r="Q88" s="246"/>
      <c r="R88" s="246"/>
      <c r="S88" s="246"/>
      <c r="T88" s="30">
        <f>I88</f>
        <v>-10000</v>
      </c>
    </row>
    <row r="89" spans="1:20" ht="15.75" thickBot="1" x14ac:dyDescent="0.3">
      <c r="E89" s="85"/>
      <c r="F89" s="86"/>
      <c r="G89" s="86"/>
      <c r="H89" s="86"/>
      <c r="I89" s="5"/>
      <c r="J89" s="5"/>
      <c r="K89" s="5"/>
      <c r="L89" s="5"/>
      <c r="M89" s="30"/>
      <c r="O89" s="16"/>
      <c r="P89" s="5"/>
      <c r="Q89" s="5"/>
      <c r="R89" s="5"/>
      <c r="S89" s="5"/>
      <c r="T89" s="13"/>
    </row>
    <row r="90" spans="1:20" x14ac:dyDescent="0.25">
      <c r="E90" s="240" t="s">
        <v>23</v>
      </c>
      <c r="F90" s="241"/>
      <c r="G90" s="241"/>
      <c r="H90" s="241"/>
      <c r="I90" s="29">
        <f>MAX(M95*-1,0)</f>
        <v>1500</v>
      </c>
      <c r="J90" s="29"/>
      <c r="K90" s="256" t="s">
        <v>30</v>
      </c>
      <c r="L90" s="257"/>
      <c r="M90" s="258"/>
      <c r="O90" s="245" t="s">
        <v>23</v>
      </c>
      <c r="P90" s="246"/>
      <c r="Q90" s="246"/>
      <c r="R90" s="246"/>
      <c r="S90" s="246"/>
      <c r="T90" s="30">
        <f>I90</f>
        <v>1500</v>
      </c>
    </row>
    <row r="91" spans="1:20" x14ac:dyDescent="0.25">
      <c r="E91" s="92"/>
      <c r="F91" s="67"/>
      <c r="G91" s="67"/>
      <c r="H91" s="67"/>
      <c r="I91" s="76"/>
      <c r="J91" s="76"/>
      <c r="K91" s="259" t="s">
        <v>24</v>
      </c>
      <c r="L91" s="260"/>
      <c r="M91" s="56">
        <f>I75</f>
        <v>4500</v>
      </c>
      <c r="O91" s="75"/>
      <c r="P91" s="76"/>
      <c r="Q91" s="76"/>
      <c r="R91" s="76"/>
      <c r="S91" s="76"/>
      <c r="T91" s="77"/>
    </row>
    <row r="92" spans="1:20" x14ac:dyDescent="0.25">
      <c r="E92" s="291" t="str">
        <f>"Incremental Cost @ RT MW Used ("&amp;$B86&amp;" MW)"</f>
        <v>Incremental Cost @ RT MW Used (50 MW)</v>
      </c>
      <c r="F92" s="292"/>
      <c r="G92" s="292"/>
      <c r="H92" s="292"/>
      <c r="I92" s="8">
        <f>M94</f>
        <v>1000</v>
      </c>
      <c r="J92" s="8"/>
      <c r="K92" s="259" t="s">
        <v>17</v>
      </c>
      <c r="L92" s="260"/>
      <c r="M92" s="56">
        <f>I78</f>
        <v>0</v>
      </c>
      <c r="O92" s="245" t="str">
        <f>"Incremental Cost @ Actual RT MW ("&amp;$B81&amp;" MW)"</f>
        <v>Incremental Cost @ Actual RT MW (50 MW)</v>
      </c>
      <c r="P92" s="246"/>
      <c r="Q92" s="246"/>
      <c r="R92" s="246"/>
      <c r="S92" s="246"/>
      <c r="T92" s="6">
        <f>T70</f>
        <v>1000</v>
      </c>
    </row>
    <row r="93" spans="1:20" x14ac:dyDescent="0.25">
      <c r="E93" s="93"/>
      <c r="F93" s="100"/>
      <c r="G93" s="100"/>
      <c r="H93" s="100"/>
      <c r="I93" s="48"/>
      <c r="J93" s="48"/>
      <c r="K93" s="289" t="s">
        <v>25</v>
      </c>
      <c r="L93" s="290"/>
      <c r="M93" s="30">
        <f>(B85-B74)*B82</f>
        <v>-5000</v>
      </c>
      <c r="O93" s="47"/>
      <c r="P93" s="87"/>
      <c r="Q93" s="87"/>
      <c r="R93" s="87"/>
      <c r="S93" s="87"/>
      <c r="T93" s="90"/>
    </row>
    <row r="94" spans="1:20" ht="15.75" thickBot="1" x14ac:dyDescent="0.3">
      <c r="E94" s="287" t="s">
        <v>26</v>
      </c>
      <c r="F94" s="288"/>
      <c r="G94" s="288"/>
      <c r="H94" s="288"/>
      <c r="I94" s="50">
        <f>I75+I78+I88+I90-I92</f>
        <v>-5000</v>
      </c>
      <c r="J94" s="104"/>
      <c r="K94" s="245" t="s">
        <v>46</v>
      </c>
      <c r="L94" s="246"/>
      <c r="M94" s="30">
        <f>M70</f>
        <v>1000</v>
      </c>
      <c r="O94" s="245" t="s">
        <v>26</v>
      </c>
      <c r="P94" s="246"/>
      <c r="Q94" s="246"/>
      <c r="R94" s="246"/>
      <c r="S94" s="246"/>
      <c r="T94" s="91">
        <f>T75+T78+T88+T90-T92</f>
        <v>-5000</v>
      </c>
    </row>
    <row r="95" spans="1:20" ht="29.25" customHeight="1" thickTop="1" thickBot="1" x14ac:dyDescent="0.3">
      <c r="E95" s="49"/>
      <c r="F95" s="8"/>
      <c r="G95" s="8"/>
      <c r="H95" s="8"/>
      <c r="I95" s="8"/>
      <c r="J95" s="8"/>
      <c r="K95" s="247" t="s">
        <v>70</v>
      </c>
      <c r="L95" s="248"/>
      <c r="M95" s="103">
        <f>M91+M92+M93-M94</f>
        <v>-1500</v>
      </c>
      <c r="O95" s="51"/>
      <c r="P95" s="21"/>
      <c r="Q95" s="18"/>
      <c r="R95" s="18"/>
      <c r="S95" s="18"/>
      <c r="T95" s="23"/>
    </row>
    <row r="96" spans="1:20" ht="9.75" customHeight="1" thickTop="1" thickBot="1" x14ac:dyDescent="0.3">
      <c r="D96" s="33"/>
      <c r="E96" s="51"/>
      <c r="F96" s="21"/>
      <c r="G96" s="21"/>
      <c r="H96" s="21"/>
      <c r="I96" s="21"/>
      <c r="J96" s="21"/>
      <c r="K96" s="51"/>
      <c r="L96" s="18"/>
      <c r="M96" s="101"/>
    </row>
    <row r="97" spans="1:23" x14ac:dyDescent="0.25">
      <c r="D97" s="33"/>
      <c r="E97" s="8"/>
      <c r="F97" s="8"/>
      <c r="G97" s="76"/>
      <c r="H97" s="5"/>
      <c r="I97" s="29"/>
      <c r="J97" s="5"/>
    </row>
    <row r="98" spans="1:23" x14ac:dyDescent="0.25">
      <c r="D98" s="33"/>
      <c r="E98" s="8"/>
      <c r="F98" s="8"/>
      <c r="G98" s="76"/>
      <c r="H98" s="5"/>
      <c r="I98" s="29"/>
      <c r="J98" s="5"/>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3.5" customHeight="1" x14ac:dyDescent="0.25">
      <c r="A106" s="108"/>
      <c r="B106" s="53"/>
      <c r="C106" s="53"/>
      <c r="D106" s="122"/>
      <c r="E106" s="54"/>
      <c r="F106" s="54"/>
      <c r="G106" s="122"/>
      <c r="H106" s="53"/>
      <c r="I106" s="55"/>
      <c r="J106" s="53"/>
      <c r="K106" s="53"/>
      <c r="L106" s="53"/>
      <c r="M106" s="53"/>
      <c r="N106" s="53"/>
      <c r="O106" s="53"/>
      <c r="P106" s="53"/>
      <c r="Q106" s="53"/>
      <c r="R106" s="53"/>
      <c r="S106" s="53"/>
      <c r="T106" s="53"/>
    </row>
    <row r="107" spans="1:23" ht="21.75" customHeight="1" x14ac:dyDescent="0.25">
      <c r="A107" s="286" t="s">
        <v>108</v>
      </c>
      <c r="B107" s="286"/>
      <c r="C107" s="286"/>
      <c r="D107" s="286"/>
      <c r="E107" s="286"/>
      <c r="F107" s="286"/>
      <c r="G107" s="286"/>
      <c r="H107" s="286"/>
      <c r="I107" s="286"/>
      <c r="J107" s="286"/>
      <c r="K107" s="286"/>
      <c r="L107" s="286"/>
      <c r="M107" s="286"/>
      <c r="N107" s="286"/>
      <c r="O107" s="286"/>
      <c r="P107" s="286"/>
      <c r="Q107" s="286"/>
      <c r="R107" s="286"/>
      <c r="S107" s="286"/>
      <c r="T107" s="286"/>
    </row>
    <row r="108" spans="1:23" s="83" customFormat="1" ht="18" customHeight="1" thickBot="1" x14ac:dyDescent="0.3">
      <c r="A108" s="293"/>
      <c r="B108" s="293"/>
      <c r="C108" s="293"/>
      <c r="D108" s="293"/>
      <c r="E108" s="293"/>
      <c r="F108" s="293"/>
      <c r="G108" s="293"/>
      <c r="H108" s="293"/>
      <c r="I108" s="293"/>
      <c r="J108" s="293"/>
      <c r="K108" s="293"/>
      <c r="L108" s="293"/>
      <c r="M108" s="293"/>
      <c r="N108" s="293"/>
      <c r="O108" s="293"/>
      <c r="P108" s="293"/>
      <c r="Q108" s="293"/>
      <c r="R108" s="293"/>
      <c r="S108" s="293"/>
      <c r="T108" s="293"/>
      <c r="U108" s="95"/>
      <c r="V108" s="95"/>
      <c r="W108" s="95"/>
    </row>
    <row r="109" spans="1:23" ht="15.75" thickBot="1" x14ac:dyDescent="0.3">
      <c r="A109" s="250" t="s">
        <v>0</v>
      </c>
      <c r="B109" s="251"/>
      <c r="C109" s="251"/>
      <c r="D109" s="252"/>
      <c r="E109" s="235" t="s">
        <v>1</v>
      </c>
      <c r="F109" s="236"/>
      <c r="G109" s="249"/>
      <c r="H109" s="227" t="s">
        <v>2</v>
      </c>
      <c r="I109" s="228"/>
      <c r="J109" s="228"/>
      <c r="K109" s="229"/>
      <c r="L109" s="227" t="s">
        <v>32</v>
      </c>
      <c r="M109" s="228"/>
      <c r="N109" s="229"/>
    </row>
    <row r="110" spans="1:23" ht="60.75" customHeight="1" thickBot="1" x14ac:dyDescent="0.3">
      <c r="A110" s="120" t="s">
        <v>3</v>
      </c>
      <c r="B110" s="117" t="s">
        <v>33</v>
      </c>
      <c r="C110" s="117" t="s">
        <v>34</v>
      </c>
      <c r="D110" s="121" t="s">
        <v>4</v>
      </c>
      <c r="E110" s="120" t="s">
        <v>5</v>
      </c>
      <c r="F110" s="117" t="s">
        <v>6</v>
      </c>
      <c r="G110" s="118" t="s">
        <v>7</v>
      </c>
      <c r="H110" s="69" t="s">
        <v>38</v>
      </c>
      <c r="I110" s="65" t="s">
        <v>8</v>
      </c>
      <c r="J110" s="65" t="s">
        <v>6</v>
      </c>
      <c r="K110" s="66" t="s">
        <v>7</v>
      </c>
      <c r="L110" s="119" t="s">
        <v>5</v>
      </c>
      <c r="M110" s="65" t="s">
        <v>49</v>
      </c>
      <c r="N110" s="66" t="s">
        <v>47</v>
      </c>
    </row>
    <row r="111" spans="1:23" x14ac:dyDescent="0.25">
      <c r="A111" s="4">
        <v>1</v>
      </c>
      <c r="B111" s="5">
        <v>0</v>
      </c>
      <c r="C111" s="5">
        <v>50</v>
      </c>
      <c r="D111" s="6">
        <v>20</v>
      </c>
      <c r="E111" s="7">
        <f>IF(AND(B$74&gt;B111,B$74&lt;=C111),B$74,0)</f>
        <v>0</v>
      </c>
      <c r="F111" s="8">
        <f>IF(B125&gt;0,D111,0)</f>
        <v>20</v>
      </c>
      <c r="G111" s="8">
        <f>IF(E111&gt;0,IF(E111=B111,D111,IF(AND(E111&gt;B111,E111&lt;=C111),D111+(E111-B111)*((D111-D111)/(C111-B111)),0)),0)</f>
        <v>0</v>
      </c>
      <c r="H111" s="14">
        <f>IF(AND(MIN(B$132,B$134)&gt;B111,MIN(B$132,B$134)&lt;=C111),MIN(B$132,B$134),0)</f>
        <v>50</v>
      </c>
      <c r="I111" s="15">
        <f>IF(AND(B$137&gt;B111,B$137&lt;=C111),B$137,0)</f>
        <v>50</v>
      </c>
      <c r="J111" s="9">
        <f>IF(B132&gt;0,D111,0)</f>
        <v>20</v>
      </c>
      <c r="K111" s="11">
        <f>IF(H111&gt;0,IF(H111=B111,D111,IF(AND(H111&gt;B111,H111&lt;=C111),D111+(H111-B111)*((D111-D111)/(C111-B111)),0)),0)</f>
        <v>20</v>
      </c>
      <c r="L111" s="14">
        <f>IF(AND(B132&gt;B111,B132&lt;=C111),B132,0)</f>
        <v>50</v>
      </c>
      <c r="M111" s="9">
        <f>IF(B132&gt;0,D111,0)</f>
        <v>20</v>
      </c>
      <c r="N111" s="11">
        <f>IF(L111&gt;0,IF(L111=B111,D111,IF(AND(L111&gt;B111,L111&lt;=C111),D111+(L111-B111)*((D111-D111)/(C111-B111)),0)),0)</f>
        <v>20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100</v>
      </c>
      <c r="F113" s="21">
        <v>0</v>
      </c>
      <c r="G113" s="21">
        <f>IF(E113&gt;0,IF(E113=C113,D113,IF(AND(E113&gt;B113,E113&lt;C113),D112+(E113-B113)*((D113-D112)/(C113-B113)),IF(E113&gt;C113,D113,0))),0)</f>
        <v>30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0</v>
      </c>
      <c r="M113" s="21">
        <v>0</v>
      </c>
      <c r="N113" s="19">
        <f>IF(L113&gt;0,IF(L113=B113,D113,IF(AND(L113&gt;B113,L113&lt;=C113),D113+(L113-B113)*((D113-D113)/(C113-B113)),0)),0)</f>
        <v>0</v>
      </c>
    </row>
    <row r="114" spans="1:20" ht="15.75" thickBot="1" x14ac:dyDescent="0.3">
      <c r="J114" s="25"/>
    </row>
    <row r="115" spans="1:20" ht="15.75" thickBot="1" x14ac:dyDescent="0.3">
      <c r="A115" s="235" t="s">
        <v>1</v>
      </c>
      <c r="B115" s="236"/>
      <c r="C115" s="10"/>
      <c r="D115" s="10"/>
      <c r="E115" s="10"/>
      <c r="F115" s="26"/>
      <c r="H115" s="235" t="s">
        <v>9</v>
      </c>
      <c r="I115" s="236"/>
      <c r="J115" s="236"/>
      <c r="K115" s="236"/>
      <c r="L115" s="236"/>
      <c r="M115" s="249"/>
      <c r="O115" s="235" t="s">
        <v>31</v>
      </c>
      <c r="P115" s="236"/>
      <c r="Q115" s="236"/>
      <c r="R115" s="236"/>
      <c r="S115" s="236"/>
      <c r="T115" s="249"/>
    </row>
    <row r="116" spans="1:20" ht="30.75" thickBot="1" x14ac:dyDescent="0.3">
      <c r="A116" s="116" t="s">
        <v>3</v>
      </c>
      <c r="B116" s="117" t="s">
        <v>33</v>
      </c>
      <c r="C116" s="117" t="s">
        <v>34</v>
      </c>
      <c r="D116" s="117" t="s">
        <v>49</v>
      </c>
      <c r="E116" s="117" t="s">
        <v>47</v>
      </c>
      <c r="F116" s="118" t="s">
        <v>48</v>
      </c>
      <c r="H116" s="116" t="s">
        <v>3</v>
      </c>
      <c r="I116" s="117" t="s">
        <v>50</v>
      </c>
      <c r="J116" s="117" t="s">
        <v>51</v>
      </c>
      <c r="K116" s="117" t="s">
        <v>49</v>
      </c>
      <c r="L116" s="117" t="s">
        <v>47</v>
      </c>
      <c r="M116" s="118" t="s">
        <v>48</v>
      </c>
      <c r="O116" s="116" t="s">
        <v>3</v>
      </c>
      <c r="P116" s="117" t="s">
        <v>33</v>
      </c>
      <c r="Q116" s="117" t="s">
        <v>34</v>
      </c>
      <c r="R116" s="117" t="s">
        <v>49</v>
      </c>
      <c r="S116" s="117" t="s">
        <v>47</v>
      </c>
      <c r="T116" s="118" t="s">
        <v>48</v>
      </c>
    </row>
    <row r="117" spans="1:20" x14ac:dyDescent="0.25">
      <c r="A117" s="4">
        <v>1</v>
      </c>
      <c r="B117" s="5">
        <v>0</v>
      </c>
      <c r="C117" s="5">
        <f>IF(AND(B125&gt;B111,B125&lt;C111),B125,IF(B125&gt;=C111,C111,0))</f>
        <v>50</v>
      </c>
      <c r="D117" s="29">
        <f>MIN(D111,F111)</f>
        <v>20</v>
      </c>
      <c r="E117" s="29">
        <f>IF(AND(B$125&gt;B111,B$125&lt;C111),G111,IF(B$125&gt;=C111,D111,0))</f>
        <v>20</v>
      </c>
      <c r="F117" s="30">
        <f>(C117-B117)*(D117+E117)/2</f>
        <v>1000</v>
      </c>
      <c r="H117" s="4">
        <v>1</v>
      </c>
      <c r="I117" s="5">
        <v>0</v>
      </c>
      <c r="J117" s="5">
        <f>IF(AND(MAX(I$111:I$113)&gt;B111,MAX(I$111:I$113)&lt;C111),MAX(I$111:I$113),IF(MAX(I$111:I$113)&gt;=C111,C111,0))</f>
        <v>50</v>
      </c>
      <c r="K117" s="29">
        <f>MIN(D111,J111)</f>
        <v>20</v>
      </c>
      <c r="L117" s="29">
        <f>IF(AND(MAX(I$111:I$113)&gt;B111,MAX(I$111:I$113)&lt;C111),K111,IF(MAX(I$111:I$113)&gt;=C111,D111,0))</f>
        <v>20</v>
      </c>
      <c r="M117" s="30">
        <f>(J117-I117)*(K117+L117)/2</f>
        <v>1000</v>
      </c>
      <c r="O117" s="4">
        <v>1</v>
      </c>
      <c r="P117" s="5">
        <v>0</v>
      </c>
      <c r="Q117" s="5">
        <f>IF(AND(B$132&gt;B111,B$132&lt;C111),B$132,IF(B$132&gt;=C111,C111,0))</f>
        <v>50</v>
      </c>
      <c r="R117" s="29">
        <f>MIN(D111,M111)</f>
        <v>20</v>
      </c>
      <c r="S117" s="29">
        <f>IF(AND(B$132&gt;B111,B$132&lt;C111),N111,IF(B$132&gt;=C111,D111,0))</f>
        <v>20</v>
      </c>
      <c r="T117" s="30">
        <f>(Q117-P117)*(R117+S117)/2</f>
        <v>1000</v>
      </c>
    </row>
    <row r="118" spans="1:20" x14ac:dyDescent="0.25">
      <c r="A118" s="4">
        <v>2</v>
      </c>
      <c r="B118" s="5">
        <f>IF(B$23&gt;B112,C117,0)</f>
        <v>50</v>
      </c>
      <c r="C118" s="5">
        <f>IF(AND(B$125&gt;B112,B$125&lt;C112),B$125,IF(B$125&gt;=C112,C112,0))</f>
        <v>75</v>
      </c>
      <c r="D118" s="29">
        <f>IF(B118&lt;&gt;0,E117,0)</f>
        <v>20</v>
      </c>
      <c r="E118" s="29">
        <f t="shared" ref="E118:E120" si="18">IF(AND(B$125&gt;B112,B$125&lt;C112),G112,IF(B$125&gt;=C112,D112,0))</f>
        <v>25</v>
      </c>
      <c r="F118" s="30">
        <f t="shared" ref="F118:F120" si="19">(C118-B118)*(D118+E118)/2</f>
        <v>562.5</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0</v>
      </c>
      <c r="Q118" s="5">
        <f t="shared" ref="Q118:Q120" si="23">IF(AND(B$132&gt;B112,B$132&lt;C112),B$132,IF(B$132&gt;=C112,C112,0))</f>
        <v>0</v>
      </c>
      <c r="R118" s="29">
        <f>IF(P118&lt;&gt;0,S117,0)</f>
        <v>0</v>
      </c>
      <c r="S118" s="29">
        <f t="shared" ref="S118:S119" si="24">IF(AND(B$132&gt;B112,B$132&lt;C112),N112,IF(B$132&gt;=C112,D112,0))</f>
        <v>0</v>
      </c>
      <c r="T118" s="30">
        <f t="shared" ref="T118:T120" si="25">(Q118-P118)*(R118+S118)/2</f>
        <v>0</v>
      </c>
    </row>
    <row r="119" spans="1:20" x14ac:dyDescent="0.25">
      <c r="A119" s="4">
        <v>3</v>
      </c>
      <c r="B119" s="5">
        <f>IF(B$23&gt;B113,C118,0)</f>
        <v>75</v>
      </c>
      <c r="C119" s="5">
        <f t="shared" ref="C119:C120" si="26">IF(AND(B$125&gt;B113,B$125&lt;C113),B$125,IF(B$125&gt;=C113,C113,0))</f>
        <v>100</v>
      </c>
      <c r="D119" s="29">
        <f t="shared" ref="D119:D120" si="27">IF(B119&lt;&gt;0,E118,0)</f>
        <v>25</v>
      </c>
      <c r="E119" s="29">
        <f t="shared" si="18"/>
        <v>30</v>
      </c>
      <c r="F119" s="30">
        <f t="shared" si="19"/>
        <v>687.5</v>
      </c>
      <c r="H119" s="4">
        <v>3</v>
      </c>
      <c r="I119" s="5">
        <f t="shared" ref="I119" si="28">IF(MAX(I$111:I$113)&gt;B113,C112,0)</f>
        <v>0</v>
      </c>
      <c r="J119" s="5">
        <f t="shared" si="20"/>
        <v>0</v>
      </c>
      <c r="K119" s="29">
        <f>IF(I119&lt;&gt;0,L118,0)</f>
        <v>0</v>
      </c>
      <c r="L119" s="29">
        <f t="shared" si="21"/>
        <v>0</v>
      </c>
      <c r="M119" s="30">
        <f t="shared" si="22"/>
        <v>0</v>
      </c>
      <c r="O119" s="4">
        <v>3</v>
      </c>
      <c r="P119" s="5">
        <f>IF(B$132&gt;B113,Q118,0)</f>
        <v>0</v>
      </c>
      <c r="Q119" s="5">
        <f t="shared" si="23"/>
        <v>0</v>
      </c>
      <c r="R119" s="29">
        <f>IF(P119&lt;&gt;0,S118,0)</f>
        <v>0</v>
      </c>
      <c r="S119" s="29">
        <f t="shared" si="24"/>
        <v>0</v>
      </c>
      <c r="T119" s="30">
        <f t="shared" si="25"/>
        <v>0</v>
      </c>
    </row>
    <row r="120" spans="1:20" x14ac:dyDescent="0.25">
      <c r="A120" s="4">
        <v>4</v>
      </c>
      <c r="B120" s="5">
        <f>IF(B$23&gt;C113,C119,0)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2250</v>
      </c>
      <c r="H121" s="24"/>
      <c r="I121" s="18"/>
      <c r="J121" s="18"/>
      <c r="K121" s="21"/>
      <c r="L121" s="21"/>
      <c r="M121" s="31">
        <f>SUM(M117:M120)</f>
        <v>1000</v>
      </c>
      <c r="O121" s="24"/>
      <c r="P121" s="18"/>
      <c r="Q121" s="18"/>
      <c r="R121" s="21"/>
      <c r="S121" s="21"/>
      <c r="T121" s="31">
        <f>SUM(T117:T120)</f>
        <v>1000</v>
      </c>
    </row>
    <row r="122" spans="1:20" ht="15.75" thickBot="1" x14ac:dyDescent="0.3"/>
    <row r="123" spans="1:20" ht="15.75" customHeight="1" thickBot="1" x14ac:dyDescent="0.3">
      <c r="A123" s="68" t="s">
        <v>37</v>
      </c>
      <c r="E123" s="277" t="s">
        <v>44</v>
      </c>
      <c r="F123" s="278"/>
      <c r="G123" s="278"/>
      <c r="H123" s="278"/>
      <c r="I123" s="278"/>
      <c r="J123" s="278"/>
      <c r="K123" s="278"/>
      <c r="L123" s="278"/>
      <c r="M123" s="279"/>
      <c r="O123" s="274" t="s">
        <v>42</v>
      </c>
      <c r="P123" s="275"/>
      <c r="Q123" s="275"/>
      <c r="R123" s="275"/>
      <c r="S123" s="275"/>
      <c r="T123" s="276"/>
    </row>
    <row r="124" spans="1:20" ht="15.75" thickBot="1" x14ac:dyDescent="0.3">
      <c r="A124" s="263" t="s">
        <v>10</v>
      </c>
      <c r="B124" s="264"/>
      <c r="E124" s="227" t="s">
        <v>11</v>
      </c>
      <c r="F124" s="228"/>
      <c r="G124" s="228"/>
      <c r="H124" s="228"/>
      <c r="I124" s="228"/>
      <c r="J124" s="228"/>
      <c r="K124" s="228"/>
      <c r="L124" s="228"/>
      <c r="M124" s="229"/>
      <c r="O124" s="280" t="s">
        <v>11</v>
      </c>
      <c r="P124" s="281"/>
      <c r="Q124" s="281"/>
      <c r="R124" s="281"/>
      <c r="S124" s="281"/>
      <c r="T124" s="282"/>
    </row>
    <row r="125" spans="1:20" x14ac:dyDescent="0.25">
      <c r="A125" s="4" t="s">
        <v>5</v>
      </c>
      <c r="B125" s="13">
        <v>100</v>
      </c>
      <c r="E125" s="261" t="s">
        <v>12</v>
      </c>
      <c r="F125" s="262"/>
      <c r="G125" s="262"/>
      <c r="H125" s="262"/>
      <c r="I125" s="99"/>
      <c r="J125" s="10"/>
      <c r="K125" s="10"/>
      <c r="L125" s="10"/>
      <c r="M125" s="26"/>
      <c r="O125" s="16" t="s">
        <v>12</v>
      </c>
      <c r="P125" s="29"/>
      <c r="Q125" s="5"/>
      <c r="R125" s="5"/>
      <c r="S125" s="5"/>
      <c r="T125" s="13"/>
    </row>
    <row r="126" spans="1:20" ht="15.75" thickBot="1" x14ac:dyDescent="0.3">
      <c r="A126" s="17" t="s">
        <v>13</v>
      </c>
      <c r="B126" s="19">
        <v>45</v>
      </c>
      <c r="E126" s="240" t="s">
        <v>14</v>
      </c>
      <c r="F126" s="241"/>
      <c r="G126" s="241"/>
      <c r="H126" s="241"/>
      <c r="I126" s="42">
        <f>B125*B126</f>
        <v>4500</v>
      </c>
      <c r="J126" s="5"/>
      <c r="K126" s="5"/>
      <c r="L126" s="5"/>
      <c r="M126" s="13"/>
      <c r="O126" s="245" t="s">
        <v>14</v>
      </c>
      <c r="P126" s="246"/>
      <c r="Q126" s="246"/>
      <c r="R126" s="246"/>
      <c r="S126" s="246"/>
      <c r="T126" s="56">
        <f>I126</f>
        <v>4500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240" t="s">
        <v>15</v>
      </c>
      <c r="F129" s="241"/>
      <c r="G129" s="241"/>
      <c r="H129" s="241"/>
      <c r="I129" s="43">
        <f>M130</f>
        <v>0</v>
      </c>
      <c r="J129" s="5"/>
      <c r="K129" s="35" t="s">
        <v>16</v>
      </c>
      <c r="L129" s="36">
        <f>F121</f>
        <v>2250</v>
      </c>
      <c r="M129" s="105" t="s">
        <v>17</v>
      </c>
      <c r="O129" s="245" t="s">
        <v>15</v>
      </c>
      <c r="P129" s="246"/>
      <c r="Q129" s="246"/>
      <c r="R129" s="246"/>
      <c r="S129" s="246"/>
      <c r="T129" s="88">
        <f>I129</f>
        <v>0</v>
      </c>
    </row>
    <row r="130" spans="1:20" ht="15.75" thickBot="1" x14ac:dyDescent="0.3">
      <c r="A130" s="68" t="s">
        <v>37</v>
      </c>
      <c r="E130" s="85"/>
      <c r="F130" s="86"/>
      <c r="G130" s="86"/>
      <c r="H130" s="86"/>
      <c r="I130" s="5"/>
      <c r="J130" s="5"/>
      <c r="K130" s="37" t="s">
        <v>18</v>
      </c>
      <c r="L130" s="38">
        <f>I126</f>
        <v>4500</v>
      </c>
      <c r="M130" s="39">
        <f>MAX(L129-L130,0)</f>
        <v>0</v>
      </c>
      <c r="O130" s="16"/>
      <c r="P130" s="5"/>
      <c r="Q130" s="5"/>
      <c r="R130" s="5"/>
      <c r="S130" s="5"/>
      <c r="T130" s="13"/>
    </row>
    <row r="131" spans="1:20" x14ac:dyDescent="0.25">
      <c r="A131" s="263" t="s">
        <v>22</v>
      </c>
      <c r="B131" s="264"/>
      <c r="E131" s="240" t="str">
        <f>"DA Incremental Cost @ DA MW ("&amp;$B125&amp;" MW)"</f>
        <v>DA Incremental Cost @ DA MW (100 MW)</v>
      </c>
      <c r="F131" s="241"/>
      <c r="G131" s="241"/>
      <c r="H131" s="241"/>
      <c r="I131" s="44">
        <f>F121</f>
        <v>2250</v>
      </c>
      <c r="J131" s="5"/>
      <c r="K131" s="29"/>
      <c r="L131" s="5"/>
      <c r="M131" s="13"/>
      <c r="O131" s="245" t="str">
        <f>"DA Incremental Cost @ DA MW ("&amp;$B125&amp;" MW)"</f>
        <v>DA Incremental Cost @ DA MW (100 MW)</v>
      </c>
      <c r="P131" s="246"/>
      <c r="Q131" s="246"/>
      <c r="R131" s="246"/>
      <c r="S131" s="246"/>
      <c r="T131" s="89">
        <f>I131</f>
        <v>2250</v>
      </c>
    </row>
    <row r="132" spans="1:20" x14ac:dyDescent="0.25">
      <c r="A132" s="16" t="s">
        <v>43</v>
      </c>
      <c r="B132" s="13">
        <v>50</v>
      </c>
      <c r="E132" s="85"/>
      <c r="F132" s="86"/>
      <c r="G132" s="86"/>
      <c r="H132" s="86"/>
      <c r="I132" s="5"/>
      <c r="J132" s="5"/>
      <c r="K132" s="5"/>
      <c r="L132" s="29"/>
      <c r="M132" s="13"/>
      <c r="O132" s="16"/>
      <c r="P132" s="5"/>
      <c r="Q132" s="5"/>
      <c r="R132" s="5"/>
      <c r="S132" s="5"/>
      <c r="T132" s="13"/>
    </row>
    <row r="133" spans="1:20" ht="15.75" thickBot="1" x14ac:dyDescent="0.3">
      <c r="A133" s="16" t="s">
        <v>13</v>
      </c>
      <c r="B133" s="6">
        <v>200</v>
      </c>
      <c r="D133" s="32"/>
      <c r="E133" s="240" t="s">
        <v>19</v>
      </c>
      <c r="F133" s="241"/>
      <c r="G133" s="241"/>
      <c r="H133" s="241"/>
      <c r="I133" s="40">
        <f>I126+I129-I131</f>
        <v>2250</v>
      </c>
      <c r="J133" s="5"/>
      <c r="K133" s="29"/>
      <c r="L133" s="45"/>
      <c r="M133" s="13"/>
      <c r="O133" s="245" t="s">
        <v>19</v>
      </c>
      <c r="P133" s="246"/>
      <c r="Q133" s="246"/>
      <c r="R133" s="246"/>
      <c r="S133" s="246"/>
      <c r="T133" s="31">
        <f>T126+T129-T131</f>
        <v>2250</v>
      </c>
    </row>
    <row r="134" spans="1:20" ht="15.75" thickTop="1" x14ac:dyDescent="0.25">
      <c r="A134" s="16" t="s">
        <v>27</v>
      </c>
      <c r="B134" s="13">
        <v>100</v>
      </c>
      <c r="E134" s="16"/>
      <c r="F134" s="5"/>
      <c r="G134" s="5"/>
      <c r="H134" s="8"/>
      <c r="I134" s="5"/>
      <c r="J134" s="5"/>
      <c r="K134" s="5"/>
      <c r="L134" s="5"/>
      <c r="M134" s="13"/>
      <c r="O134" s="16"/>
      <c r="P134" s="5"/>
      <c r="Q134" s="5"/>
      <c r="R134" s="5"/>
      <c r="S134" s="5"/>
      <c r="T134" s="13"/>
    </row>
    <row r="135" spans="1:20" ht="15.75" thickBot="1" x14ac:dyDescent="0.3">
      <c r="A135" s="16" t="s">
        <v>29</v>
      </c>
      <c r="B135" s="13">
        <v>75</v>
      </c>
      <c r="E135" s="24"/>
      <c r="F135" s="46"/>
      <c r="G135" s="18"/>
      <c r="H135" s="46"/>
      <c r="I135" s="18"/>
      <c r="J135" s="18"/>
      <c r="K135" s="18"/>
      <c r="L135" s="18"/>
      <c r="M135" s="23"/>
      <c r="O135" s="16"/>
      <c r="P135" s="29"/>
      <c r="Q135" s="5"/>
      <c r="R135" s="5"/>
      <c r="S135" s="5"/>
      <c r="T135" s="13"/>
    </row>
    <row r="136" spans="1:20" ht="15.75" thickBot="1" x14ac:dyDescent="0.3">
      <c r="A136" s="16" t="s">
        <v>28</v>
      </c>
      <c r="B136" s="13">
        <f>IF(AND(B133&lt;0,B132&gt;B125,B125&gt;0),B125,IF(AND(B125=0,B133&lt;0),MIN(B134,B132),IF(B125=0,B132,MAX(MIN(B134,B125),B132))))</f>
        <v>100</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50</v>
      </c>
      <c r="E137" s="227" t="s">
        <v>20</v>
      </c>
      <c r="F137" s="228"/>
      <c r="G137" s="228"/>
      <c r="H137" s="228"/>
      <c r="I137" s="228"/>
      <c r="J137" s="228"/>
      <c r="K137" s="228"/>
      <c r="L137" s="228"/>
      <c r="M137" s="229"/>
      <c r="O137" s="283" t="s">
        <v>20</v>
      </c>
      <c r="P137" s="284"/>
      <c r="Q137" s="284"/>
      <c r="R137" s="284"/>
      <c r="S137" s="284"/>
      <c r="T137" s="285"/>
    </row>
    <row r="138" spans="1:20" x14ac:dyDescent="0.25">
      <c r="E138" s="85" t="s">
        <v>12</v>
      </c>
      <c r="F138" s="86"/>
      <c r="G138" s="86"/>
      <c r="H138" s="86"/>
      <c r="I138" s="5"/>
      <c r="J138" s="5"/>
      <c r="K138" s="5"/>
      <c r="L138" s="5"/>
      <c r="M138" s="13"/>
      <c r="O138" s="16" t="s">
        <v>12</v>
      </c>
      <c r="P138" s="5"/>
      <c r="Q138" s="5"/>
      <c r="R138" s="5"/>
      <c r="S138" s="5"/>
      <c r="T138" s="13"/>
    </row>
    <row r="139" spans="1:20" x14ac:dyDescent="0.25">
      <c r="E139" s="240" t="s">
        <v>21</v>
      </c>
      <c r="F139" s="241"/>
      <c r="G139" s="241"/>
      <c r="H139" s="241"/>
      <c r="I139" s="29">
        <f>(B132-B125)*B133</f>
        <v>-10000</v>
      </c>
      <c r="J139" s="29"/>
      <c r="K139" s="29"/>
      <c r="L139" s="29"/>
      <c r="M139" s="13"/>
      <c r="O139" s="245" t="s">
        <v>21</v>
      </c>
      <c r="P139" s="246"/>
      <c r="Q139" s="246"/>
      <c r="R139" s="246"/>
      <c r="S139" s="246"/>
      <c r="T139" s="30">
        <f>I139</f>
        <v>-10000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240" t="s">
        <v>23</v>
      </c>
      <c r="F141" s="241"/>
      <c r="G141" s="241"/>
      <c r="H141" s="241"/>
      <c r="I141" s="29">
        <f>MAX(M146*-1,0)</f>
        <v>0</v>
      </c>
      <c r="J141" s="29"/>
      <c r="K141" s="256" t="s">
        <v>30</v>
      </c>
      <c r="L141" s="257"/>
      <c r="M141" s="258"/>
      <c r="O141" s="245" t="s">
        <v>23</v>
      </c>
      <c r="P141" s="246"/>
      <c r="Q141" s="246"/>
      <c r="R141" s="246"/>
      <c r="S141" s="246"/>
      <c r="T141" s="30">
        <f>I141</f>
        <v>0</v>
      </c>
    </row>
    <row r="142" spans="1:20" x14ac:dyDescent="0.25">
      <c r="E142" s="92"/>
      <c r="F142" s="67"/>
      <c r="G142" s="67"/>
      <c r="H142" s="67"/>
      <c r="I142" s="76"/>
      <c r="J142" s="76"/>
      <c r="K142" s="259" t="s">
        <v>24</v>
      </c>
      <c r="L142" s="260"/>
      <c r="M142" s="56">
        <f>I126</f>
        <v>4500</v>
      </c>
      <c r="O142" s="75"/>
      <c r="P142" s="76"/>
      <c r="Q142" s="76"/>
      <c r="R142" s="76"/>
      <c r="S142" s="76"/>
      <c r="T142" s="77"/>
    </row>
    <row r="143" spans="1:20" x14ac:dyDescent="0.25">
      <c r="E143" s="291" t="str">
        <f>"Incremental Cost @ RT MW Used ("&amp;$B137&amp;" MW)"</f>
        <v>Incremental Cost @ RT MW Used (50 MW)</v>
      </c>
      <c r="F143" s="292"/>
      <c r="G143" s="292"/>
      <c r="H143" s="292"/>
      <c r="I143" s="8">
        <f>M145</f>
        <v>1000</v>
      </c>
      <c r="J143" s="8"/>
      <c r="K143" s="259" t="s">
        <v>17</v>
      </c>
      <c r="L143" s="260"/>
      <c r="M143" s="56">
        <f>I129</f>
        <v>0</v>
      </c>
      <c r="O143" s="245" t="str">
        <f>"Incremental Cost @ Actual RT MW ("&amp;$B132&amp;" MW)"</f>
        <v>Incremental Cost @ Actual RT MW (50 MW)</v>
      </c>
      <c r="P143" s="246"/>
      <c r="Q143" s="246"/>
      <c r="R143" s="246"/>
      <c r="S143" s="246"/>
      <c r="T143" s="6">
        <f>T121</f>
        <v>1000</v>
      </c>
    </row>
    <row r="144" spans="1:20" x14ac:dyDescent="0.25">
      <c r="E144" s="93"/>
      <c r="F144" s="100"/>
      <c r="G144" s="100"/>
      <c r="H144" s="100"/>
      <c r="I144" s="48"/>
      <c r="J144" s="48"/>
      <c r="K144" s="289" t="s">
        <v>25</v>
      </c>
      <c r="L144" s="290"/>
      <c r="M144" s="30">
        <f>(B136-B125)*B133</f>
        <v>0</v>
      </c>
      <c r="O144" s="47"/>
      <c r="P144" s="87"/>
      <c r="Q144" s="87"/>
      <c r="R144" s="87"/>
      <c r="S144" s="87"/>
      <c r="T144" s="90"/>
    </row>
    <row r="145" spans="4:20" ht="15.75" thickBot="1" x14ac:dyDescent="0.3">
      <c r="E145" s="287" t="s">
        <v>26</v>
      </c>
      <c r="F145" s="288"/>
      <c r="G145" s="288"/>
      <c r="H145" s="288"/>
      <c r="I145" s="50">
        <f>I126+I129+I139+I141-I143</f>
        <v>-6500</v>
      </c>
      <c r="J145" s="104"/>
      <c r="K145" s="245" t="s">
        <v>46</v>
      </c>
      <c r="L145" s="246"/>
      <c r="M145" s="30">
        <f>M121</f>
        <v>1000</v>
      </c>
      <c r="O145" s="245" t="s">
        <v>26</v>
      </c>
      <c r="P145" s="246"/>
      <c r="Q145" s="246"/>
      <c r="R145" s="246"/>
      <c r="S145" s="246"/>
      <c r="T145" s="91">
        <f>T126+T129+T139+T141-T143</f>
        <v>-6500</v>
      </c>
    </row>
    <row r="146" spans="4:20" ht="30" customHeight="1" thickTop="1" thickBot="1" x14ac:dyDescent="0.3">
      <c r="E146" s="49"/>
      <c r="F146" s="8"/>
      <c r="G146" s="8"/>
      <c r="H146" s="8"/>
      <c r="I146" s="8"/>
      <c r="J146" s="8"/>
      <c r="K146" s="247" t="s">
        <v>70</v>
      </c>
      <c r="L146" s="248"/>
      <c r="M146" s="103">
        <f>M142+M143+M144-M145</f>
        <v>3500</v>
      </c>
      <c r="O146" s="51"/>
      <c r="P146" s="21"/>
      <c r="Q146" s="18"/>
      <c r="R146" s="18"/>
      <c r="S146" s="18"/>
      <c r="T146" s="23"/>
    </row>
    <row r="147" spans="4:20" ht="16.5" thickTop="1" thickBot="1" x14ac:dyDescent="0.3">
      <c r="D147" s="33"/>
      <c r="E147" s="51"/>
      <c r="F147" s="21"/>
      <c r="G147" s="21"/>
      <c r="H147" s="21"/>
      <c r="I147" s="21"/>
      <c r="J147" s="21"/>
      <c r="K147" s="51"/>
      <c r="L147" s="18"/>
      <c r="M147" s="101"/>
      <c r="O147" s="8"/>
      <c r="P147" s="8"/>
      <c r="Q147" s="5"/>
      <c r="R147" s="5"/>
      <c r="S147" s="5"/>
      <c r="T147" s="5"/>
    </row>
    <row r="148" spans="4:20" x14ac:dyDescent="0.25">
      <c r="D148" s="33"/>
      <c r="E148" s="8"/>
      <c r="F148" s="8"/>
      <c r="G148" s="76"/>
      <c r="H148" s="5"/>
      <c r="I148" s="29"/>
      <c r="J148" s="5"/>
      <c r="O148" s="8"/>
      <c r="P148" s="8"/>
      <c r="Q148" s="5"/>
      <c r="R148" s="5"/>
      <c r="S148" s="5"/>
      <c r="T148" s="5"/>
    </row>
    <row r="149" spans="4:20" x14ac:dyDescent="0.25">
      <c r="D149" s="33"/>
      <c r="E149" s="8"/>
      <c r="F149" s="8"/>
      <c r="G149" s="76"/>
      <c r="H149" s="5"/>
      <c r="I149" s="29"/>
      <c r="J149" s="5"/>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row r="180" spans="1:27" ht="15" customHeight="1" x14ac:dyDescent="0.25">
      <c r="A180" s="286" t="s">
        <v>92</v>
      </c>
      <c r="B180" s="286"/>
      <c r="C180" s="286"/>
      <c r="D180" s="286"/>
      <c r="E180" s="286"/>
      <c r="F180" s="286"/>
      <c r="G180" s="286"/>
      <c r="H180" s="286"/>
      <c r="I180" s="286"/>
      <c r="J180" s="286"/>
      <c r="K180" s="286"/>
      <c r="L180" s="286"/>
      <c r="M180" s="286"/>
      <c r="N180" s="286"/>
      <c r="O180" s="286"/>
      <c r="P180" s="286"/>
      <c r="Q180" s="286"/>
      <c r="R180" s="286"/>
      <c r="S180" s="286"/>
      <c r="T180" s="286"/>
    </row>
    <row r="181" spans="1:27" ht="26.25" customHeight="1" thickBot="1" x14ac:dyDescent="0.3">
      <c r="A181" s="293"/>
      <c r="B181" s="293"/>
      <c r="C181" s="293"/>
      <c r="D181" s="293"/>
      <c r="E181" s="293"/>
      <c r="F181" s="293"/>
      <c r="G181" s="293"/>
      <c r="H181" s="293"/>
      <c r="I181" s="293"/>
      <c r="J181" s="293"/>
      <c r="K181" s="293"/>
      <c r="L181" s="293"/>
      <c r="M181" s="293"/>
      <c r="N181" s="293"/>
      <c r="O181" s="293"/>
      <c r="P181" s="293"/>
      <c r="Q181" s="293"/>
      <c r="R181" s="293"/>
      <c r="S181" s="293"/>
      <c r="T181" s="293"/>
    </row>
    <row r="182" spans="1:27" ht="15.75" thickBot="1" x14ac:dyDescent="0.3">
      <c r="A182" s="250" t="s">
        <v>0</v>
      </c>
      <c r="B182" s="251"/>
      <c r="C182" s="251"/>
      <c r="D182" s="252"/>
      <c r="E182" s="235" t="s">
        <v>1</v>
      </c>
      <c r="F182" s="236"/>
      <c r="G182" s="249"/>
      <c r="H182" s="227" t="s">
        <v>89</v>
      </c>
      <c r="I182" s="228"/>
      <c r="J182" s="228"/>
      <c r="K182" s="229"/>
      <c r="L182" s="227" t="s">
        <v>32</v>
      </c>
      <c r="M182" s="228"/>
      <c r="N182" s="229"/>
      <c r="O182" s="227" t="s">
        <v>71</v>
      </c>
      <c r="P182" s="228"/>
      <c r="Q182" s="229"/>
    </row>
    <row r="183" spans="1:27" ht="45.75" thickBot="1" x14ac:dyDescent="0.3">
      <c r="A183" s="170" t="s">
        <v>3</v>
      </c>
      <c r="B183" s="173" t="s">
        <v>33</v>
      </c>
      <c r="C183" s="173" t="s">
        <v>34</v>
      </c>
      <c r="D183" s="171" t="s">
        <v>4</v>
      </c>
      <c r="E183" s="170" t="s">
        <v>5</v>
      </c>
      <c r="F183" s="173" t="s">
        <v>6</v>
      </c>
      <c r="G183" s="174" t="s">
        <v>7</v>
      </c>
      <c r="H183" s="69" t="s">
        <v>38</v>
      </c>
      <c r="I183" s="65" t="s">
        <v>8</v>
      </c>
      <c r="J183" s="65" t="s">
        <v>6</v>
      </c>
      <c r="K183" s="66" t="s">
        <v>7</v>
      </c>
      <c r="L183" s="169" t="s">
        <v>5</v>
      </c>
      <c r="M183" s="65" t="s">
        <v>49</v>
      </c>
      <c r="N183" s="66" t="s">
        <v>47</v>
      </c>
      <c r="O183" s="169" t="s">
        <v>5</v>
      </c>
      <c r="P183" s="65" t="s">
        <v>49</v>
      </c>
      <c r="Q183" s="66" t="s">
        <v>47</v>
      </c>
    </row>
    <row r="184" spans="1:27" x14ac:dyDescent="0.25">
      <c r="A184" s="4">
        <v>1</v>
      </c>
      <c r="B184" s="5">
        <v>0</v>
      </c>
      <c r="C184" s="5">
        <v>50</v>
      </c>
      <c r="D184" s="6">
        <v>20</v>
      </c>
      <c r="E184" s="7">
        <f>IF(AND(B$198&gt;B184,B$198&lt;=C184),B$198,0)</f>
        <v>0</v>
      </c>
      <c r="F184" s="8">
        <f>IF(B198&gt;0,D184,0)</f>
        <v>20</v>
      </c>
      <c r="G184" s="8">
        <f>IF(E184&gt;0,IF(E184=B184,D184,IF(AND(E184&gt;B184,E184&lt;=C184),D184+(E184-B184)*((D184-D184)/(C184-B184)),0)),0)</f>
        <v>0</v>
      </c>
      <c r="H184" s="14">
        <f>IF(AND(MIN(B$205,B$134)&gt;B184,MIN(B$205,B$207)&lt;=C184),MIN(B$205,B$207),0)</f>
        <v>50</v>
      </c>
      <c r="I184" s="15">
        <f>IF(AND(B$210&gt;B184,B$210&lt;=C184),B$210,0)</f>
        <v>50</v>
      </c>
      <c r="J184" s="9">
        <f>IF(B205&gt;0,D184,0)</f>
        <v>20</v>
      </c>
      <c r="K184" s="11">
        <f>IF(H184&gt;0,IF(H184=B184,D184,IF(AND(H184&gt;B184,H184&lt;=C184),D184+(H184-B184)*((D184-D184)/(C184-B184)),0)),0)</f>
        <v>20</v>
      </c>
      <c r="L184" s="14">
        <f>IF(AND(B205&gt;B184,B205&lt;=C184),B205,0)</f>
        <v>50</v>
      </c>
      <c r="M184" s="9">
        <f>IF(B205&gt;0,D184,0)</f>
        <v>20</v>
      </c>
      <c r="N184" s="11">
        <f>IF(L184&gt;0,IF(L184=B184,D184,IF(AND(L184&gt;B184,L184&lt;=C184),D184+(L184-B184)*((D184-D184)/(C184-B184)),0)),0)</f>
        <v>20</v>
      </c>
      <c r="O184" s="14">
        <f>IF(AND(B207&gt;B184,B207&lt;=C184),B207,0)</f>
        <v>0</v>
      </c>
      <c r="P184" s="9">
        <f>IF(B205&gt;0,D184,0)</f>
        <v>20</v>
      </c>
      <c r="Q184" s="11">
        <f>IF(O184&gt;0,IF(O184=B184,D184,IF(AND(O184&gt;B184,O184&lt;=C184),D184+(O184-B184)*((D184-D184)/(C184-B184)),0)),0)</f>
        <v>0</v>
      </c>
    </row>
    <row r="185" spans="1:27" x14ac:dyDescent="0.25">
      <c r="A185" s="4">
        <v>2</v>
      </c>
      <c r="B185" s="5">
        <v>50</v>
      </c>
      <c r="C185" s="5">
        <v>75</v>
      </c>
      <c r="D185" s="6">
        <v>25</v>
      </c>
      <c r="E185" s="7">
        <f>IF(AND(B198&gt;B185,B198&lt;=C185),B198,0)</f>
        <v>0</v>
      </c>
      <c r="F185" s="8">
        <v>0</v>
      </c>
      <c r="G185" s="8">
        <f>IF(E185&gt;0,IF(AND(E185&gt;B185,E185&lt;C185),D184+(E185-B185)*((D185-D184)/(C185-B185)),0),0)</f>
        <v>0</v>
      </c>
      <c r="H185" s="16">
        <f>IF(AND(MIN(B$205,B$207)&gt;B185,MIN(B$205,B$207)&lt;=C185),MIN(B$205,B$207),0)</f>
        <v>0</v>
      </c>
      <c r="I185" s="12">
        <f>IF(AND(B$210&gt;B185,B$210&lt;=C185),B$210,0)</f>
        <v>0</v>
      </c>
      <c r="J185" s="5">
        <v>0</v>
      </c>
      <c r="K185" s="6">
        <f>IF(H185&gt;0,IF(H185=B185,D185,IF(AND(H185&gt;B185,H185&lt;=C185),D184+(H185-B185)*((D185-D184)/(C185-B185)),0)),0)</f>
        <v>0</v>
      </c>
      <c r="L185" s="16">
        <f>IF(AND(B205&gt;B185,B205&lt;=C185),B205,0)</f>
        <v>0</v>
      </c>
      <c r="M185" s="8">
        <v>0</v>
      </c>
      <c r="N185" s="6">
        <f>IF(L185&gt;0,IF(L185=B185,D185,IF(AND(L185&gt;B185,L185&lt;=C185),D184+(L185-B185)*((D185-D184)/(C185-B185)),0)),0)</f>
        <v>0</v>
      </c>
      <c r="O185" s="16">
        <f>IF(AND(B207&gt;B185,B207&lt;=C185),B207,0)</f>
        <v>0</v>
      </c>
      <c r="P185" s="8">
        <v>0</v>
      </c>
      <c r="Q185" s="6">
        <f>IF(O185&gt;0,IF(O185=B185,D185,IF(AND(O185&gt;B185,O185&lt;=C185),D184+(O185-B185)*((D185-D184)/(C185-B185)),0)),0)</f>
        <v>0</v>
      </c>
    </row>
    <row r="186" spans="1:27" ht="15.75" thickBot="1" x14ac:dyDescent="0.3">
      <c r="A186" s="17">
        <v>3</v>
      </c>
      <c r="B186" s="18">
        <v>75</v>
      </c>
      <c r="C186" s="18">
        <v>100</v>
      </c>
      <c r="D186" s="19">
        <v>30</v>
      </c>
      <c r="E186" s="20">
        <f>IF(AND(B198&gt;B186,B198&lt;=C186),B198,0)</f>
        <v>100</v>
      </c>
      <c r="F186" s="21">
        <v>0</v>
      </c>
      <c r="G186" s="21">
        <f>IF(E186&gt;0,IF(E186=C186,D186,IF(AND(E186&gt;B186,E186&lt;C186),D185+(E186-B186)*((D186-D185)/(C186-B186)),IF(E186&gt;C186,D186,0))),0)</f>
        <v>30</v>
      </c>
      <c r="H186" s="24">
        <f>IF(AND(MIN(B$205,B$207)&gt;B186,MIN(B$205,B$207)&lt;=C186),MIN(B$205,B$207),0)</f>
        <v>0</v>
      </c>
      <c r="I186" s="22">
        <f>IF(B210&gt;C186,B210,IF(AND(B$210&gt;B186,B$210&lt;=C186),B$210,0))</f>
        <v>0</v>
      </c>
      <c r="J186" s="18">
        <v>0</v>
      </c>
      <c r="K186" s="19">
        <f>IF(AND(I186&gt;C186,H186=C186),D186,IF(AND(I186&gt;0,H186&lt;&gt;I186),MAX(K184:K185),IF(H186&gt;0,IF(H186=B186,D186,IF(AND(H186&gt;B186,H186&lt;=C186),D185+(H186-B186)*((D186-D185)/(C186-B186)),0)),0)))</f>
        <v>0</v>
      </c>
      <c r="L186" s="24">
        <f>IF(AND(B205&gt;B186,B205&lt;=C186),B205,IF(B205&gt;C186,B205,0))</f>
        <v>0</v>
      </c>
      <c r="M186" s="21">
        <v>0</v>
      </c>
      <c r="N186" s="19">
        <f>IF(L186&gt;0,IF(L186=B186,D186,IF(AND(L186&gt;B186,L186&lt;=C186),D185+(L186-B186)*((D186-D185)/(C186-B186)),IF(L186&gt;C186,D186,0))),0)</f>
        <v>0</v>
      </c>
      <c r="O186" s="24">
        <f>IF(AND(B207&gt;B186,B207&lt;=C186),B207,IF(B205&gt;C186,B207,0))</f>
        <v>100</v>
      </c>
      <c r="P186" s="21">
        <v>0</v>
      </c>
      <c r="Q186" s="19">
        <f>IF(O186&gt;0,IF(O186=B186,D186,IF(AND(O186&gt;B186,O186&lt;=C186),D185+(O186-B186)*((D186-D185)/(C186-B186)),IF(O186&gt;C186,D186,0))),0)</f>
        <v>30</v>
      </c>
    </row>
    <row r="187" spans="1:27" ht="15.75" thickBot="1" x14ac:dyDescent="0.3">
      <c r="J187" s="25"/>
    </row>
    <row r="188" spans="1:27" ht="15.75" thickBot="1" x14ac:dyDescent="0.3">
      <c r="A188" s="227" t="s">
        <v>1</v>
      </c>
      <c r="B188" s="228"/>
      <c r="C188" s="228"/>
      <c r="D188" s="228"/>
      <c r="E188" s="228"/>
      <c r="F188" s="229"/>
      <c r="H188" s="235" t="s">
        <v>94</v>
      </c>
      <c r="I188" s="236"/>
      <c r="J188" s="236"/>
      <c r="K188" s="236"/>
      <c r="L188" s="236"/>
      <c r="M188" s="249"/>
      <c r="O188" s="235" t="s">
        <v>31</v>
      </c>
      <c r="P188" s="236"/>
      <c r="Q188" s="236"/>
      <c r="R188" s="236"/>
      <c r="S188" s="236"/>
      <c r="T188" s="249"/>
      <c r="V188" s="235" t="s">
        <v>86</v>
      </c>
      <c r="W188" s="236"/>
      <c r="X188" s="236"/>
      <c r="Y188" s="236"/>
      <c r="Z188" s="236"/>
      <c r="AA188" s="249"/>
    </row>
    <row r="189" spans="1:27" ht="30.75" thickBot="1" x14ac:dyDescent="0.3">
      <c r="A189" s="172" t="s">
        <v>3</v>
      </c>
      <c r="B189" s="173" t="s">
        <v>33</v>
      </c>
      <c r="C189" s="173" t="s">
        <v>34</v>
      </c>
      <c r="D189" s="173" t="s">
        <v>49</v>
      </c>
      <c r="E189" s="173" t="s">
        <v>47</v>
      </c>
      <c r="F189" s="174" t="s">
        <v>48</v>
      </c>
      <c r="H189" s="172" t="s">
        <v>3</v>
      </c>
      <c r="I189" s="173" t="s">
        <v>50</v>
      </c>
      <c r="J189" s="173" t="s">
        <v>51</v>
      </c>
      <c r="K189" s="173" t="s">
        <v>49</v>
      </c>
      <c r="L189" s="173" t="s">
        <v>47</v>
      </c>
      <c r="M189" s="174" t="s">
        <v>48</v>
      </c>
      <c r="O189" s="172" t="s">
        <v>3</v>
      </c>
      <c r="P189" s="173" t="s">
        <v>33</v>
      </c>
      <c r="Q189" s="173" t="s">
        <v>34</v>
      </c>
      <c r="R189" s="173" t="s">
        <v>49</v>
      </c>
      <c r="S189" s="173" t="s">
        <v>47</v>
      </c>
      <c r="T189" s="174" t="s">
        <v>48</v>
      </c>
      <c r="V189" s="172" t="s">
        <v>3</v>
      </c>
      <c r="W189" s="173" t="s">
        <v>33</v>
      </c>
      <c r="X189" s="173" t="s">
        <v>34</v>
      </c>
      <c r="Y189" s="173" t="s">
        <v>49</v>
      </c>
      <c r="Z189" s="173" t="s">
        <v>47</v>
      </c>
      <c r="AA189" s="174" t="s">
        <v>48</v>
      </c>
    </row>
    <row r="190" spans="1:27" x14ac:dyDescent="0.25">
      <c r="A190" s="4">
        <v>1</v>
      </c>
      <c r="B190" s="5">
        <v>0</v>
      </c>
      <c r="C190" s="5">
        <f>IF(AND(B198&gt;B184,B198&lt;C184),B198,IF(B198&gt;=C184,C184,0))</f>
        <v>50</v>
      </c>
      <c r="D190" s="29">
        <f>MIN(D184,F184)</f>
        <v>20</v>
      </c>
      <c r="E190" s="29">
        <f>IF(AND(B$198&gt;B184,B$198&lt;C184),G184,IF(B$198&gt;=C184,D184,0))</f>
        <v>20</v>
      </c>
      <c r="F190" s="30">
        <f>(C190-B190)*(D190+E190)/2</f>
        <v>1000</v>
      </c>
      <c r="H190" s="4">
        <v>1</v>
      </c>
      <c r="I190" s="5">
        <v>0</v>
      </c>
      <c r="J190" s="5">
        <f>IF(AND(MAX(I$184:I$186)&gt;B184,MAX(I$184:I$186)&lt;C184),MAX(I$184:I$186),IF(MAX(I$184:I$186)&gt;=C184,C184,0))</f>
        <v>50</v>
      </c>
      <c r="K190" s="29">
        <f>MIN(D184,J184)</f>
        <v>20</v>
      </c>
      <c r="L190" s="29">
        <f>IF(AND(MAX(I$184:I$186)&gt;B184,MAX(I$184:I$186)&lt;C184),K184,IF(MAX(I$184:I$186)&gt;=C184,D184,0))</f>
        <v>20</v>
      </c>
      <c r="M190" s="30">
        <f>(J190-I190)*(K190+L190)/2</f>
        <v>1000</v>
      </c>
      <c r="O190" s="4">
        <v>1</v>
      </c>
      <c r="P190" s="5">
        <v>0</v>
      </c>
      <c r="Q190" s="5">
        <f>IF(AND(B$205&gt;B184,B$205&lt;C184),B$205,IF(B$205&gt;=C184,C184,0))</f>
        <v>50</v>
      </c>
      <c r="R190" s="29">
        <f>MIN(D184,M184)</f>
        <v>20</v>
      </c>
      <c r="S190" s="29">
        <f>IF(AND(B$205&gt;B184,B$205&lt;C184),N184,IF(B$205&gt;=C184,D184,0))</f>
        <v>20</v>
      </c>
      <c r="T190" s="30">
        <f>(Q190-P190)*(R190+S190)/2</f>
        <v>1000</v>
      </c>
      <c r="V190" s="4">
        <v>1</v>
      </c>
      <c r="W190" s="5">
        <v>0</v>
      </c>
      <c r="X190" s="5">
        <f>IF(AND(B$207&gt;B184,B$207&lt;C184),B$207,IF(B$207&gt;=C184,C184,0))</f>
        <v>50</v>
      </c>
      <c r="Y190" s="29">
        <f>MIN(D184,P184)</f>
        <v>20</v>
      </c>
      <c r="Z190" s="29">
        <f>IF(AND(B207&gt;B184,B207&lt;C184),Q184,IF(B207&gt;=C184,D184,0))</f>
        <v>20</v>
      </c>
      <c r="AA190" s="30">
        <f>(X190-W190)*(Y190+Z190)/2</f>
        <v>1000</v>
      </c>
    </row>
    <row r="191" spans="1:27" x14ac:dyDescent="0.25">
      <c r="A191" s="4">
        <v>2</v>
      </c>
      <c r="B191" s="5">
        <f>IF(B$198&gt;B185,C190,0)</f>
        <v>50</v>
      </c>
      <c r="C191" s="5">
        <f>IF(AND(B$198&gt;B185,B$198&lt;C185),B$198,IF(B$198&gt;=C185,C185,0))</f>
        <v>75</v>
      </c>
      <c r="D191" s="29">
        <f>IF(B191&lt;&gt;0,E190,0)</f>
        <v>20</v>
      </c>
      <c r="E191" s="29">
        <f>IF(AND(B$198&gt;B185,B$198&lt;C185),G185,IF(B$198&gt;=C185,D185,0))</f>
        <v>25</v>
      </c>
      <c r="F191" s="30">
        <f t="shared" ref="F191:F193" si="30">(C191-B191)*(D191+E191)/2</f>
        <v>562.5</v>
      </c>
      <c r="H191" s="4">
        <v>2</v>
      </c>
      <c r="I191" s="5">
        <f>IF(MAX(I$184:I$186)&gt;B185,C184,0)</f>
        <v>0</v>
      </c>
      <c r="J191" s="5">
        <f>IF(AND(MAX(I$184:I$186)&gt;B185,MAX(I$184:I$186)&lt;C185),MAX(I$184:I$186),IF(MAX(I$184:I$186)&gt;=C185,C185,0))</f>
        <v>0</v>
      </c>
      <c r="K191" s="29">
        <f>IF(I191&lt;&gt;0,L190,0)</f>
        <v>0</v>
      </c>
      <c r="L191" s="29">
        <f>IF(AND(MAX(I$184:I$186)&gt;B185,MAX(I$184:I$186)&lt;C185),K185,IF(MAX(I$184:I$186)&gt;=C185,D185,0))</f>
        <v>0</v>
      </c>
      <c r="M191" s="30">
        <f t="shared" ref="M191:M193" si="31">(J191-I191)*(K191+L191)/2</f>
        <v>0</v>
      </c>
      <c r="O191" s="4">
        <v>2</v>
      </c>
      <c r="P191" s="5">
        <f>IF(B$205&gt;B185,Q190,0)</f>
        <v>0</v>
      </c>
      <c r="Q191" s="5">
        <f>IF(AND(B$205&gt;B185,B$205&lt;C185),B$205,IF(B$205&gt;=C185,C185,0))</f>
        <v>0</v>
      </c>
      <c r="R191" s="29">
        <f>IF(P191&lt;&gt;0,S190,0)</f>
        <v>0</v>
      </c>
      <c r="S191" s="29">
        <f>IF(AND(B$205&gt;B185,B$205&lt;C185),N185,IF(B$205&gt;=C185,D185,0))</f>
        <v>0</v>
      </c>
      <c r="T191" s="30">
        <f t="shared" ref="T191:T193" si="32">(Q191-P191)*(R191+S191)/2</f>
        <v>0</v>
      </c>
      <c r="V191" s="4">
        <v>2</v>
      </c>
      <c r="W191" s="5">
        <f>IF(B$207&gt;B185,X190,0)</f>
        <v>50</v>
      </c>
      <c r="X191" s="5">
        <f>IF(AND(B$207&gt;B185,B$207&lt;C185),B$207,IF(B$207&gt;=C185,C185,0))</f>
        <v>75</v>
      </c>
      <c r="Y191" s="29">
        <f>IF(W191&lt;&gt;0,Z190,0)</f>
        <v>20</v>
      </c>
      <c r="Z191" s="29">
        <f>IF(AND(B207&gt;B185,B207&lt;C185),Q185,IF(B207&gt;=C185,D185,0))</f>
        <v>25</v>
      </c>
      <c r="AA191" s="30">
        <f t="shared" ref="AA191:AA193" si="33">(X191-W191)*(Y191+Z191)/2</f>
        <v>562.5</v>
      </c>
    </row>
    <row r="192" spans="1:27" x14ac:dyDescent="0.25">
      <c r="A192" s="4">
        <v>3</v>
      </c>
      <c r="B192" s="5">
        <f>IF(B$198&gt;B186,C191,0)</f>
        <v>75</v>
      </c>
      <c r="C192" s="5">
        <f>IF(AND(B$198&gt;B186,B$198&lt;C186),B$198,IF(B$198&gt;=C186,C186,0))</f>
        <v>100</v>
      </c>
      <c r="D192" s="29">
        <f t="shared" ref="D192:D193" si="34">IF(B192&lt;&gt;0,E191,0)</f>
        <v>25</v>
      </c>
      <c r="E192" s="29">
        <f>IF(AND(B$198&gt;B186,B$198&lt;C186),G186,IF(B$198&gt;=C186,D186,0))</f>
        <v>30</v>
      </c>
      <c r="F192" s="30">
        <f t="shared" si="30"/>
        <v>687.5</v>
      </c>
      <c r="H192" s="4">
        <v>3</v>
      </c>
      <c r="I192" s="5">
        <f>IF(MAX(I$184:I$186)&gt;B186,C185,0)</f>
        <v>0</v>
      </c>
      <c r="J192" s="5">
        <f>IF(AND(MAX(I$184:I$186)&gt;B186,MAX(I$184:I$186)&lt;C186),MAX(I$184:I$186),IF(MAX(I$184:I$186)&gt;=C186,C186,0))</f>
        <v>0</v>
      </c>
      <c r="K192" s="29">
        <f>IF(I192&lt;&gt;0,L191,0)</f>
        <v>0</v>
      </c>
      <c r="L192" s="29">
        <f>IF(AND(MAX(I$184:I$186)&gt;B186,MAX(I$184:I$186)&lt;C186),K186,IF(MAX(I$184:I$186)&gt;=C186,D186,0))</f>
        <v>0</v>
      </c>
      <c r="M192" s="30">
        <f t="shared" si="31"/>
        <v>0</v>
      </c>
      <c r="O192" s="4">
        <v>3</v>
      </c>
      <c r="P192" s="5">
        <f>IF(B$205&gt;B186,Q191,0)</f>
        <v>0</v>
      </c>
      <c r="Q192" s="5">
        <f>IF(AND(B$205&gt;B186,B$205&lt;C186),B$205,IF(B$205&gt;=C186,C186,0))</f>
        <v>0</v>
      </c>
      <c r="R192" s="29">
        <f>IF(P192&lt;&gt;0,S191,0)</f>
        <v>0</v>
      </c>
      <c r="S192" s="29">
        <f>IF(AND(B$205&gt;B186,B$205&lt;C186),N186,IF(B$205&gt;=C186,D186,0))</f>
        <v>0</v>
      </c>
      <c r="T192" s="30">
        <f t="shared" si="32"/>
        <v>0</v>
      </c>
      <c r="V192" s="4">
        <v>3</v>
      </c>
      <c r="W192" s="5">
        <f t="shared" ref="W192" si="35">IF(B$207&gt;B186,X191,0)</f>
        <v>75</v>
      </c>
      <c r="X192" s="5">
        <f>IF(AND(B$207&gt;B186,B$207&lt;C186),B$207,IF(B$207&gt;=C186,C186,0))</f>
        <v>100</v>
      </c>
      <c r="Y192" s="29">
        <f>IF(W192&lt;&gt;0,Z191,0)</f>
        <v>25</v>
      </c>
      <c r="Z192" s="29">
        <f>IF(AND(B207&gt;B186,B207&lt;C186),Q186,IF(B207&gt;=C186,D186,0))</f>
        <v>30</v>
      </c>
      <c r="AA192" s="30">
        <f t="shared" si="33"/>
        <v>687.5</v>
      </c>
    </row>
    <row r="193" spans="1:27" x14ac:dyDescent="0.25">
      <c r="A193" s="4">
        <v>4</v>
      </c>
      <c r="B193" s="5">
        <f>IF(B$198&gt;C186,C192,0)</f>
        <v>0</v>
      </c>
      <c r="C193" s="5">
        <f>IF(AND(B$198&gt;B187,B$198&lt;C187),B$198,IF(B$198&gt;=C187,C187,0))</f>
        <v>0</v>
      </c>
      <c r="D193" s="29">
        <f t="shared" si="34"/>
        <v>0</v>
      </c>
      <c r="E193" s="29">
        <f>IF(AND(B$198&gt;B187,B$198&lt;C187),G187,IF(B$198&gt;=C187,D187,0))</f>
        <v>0</v>
      </c>
      <c r="F193" s="30">
        <f t="shared" si="30"/>
        <v>0</v>
      </c>
      <c r="H193" s="4">
        <v>4</v>
      </c>
      <c r="I193" s="5">
        <f>IF(MAX(I$184:I$186)&gt;C186,C186,0)</f>
        <v>0</v>
      </c>
      <c r="J193" s="5">
        <f>IF(AND(MAX(I$184:I$186)&gt;B186,MAX(I$184:I$186)&lt;C186),MAX(I$184:I$186),IF(MAX(I$184:I$186)&gt;C186,MAX(I$184:I$186),0))</f>
        <v>0</v>
      </c>
      <c r="K193" s="29">
        <f>IF(I193&lt;&gt;0,L192,0)</f>
        <v>0</v>
      </c>
      <c r="L193" s="29">
        <f>IF(AND(MAX(I$184:I$186)&gt;B186,MAX(I$184:I$186)&lt;C186),K186,IF(MAX(I$184:I$186)&gt;=C186,D186,0))</f>
        <v>0</v>
      </c>
      <c r="M193" s="30">
        <f t="shared" si="31"/>
        <v>0</v>
      </c>
      <c r="O193" s="4">
        <v>4</v>
      </c>
      <c r="P193" s="5">
        <f>IF(B$205&gt;C186,Q192,0)</f>
        <v>0</v>
      </c>
      <c r="Q193" s="5">
        <f>IF(B$205&gt;C186,B$205,IF(AND(B$205&gt;B187,B$205&lt;C187),B$205,IF(B$205&gt;=C187,C187,0)))</f>
        <v>0</v>
      </c>
      <c r="R193" s="29">
        <f>IF(P193&lt;&gt;0,S192,0)</f>
        <v>0</v>
      </c>
      <c r="S193" s="29">
        <f>IF(Q193&gt;0,IF(B$205&gt;=C187,N186,IF(AND(B$205&gt;B187,B$205&lt;C187),N186,0)),0)</f>
        <v>0</v>
      </c>
      <c r="T193" s="30">
        <f t="shared" si="32"/>
        <v>0</v>
      </c>
      <c r="V193" s="4">
        <v>4</v>
      </c>
      <c r="W193" s="5">
        <f>IF(B$207&gt;C186,X192,0)</f>
        <v>0</v>
      </c>
      <c r="X193" s="5">
        <f>IF(B$207&gt;C186,B$207,IF(AND(B$207&gt;B187,B$207&lt;C187),B$207,IF(B$207&gt;=C187,C187,0)))</f>
        <v>0</v>
      </c>
      <c r="Y193" s="29">
        <f>IF(W193&lt;&gt;0,Z192,0)</f>
        <v>0</v>
      </c>
      <c r="Z193" s="29">
        <f>IF(X193&gt;0,IF(B$207&gt;=C187,N186,IF(AND(B$207&gt;B187,B$207&lt;C187),N186,0)),0)</f>
        <v>0</v>
      </c>
      <c r="AA193" s="30">
        <f t="shared" si="33"/>
        <v>0</v>
      </c>
    </row>
    <row r="194" spans="1:27" ht="15.75" thickBot="1" x14ac:dyDescent="0.3">
      <c r="A194" s="24"/>
      <c r="B194" s="18"/>
      <c r="C194" s="18"/>
      <c r="D194" s="21"/>
      <c r="E194" s="21"/>
      <c r="F194" s="31">
        <f>SUM(F190:F193)</f>
        <v>2250</v>
      </c>
      <c r="H194" s="24"/>
      <c r="I194" s="18"/>
      <c r="J194" s="18"/>
      <c r="K194" s="21"/>
      <c r="L194" s="21"/>
      <c r="M194" s="31">
        <f>SUM(M190:M193)</f>
        <v>1000</v>
      </c>
      <c r="O194" s="24"/>
      <c r="P194" s="18"/>
      <c r="Q194" s="18"/>
      <c r="R194" s="21"/>
      <c r="S194" s="21"/>
      <c r="T194" s="31">
        <f>SUM(T190:T193)</f>
        <v>1000</v>
      </c>
      <c r="V194" s="24"/>
      <c r="W194" s="18"/>
      <c r="X194" s="18"/>
      <c r="Y194" s="21"/>
      <c r="Z194" s="21"/>
      <c r="AA194" s="31">
        <f>SUM(AA190:AA193)</f>
        <v>2250</v>
      </c>
    </row>
    <row r="195" spans="1:27" ht="15.75" thickBot="1" x14ac:dyDescent="0.3"/>
    <row r="196" spans="1:27" ht="15.75" thickBot="1" x14ac:dyDescent="0.3">
      <c r="A196" s="68" t="s">
        <v>37</v>
      </c>
      <c r="E196" s="227" t="s">
        <v>75</v>
      </c>
      <c r="F196" s="228"/>
      <c r="G196" s="228"/>
      <c r="H196" s="228"/>
      <c r="I196" s="229"/>
      <c r="J196" s="152"/>
      <c r="K196" s="152"/>
      <c r="L196" s="152"/>
      <c r="M196" s="152"/>
      <c r="N196" s="45"/>
      <c r="O196" s="153"/>
      <c r="P196" s="153"/>
      <c r="Q196" s="153"/>
      <c r="R196" s="153"/>
      <c r="S196" s="153"/>
      <c r="T196" s="153"/>
    </row>
    <row r="197" spans="1:27" ht="15.75" thickBot="1" x14ac:dyDescent="0.3">
      <c r="A197" s="263" t="s">
        <v>10</v>
      </c>
      <c r="B197" s="264"/>
      <c r="E197" s="227" t="s">
        <v>78</v>
      </c>
      <c r="F197" s="228"/>
      <c r="G197" s="228"/>
      <c r="H197" s="228"/>
      <c r="I197" s="175" t="s">
        <v>74</v>
      </c>
      <c r="J197" s="146"/>
      <c r="K197" s="146"/>
      <c r="L197" s="146"/>
      <c r="M197" s="146"/>
      <c r="N197" s="45"/>
      <c r="O197" s="154"/>
      <c r="P197" s="154"/>
      <c r="Q197" s="154"/>
      <c r="R197" s="154"/>
      <c r="S197" s="154"/>
      <c r="T197" s="154"/>
    </row>
    <row r="198" spans="1:27" x14ac:dyDescent="0.25">
      <c r="A198" s="4" t="s">
        <v>5</v>
      </c>
      <c r="B198" s="13">
        <v>100</v>
      </c>
      <c r="E198" s="245" t="s">
        <v>76</v>
      </c>
      <c r="F198" s="246"/>
      <c r="G198" s="246"/>
      <c r="H198" s="246"/>
      <c r="I198" s="123">
        <f>B198*B199</f>
        <v>4500</v>
      </c>
      <c r="J198" s="45"/>
      <c r="K198" s="45"/>
      <c r="L198" s="45"/>
      <c r="M198" s="45"/>
      <c r="N198" s="45"/>
      <c r="O198" s="45"/>
      <c r="P198" s="140"/>
      <c r="Q198" s="45"/>
      <c r="R198" s="45"/>
      <c r="S198" s="45"/>
      <c r="T198" s="45"/>
    </row>
    <row r="199" spans="1:27" ht="15.75" thickBot="1" x14ac:dyDescent="0.3">
      <c r="A199" s="17" t="s">
        <v>13</v>
      </c>
      <c r="B199" s="19">
        <v>45</v>
      </c>
      <c r="E199" s="167"/>
      <c r="F199" s="142"/>
      <c r="G199" s="142"/>
      <c r="H199" s="142"/>
      <c r="I199" s="123"/>
      <c r="J199" s="45"/>
      <c r="K199" s="45"/>
      <c r="L199" s="45"/>
      <c r="M199" s="45"/>
      <c r="N199" s="45"/>
      <c r="O199" s="143"/>
      <c r="P199" s="143"/>
      <c r="Q199" s="143"/>
      <c r="R199" s="143"/>
      <c r="S199" s="143"/>
      <c r="T199" s="140"/>
    </row>
    <row r="200" spans="1:27" ht="15" customHeight="1" x14ac:dyDescent="0.25">
      <c r="A200" s="14" t="s">
        <v>55</v>
      </c>
      <c r="B200" s="26">
        <v>0</v>
      </c>
      <c r="E200" s="240" t="str">
        <f>"DA Incremental Cost @ "&amp;B198&amp;" MW"</f>
        <v>DA Incremental Cost @ 100 MW</v>
      </c>
      <c r="F200" s="241"/>
      <c r="G200" s="241"/>
      <c r="H200" s="241"/>
      <c r="I200" s="123">
        <f>F194</f>
        <v>2250</v>
      </c>
      <c r="J200" s="45"/>
      <c r="K200" s="45"/>
      <c r="L200" s="45"/>
      <c r="M200" s="45"/>
      <c r="N200" s="45"/>
      <c r="O200" s="45"/>
      <c r="P200" s="45"/>
      <c r="Q200" s="45"/>
      <c r="R200" s="45"/>
      <c r="S200" s="45"/>
      <c r="T200" s="45"/>
    </row>
    <row r="201" spans="1:27" ht="15.75" customHeight="1" thickBot="1" x14ac:dyDescent="0.3">
      <c r="A201" s="24" t="s">
        <v>56</v>
      </c>
      <c r="B201" s="23">
        <v>0</v>
      </c>
      <c r="C201" s="32"/>
      <c r="D201" s="32"/>
      <c r="E201" s="240" t="s">
        <v>77</v>
      </c>
      <c r="F201" s="241"/>
      <c r="G201" s="241"/>
      <c r="H201" s="241"/>
      <c r="I201" s="147">
        <f>B201</f>
        <v>0</v>
      </c>
      <c r="J201" s="45"/>
      <c r="K201" s="45"/>
      <c r="L201" s="45"/>
      <c r="M201" s="45"/>
      <c r="N201" s="45"/>
      <c r="O201" s="45"/>
      <c r="P201" s="45"/>
      <c r="Q201" s="45"/>
      <c r="R201" s="45"/>
      <c r="S201" s="45"/>
      <c r="T201" s="45"/>
    </row>
    <row r="202" spans="1:27" ht="15" customHeight="1" x14ac:dyDescent="0.25">
      <c r="C202" s="32"/>
      <c r="E202" s="240" t="s">
        <v>72</v>
      </c>
      <c r="F202" s="241"/>
      <c r="G202" s="241"/>
      <c r="H202" s="241"/>
      <c r="I202" s="123">
        <f>B200</f>
        <v>0</v>
      </c>
      <c r="J202" s="45"/>
      <c r="K202" s="45"/>
      <c r="L202" s="140"/>
      <c r="M202" s="155"/>
      <c r="N202" s="45"/>
      <c r="O202" s="143"/>
      <c r="P202" s="143"/>
      <c r="Q202" s="143"/>
      <c r="R202" s="143"/>
      <c r="S202" s="143"/>
      <c r="T202" s="140"/>
    </row>
    <row r="203" spans="1:27" ht="15.75" thickBot="1" x14ac:dyDescent="0.3">
      <c r="A203" s="68" t="s">
        <v>37</v>
      </c>
      <c r="E203" s="85"/>
      <c r="F203" s="144"/>
      <c r="G203" s="144"/>
      <c r="H203" s="144"/>
      <c r="I203" s="141"/>
      <c r="J203" s="45"/>
      <c r="K203" s="45"/>
      <c r="L203" s="140"/>
      <c r="M203" s="140"/>
      <c r="N203" s="45"/>
      <c r="O203" s="45"/>
      <c r="P203" s="45"/>
      <c r="Q203" s="45"/>
      <c r="R203" s="45"/>
      <c r="S203" s="45"/>
      <c r="T203" s="45"/>
    </row>
    <row r="204" spans="1:27" ht="15" customHeight="1" x14ac:dyDescent="0.25">
      <c r="A204" s="263" t="s">
        <v>22</v>
      </c>
      <c r="B204" s="264"/>
      <c r="E204" s="240" t="s">
        <v>73</v>
      </c>
      <c r="F204" s="241"/>
      <c r="G204" s="241"/>
      <c r="H204" s="241"/>
      <c r="I204" s="158">
        <f>I198-I200-I201-I202</f>
        <v>2250</v>
      </c>
      <c r="J204" s="45"/>
      <c r="K204" s="140"/>
      <c r="L204" s="45"/>
      <c r="M204" s="45"/>
      <c r="N204" s="45"/>
      <c r="O204" s="143"/>
      <c r="P204" s="143"/>
      <c r="Q204" s="143"/>
      <c r="R204" s="143"/>
      <c r="S204" s="143"/>
      <c r="T204" s="140"/>
    </row>
    <row r="205" spans="1:27" x14ac:dyDescent="0.25">
      <c r="A205" s="16" t="s">
        <v>43</v>
      </c>
      <c r="B205" s="13">
        <v>50</v>
      </c>
      <c r="E205" s="167"/>
      <c r="F205" s="168"/>
      <c r="G205" s="168"/>
      <c r="H205" s="168"/>
      <c r="I205" s="123"/>
      <c r="J205" s="45"/>
      <c r="K205" s="45"/>
      <c r="L205" s="140"/>
      <c r="M205" s="45"/>
      <c r="N205" s="45"/>
      <c r="O205" s="45"/>
      <c r="P205" s="45"/>
      <c r="Q205" s="45"/>
      <c r="R205" s="45"/>
      <c r="S205" s="45"/>
      <c r="T205" s="45"/>
    </row>
    <row r="206" spans="1:27" ht="15.75" customHeight="1" thickBot="1" x14ac:dyDescent="0.3">
      <c r="A206" s="16" t="s">
        <v>13</v>
      </c>
      <c r="B206" s="6">
        <v>200</v>
      </c>
      <c r="D206" s="32"/>
      <c r="E206" s="240" t="s">
        <v>83</v>
      </c>
      <c r="F206" s="241"/>
      <c r="G206" s="241"/>
      <c r="H206" s="241"/>
      <c r="I206" s="151">
        <f>MAX(I204*-1,0)</f>
        <v>0</v>
      </c>
      <c r="J206" s="45"/>
      <c r="K206" s="140"/>
      <c r="L206" s="45"/>
      <c r="M206" s="45"/>
      <c r="N206" s="45"/>
      <c r="O206" s="143"/>
      <c r="P206" s="143"/>
      <c r="Q206" s="143"/>
      <c r="R206" s="143"/>
      <c r="S206" s="143"/>
      <c r="T206" s="140"/>
    </row>
    <row r="207" spans="1:27" ht="16.5" thickTop="1" thickBot="1" x14ac:dyDescent="0.3">
      <c r="A207" s="16" t="s">
        <v>27</v>
      </c>
      <c r="B207" s="13">
        <v>100</v>
      </c>
      <c r="E207" s="156"/>
      <c r="F207" s="157"/>
      <c r="G207" s="157"/>
      <c r="H207" s="157"/>
      <c r="I207" s="145"/>
      <c r="J207" s="45"/>
      <c r="K207" s="45"/>
      <c r="L207" s="45"/>
      <c r="M207" s="45"/>
      <c r="N207" s="45"/>
      <c r="O207" s="45"/>
      <c r="P207" s="45"/>
      <c r="Q207" s="45"/>
      <c r="R207" s="45"/>
      <c r="S207" s="45"/>
      <c r="T207" s="45"/>
    </row>
    <row r="208" spans="1:27" x14ac:dyDescent="0.25">
      <c r="A208" s="16" t="s">
        <v>29</v>
      </c>
      <c r="B208" s="13">
        <v>75</v>
      </c>
      <c r="E208" s="168"/>
      <c r="F208" s="142"/>
      <c r="G208" s="142"/>
      <c r="H208" s="142"/>
      <c r="I208" s="140"/>
      <c r="J208" s="45"/>
      <c r="K208" s="45"/>
      <c r="L208" s="45"/>
      <c r="M208" s="45"/>
      <c r="N208" s="45"/>
      <c r="O208" s="45"/>
      <c r="P208" s="140"/>
      <c r="Q208" s="45"/>
      <c r="R208" s="45"/>
      <c r="S208" s="45"/>
      <c r="T208" s="45"/>
    </row>
    <row r="209" spans="1:21" ht="15.75" thickBot="1" x14ac:dyDescent="0.3">
      <c r="A209" s="16" t="s">
        <v>28</v>
      </c>
      <c r="B209" s="13">
        <f>IF(AND(B206&lt;0,B205&gt;B198,B198&gt;0),B198,IF(AND(B198=0,B206&lt;0),MIN(B207,B205),IF(B198=0,B205,MAX(MIN(B207,B198),B205))))</f>
        <v>100</v>
      </c>
      <c r="E209" s="243" t="s">
        <v>98</v>
      </c>
      <c r="F209" s="243"/>
      <c r="G209" s="243"/>
      <c r="H209" s="243"/>
      <c r="I209" s="243"/>
      <c r="J209" s="188"/>
      <c r="K209" s="244" t="s">
        <v>97</v>
      </c>
      <c r="L209" s="244"/>
      <c r="M209" s="244"/>
      <c r="N209" s="244"/>
      <c r="O209" s="244"/>
      <c r="P209" s="188"/>
      <c r="Q209" s="244" t="s">
        <v>99</v>
      </c>
      <c r="R209" s="244"/>
      <c r="S209" s="244"/>
      <c r="T209" s="244"/>
      <c r="U209" s="244"/>
    </row>
    <row r="210" spans="1:21" ht="15.75" thickBot="1" x14ac:dyDescent="0.3">
      <c r="A210" s="24" t="s">
        <v>8</v>
      </c>
      <c r="B210" s="23">
        <f>IF(AND(B207*0.9&lt;=B205,B207*1.1&gt;=B205),B205,MIN(B207,B205))</f>
        <v>50</v>
      </c>
      <c r="E210" s="227" t="s">
        <v>90</v>
      </c>
      <c r="F210" s="228"/>
      <c r="G210" s="228"/>
      <c r="H210" s="228"/>
      <c r="I210" s="229"/>
      <c r="J210" s="146"/>
      <c r="K210" s="227" t="s">
        <v>85</v>
      </c>
      <c r="L210" s="228"/>
      <c r="M210" s="228"/>
      <c r="N210" s="228"/>
      <c r="O210" s="229"/>
      <c r="P210" s="154"/>
      <c r="Q210" s="227" t="s">
        <v>88</v>
      </c>
      <c r="R210" s="228"/>
      <c r="S210" s="228"/>
      <c r="T210" s="228"/>
      <c r="U210" s="229"/>
    </row>
    <row r="211" spans="1:21" ht="15.75" thickBot="1" x14ac:dyDescent="0.3">
      <c r="A211" s="14" t="s">
        <v>55</v>
      </c>
      <c r="B211" s="26">
        <v>0</v>
      </c>
      <c r="E211" s="227" t="s">
        <v>78</v>
      </c>
      <c r="F211" s="228"/>
      <c r="G211" s="228"/>
      <c r="H211" s="228"/>
      <c r="I211" s="175" t="s">
        <v>74</v>
      </c>
      <c r="J211" s="45"/>
      <c r="K211" s="227" t="s">
        <v>78</v>
      </c>
      <c r="L211" s="228"/>
      <c r="M211" s="228"/>
      <c r="N211" s="228"/>
      <c r="O211" s="175" t="s">
        <v>74</v>
      </c>
      <c r="P211" s="45"/>
      <c r="Q211" s="227" t="s">
        <v>78</v>
      </c>
      <c r="R211" s="228"/>
      <c r="S211" s="228"/>
      <c r="T211" s="228"/>
      <c r="U211" s="175" t="s">
        <v>74</v>
      </c>
    </row>
    <row r="212" spans="1:21" ht="15.75" thickBot="1" x14ac:dyDescent="0.3">
      <c r="A212" s="24" t="s">
        <v>56</v>
      </c>
      <c r="B212" s="23">
        <v>0</v>
      </c>
      <c r="E212" s="245" t="s">
        <v>76</v>
      </c>
      <c r="F212" s="246"/>
      <c r="G212" s="246"/>
      <c r="H212" s="246"/>
      <c r="I212" s="160">
        <f>I198</f>
        <v>4500</v>
      </c>
      <c r="J212" s="140"/>
      <c r="K212" s="245" t="s">
        <v>76</v>
      </c>
      <c r="L212" s="246"/>
      <c r="M212" s="246"/>
      <c r="N212" s="246"/>
      <c r="O212" s="160">
        <f>I198</f>
        <v>4500</v>
      </c>
      <c r="P212" s="143"/>
      <c r="Q212" s="245" t="s">
        <v>76</v>
      </c>
      <c r="R212" s="246"/>
      <c r="S212" s="246"/>
      <c r="T212" s="246"/>
      <c r="U212" s="160">
        <f>I198</f>
        <v>4500</v>
      </c>
    </row>
    <row r="213" spans="1:21" x14ac:dyDescent="0.25">
      <c r="E213" s="75"/>
      <c r="F213" s="76"/>
      <c r="G213" s="76"/>
      <c r="H213" s="76"/>
      <c r="I213" s="161"/>
      <c r="J213" s="45"/>
      <c r="K213" s="75"/>
      <c r="L213" s="76"/>
      <c r="M213" s="76"/>
      <c r="N213" s="76"/>
      <c r="O213" s="161"/>
      <c r="P213" s="45"/>
      <c r="Q213" s="75"/>
      <c r="R213" s="76"/>
      <c r="S213" s="76"/>
      <c r="T213" s="76"/>
      <c r="U213" s="161"/>
    </row>
    <row r="214" spans="1:21" ht="15" customHeight="1" x14ac:dyDescent="0.25">
      <c r="E214" s="240" t="s">
        <v>83</v>
      </c>
      <c r="F214" s="241"/>
      <c r="G214" s="241"/>
      <c r="H214" s="241"/>
      <c r="I214" s="160">
        <f>I206</f>
        <v>0</v>
      </c>
      <c r="J214" s="140"/>
      <c r="K214" s="240" t="s">
        <v>83</v>
      </c>
      <c r="L214" s="241"/>
      <c r="M214" s="241"/>
      <c r="N214" s="241"/>
      <c r="O214" s="160">
        <f>I206</f>
        <v>0</v>
      </c>
      <c r="P214" s="143"/>
      <c r="Q214" s="240" t="s">
        <v>83</v>
      </c>
      <c r="R214" s="241"/>
      <c r="S214" s="241"/>
      <c r="T214" s="241"/>
      <c r="U214" s="160">
        <f>I206</f>
        <v>0</v>
      </c>
    </row>
    <row r="215" spans="1:21" x14ac:dyDescent="0.25">
      <c r="B215" s="166"/>
      <c r="E215" s="75"/>
      <c r="F215" s="76"/>
      <c r="G215" s="76"/>
      <c r="H215" s="76"/>
      <c r="I215" s="159"/>
      <c r="J215" s="146"/>
      <c r="K215" s="75"/>
      <c r="L215" s="76"/>
      <c r="M215" s="76"/>
      <c r="N215" s="76"/>
      <c r="O215" s="159"/>
      <c r="P215" s="146"/>
      <c r="Q215" s="75"/>
      <c r="R215" s="76"/>
      <c r="S215" s="76"/>
      <c r="T215" s="76"/>
      <c r="U215" s="159"/>
    </row>
    <row r="216" spans="1:21" ht="15" customHeight="1" x14ac:dyDescent="0.25">
      <c r="B216" s="166"/>
      <c r="E216" s="240" t="s">
        <v>79</v>
      </c>
      <c r="F216" s="241"/>
      <c r="G216" s="241"/>
      <c r="H216" s="241"/>
      <c r="I216" s="123">
        <f>(B209-B198)*B206</f>
        <v>0</v>
      </c>
      <c r="J216" s="104"/>
      <c r="K216" s="240" t="s">
        <v>87</v>
      </c>
      <c r="L216" s="241"/>
      <c r="M216" s="241"/>
      <c r="N216" s="241"/>
      <c r="O216" s="123">
        <f>(B207-B198)*B206</f>
        <v>0</v>
      </c>
      <c r="P216" s="143"/>
      <c r="Q216" s="240" t="s">
        <v>87</v>
      </c>
      <c r="R216" s="241"/>
      <c r="S216" s="241"/>
      <c r="T216" s="241"/>
      <c r="U216" s="123">
        <f>(B205-B198)*B206</f>
        <v>-10000</v>
      </c>
    </row>
    <row r="217" spans="1:21" x14ac:dyDescent="0.25">
      <c r="E217" s="167"/>
      <c r="F217" s="142"/>
      <c r="G217" s="142"/>
      <c r="H217" s="142"/>
      <c r="I217" s="123"/>
      <c r="J217" s="149"/>
      <c r="K217" s="167"/>
      <c r="L217" s="142"/>
      <c r="M217" s="142"/>
      <c r="N217" s="142"/>
      <c r="O217" s="123"/>
      <c r="P217" s="150"/>
      <c r="Q217" s="167"/>
      <c r="R217" s="142"/>
      <c r="S217" s="142"/>
      <c r="T217" s="142"/>
      <c r="U217" s="123"/>
    </row>
    <row r="218" spans="1:21" ht="15" customHeight="1" x14ac:dyDescent="0.25">
      <c r="E218" s="240" t="str">
        <f>"RT Incremental Cost @ "&amp;B210&amp;" MW"</f>
        <v>RT Incremental Cost @ 50 MW</v>
      </c>
      <c r="F218" s="241"/>
      <c r="G218" s="241"/>
      <c r="H218" s="241"/>
      <c r="I218" s="123">
        <f>M194</f>
        <v>1000</v>
      </c>
      <c r="J218" s="104"/>
      <c r="K218" s="240" t="str">
        <f>"RT Incremental Cost @ "&amp;B207&amp;" MW"</f>
        <v>RT Incremental Cost @ 100 MW</v>
      </c>
      <c r="L218" s="241"/>
      <c r="M218" s="241"/>
      <c r="N218" s="241"/>
      <c r="O218" s="123">
        <f>AA194</f>
        <v>2250</v>
      </c>
      <c r="P218" s="143"/>
      <c r="Q218" s="240" t="str">
        <f>"RT Incremental Cost @ "&amp;B205&amp;" MW"</f>
        <v>RT Incremental Cost @ 50 MW</v>
      </c>
      <c r="R218" s="241"/>
      <c r="S218" s="241"/>
      <c r="T218" s="241"/>
      <c r="U218" s="123">
        <f>T194</f>
        <v>1000</v>
      </c>
    </row>
    <row r="219" spans="1:21" ht="15" customHeight="1" x14ac:dyDescent="0.25">
      <c r="E219" s="240" t="s">
        <v>80</v>
      </c>
      <c r="F219" s="241"/>
      <c r="G219" s="241"/>
      <c r="H219" s="241"/>
      <c r="I219" s="147">
        <f>B212</f>
        <v>0</v>
      </c>
      <c r="J219" s="104"/>
      <c r="K219" s="240" t="s">
        <v>80</v>
      </c>
      <c r="L219" s="241"/>
      <c r="M219" s="241"/>
      <c r="N219" s="241"/>
      <c r="O219" s="147">
        <f>B212</f>
        <v>0</v>
      </c>
      <c r="P219" s="45"/>
      <c r="Q219" s="240" t="s">
        <v>80</v>
      </c>
      <c r="R219" s="241"/>
      <c r="S219" s="241"/>
      <c r="T219" s="241"/>
      <c r="U219" s="147">
        <f>B212</f>
        <v>0</v>
      </c>
    </row>
    <row r="220" spans="1:21" ht="15" customHeight="1" x14ac:dyDescent="0.25">
      <c r="D220" s="33"/>
      <c r="E220" s="240" t="s">
        <v>81</v>
      </c>
      <c r="F220" s="241"/>
      <c r="G220" s="241"/>
      <c r="H220" s="241"/>
      <c r="I220" s="123">
        <f>B211</f>
        <v>0</v>
      </c>
      <c r="J220" s="104"/>
      <c r="K220" s="240" t="s">
        <v>81</v>
      </c>
      <c r="L220" s="241"/>
      <c r="M220" s="241"/>
      <c r="N220" s="241"/>
      <c r="O220" s="123">
        <f>B211</f>
        <v>0</v>
      </c>
      <c r="P220" s="45"/>
      <c r="Q220" s="240" t="s">
        <v>81</v>
      </c>
      <c r="R220" s="241"/>
      <c r="S220" s="241"/>
      <c r="T220" s="241"/>
      <c r="U220" s="123">
        <f>B211</f>
        <v>0</v>
      </c>
    </row>
    <row r="221" spans="1:21" x14ac:dyDescent="0.25">
      <c r="E221" s="85"/>
      <c r="F221" s="144"/>
      <c r="G221" s="144"/>
      <c r="H221" s="144"/>
      <c r="I221" s="141"/>
      <c r="K221" s="85"/>
      <c r="L221" s="144"/>
      <c r="M221" s="144"/>
      <c r="N221" s="144"/>
      <c r="O221" s="141"/>
      <c r="Q221" s="85"/>
      <c r="R221" s="144"/>
      <c r="S221" s="144"/>
      <c r="T221" s="144"/>
      <c r="U221" s="141"/>
    </row>
    <row r="222" spans="1:21" ht="15" customHeight="1" x14ac:dyDescent="0.25">
      <c r="E222" s="240" t="s">
        <v>82</v>
      </c>
      <c r="F222" s="241"/>
      <c r="G222" s="241"/>
      <c r="H222" s="241"/>
      <c r="I222" s="158">
        <f>I212+I216-I218-I219-I220</f>
        <v>3500</v>
      </c>
      <c r="K222" s="240" t="s">
        <v>82</v>
      </c>
      <c r="L222" s="241"/>
      <c r="M222" s="241"/>
      <c r="N222" s="241"/>
      <c r="O222" s="158">
        <f>O212+O216-O218-O219-O220</f>
        <v>2250</v>
      </c>
      <c r="Q222" s="240" t="s">
        <v>82</v>
      </c>
      <c r="R222" s="241"/>
      <c r="S222" s="241"/>
      <c r="T222" s="241"/>
      <c r="U222" s="158">
        <f>U212+U216-U218-U219-U220</f>
        <v>-6500</v>
      </c>
    </row>
    <row r="223" spans="1:21" x14ac:dyDescent="0.25">
      <c r="E223" s="93"/>
      <c r="F223" s="148"/>
      <c r="G223" s="148"/>
      <c r="H223" s="148"/>
      <c r="I223" s="162"/>
      <c r="K223" s="93"/>
      <c r="L223" s="148"/>
      <c r="M223" s="148"/>
      <c r="N223" s="148"/>
      <c r="O223" s="162"/>
      <c r="Q223" s="93"/>
      <c r="R223" s="148"/>
      <c r="S223" s="148"/>
      <c r="T223" s="148"/>
      <c r="U223" s="162"/>
    </row>
    <row r="224" spans="1:21" ht="15.75" customHeight="1" thickBot="1" x14ac:dyDescent="0.3">
      <c r="E224" s="240" t="s">
        <v>84</v>
      </c>
      <c r="F224" s="241"/>
      <c r="G224" s="241"/>
      <c r="H224" s="241"/>
      <c r="I224" s="163">
        <f>MAX(MAX(I222*-1,0)-I214,0)</f>
        <v>0</v>
      </c>
      <c r="K224" s="240" t="s">
        <v>84</v>
      </c>
      <c r="L224" s="241"/>
      <c r="M224" s="241"/>
      <c r="N224" s="241"/>
      <c r="O224" s="163">
        <f>MAX(MAX(O222*-1,0)-O214,0)</f>
        <v>0</v>
      </c>
      <c r="Q224" s="240" t="s">
        <v>84</v>
      </c>
      <c r="R224" s="241"/>
      <c r="S224" s="241"/>
      <c r="T224" s="241"/>
      <c r="U224" s="163">
        <f>MAX(MAX(U222*-1,0)-U214,0)</f>
        <v>6500</v>
      </c>
    </row>
    <row r="225" spans="5:21" ht="16.5" thickTop="1" thickBot="1" x14ac:dyDescent="0.3">
      <c r="E225" s="51"/>
      <c r="F225" s="164"/>
      <c r="G225" s="164"/>
      <c r="H225" s="164"/>
      <c r="I225" s="165"/>
      <c r="K225" s="51"/>
      <c r="L225" s="164"/>
      <c r="M225" s="164"/>
      <c r="N225" s="164"/>
      <c r="O225" s="165"/>
      <c r="Q225" s="51"/>
      <c r="R225" s="164"/>
      <c r="S225" s="164"/>
      <c r="T225" s="164"/>
      <c r="U225" s="165"/>
    </row>
    <row r="226" spans="5:21" x14ac:dyDescent="0.25">
      <c r="E226" s="237"/>
      <c r="F226" s="237"/>
      <c r="G226" s="237"/>
      <c r="H226" s="237"/>
      <c r="I226" s="237"/>
      <c r="K226" s="238"/>
      <c r="L226" s="238"/>
      <c r="M226" s="238"/>
      <c r="N226" s="238"/>
      <c r="O226" s="238"/>
      <c r="Q226" s="238"/>
      <c r="R226" s="238"/>
      <c r="S226" s="238"/>
      <c r="T226" s="238"/>
      <c r="U226" s="238"/>
    </row>
    <row r="227" spans="5:21" x14ac:dyDescent="0.25">
      <c r="E227" s="239"/>
      <c r="F227" s="239"/>
      <c r="G227" s="239"/>
      <c r="H227" s="239"/>
      <c r="I227" s="239"/>
      <c r="K227" s="239"/>
      <c r="L227" s="239"/>
      <c r="M227" s="239"/>
      <c r="N227" s="239"/>
      <c r="O227" s="239"/>
      <c r="Q227" s="239"/>
      <c r="R227" s="239"/>
      <c r="S227" s="239"/>
      <c r="T227" s="239"/>
      <c r="U227" s="239"/>
    </row>
    <row r="229" spans="5:21" x14ac:dyDescent="0.25">
      <c r="K229" s="209" t="s">
        <v>105</v>
      </c>
    </row>
    <row r="230" spans="5:21" x14ac:dyDescent="0.25">
      <c r="J230" s="41" t="s">
        <v>96</v>
      </c>
      <c r="K230" s="242" t="s">
        <v>93</v>
      </c>
      <c r="L230" s="242"/>
      <c r="M230" s="242"/>
      <c r="N230" s="32">
        <f>MIN(O224,U224)</f>
        <v>0</v>
      </c>
    </row>
    <row r="231" spans="5:21" x14ac:dyDescent="0.25">
      <c r="K231" s="297" t="s">
        <v>106</v>
      </c>
      <c r="L231" s="297"/>
      <c r="M231" s="297"/>
      <c r="N231" s="297"/>
      <c r="O231" s="297"/>
      <c r="P231" s="297"/>
      <c r="Q231" s="297"/>
      <c r="R231" s="297"/>
      <c r="S231" s="176"/>
    </row>
    <row r="232" spans="5:21" x14ac:dyDescent="0.25">
      <c r="K232" s="297"/>
      <c r="L232" s="297"/>
      <c r="M232" s="297"/>
      <c r="N232" s="297"/>
      <c r="O232" s="297"/>
      <c r="P232" s="297"/>
      <c r="Q232" s="297"/>
      <c r="R232" s="297"/>
    </row>
  </sheetData>
  <mergeCells count="181">
    <mergeCell ref="A1:T2"/>
    <mergeCell ref="A5:T6"/>
    <mergeCell ref="A7:D7"/>
    <mergeCell ref="E7:G7"/>
    <mergeCell ref="H7:K7"/>
    <mergeCell ref="L7:N7"/>
    <mergeCell ref="A22:B22"/>
    <mergeCell ref="E22:M22"/>
    <mergeCell ref="O22:T22"/>
    <mergeCell ref="E23:H23"/>
    <mergeCell ref="E24:H24"/>
    <mergeCell ref="O24:S24"/>
    <mergeCell ref="A13:F13"/>
    <mergeCell ref="H13:M13"/>
    <mergeCell ref="O13:T13"/>
    <mergeCell ref="A21:D21"/>
    <mergeCell ref="E21:M21"/>
    <mergeCell ref="O21:T21"/>
    <mergeCell ref="E31:H31"/>
    <mergeCell ref="O31:S31"/>
    <mergeCell ref="E35:M35"/>
    <mergeCell ref="O35:T35"/>
    <mergeCell ref="E37:H37"/>
    <mergeCell ref="O37:S37"/>
    <mergeCell ref="E27:H27"/>
    <mergeCell ref="O27:S27"/>
    <mergeCell ref="A28:D28"/>
    <mergeCell ref="A29:B29"/>
    <mergeCell ref="E29:H29"/>
    <mergeCell ref="O29:S29"/>
    <mergeCell ref="O43:S43"/>
    <mergeCell ref="K44:L44"/>
    <mergeCell ref="A56:T57"/>
    <mergeCell ref="E39:H39"/>
    <mergeCell ref="K39:M39"/>
    <mergeCell ref="O39:S39"/>
    <mergeCell ref="K40:L40"/>
    <mergeCell ref="E41:H41"/>
    <mergeCell ref="K41:L41"/>
    <mergeCell ref="O41:S41"/>
    <mergeCell ref="A58:D58"/>
    <mergeCell ref="E58:G58"/>
    <mergeCell ref="H58:K58"/>
    <mergeCell ref="L58:N58"/>
    <mergeCell ref="A64:F64"/>
    <mergeCell ref="H64:M64"/>
    <mergeCell ref="K42:L42"/>
    <mergeCell ref="E43:H43"/>
    <mergeCell ref="K43:L43"/>
    <mergeCell ref="A80:B80"/>
    <mergeCell ref="E80:H80"/>
    <mergeCell ref="O80:S80"/>
    <mergeCell ref="O64:T64"/>
    <mergeCell ref="E72:M72"/>
    <mergeCell ref="O72:T72"/>
    <mergeCell ref="A73:B73"/>
    <mergeCell ref="E73:M73"/>
    <mergeCell ref="O73:T73"/>
    <mergeCell ref="E82:H82"/>
    <mergeCell ref="O82:S82"/>
    <mergeCell ref="E86:M86"/>
    <mergeCell ref="O86:T86"/>
    <mergeCell ref="E88:H88"/>
    <mergeCell ref="O88:S88"/>
    <mergeCell ref="E74:H74"/>
    <mergeCell ref="E75:H75"/>
    <mergeCell ref="O75:S75"/>
    <mergeCell ref="E78:H78"/>
    <mergeCell ref="O78:S78"/>
    <mergeCell ref="O94:S94"/>
    <mergeCell ref="K95:L95"/>
    <mergeCell ref="A107:T108"/>
    <mergeCell ref="E90:H90"/>
    <mergeCell ref="K90:M90"/>
    <mergeCell ref="O90:S90"/>
    <mergeCell ref="K91:L91"/>
    <mergeCell ref="E92:H92"/>
    <mergeCell ref="K92:L92"/>
    <mergeCell ref="O92:S92"/>
    <mergeCell ref="A109:D109"/>
    <mergeCell ref="E109:G109"/>
    <mergeCell ref="H109:K109"/>
    <mergeCell ref="L109:N109"/>
    <mergeCell ref="A115:B115"/>
    <mergeCell ref="H115:M115"/>
    <mergeCell ref="K93:L93"/>
    <mergeCell ref="E94:H94"/>
    <mergeCell ref="K94:L94"/>
    <mergeCell ref="A131:B131"/>
    <mergeCell ref="E131:H131"/>
    <mergeCell ref="O131:S131"/>
    <mergeCell ref="O115:T115"/>
    <mergeCell ref="E123:M123"/>
    <mergeCell ref="O123:T123"/>
    <mergeCell ref="A124:B124"/>
    <mergeCell ref="E124:M124"/>
    <mergeCell ref="O124:T124"/>
    <mergeCell ref="E133:H133"/>
    <mergeCell ref="O133:S133"/>
    <mergeCell ref="E137:M137"/>
    <mergeCell ref="O137:T137"/>
    <mergeCell ref="E139:H139"/>
    <mergeCell ref="O139:S139"/>
    <mergeCell ref="E125:H125"/>
    <mergeCell ref="E126:H126"/>
    <mergeCell ref="O126:S126"/>
    <mergeCell ref="E129:H129"/>
    <mergeCell ref="O129:S129"/>
    <mergeCell ref="A180:T181"/>
    <mergeCell ref="K144:L144"/>
    <mergeCell ref="E145:H145"/>
    <mergeCell ref="K145:L145"/>
    <mergeCell ref="O145:S145"/>
    <mergeCell ref="K146:L146"/>
    <mergeCell ref="E141:H141"/>
    <mergeCell ref="K141:M141"/>
    <mergeCell ref="O141:S141"/>
    <mergeCell ref="K142:L142"/>
    <mergeCell ref="E143:H143"/>
    <mergeCell ref="K143:L143"/>
    <mergeCell ref="O143:S143"/>
    <mergeCell ref="A182:D182"/>
    <mergeCell ref="E182:G182"/>
    <mergeCell ref="H182:K182"/>
    <mergeCell ref="L182:N182"/>
    <mergeCell ref="O182:Q182"/>
    <mergeCell ref="A188:F188"/>
    <mergeCell ref="H188:M188"/>
    <mergeCell ref="O188:T188"/>
    <mergeCell ref="V188:AA188"/>
    <mergeCell ref="E196:I196"/>
    <mergeCell ref="A197:B197"/>
    <mergeCell ref="E197:H197"/>
    <mergeCell ref="E198:H198"/>
    <mergeCell ref="E200:H200"/>
    <mergeCell ref="E201:H201"/>
    <mergeCell ref="E202:H202"/>
    <mergeCell ref="A204:B204"/>
    <mergeCell ref="E204:H204"/>
    <mergeCell ref="E206:H206"/>
    <mergeCell ref="E210:I210"/>
    <mergeCell ref="K210:O210"/>
    <mergeCell ref="Q210:U210"/>
    <mergeCell ref="E211:H211"/>
    <mergeCell ref="K211:N211"/>
    <mergeCell ref="Q211:T211"/>
    <mergeCell ref="E212:H212"/>
    <mergeCell ref="K212:N212"/>
    <mergeCell ref="Q212:T212"/>
    <mergeCell ref="E209:I209"/>
    <mergeCell ref="K209:O209"/>
    <mergeCell ref="Q209:U209"/>
    <mergeCell ref="E214:H214"/>
    <mergeCell ref="K214:N214"/>
    <mergeCell ref="Q214:T214"/>
    <mergeCell ref="E216:H216"/>
    <mergeCell ref="K216:N216"/>
    <mergeCell ref="Q216:T216"/>
    <mergeCell ref="E218:H218"/>
    <mergeCell ref="K218:N218"/>
    <mergeCell ref="Q218:T218"/>
    <mergeCell ref="K231:R232"/>
    <mergeCell ref="E224:H224"/>
    <mergeCell ref="K224:N224"/>
    <mergeCell ref="Q224:T224"/>
    <mergeCell ref="K230:M230"/>
    <mergeCell ref="E219:H219"/>
    <mergeCell ref="K219:N219"/>
    <mergeCell ref="Q219:T219"/>
    <mergeCell ref="E220:H220"/>
    <mergeCell ref="K220:N220"/>
    <mergeCell ref="Q220:T220"/>
    <mergeCell ref="E222:H222"/>
    <mergeCell ref="K222:N222"/>
    <mergeCell ref="Q222:T222"/>
    <mergeCell ref="E226:I226"/>
    <mergeCell ref="K226:O226"/>
    <mergeCell ref="Q226:U226"/>
    <mergeCell ref="E227:I227"/>
    <mergeCell ref="K227:O227"/>
    <mergeCell ref="Q227:U227"/>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31"/>
  <sheetViews>
    <sheetView topLeftCell="A179" zoomScale="110" zoomScaleNormal="110" workbookViewId="0">
      <selection activeCell="AA189" sqref="AA189"/>
    </sheetView>
  </sheetViews>
  <sheetFormatPr defaultRowHeight="15" x14ac:dyDescent="0.25"/>
  <cols>
    <col min="1" max="1" width="21.85546875" bestFit="1" customWidth="1"/>
    <col min="2" max="2" width="9.85546875" bestFit="1" customWidth="1"/>
    <col min="3" max="3" width="4.85546875" bestFit="1" customWidth="1"/>
    <col min="4" max="4" width="8.28515625" bestFit="1" customWidth="1"/>
    <col min="5" max="5" width="8" customWidth="1"/>
    <col min="6" max="6" width="10.5703125" customWidth="1"/>
    <col min="7" max="7" width="8" customWidth="1"/>
    <col min="8" max="8" width="11.7109375" customWidth="1"/>
    <col min="9" max="9" width="12.5703125" bestFit="1" customWidth="1"/>
    <col min="10" max="10" width="10" customWidth="1"/>
    <col min="11" max="11" width="8.28515625" customWidth="1"/>
    <col min="12" max="12" width="11.85546875" customWidth="1"/>
    <col min="13" max="13" width="13" customWidth="1"/>
    <col min="14" max="14" width="9.7109375" customWidth="1"/>
    <col min="15" max="15" width="11.28515625" customWidth="1"/>
    <col min="16" max="16" width="9.5703125" customWidth="1"/>
    <col min="17" max="17" width="8.42578125" customWidth="1"/>
    <col min="18" max="18" width="10.5703125" customWidth="1"/>
    <col min="19" max="19" width="9" customWidth="1"/>
    <col min="20" max="20" width="13.85546875" customWidth="1"/>
    <col min="21" max="21" width="12.5703125" bestFit="1" customWidth="1"/>
    <col min="27" max="27" width="12.7109375" customWidth="1"/>
  </cols>
  <sheetData>
    <row r="1" spans="1:20" s="82" customFormat="1" ht="18.75" customHeight="1" x14ac:dyDescent="0.25">
      <c r="A1" s="294" t="s">
        <v>69</v>
      </c>
      <c r="B1" s="294"/>
      <c r="C1" s="294"/>
      <c r="D1" s="294"/>
      <c r="E1" s="294"/>
      <c r="F1" s="294"/>
      <c r="G1" s="294"/>
      <c r="H1" s="294"/>
      <c r="I1" s="294"/>
      <c r="J1" s="294"/>
      <c r="K1" s="294"/>
      <c r="L1" s="294"/>
      <c r="M1" s="294"/>
      <c r="N1" s="294"/>
      <c r="O1" s="294"/>
      <c r="P1" s="294"/>
      <c r="Q1" s="294"/>
      <c r="R1" s="294"/>
      <c r="S1" s="294"/>
      <c r="T1" s="294"/>
    </row>
    <row r="2" spans="1:20" ht="15" customHeight="1" x14ac:dyDescent="0.25">
      <c r="A2" s="294"/>
      <c r="B2" s="294"/>
      <c r="C2" s="294"/>
      <c r="D2" s="294"/>
      <c r="E2" s="294"/>
      <c r="F2" s="294"/>
      <c r="G2" s="294"/>
      <c r="H2" s="294"/>
      <c r="I2" s="294"/>
      <c r="J2" s="294"/>
      <c r="K2" s="294"/>
      <c r="L2" s="294"/>
      <c r="M2" s="294"/>
      <c r="N2" s="294"/>
      <c r="O2" s="294"/>
      <c r="P2" s="294"/>
      <c r="Q2" s="294"/>
      <c r="R2" s="294"/>
      <c r="S2" s="294"/>
      <c r="T2" s="294"/>
    </row>
    <row r="3" spans="1:20" ht="4.5" customHeight="1" x14ac:dyDescent="0.3">
      <c r="A3" s="84"/>
      <c r="B3" s="84"/>
      <c r="C3" s="84"/>
      <c r="D3" s="84"/>
      <c r="E3" s="84"/>
      <c r="F3" s="84"/>
      <c r="G3" s="84"/>
      <c r="H3" s="84"/>
      <c r="I3" s="84"/>
      <c r="J3" s="84"/>
      <c r="K3" s="84"/>
      <c r="L3" s="84"/>
      <c r="M3" s="84"/>
      <c r="N3" s="84"/>
      <c r="O3" s="84"/>
      <c r="P3" s="84"/>
      <c r="Q3" s="84"/>
      <c r="R3" s="84"/>
      <c r="S3" s="84"/>
      <c r="T3" s="84"/>
    </row>
    <row r="4" spans="1:20" ht="3.75" customHeight="1" x14ac:dyDescent="0.3">
      <c r="A4" s="84"/>
      <c r="B4" s="84"/>
      <c r="C4" s="84"/>
      <c r="D4" s="84"/>
      <c r="E4" s="84"/>
      <c r="F4" s="84"/>
      <c r="G4" s="84"/>
      <c r="H4" s="84"/>
      <c r="I4" s="84"/>
      <c r="J4" s="84"/>
      <c r="K4" s="84"/>
      <c r="L4" s="84"/>
      <c r="M4" s="84"/>
      <c r="N4" s="84"/>
      <c r="O4" s="84"/>
      <c r="P4" s="84"/>
      <c r="Q4" s="84"/>
      <c r="R4" s="84"/>
      <c r="S4" s="84"/>
      <c r="T4" s="84"/>
    </row>
    <row r="5" spans="1:20" x14ac:dyDescent="0.25">
      <c r="A5" s="265" t="s">
        <v>61</v>
      </c>
      <c r="B5" s="265"/>
      <c r="C5" s="265"/>
      <c r="D5" s="265"/>
      <c r="E5" s="265"/>
      <c r="F5" s="265"/>
      <c r="G5" s="265"/>
      <c r="H5" s="265"/>
      <c r="I5" s="265"/>
      <c r="J5" s="265"/>
      <c r="K5" s="265"/>
      <c r="L5" s="265"/>
      <c r="M5" s="265"/>
      <c r="N5" s="265"/>
      <c r="O5" s="265"/>
      <c r="P5" s="265"/>
      <c r="Q5" s="265"/>
      <c r="R5" s="265"/>
      <c r="S5" s="265"/>
      <c r="T5" s="265"/>
    </row>
    <row r="6" spans="1:20" s="83" customFormat="1" ht="15.75" thickBot="1" x14ac:dyDescent="0.3">
      <c r="A6" s="265"/>
      <c r="B6" s="265"/>
      <c r="C6" s="265"/>
      <c r="D6" s="265"/>
      <c r="E6" s="265"/>
      <c r="F6" s="265"/>
      <c r="G6" s="265"/>
      <c r="H6" s="265"/>
      <c r="I6" s="265"/>
      <c r="J6" s="265"/>
      <c r="K6" s="265"/>
      <c r="L6" s="265"/>
      <c r="M6" s="265"/>
      <c r="N6" s="265"/>
      <c r="O6" s="265"/>
      <c r="P6" s="265"/>
      <c r="Q6" s="265"/>
      <c r="R6" s="265"/>
      <c r="S6" s="265"/>
      <c r="T6" s="265"/>
    </row>
    <row r="7" spans="1:20" ht="15.75" thickBot="1" x14ac:dyDescent="0.3">
      <c r="A7" s="227" t="s">
        <v>0</v>
      </c>
      <c r="B7" s="228"/>
      <c r="C7" s="228"/>
      <c r="D7" s="229"/>
      <c r="E7" s="235" t="s">
        <v>1</v>
      </c>
      <c r="F7" s="236"/>
      <c r="G7" s="249"/>
      <c r="H7" s="227" t="s">
        <v>2</v>
      </c>
      <c r="I7" s="228"/>
      <c r="J7" s="228"/>
      <c r="K7" s="229"/>
      <c r="L7" s="227" t="s">
        <v>32</v>
      </c>
      <c r="M7" s="228"/>
      <c r="N7" s="229"/>
    </row>
    <row r="8" spans="1:20" ht="45" customHeight="1" thickBot="1" x14ac:dyDescent="0.3">
      <c r="A8" s="112" t="s">
        <v>3</v>
      </c>
      <c r="B8" s="113" t="s">
        <v>33</v>
      </c>
      <c r="C8" s="113" t="s">
        <v>34</v>
      </c>
      <c r="D8" s="114" t="s">
        <v>4</v>
      </c>
      <c r="E8" s="112" t="s">
        <v>5</v>
      </c>
      <c r="F8" s="113" t="s">
        <v>6</v>
      </c>
      <c r="G8" s="114" t="s">
        <v>7</v>
      </c>
      <c r="H8" s="69" t="s">
        <v>38</v>
      </c>
      <c r="I8" s="65" t="s">
        <v>8</v>
      </c>
      <c r="J8" s="65" t="s">
        <v>6</v>
      </c>
      <c r="K8" s="66" t="s">
        <v>7</v>
      </c>
      <c r="L8" s="64" t="s">
        <v>35</v>
      </c>
      <c r="M8" s="65" t="s">
        <v>49</v>
      </c>
      <c r="N8" s="66" t="s">
        <v>47</v>
      </c>
    </row>
    <row r="9" spans="1:20" x14ac:dyDescent="0.25">
      <c r="A9" s="4">
        <v>1</v>
      </c>
      <c r="B9" s="5">
        <v>0</v>
      </c>
      <c r="C9" s="5">
        <v>50</v>
      </c>
      <c r="D9" s="6">
        <v>20</v>
      </c>
      <c r="E9" s="7">
        <f>IF(AND(B$23&gt;B9,B$23&lt;=C9),B$23,0)</f>
        <v>0</v>
      </c>
      <c r="F9" s="8">
        <f>IF(B23&gt;0,D9,0)</f>
        <v>0</v>
      </c>
      <c r="G9" s="8">
        <f>IF(E9&gt;0,IF(E9=B9,D9,IF(AND(E9&gt;B9,E9&lt;=C9),0+(E9-B9)*((D9-0)/(C9-B9)),0)),0)</f>
        <v>0</v>
      </c>
      <c r="H9" s="14">
        <f>IF(AND(MIN(B$30,B$33)&gt;B9,MIN(B$30,B$33)&lt;=C9),MIN(B$30,B$33),0)</f>
        <v>50</v>
      </c>
      <c r="I9" s="15">
        <f>IF(AND(B$35&gt;B9,B$35&lt;=C9),B$35,0)</f>
        <v>50</v>
      </c>
      <c r="J9" s="9">
        <f>IF(B30&gt;0,D9,0)</f>
        <v>20</v>
      </c>
      <c r="K9" s="9">
        <f>IF(H9&gt;0,IF(H9=B9,D9,IF(AND(H9&gt;B9,H9&lt;=C9),D9+(H9-B9)*((D9-D9)/(C9-B9)),0)),0)</f>
        <v>20</v>
      </c>
      <c r="L9" s="14">
        <f>IF(AND(B30&gt;B9,B30&lt;=C9),B30,0)</f>
        <v>50</v>
      </c>
      <c r="M9" s="9">
        <f>IF(B30&gt;0,D9,0)</f>
        <v>20</v>
      </c>
      <c r="N9" s="11">
        <f>IF(L9&gt;0,IF(L9=B9,D9,IF(AND(L9&gt;B9,L9&lt;=C9),D9+(L9-B9)*((D9-D9)/(C9-B9)),0)),0)</f>
        <v>20</v>
      </c>
    </row>
    <row r="10" spans="1:20" x14ac:dyDescent="0.25">
      <c r="A10" s="4">
        <v>2</v>
      </c>
      <c r="B10" s="5">
        <v>50</v>
      </c>
      <c r="C10" s="5">
        <v>75</v>
      </c>
      <c r="D10" s="6">
        <v>25</v>
      </c>
      <c r="E10" s="7">
        <f>IF(AND(B23&gt;B10,B23&lt;=C10),B23,0)</f>
        <v>0</v>
      </c>
      <c r="F10" s="8">
        <v>0</v>
      </c>
      <c r="G10" s="8">
        <f>IF(E10&gt;0,IF(AND(E10&gt;B10,E10&lt;C10),D9+(E10-B10)*((D10-D9)/(C10-B10)),0),0)</f>
        <v>0</v>
      </c>
      <c r="H10" s="16">
        <f>IF(AND(MIN(B$30,B$33)&gt;B10,MIN(B$30,B$33)&lt;=C10),MIN(B$30,B$33),0)</f>
        <v>0</v>
      </c>
      <c r="I10" s="12">
        <f>IF(AND(B$35&gt;B10,B$35&lt;=C10),B$35,0)</f>
        <v>0</v>
      </c>
      <c r="J10" s="8">
        <v>0</v>
      </c>
      <c r="K10" s="8">
        <f>IF(H10&gt;0,IF(H10=B10,D10,IF(AND(H10&gt;B10,H10&lt;=C10),D9+(H10-B10)*((D10-D9)/(C10-B10)),0)),0)</f>
        <v>0</v>
      </c>
      <c r="L10" s="16">
        <f>IF(AND(B30&gt;B10,B30&lt;=C10),B30,0)</f>
        <v>0</v>
      </c>
      <c r="M10" s="8">
        <v>0</v>
      </c>
      <c r="N10" s="6">
        <f>IF(L10&gt;0,IF(L10=B10,D10,IF(AND(L10&gt;B10,L10&lt;=C10),D9+(L10-B10)*((D10-D9)/(C10-B10)),0)),0)</f>
        <v>0</v>
      </c>
    </row>
    <row r="11" spans="1:20" ht="15.75" thickBot="1" x14ac:dyDescent="0.3">
      <c r="A11" s="17">
        <v>3</v>
      </c>
      <c r="B11" s="18">
        <v>75</v>
      </c>
      <c r="C11" s="18">
        <v>100</v>
      </c>
      <c r="D11" s="19">
        <v>30</v>
      </c>
      <c r="E11" s="20">
        <f>IF(AND(B23&gt;B11,B23&lt;=C11),B23,0)</f>
        <v>0</v>
      </c>
      <c r="F11" s="21">
        <v>0</v>
      </c>
      <c r="G11" s="21">
        <f>IF(E11&gt;0,IF(E11=C11,D11,IF(AND(E11&gt;B11,E11&lt;C11),D10+(E11-B11)*((D11-D10)/(C11-B11)),IF(E11&gt;C11,D11,0))),0)</f>
        <v>0</v>
      </c>
      <c r="H11" s="24">
        <f>IF(AND(MIN(B$30,B$33)&gt;B11,MIN(B$30,B$33)&lt;=C11),MIN(B$30,B$33),0)</f>
        <v>0</v>
      </c>
      <c r="I11" s="22">
        <f>IF(AND(B$35&gt;B11,B$35&lt;=C11),B$35,0)</f>
        <v>0</v>
      </c>
      <c r="J11" s="21">
        <v>0</v>
      </c>
      <c r="K11" s="21">
        <f>IF(AND(I11&gt;0,H11&lt;&gt;I11),MAX(K9:K10),IF(H11&gt;0,IF(H11=B11,D11,IF(AND(H11&gt;B11,H11&lt;=C11),D10+(H11-B11)*((D11-D10)/(C11-B11)),0)),0))</f>
        <v>0</v>
      </c>
      <c r="L11" s="24">
        <f>IF(OR(AND(B30&gt;B11,B30&lt;=C11),B30&gt;C11),B30,0)</f>
        <v>0</v>
      </c>
      <c r="M11" s="21">
        <v>0</v>
      </c>
      <c r="N11" s="19">
        <f>IF(L11&gt;0,IF(L11=B11,D11,IF(AND(L11&gt;B11,L11&lt;=C11),D10+(L11-B11)*((D11-D10)/(C11-B11)),D11)),0)</f>
        <v>0</v>
      </c>
    </row>
    <row r="12" spans="1:20" ht="8.25" customHeight="1" thickBot="1" x14ac:dyDescent="0.3">
      <c r="J12" s="25"/>
    </row>
    <row r="13" spans="1:20" ht="15.75" thickBot="1" x14ac:dyDescent="0.3">
      <c r="A13" s="235" t="s">
        <v>39</v>
      </c>
      <c r="B13" s="236"/>
      <c r="C13" s="236"/>
      <c r="D13" s="236"/>
      <c r="E13" s="236"/>
      <c r="F13" s="249"/>
      <c r="H13" s="268" t="s">
        <v>40</v>
      </c>
      <c r="I13" s="269"/>
      <c r="J13" s="269"/>
      <c r="K13" s="269"/>
      <c r="L13" s="269"/>
      <c r="M13" s="270"/>
      <c r="O13" s="268" t="s">
        <v>41</v>
      </c>
      <c r="P13" s="269"/>
      <c r="Q13" s="269"/>
      <c r="R13" s="269"/>
      <c r="S13" s="269"/>
      <c r="T13" s="270"/>
    </row>
    <row r="14" spans="1:20" ht="30.75" thickBot="1" x14ac:dyDescent="0.3">
      <c r="A14" s="109" t="s">
        <v>3</v>
      </c>
      <c r="B14" s="113" t="s">
        <v>33</v>
      </c>
      <c r="C14" s="113" t="s">
        <v>34</v>
      </c>
      <c r="D14" s="113" t="s">
        <v>36</v>
      </c>
      <c r="E14" s="113" t="s">
        <v>7</v>
      </c>
      <c r="F14" s="114" t="s">
        <v>48</v>
      </c>
      <c r="H14" s="109" t="s">
        <v>3</v>
      </c>
      <c r="I14" s="113" t="s">
        <v>33</v>
      </c>
      <c r="J14" s="113" t="s">
        <v>34</v>
      </c>
      <c r="K14" s="113" t="s">
        <v>36</v>
      </c>
      <c r="L14" s="113" t="s">
        <v>47</v>
      </c>
      <c r="M14" s="114" t="s">
        <v>48</v>
      </c>
      <c r="O14" s="75" t="s">
        <v>3</v>
      </c>
      <c r="P14" s="67" t="s">
        <v>33</v>
      </c>
      <c r="Q14" s="67" t="s">
        <v>34</v>
      </c>
      <c r="R14" s="67" t="s">
        <v>36</v>
      </c>
      <c r="S14" s="67" t="s">
        <v>7</v>
      </c>
      <c r="T14" s="107" t="s">
        <v>48</v>
      </c>
    </row>
    <row r="15" spans="1:20" x14ac:dyDescent="0.25">
      <c r="A15" s="4">
        <v>1</v>
      </c>
      <c r="B15" s="5">
        <v>0</v>
      </c>
      <c r="C15" s="5">
        <f>IF(AND(B23&gt;B9,B23&lt;C9),B23,IF(B23&gt;=C9,C9,0))</f>
        <v>0</v>
      </c>
      <c r="D15" s="29">
        <f>MIN(D9,F9)</f>
        <v>0</v>
      </c>
      <c r="E15" s="29">
        <f>IF(AND(B$23&gt;B9,B$23&lt;C9),G9,IF(B$23&gt;=C9,D9,0))</f>
        <v>0</v>
      </c>
      <c r="F15" s="30">
        <f>(C15-B15)*(D15+E15)/2</f>
        <v>0</v>
      </c>
      <c r="H15" s="4">
        <v>1</v>
      </c>
      <c r="I15" s="5">
        <v>0</v>
      </c>
      <c r="J15" s="5">
        <f>IF(AND(MAX(I$9:I$11)&gt;B9,MAX(I$9:I$11)&lt;C9),MAX(I$9:I$11),IF(MAX(I$9:I$11)&gt;=C9,C9,0))</f>
        <v>50</v>
      </c>
      <c r="K15" s="29">
        <f>MIN(D9,J9)</f>
        <v>20</v>
      </c>
      <c r="L15" s="29">
        <f>IF(AND(MAX(I$9:I$11)&gt;B9,MAX(I$9:I$11)&lt;C9),K9,IF(MAX(I$9:I$11)&gt;=C9,D9,0))</f>
        <v>20</v>
      </c>
      <c r="M15" s="30">
        <f>(J15-I15)*(K15+L15)/2</f>
        <v>1000</v>
      </c>
      <c r="O15" s="75">
        <v>1</v>
      </c>
      <c r="P15" s="5">
        <v>0</v>
      </c>
      <c r="Q15" s="5">
        <f>IF(AND(B$30&gt;B9,B$30&lt;C9),B$30,IF(B$30&gt;=C9,C9,0))</f>
        <v>50</v>
      </c>
      <c r="R15" s="29">
        <f>MIN(D9,M9)</f>
        <v>20</v>
      </c>
      <c r="S15" s="29">
        <f>IF(AND(B$30&gt;B9,B$30&lt;C9),N9,IF(B$30&gt;=C9,D9,0))</f>
        <v>20</v>
      </c>
      <c r="T15" s="30">
        <f>(Q15-P15)*(R15+S15)/2</f>
        <v>1000</v>
      </c>
    </row>
    <row r="16" spans="1:20" x14ac:dyDescent="0.25">
      <c r="A16" s="4">
        <v>2</v>
      </c>
      <c r="B16" s="5">
        <f>IF(B$23&gt;B10,C15,0)</f>
        <v>0</v>
      </c>
      <c r="C16" s="5">
        <f>IF(AND(B$23&gt;B10,B$23&lt;C10),B$23,IF(B$23&gt;=C10,C10,0))</f>
        <v>0</v>
      </c>
      <c r="D16" s="29">
        <f>IF(B16&lt;&gt;0,E15,0)</f>
        <v>0</v>
      </c>
      <c r="E16" s="29">
        <f>IF(AND(B$23&gt;B10,B$23&lt;C10),G10,IF(B$23&gt;=C10,D10,0))</f>
        <v>0</v>
      </c>
      <c r="F16" s="30">
        <f t="shared" ref="F16:F18" si="0">(C16-B16)*(D16+E16)/2</f>
        <v>0</v>
      </c>
      <c r="H16" s="4">
        <v>2</v>
      </c>
      <c r="I16" s="5">
        <f>IF(MAX(I$9:I$11)&gt;B10,C9,0)</f>
        <v>0</v>
      </c>
      <c r="J16" s="5">
        <f>IF(AND(MAX(I$9:I$11)&gt;B10,MAX(I$9:I$11)&lt;C10),MAX(I$9:I$11),IF(MAX(I$9:I$11)&gt;=C10,C10,0))</f>
        <v>0</v>
      </c>
      <c r="K16" s="29">
        <f>IF(I16&lt;&gt;0,L15,0)</f>
        <v>0</v>
      </c>
      <c r="L16" s="29">
        <f t="shared" ref="L16:L18" si="1">IF(AND(MAX(I$9:I$11)&gt;B10,MAX(I$9:I$11)&lt;C10),K10,IF(MAX(I$9:I$11)&gt;=C10,D10,0))</f>
        <v>0</v>
      </c>
      <c r="M16" s="30">
        <f t="shared" ref="M16:M18" si="2">(J16-I16)*(K16+L16)/2</f>
        <v>0</v>
      </c>
      <c r="O16" s="75">
        <v>2</v>
      </c>
      <c r="P16" s="5">
        <f>IF(B$30&gt;B10,Q15,0)</f>
        <v>0</v>
      </c>
      <c r="Q16" s="5">
        <f>IF(AND(B$30&gt;B10,B$30&lt;C10),B$30,IF(B$30&gt;=C10,C10,0))</f>
        <v>0</v>
      </c>
      <c r="R16" s="29">
        <f>IF(P16&lt;&gt;0,S15,0)</f>
        <v>0</v>
      </c>
      <c r="S16" s="29">
        <f>IF(AND(B$30&gt;B10,B$30&lt;C10),N10,IF(B$30&gt;=C10,D10,0))</f>
        <v>0</v>
      </c>
      <c r="T16" s="30">
        <f t="shared" ref="T16:T18" si="3">(Q16-P16)*(R16+S16)/2</f>
        <v>0</v>
      </c>
    </row>
    <row r="17" spans="1:20" x14ac:dyDescent="0.25">
      <c r="A17" s="4">
        <v>3</v>
      </c>
      <c r="B17" s="5">
        <f>IF(B$23&gt;B11,C16,0)</f>
        <v>0</v>
      </c>
      <c r="C17" s="5">
        <f>IF(AND(B$23&gt;B11,B$23&lt;C11),B$23,IF(B$23&gt;=C11,C11,0))</f>
        <v>0</v>
      </c>
      <c r="D17" s="29">
        <f t="shared" ref="D17:D18" si="4">IF(B17&lt;&gt;0,E16,0)</f>
        <v>0</v>
      </c>
      <c r="E17" s="29">
        <f>IF(AND(B$23&gt;B11,B$23&lt;C11),G11,IF(B$23&gt;=C11,D11,0))</f>
        <v>0</v>
      </c>
      <c r="F17" s="30">
        <f t="shared" si="0"/>
        <v>0</v>
      </c>
      <c r="H17" s="4">
        <v>3</v>
      </c>
      <c r="I17" s="5">
        <f>IF(MAX(I$9:I$11)&gt;B11,C10,0)</f>
        <v>0</v>
      </c>
      <c r="J17" s="5">
        <f t="shared" ref="J17:J18" si="5">IF(AND(MAX(I$9:I$11)&gt;B11,MAX(I$9:I$11)&lt;C11),MAX(I$9:I$11),IF(MAX(I$9:I$11)&gt;=C11,C11,0))</f>
        <v>0</v>
      </c>
      <c r="K17" s="29">
        <f>IF(I17&lt;&gt;0,L16,0)</f>
        <v>0</v>
      </c>
      <c r="L17" s="29">
        <f t="shared" si="1"/>
        <v>0</v>
      </c>
      <c r="M17" s="30">
        <f t="shared" si="2"/>
        <v>0</v>
      </c>
      <c r="O17" s="75">
        <v>3</v>
      </c>
      <c r="P17" s="5">
        <f>IF(B$30&gt;B11,Q16,0)</f>
        <v>0</v>
      </c>
      <c r="Q17" s="5">
        <f>IF(AND(B$30&gt;B11,B$30&lt;C11),B$30,IF(B$30&gt;=C11,C11,0))</f>
        <v>0</v>
      </c>
      <c r="R17" s="29">
        <f>IF(P17&lt;&gt;0,S16,0)</f>
        <v>0</v>
      </c>
      <c r="S17" s="29">
        <f>IF(AND(B$30&gt;B11,B$30&lt;C11),N11,IF(B$30&gt;=C11,D11,0))</f>
        <v>0</v>
      </c>
      <c r="T17" s="30">
        <f t="shared" si="3"/>
        <v>0</v>
      </c>
    </row>
    <row r="18" spans="1:20" x14ac:dyDescent="0.25">
      <c r="A18" s="4">
        <v>4</v>
      </c>
      <c r="B18" s="5">
        <f>IF(B$23&gt;C11,C17,0)</f>
        <v>0</v>
      </c>
      <c r="C18" s="5">
        <f>IF(AND(B$23&gt;B12,B$23&lt;C12),B$23,IF(B$23&gt;=C12,C12,0))</f>
        <v>0</v>
      </c>
      <c r="D18" s="29">
        <f t="shared" si="4"/>
        <v>0</v>
      </c>
      <c r="E18" s="29">
        <f>IF(AND(B$23&gt;B12,B$23&lt;C12),G12,IF(B$23&gt;=C12,D12,0))</f>
        <v>0</v>
      </c>
      <c r="F18" s="30">
        <f t="shared" si="0"/>
        <v>0</v>
      </c>
      <c r="H18" s="4">
        <v>4</v>
      </c>
      <c r="I18" s="5">
        <f>IF(MAX(I$9:I$11)&gt;C11,C11,0)</f>
        <v>0</v>
      </c>
      <c r="J18" s="5">
        <f t="shared" si="5"/>
        <v>0</v>
      </c>
      <c r="K18" s="29">
        <f>IF(I18&lt;&gt;0,L17,0)</f>
        <v>0</v>
      </c>
      <c r="L18" s="29">
        <f t="shared" si="1"/>
        <v>0</v>
      </c>
      <c r="M18" s="30">
        <f t="shared" si="2"/>
        <v>0</v>
      </c>
      <c r="O18" s="75">
        <v>4</v>
      </c>
      <c r="P18" s="5">
        <f>IF(B$30&gt;C11,Q17,0)</f>
        <v>0</v>
      </c>
      <c r="Q18" s="5">
        <f>IF(AND(B$30&gt;B11,B$30&lt;C11),B$30,IF(B$30&gt;C11,B30,0))</f>
        <v>0</v>
      </c>
      <c r="R18" s="29">
        <f>IF(P18&lt;&gt;0,S17,0)</f>
        <v>0</v>
      </c>
      <c r="S18" s="29">
        <f>IF(AND(B$30&gt;B11,B$30&lt;C11),N12,IF(B$30&gt;C11,D11,0))</f>
        <v>0</v>
      </c>
      <c r="T18" s="30">
        <f t="shared" si="3"/>
        <v>0</v>
      </c>
    </row>
    <row r="19" spans="1:20" ht="15.75" thickBot="1" x14ac:dyDescent="0.3">
      <c r="A19" s="24"/>
      <c r="B19" s="18"/>
      <c r="C19" s="18"/>
      <c r="D19" s="21"/>
      <c r="E19" s="21"/>
      <c r="F19" s="31">
        <f>SUM(F15:F18)</f>
        <v>0</v>
      </c>
      <c r="H19" s="24"/>
      <c r="I19" s="18"/>
      <c r="J19" s="18"/>
      <c r="K19" s="21"/>
      <c r="L19" s="21"/>
      <c r="M19" s="31">
        <f>SUM(M15:M18)</f>
        <v>1000</v>
      </c>
      <c r="O19" s="24"/>
      <c r="P19" s="18"/>
      <c r="Q19" s="18"/>
      <c r="R19" s="21"/>
      <c r="S19" s="21"/>
      <c r="T19" s="31">
        <f>SUM(T15:T18)</f>
        <v>1000</v>
      </c>
    </row>
    <row r="20" spans="1:20" ht="9.75" customHeight="1" thickBot="1" x14ac:dyDescent="0.3"/>
    <row r="21" spans="1:20" ht="15.75" customHeight="1" thickBot="1" x14ac:dyDescent="0.3">
      <c r="A21" s="266" t="s">
        <v>37</v>
      </c>
      <c r="B21" s="266"/>
      <c r="C21" s="266"/>
      <c r="D21" s="267"/>
      <c r="E21" s="277" t="s">
        <v>44</v>
      </c>
      <c r="F21" s="278"/>
      <c r="G21" s="278"/>
      <c r="H21" s="278"/>
      <c r="I21" s="278"/>
      <c r="J21" s="278"/>
      <c r="K21" s="278"/>
      <c r="L21" s="278"/>
      <c r="M21" s="279"/>
      <c r="O21" s="274" t="s">
        <v>42</v>
      </c>
      <c r="P21" s="275"/>
      <c r="Q21" s="275"/>
      <c r="R21" s="275"/>
      <c r="S21" s="275"/>
      <c r="T21" s="276"/>
    </row>
    <row r="22" spans="1:20" ht="15.75" thickBot="1" x14ac:dyDescent="0.3">
      <c r="A22" s="263" t="s">
        <v>10</v>
      </c>
      <c r="B22" s="264"/>
      <c r="E22" s="227" t="s">
        <v>11</v>
      </c>
      <c r="F22" s="228"/>
      <c r="G22" s="228"/>
      <c r="H22" s="228"/>
      <c r="I22" s="228"/>
      <c r="J22" s="228"/>
      <c r="K22" s="228"/>
      <c r="L22" s="228"/>
      <c r="M22" s="229"/>
      <c r="O22" s="271" t="s">
        <v>11</v>
      </c>
      <c r="P22" s="272"/>
      <c r="Q22" s="272"/>
      <c r="R22" s="272"/>
      <c r="S22" s="272"/>
      <c r="T22" s="273"/>
    </row>
    <row r="23" spans="1:20" x14ac:dyDescent="0.25">
      <c r="A23" s="4" t="s">
        <v>5</v>
      </c>
      <c r="B23" s="13">
        <v>0</v>
      </c>
      <c r="E23" s="261" t="s">
        <v>12</v>
      </c>
      <c r="F23" s="262"/>
      <c r="G23" s="262"/>
      <c r="H23" s="262"/>
      <c r="I23" s="99"/>
      <c r="J23" s="10"/>
      <c r="K23" s="10"/>
      <c r="L23" s="10"/>
      <c r="M23" s="26"/>
      <c r="O23" s="16" t="s">
        <v>12</v>
      </c>
      <c r="P23" s="29"/>
      <c r="Q23" s="5"/>
      <c r="R23" s="5"/>
      <c r="S23" s="5"/>
      <c r="T23" s="13"/>
    </row>
    <row r="24" spans="1:20" ht="15.75" thickBot="1" x14ac:dyDescent="0.3">
      <c r="A24" s="17" t="s">
        <v>13</v>
      </c>
      <c r="B24" s="19">
        <v>0</v>
      </c>
      <c r="E24" s="240" t="s">
        <v>14</v>
      </c>
      <c r="F24" s="241"/>
      <c r="G24" s="241"/>
      <c r="H24" s="241"/>
      <c r="I24" s="42">
        <f>B23*B24</f>
        <v>0</v>
      </c>
      <c r="J24" s="5"/>
      <c r="K24" s="5"/>
      <c r="L24" s="5"/>
      <c r="M24" s="13"/>
      <c r="O24" s="245" t="s">
        <v>14</v>
      </c>
      <c r="P24" s="246"/>
      <c r="Q24" s="246"/>
      <c r="R24" s="246"/>
      <c r="S24" s="246"/>
      <c r="T24" s="56">
        <f>I24</f>
        <v>0</v>
      </c>
    </row>
    <row r="25" spans="1:20" x14ac:dyDescent="0.25">
      <c r="E25" s="85"/>
      <c r="F25" s="86"/>
      <c r="G25" s="86"/>
      <c r="H25" s="86"/>
      <c r="I25" s="5"/>
      <c r="J25" s="5"/>
      <c r="K25" s="5"/>
      <c r="L25" s="5"/>
      <c r="M25" s="13"/>
      <c r="O25" s="16"/>
      <c r="P25" s="5"/>
      <c r="Q25" s="5"/>
      <c r="R25" s="5"/>
      <c r="S25" s="5"/>
      <c r="T25" s="13"/>
    </row>
    <row r="26" spans="1:20" ht="4.5" customHeight="1" thickBot="1" x14ac:dyDescent="0.3">
      <c r="C26" s="32"/>
      <c r="D26" s="32"/>
      <c r="E26" s="85"/>
      <c r="F26" s="86"/>
      <c r="G26" s="86"/>
      <c r="H26" s="86"/>
      <c r="I26" s="5"/>
      <c r="J26" s="5"/>
      <c r="K26" s="5"/>
      <c r="L26" s="5"/>
      <c r="M26" s="13"/>
      <c r="O26" s="16"/>
      <c r="P26" s="5"/>
      <c r="Q26" s="5"/>
      <c r="R26" s="5"/>
      <c r="S26" s="5"/>
      <c r="T26" s="13"/>
    </row>
    <row r="27" spans="1:20" ht="29.25" customHeight="1" x14ac:dyDescent="0.25">
      <c r="C27" s="32"/>
      <c r="E27" s="240" t="s">
        <v>15</v>
      </c>
      <c r="F27" s="241"/>
      <c r="G27" s="241"/>
      <c r="H27" s="241"/>
      <c r="I27" s="43">
        <f>M28</f>
        <v>0</v>
      </c>
      <c r="J27" s="5"/>
      <c r="K27" s="35" t="s">
        <v>16</v>
      </c>
      <c r="L27" s="36">
        <f>F19</f>
        <v>0</v>
      </c>
      <c r="M27" s="105" t="s">
        <v>17</v>
      </c>
      <c r="O27" s="245" t="s">
        <v>15</v>
      </c>
      <c r="P27" s="246"/>
      <c r="Q27" s="246"/>
      <c r="R27" s="246"/>
      <c r="S27" s="246"/>
      <c r="T27" s="88">
        <f>I27</f>
        <v>0</v>
      </c>
    </row>
    <row r="28" spans="1:20" ht="15.75" thickBot="1" x14ac:dyDescent="0.3">
      <c r="A28" s="266" t="s">
        <v>37</v>
      </c>
      <c r="B28" s="266"/>
      <c r="C28" s="266"/>
      <c r="D28" s="267"/>
      <c r="E28" s="85"/>
      <c r="F28" s="86"/>
      <c r="G28" s="86"/>
      <c r="H28" s="86"/>
      <c r="I28" s="5"/>
      <c r="J28" s="5"/>
      <c r="K28" s="37" t="s">
        <v>18</v>
      </c>
      <c r="L28" s="38">
        <f>I24</f>
        <v>0</v>
      </c>
      <c r="M28" s="39">
        <f>MAX(L27-L28,0)</f>
        <v>0</v>
      </c>
      <c r="O28" s="16"/>
      <c r="P28" s="5"/>
      <c r="Q28" s="5"/>
      <c r="R28" s="5"/>
      <c r="S28" s="5"/>
      <c r="T28" s="13"/>
    </row>
    <row r="29" spans="1:20" x14ac:dyDescent="0.25">
      <c r="A29" s="263" t="s">
        <v>22</v>
      </c>
      <c r="B29" s="264"/>
      <c r="E29" s="240" t="str">
        <f>"DA Incremental Cost @ DA MW ("&amp;$B23&amp;" MW)"</f>
        <v>DA Incremental Cost @ DA MW (0 MW)</v>
      </c>
      <c r="F29" s="241"/>
      <c r="G29" s="241"/>
      <c r="H29" s="241"/>
      <c r="I29" s="44">
        <f>F19</f>
        <v>0</v>
      </c>
      <c r="J29" s="5"/>
      <c r="K29" s="29"/>
      <c r="L29" s="5"/>
      <c r="M29" s="13"/>
      <c r="O29" s="245" t="str">
        <f>"DA Incremental Cost @ DA MW ("&amp;$B23&amp;" MW)"</f>
        <v>DA Incremental Cost @ DA MW (0 MW)</v>
      </c>
      <c r="P29" s="246"/>
      <c r="Q29" s="246"/>
      <c r="R29" s="246"/>
      <c r="S29" s="246"/>
      <c r="T29" s="89">
        <f>I29</f>
        <v>0</v>
      </c>
    </row>
    <row r="30" spans="1:20" x14ac:dyDescent="0.25">
      <c r="A30" s="16" t="s">
        <v>43</v>
      </c>
      <c r="B30" s="13">
        <v>50</v>
      </c>
      <c r="E30" s="85"/>
      <c r="F30" s="86"/>
      <c r="G30" s="86"/>
      <c r="H30" s="86"/>
      <c r="I30" s="5"/>
      <c r="J30" s="5"/>
      <c r="K30" s="5"/>
      <c r="L30" s="29"/>
      <c r="M30" s="13"/>
      <c r="O30" s="16"/>
      <c r="P30" s="5"/>
      <c r="Q30" s="5"/>
      <c r="R30" s="5"/>
      <c r="S30" s="5"/>
      <c r="T30" s="13"/>
    </row>
    <row r="31" spans="1:20" ht="15.75" thickBot="1" x14ac:dyDescent="0.3">
      <c r="A31" s="16" t="s">
        <v>13</v>
      </c>
      <c r="B31" s="6">
        <v>50</v>
      </c>
      <c r="D31" s="32"/>
      <c r="E31" s="240" t="s">
        <v>19</v>
      </c>
      <c r="F31" s="241"/>
      <c r="G31" s="241"/>
      <c r="H31" s="241"/>
      <c r="I31" s="40">
        <f>I24+I27-I29</f>
        <v>0</v>
      </c>
      <c r="J31" s="5"/>
      <c r="K31" s="29"/>
      <c r="L31" s="45"/>
      <c r="M31" s="13"/>
      <c r="O31" s="245" t="s">
        <v>19</v>
      </c>
      <c r="P31" s="246"/>
      <c r="Q31" s="246"/>
      <c r="R31" s="246"/>
      <c r="S31" s="246"/>
      <c r="T31" s="31">
        <f>T24+T27-T29</f>
        <v>0</v>
      </c>
    </row>
    <row r="32" spans="1:20" ht="15.75" thickTop="1" x14ac:dyDescent="0.25">
      <c r="A32" s="16" t="s">
        <v>27</v>
      </c>
      <c r="B32" s="13">
        <v>50</v>
      </c>
      <c r="E32" s="16"/>
      <c r="F32" s="5"/>
      <c r="G32" s="5"/>
      <c r="H32" s="8"/>
      <c r="I32" s="5"/>
      <c r="J32" s="5"/>
      <c r="K32" s="5"/>
      <c r="L32" s="5"/>
      <c r="M32" s="13"/>
      <c r="O32" s="16"/>
      <c r="P32" s="5"/>
      <c r="Q32" s="5"/>
      <c r="R32" s="5"/>
      <c r="S32" s="5"/>
      <c r="T32" s="13"/>
    </row>
    <row r="33" spans="1:20" ht="15.75" thickBot="1" x14ac:dyDescent="0.3">
      <c r="A33" s="16" t="s">
        <v>29</v>
      </c>
      <c r="B33" s="13">
        <v>50</v>
      </c>
      <c r="E33" s="24"/>
      <c r="F33" s="46"/>
      <c r="G33" s="18"/>
      <c r="H33" s="46"/>
      <c r="I33" s="18"/>
      <c r="J33" s="18"/>
      <c r="K33" s="18"/>
      <c r="L33" s="18"/>
      <c r="M33" s="23"/>
      <c r="O33" s="16"/>
      <c r="P33" s="29"/>
      <c r="Q33" s="5"/>
      <c r="R33" s="5"/>
      <c r="S33" s="5"/>
      <c r="T33" s="13"/>
    </row>
    <row r="34" spans="1:20" ht="15.75" thickBot="1" x14ac:dyDescent="0.3">
      <c r="A34" s="16" t="s">
        <v>28</v>
      </c>
      <c r="B34" s="13">
        <f>IF(B23=0,B30,MAX(MIN(B33,B23),B30))</f>
        <v>50</v>
      </c>
      <c r="E34" s="58"/>
      <c r="F34" s="59"/>
      <c r="G34" s="59"/>
      <c r="H34" s="59"/>
      <c r="I34" s="102"/>
      <c r="J34" s="102"/>
      <c r="K34" s="59"/>
      <c r="L34" s="59"/>
      <c r="M34" s="60"/>
      <c r="O34" s="16"/>
      <c r="P34" s="5"/>
      <c r="Q34" s="5"/>
      <c r="R34" s="5"/>
      <c r="S34" s="5"/>
      <c r="T34" s="13"/>
    </row>
    <row r="35" spans="1:20" ht="15.75" thickBot="1" x14ac:dyDescent="0.3">
      <c r="A35" s="24" t="s">
        <v>8</v>
      </c>
      <c r="B35" s="23">
        <f>IF(AND(B33*0.9&lt;=B30,B33*1.1&gt;=B30),B30,MIN(B33,B30))</f>
        <v>50</v>
      </c>
      <c r="E35" s="227" t="s">
        <v>20</v>
      </c>
      <c r="F35" s="228"/>
      <c r="G35" s="228"/>
      <c r="H35" s="228"/>
      <c r="I35" s="228"/>
      <c r="J35" s="228"/>
      <c r="K35" s="228"/>
      <c r="L35" s="228"/>
      <c r="M35" s="229"/>
      <c r="N35" s="5"/>
      <c r="O35" s="227" t="s">
        <v>20</v>
      </c>
      <c r="P35" s="228"/>
      <c r="Q35" s="228"/>
      <c r="R35" s="228"/>
      <c r="S35" s="228"/>
      <c r="T35" s="229"/>
    </row>
    <row r="36" spans="1:20" x14ac:dyDescent="0.25">
      <c r="A36" s="14" t="s">
        <v>55</v>
      </c>
      <c r="B36" s="26">
        <v>1000</v>
      </c>
      <c r="E36" s="85" t="s">
        <v>12</v>
      </c>
      <c r="F36" s="86"/>
      <c r="G36" s="86"/>
      <c r="H36" s="86"/>
      <c r="I36" s="5"/>
      <c r="J36" s="5"/>
      <c r="K36" s="5"/>
      <c r="L36" s="5"/>
      <c r="M36" s="13"/>
      <c r="N36" s="5"/>
      <c r="O36" s="16" t="s">
        <v>12</v>
      </c>
      <c r="P36" s="5"/>
      <c r="Q36" s="5"/>
      <c r="R36" s="5"/>
      <c r="S36" s="5"/>
      <c r="T36" s="13"/>
    </row>
    <row r="37" spans="1:20" ht="15.75" thickBot="1" x14ac:dyDescent="0.3">
      <c r="A37" s="24" t="s">
        <v>56</v>
      </c>
      <c r="B37" s="23">
        <v>100</v>
      </c>
      <c r="E37" s="240" t="s">
        <v>21</v>
      </c>
      <c r="F37" s="241"/>
      <c r="G37" s="241"/>
      <c r="H37" s="241"/>
      <c r="I37" s="29">
        <f>(B30-B23)*B31</f>
        <v>2500</v>
      </c>
      <c r="J37" s="29"/>
      <c r="K37" s="29"/>
      <c r="L37" s="29"/>
      <c r="M37" s="13"/>
      <c r="N37" s="5"/>
      <c r="O37" s="245" t="s">
        <v>21</v>
      </c>
      <c r="P37" s="246"/>
      <c r="Q37" s="246"/>
      <c r="R37" s="246"/>
      <c r="S37" s="246"/>
      <c r="T37" s="30">
        <f>I37</f>
        <v>2500</v>
      </c>
    </row>
    <row r="38" spans="1:20" ht="15.75" thickBot="1" x14ac:dyDescent="0.3">
      <c r="E38" s="85"/>
      <c r="F38" s="86"/>
      <c r="G38" s="86"/>
      <c r="H38" s="86"/>
      <c r="I38" s="5"/>
      <c r="J38" s="5"/>
      <c r="K38" s="5"/>
      <c r="L38" s="5"/>
      <c r="M38" s="30"/>
      <c r="N38" s="5"/>
      <c r="O38" s="16"/>
      <c r="P38" s="5"/>
      <c r="Q38" s="5"/>
      <c r="R38" s="5"/>
      <c r="S38" s="5"/>
      <c r="T38" s="13"/>
    </row>
    <row r="39" spans="1:20" x14ac:dyDescent="0.25">
      <c r="E39" s="240" t="s">
        <v>23</v>
      </c>
      <c r="F39" s="241"/>
      <c r="G39" s="241"/>
      <c r="H39" s="241"/>
      <c r="I39" s="29">
        <f>MAX(M46*-1,0)</f>
        <v>0</v>
      </c>
      <c r="J39" s="29"/>
      <c r="K39" s="256" t="s">
        <v>30</v>
      </c>
      <c r="L39" s="257"/>
      <c r="M39" s="258"/>
      <c r="N39" s="5"/>
      <c r="O39" s="245" t="s">
        <v>23</v>
      </c>
      <c r="P39" s="246"/>
      <c r="Q39" s="246"/>
      <c r="R39" s="246"/>
      <c r="S39" s="246"/>
      <c r="T39" s="30">
        <f>I39</f>
        <v>0</v>
      </c>
    </row>
    <row r="40" spans="1:20" x14ac:dyDescent="0.25">
      <c r="E40" s="92"/>
      <c r="F40" s="67"/>
      <c r="G40" s="67"/>
      <c r="H40" s="67"/>
      <c r="I40" s="76"/>
      <c r="J40" s="76"/>
      <c r="K40" s="259" t="s">
        <v>24</v>
      </c>
      <c r="L40" s="260"/>
      <c r="M40" s="56">
        <f>I24</f>
        <v>0</v>
      </c>
      <c r="N40" s="5"/>
      <c r="O40" s="75"/>
      <c r="P40" s="76"/>
      <c r="Q40" s="76"/>
      <c r="R40" s="76"/>
      <c r="S40" s="76"/>
      <c r="T40" s="77"/>
    </row>
    <row r="41" spans="1:20" ht="30" customHeight="1" x14ac:dyDescent="0.25">
      <c r="E41" s="291" t="str">
        <f>"Incremental Cost @ RT MW Used ("&amp;$B35&amp;" MW)
plus Startup and No-Load"</f>
        <v>Incremental Cost @ RT MW Used (50 MW)
plus Startup and No-Load</v>
      </c>
      <c r="F41" s="292"/>
      <c r="G41" s="292"/>
      <c r="H41" s="292"/>
      <c r="I41" s="8">
        <f>M43+M44+M45</f>
        <v>2100</v>
      </c>
      <c r="J41" s="8"/>
      <c r="K41" s="259" t="s">
        <v>17</v>
      </c>
      <c r="L41" s="260"/>
      <c r="M41" s="56">
        <f>I27</f>
        <v>0</v>
      </c>
      <c r="N41" s="5"/>
      <c r="O41" s="240" t="str">
        <f>"Incremental Cost @ Actual RT MW ("&amp;$B30&amp;" MW)
plus Startup and No-Load"</f>
        <v>Incremental Cost @ Actual RT MW (50 MW)
plus Startup and No-Load</v>
      </c>
      <c r="P41" s="241"/>
      <c r="Q41" s="241"/>
      <c r="R41" s="241"/>
      <c r="S41" s="241"/>
      <c r="T41" s="6">
        <f>T19+B36+B37</f>
        <v>2100</v>
      </c>
    </row>
    <row r="42" spans="1:20" x14ac:dyDescent="0.25">
      <c r="E42" s="93"/>
      <c r="F42" s="100"/>
      <c r="G42" s="100"/>
      <c r="H42" s="100"/>
      <c r="I42" s="48"/>
      <c r="J42" s="48"/>
      <c r="K42" s="289" t="s">
        <v>25</v>
      </c>
      <c r="L42" s="290"/>
      <c r="M42" s="30">
        <f>(B34-B23)*B31</f>
        <v>2500</v>
      </c>
      <c r="N42" s="5"/>
      <c r="O42" s="47"/>
      <c r="P42" s="87"/>
      <c r="Q42" s="87"/>
      <c r="R42" s="87"/>
      <c r="S42" s="87"/>
      <c r="T42" s="90"/>
    </row>
    <row r="43" spans="1:20" ht="15.75" thickBot="1" x14ac:dyDescent="0.3">
      <c r="E43" s="287" t="s">
        <v>26</v>
      </c>
      <c r="F43" s="288"/>
      <c r="G43" s="288"/>
      <c r="H43" s="288"/>
      <c r="I43" s="50">
        <f>I24+I27+I37+I39-I41</f>
        <v>400</v>
      </c>
      <c r="J43" s="104"/>
      <c r="K43" s="245" t="s">
        <v>46</v>
      </c>
      <c r="L43" s="246"/>
      <c r="M43" s="30">
        <f>M19</f>
        <v>1000</v>
      </c>
      <c r="N43" s="5"/>
      <c r="O43" s="245" t="s">
        <v>26</v>
      </c>
      <c r="P43" s="246"/>
      <c r="Q43" s="246"/>
      <c r="R43" s="246"/>
      <c r="S43" s="246"/>
      <c r="T43" s="91">
        <f>T24+T27+T37+T39-T41</f>
        <v>400</v>
      </c>
    </row>
    <row r="44" spans="1:20" ht="16.5" thickTop="1" thickBot="1" x14ac:dyDescent="0.3">
      <c r="E44" s="49"/>
      <c r="F44" s="8"/>
      <c r="G44" s="8"/>
      <c r="H44" s="8"/>
      <c r="I44" s="8"/>
      <c r="J44" s="8"/>
      <c r="K44" s="245" t="s">
        <v>56</v>
      </c>
      <c r="L44" s="246"/>
      <c r="M44" s="123">
        <f>B37</f>
        <v>100</v>
      </c>
      <c r="N44" s="5"/>
      <c r="O44" s="51"/>
      <c r="P44" s="21"/>
      <c r="Q44" s="18"/>
      <c r="R44" s="18"/>
      <c r="S44" s="18"/>
      <c r="T44" s="23"/>
    </row>
    <row r="45" spans="1:20" x14ac:dyDescent="0.25">
      <c r="D45" s="33"/>
      <c r="E45" s="49"/>
      <c r="F45" s="8"/>
      <c r="G45" s="8"/>
      <c r="H45" s="8"/>
      <c r="I45" s="8"/>
      <c r="J45" s="8"/>
      <c r="K45" s="298" t="s">
        <v>55</v>
      </c>
      <c r="L45" s="299"/>
      <c r="M45" s="30">
        <f>B36</f>
        <v>1000</v>
      </c>
      <c r="N45" s="5"/>
      <c r="O45" s="8"/>
      <c r="P45" s="8"/>
      <c r="Q45" s="5"/>
      <c r="R45" s="5"/>
      <c r="S45" s="5"/>
      <c r="T45" s="5"/>
    </row>
    <row r="46" spans="1:20" ht="30" customHeight="1" thickBot="1" x14ac:dyDescent="0.3">
      <c r="D46" s="33"/>
      <c r="E46" s="49"/>
      <c r="F46" s="8"/>
      <c r="G46" s="76"/>
      <c r="H46" s="5"/>
      <c r="I46" s="29"/>
      <c r="J46" s="5"/>
      <c r="K46" s="247" t="s">
        <v>70</v>
      </c>
      <c r="L46" s="248"/>
      <c r="M46" s="103">
        <f>M42-M43-M44-M45</f>
        <v>400</v>
      </c>
    </row>
    <row r="47" spans="1:20" ht="16.5" thickTop="1" thickBot="1" x14ac:dyDescent="0.3">
      <c r="D47" s="33"/>
      <c r="E47" s="51"/>
      <c r="F47" s="21"/>
      <c r="G47" s="52"/>
      <c r="H47" s="18"/>
      <c r="I47" s="46"/>
      <c r="J47" s="18"/>
      <c r="K47" s="24"/>
      <c r="L47" s="18"/>
      <c r="M47" s="23"/>
    </row>
    <row r="48" spans="1:20" x14ac:dyDescent="0.25">
      <c r="A48" s="95"/>
      <c r="D48" s="33"/>
      <c r="E48" s="8"/>
      <c r="F48" s="8"/>
      <c r="G48" s="76"/>
      <c r="H48" s="5"/>
      <c r="I48" s="29"/>
      <c r="J48" s="5"/>
    </row>
    <row r="49" spans="1:23" ht="4.5" customHeight="1" x14ac:dyDescent="0.25">
      <c r="A49" s="98"/>
      <c r="D49" s="33"/>
      <c r="E49" s="8"/>
      <c r="F49" s="8"/>
      <c r="G49" s="76"/>
      <c r="H49" s="5"/>
      <c r="I49" s="29"/>
      <c r="J49" s="5"/>
    </row>
    <row r="50" spans="1:23" ht="22.5" customHeight="1" x14ac:dyDescent="0.25">
      <c r="A50" s="98"/>
      <c r="D50" s="33"/>
      <c r="E50" s="8"/>
      <c r="F50" s="8"/>
      <c r="G50" s="76"/>
      <c r="H50" s="5"/>
      <c r="I50" s="29"/>
      <c r="J50" s="5"/>
    </row>
    <row r="51" spans="1:23" ht="14.25" customHeight="1" x14ac:dyDescent="0.25">
      <c r="A51" s="98"/>
      <c r="D51" s="33"/>
      <c r="E51" s="8"/>
      <c r="F51" s="8"/>
      <c r="G51" s="76"/>
      <c r="H51" s="5"/>
      <c r="I51" s="29"/>
      <c r="J51" s="5"/>
    </row>
    <row r="52" spans="1:23" x14ac:dyDescent="0.25">
      <c r="A52" s="95"/>
      <c r="D52" s="33"/>
      <c r="E52" s="8"/>
      <c r="F52" s="8"/>
      <c r="G52" s="76"/>
      <c r="H52" s="5"/>
      <c r="I52" s="29"/>
      <c r="J52" s="5"/>
    </row>
    <row r="53" spans="1:23" ht="15" customHeight="1" x14ac:dyDescent="0.25">
      <c r="A53" s="98"/>
      <c r="D53" s="41"/>
      <c r="E53" s="34"/>
      <c r="F53" s="34"/>
      <c r="G53" s="41"/>
      <c r="H53" s="32"/>
      <c r="I53" s="32"/>
    </row>
    <row r="54" spans="1:23" x14ac:dyDescent="0.25">
      <c r="A54" s="94"/>
      <c r="D54" s="41"/>
      <c r="E54" s="34"/>
      <c r="F54" s="34"/>
      <c r="G54" s="41"/>
      <c r="H54" s="32"/>
      <c r="I54" s="32"/>
    </row>
    <row r="55" spans="1:23" x14ac:dyDescent="0.25">
      <c r="A55" s="53"/>
      <c r="B55" s="53"/>
      <c r="C55" s="53"/>
      <c r="D55" s="57"/>
      <c r="E55" s="54"/>
      <c r="F55" s="54"/>
      <c r="G55" s="57"/>
      <c r="H55" s="55"/>
      <c r="I55" s="55"/>
      <c r="J55" s="53"/>
      <c r="K55" s="53"/>
      <c r="L55" s="53"/>
      <c r="M55" s="53"/>
      <c r="N55" s="53"/>
      <c r="O55" s="53"/>
      <c r="P55" s="53"/>
      <c r="Q55" s="53"/>
      <c r="R55" s="53"/>
      <c r="S55" s="53"/>
      <c r="T55" s="53"/>
      <c r="U55" s="5"/>
      <c r="V55" s="5"/>
      <c r="W55" s="5"/>
    </row>
    <row r="56" spans="1:23" s="83" customFormat="1" ht="15" customHeight="1" x14ac:dyDescent="0.25">
      <c r="A56" s="286" t="s">
        <v>57</v>
      </c>
      <c r="B56" s="286"/>
      <c r="C56" s="286"/>
      <c r="D56" s="286"/>
      <c r="E56" s="286"/>
      <c r="F56" s="286"/>
      <c r="G56" s="286"/>
      <c r="H56" s="286"/>
      <c r="I56" s="286"/>
      <c r="J56" s="286"/>
      <c r="K56" s="286"/>
      <c r="L56" s="286"/>
      <c r="M56" s="286"/>
      <c r="N56" s="286"/>
      <c r="O56" s="286"/>
      <c r="P56" s="286"/>
      <c r="Q56" s="286"/>
      <c r="R56" s="286"/>
      <c r="S56" s="286"/>
      <c r="T56" s="286"/>
      <c r="U56" s="95"/>
      <c r="V56" s="95"/>
      <c r="W56" s="95"/>
    </row>
    <row r="57" spans="1:23" s="83" customFormat="1" ht="24" customHeight="1" thickBot="1" x14ac:dyDescent="0.3">
      <c r="A57" s="286"/>
      <c r="B57" s="286"/>
      <c r="C57" s="286"/>
      <c r="D57" s="286"/>
      <c r="E57" s="286"/>
      <c r="F57" s="286"/>
      <c r="G57" s="286"/>
      <c r="H57" s="286"/>
      <c r="I57" s="286"/>
      <c r="J57" s="286"/>
      <c r="K57" s="286"/>
      <c r="L57" s="286"/>
      <c r="M57" s="286"/>
      <c r="N57" s="286"/>
      <c r="O57" s="286"/>
      <c r="P57" s="286"/>
      <c r="Q57" s="286"/>
      <c r="R57" s="286"/>
      <c r="S57" s="286"/>
      <c r="T57" s="286"/>
      <c r="U57" s="95"/>
      <c r="V57" s="95"/>
      <c r="W57" s="95"/>
    </row>
    <row r="58" spans="1:23" ht="15.75" thickBot="1" x14ac:dyDescent="0.3">
      <c r="A58" s="250" t="s">
        <v>0</v>
      </c>
      <c r="B58" s="251"/>
      <c r="C58" s="251"/>
      <c r="D58" s="252"/>
      <c r="E58" s="235" t="s">
        <v>1</v>
      </c>
      <c r="F58" s="236"/>
      <c r="G58" s="249"/>
      <c r="H58" s="227" t="s">
        <v>2</v>
      </c>
      <c r="I58" s="228"/>
      <c r="J58" s="228"/>
      <c r="K58" s="229"/>
      <c r="L58" s="227" t="s">
        <v>32</v>
      </c>
      <c r="M58" s="228"/>
      <c r="N58" s="229"/>
    </row>
    <row r="59" spans="1:23" ht="64.5" customHeight="1" thickBot="1" x14ac:dyDescent="0.3">
      <c r="A59" s="109" t="s">
        <v>3</v>
      </c>
      <c r="B59" s="113" t="s">
        <v>33</v>
      </c>
      <c r="C59" s="113" t="s">
        <v>34</v>
      </c>
      <c r="D59" s="110" t="s">
        <v>4</v>
      </c>
      <c r="E59" s="109" t="s">
        <v>5</v>
      </c>
      <c r="F59" s="113" t="s">
        <v>6</v>
      </c>
      <c r="G59" s="114" t="s">
        <v>7</v>
      </c>
      <c r="H59" s="69" t="s">
        <v>38</v>
      </c>
      <c r="I59" s="65" t="s">
        <v>53</v>
      </c>
      <c r="J59" s="65" t="s">
        <v>6</v>
      </c>
      <c r="K59" s="66" t="s">
        <v>7</v>
      </c>
      <c r="L59" s="111" t="s">
        <v>5</v>
      </c>
      <c r="M59" s="65" t="s">
        <v>49</v>
      </c>
      <c r="N59" s="66" t="s">
        <v>47</v>
      </c>
    </row>
    <row r="60" spans="1:23" x14ac:dyDescent="0.25">
      <c r="A60" s="4">
        <v>1</v>
      </c>
      <c r="B60" s="5">
        <v>0</v>
      </c>
      <c r="C60" s="5">
        <v>50</v>
      </c>
      <c r="D60" s="6">
        <v>20</v>
      </c>
      <c r="E60" s="7">
        <f>IF(AND(B$74&gt;B60,B$74&lt;=C60),B$74,0)</f>
        <v>0</v>
      </c>
      <c r="F60" s="8">
        <f>IF(B74&gt;0,D60,0)</f>
        <v>0</v>
      </c>
      <c r="G60" s="8">
        <f>IF(E60&gt;0,IF(E60=B60,D60,IF(AND(E60&gt;B60,E60&lt;=C60),D60+(E60-B60)*((D60-D60)/(C60-B60)),0)),0)</f>
        <v>0</v>
      </c>
      <c r="H60" s="14">
        <f>IF(AND(MIN(B$81,B$84)&gt;B60,MIN(B$81,B$84)&lt;=C60),MIN(B$81,B$84),0)</f>
        <v>25</v>
      </c>
      <c r="I60" s="15">
        <f>IF(AND(B$86&gt;B60,B$86&lt;=C60),B$86,0)</f>
        <v>25</v>
      </c>
      <c r="J60" s="9">
        <f>IF(B81&gt;0,D60,0)</f>
        <v>20</v>
      </c>
      <c r="K60" s="11">
        <f>IF(H60&gt;0,IF(H60=B60,D60,IF(AND(H60&gt;B60,H60&lt;=C60),D60+(H60-B60)*((D60-D60)/(C60-B60)),0)),0)</f>
        <v>20</v>
      </c>
      <c r="L60" s="14">
        <f>IF(AND(B81&gt;B60,B81&lt;=C60),B81,0)</f>
        <v>25</v>
      </c>
      <c r="M60" s="9">
        <f>IF(B81&gt;0,D60,0)</f>
        <v>20</v>
      </c>
      <c r="N60" s="11">
        <f>IF(L60&gt;0,IF(L60=B60,D60,IF(AND(L60&gt;B60,L60&lt;=C60),D60+(L60-B60)*((D60-D60)/(C60-B60)),0)),0)</f>
        <v>20</v>
      </c>
    </row>
    <row r="61" spans="1:23" x14ac:dyDescent="0.25">
      <c r="A61" s="4">
        <v>2</v>
      </c>
      <c r="B61" s="5">
        <v>50</v>
      </c>
      <c r="C61" s="5">
        <v>75</v>
      </c>
      <c r="D61" s="6">
        <v>25</v>
      </c>
      <c r="E61" s="7">
        <f>IF(AND(B74&gt;B61,B74&lt;=C61),B74,0)</f>
        <v>0</v>
      </c>
      <c r="F61" s="8">
        <v>0</v>
      </c>
      <c r="G61" s="8">
        <f>IF(E61&gt;0,IF(AND(E61&gt;B61,E61&lt;C61),D60+(E61-B61)*((D61-D60)/(C61-B61)),0),0)</f>
        <v>0</v>
      </c>
      <c r="H61" s="16">
        <f t="shared" ref="H61:H62" si="6">IF(AND(MIN(B$81,B$84)&gt;B61,MIN(B$81,B$84)&lt;=C61),MIN(B$81,B$84),0)</f>
        <v>0</v>
      </c>
      <c r="I61" s="12">
        <f t="shared" ref="I61:I62" si="7">IF(AND(B$86&gt;B61,B$86&lt;=C61),B$86,0)</f>
        <v>0</v>
      </c>
      <c r="J61" s="5">
        <v>0</v>
      </c>
      <c r="K61" s="6">
        <f>IF(H61&gt;0,IF(H61=B61,D61,IF(AND(H61&gt;B61,H61&lt;=C61),D60+(H61-B61)*((D61-D60)/(C61-B61)),0)),0)</f>
        <v>0</v>
      </c>
      <c r="L61" s="16">
        <f>IF(AND(B81&gt;B61,B81&lt;=C61),B81,0)</f>
        <v>0</v>
      </c>
      <c r="M61" s="8">
        <v>0</v>
      </c>
      <c r="N61" s="6">
        <f>IF(L61&gt;0,IF(L61=B61,D61,IF(AND(L61&gt;B61,L61&lt;=C61),D61+(L61-B61)*((D61-D61)/(C61-B61)),0)),0)</f>
        <v>0</v>
      </c>
    </row>
    <row r="62" spans="1:23" ht="15.75" thickBot="1" x14ac:dyDescent="0.3">
      <c r="A62" s="17">
        <v>3</v>
      </c>
      <c r="B62" s="18">
        <v>75</v>
      </c>
      <c r="C62" s="18">
        <v>100</v>
      </c>
      <c r="D62" s="19">
        <v>30</v>
      </c>
      <c r="E62" s="20">
        <f>IF(AND(B74&gt;B62,B74&lt;=C62),B74,0)</f>
        <v>0</v>
      </c>
      <c r="F62" s="21">
        <v>0</v>
      </c>
      <c r="G62" s="21">
        <f>IF(E62&gt;0,IF(E62=C62,D62,IF(AND(E62&gt;B62,E62&lt;C62),D61+(E62-B62)*((D62-D61)/(C62-B62)),IF(E62&gt;C62,D62,0))),0)</f>
        <v>0</v>
      </c>
      <c r="H62" s="24">
        <f t="shared" si="6"/>
        <v>0</v>
      </c>
      <c r="I62" s="22">
        <f t="shared" si="7"/>
        <v>0</v>
      </c>
      <c r="J62" s="18">
        <v>0</v>
      </c>
      <c r="K62" s="19">
        <f>IF(AND(I62&gt;0,H62&lt;&gt;I62),MAX(K60:K61),IF(H62&gt;0,IF(H62=B62,D62,IF(AND(H62&gt;B62,H62&lt;=C62),D61+(H62-B62)*((D62-D61)/(C62-B62)),0)),0))</f>
        <v>0</v>
      </c>
      <c r="L62" s="24">
        <f>IF(AND(B81&gt;B62,B81&lt;=C62),B81,0)</f>
        <v>0</v>
      </c>
      <c r="M62" s="21">
        <v>0</v>
      </c>
      <c r="N62" s="19">
        <f>IF(L62&gt;0,IF(L62=B62,D62,IF(AND(L62&gt;B62,L62&lt;=C62),D62+(L62-B62)*((D62-D62)/(C62-B62)),0)),0)</f>
        <v>0</v>
      </c>
    </row>
    <row r="63" spans="1:23" ht="15.75" thickBot="1" x14ac:dyDescent="0.3">
      <c r="J63" s="25"/>
    </row>
    <row r="64" spans="1:23" ht="15.75" thickBot="1" x14ac:dyDescent="0.3">
      <c r="A64" s="227" t="s">
        <v>39</v>
      </c>
      <c r="B64" s="228"/>
      <c r="C64" s="228"/>
      <c r="D64" s="228"/>
      <c r="E64" s="228"/>
      <c r="F64" s="229"/>
      <c r="H64" s="253" t="s">
        <v>40</v>
      </c>
      <c r="I64" s="254"/>
      <c r="J64" s="254"/>
      <c r="K64" s="254"/>
      <c r="L64" s="254"/>
      <c r="M64" s="255"/>
      <c r="O64" s="253" t="s">
        <v>41</v>
      </c>
      <c r="P64" s="254"/>
      <c r="Q64" s="254"/>
      <c r="R64" s="254"/>
      <c r="S64" s="254"/>
      <c r="T64" s="255"/>
    </row>
    <row r="65" spans="1:20" ht="30.75" thickBot="1" x14ac:dyDescent="0.3">
      <c r="A65" s="112" t="s">
        <v>3</v>
      </c>
      <c r="B65" s="113" t="s">
        <v>33</v>
      </c>
      <c r="C65" s="113" t="s">
        <v>34</v>
      </c>
      <c r="D65" s="113" t="s">
        <v>49</v>
      </c>
      <c r="E65" s="113" t="s">
        <v>47</v>
      </c>
      <c r="F65" s="114" t="s">
        <v>48</v>
      </c>
      <c r="H65" s="112" t="s">
        <v>3</v>
      </c>
      <c r="I65" s="113" t="s">
        <v>50</v>
      </c>
      <c r="J65" s="113" t="s">
        <v>51</v>
      </c>
      <c r="K65" s="113" t="s">
        <v>49</v>
      </c>
      <c r="L65" s="113" t="s">
        <v>47</v>
      </c>
      <c r="M65" s="114" t="s">
        <v>48</v>
      </c>
      <c r="O65" s="112" t="s">
        <v>3</v>
      </c>
      <c r="P65" s="113" t="s">
        <v>33</v>
      </c>
      <c r="Q65" s="113" t="s">
        <v>34</v>
      </c>
      <c r="R65" s="113" t="s">
        <v>49</v>
      </c>
      <c r="S65" s="113" t="s">
        <v>47</v>
      </c>
      <c r="T65" s="114" t="s">
        <v>48</v>
      </c>
    </row>
    <row r="66" spans="1:20" x14ac:dyDescent="0.25">
      <c r="A66" s="4">
        <v>1</v>
      </c>
      <c r="B66" s="5">
        <v>0</v>
      </c>
      <c r="C66" s="5">
        <f>IF(AND(B74&gt;B60,B74&lt;C60),B74,IF(B74&gt;=C60,C60,0))</f>
        <v>0</v>
      </c>
      <c r="D66" s="29">
        <f>MIN(D60,F60)</f>
        <v>0</v>
      </c>
      <c r="E66" s="29">
        <f>IF(AND(B$74&gt;B60,B$74&lt;C60),G60,IF(B$74&gt;=C60,D60,0))</f>
        <v>0</v>
      </c>
      <c r="F66" s="30">
        <f>(C66-B66)*(D66+E66)/2</f>
        <v>0</v>
      </c>
      <c r="H66" s="4">
        <v>1</v>
      </c>
      <c r="I66" s="5">
        <v>0</v>
      </c>
      <c r="J66" s="5">
        <f>IF(AND(MAX(I$60:I$62)&gt;B60,MAX(I$60:I$62)&lt;C60),MAX(I$60:I$62),IF(MAX(I$60:I$62)&gt;=C60,C60,0))</f>
        <v>25</v>
      </c>
      <c r="K66" s="29">
        <f>MIN(D60,J60)</f>
        <v>20</v>
      </c>
      <c r="L66" s="29">
        <f>IF(AND(MAX(I$60:I$62)&gt;B60,MAX(I$60:I$62)&lt;C60),K60,IF(MAX(I$60:I$62)&gt;=C60,D60,0))</f>
        <v>20</v>
      </c>
      <c r="M66" s="30">
        <f>(J66-I66)*(K66+L66)/2</f>
        <v>500</v>
      </c>
      <c r="O66" s="4">
        <v>1</v>
      </c>
      <c r="P66" s="5">
        <v>0</v>
      </c>
      <c r="Q66" s="5">
        <f>IF(AND(B$81&gt;B60,B$81&lt;C60),B$81,IF(B$81&gt;=C60,C60,0))</f>
        <v>25</v>
      </c>
      <c r="R66" s="29">
        <f>MIN(D60,M60)</f>
        <v>20</v>
      </c>
      <c r="S66" s="29">
        <f>IF(AND(B$81&gt;B60,B$81&lt;C60),N60,IF(B$81&gt;=C60,D60,0))</f>
        <v>20</v>
      </c>
      <c r="T66" s="30">
        <f>(Q66-P66)*(R66+S66)/2</f>
        <v>500</v>
      </c>
    </row>
    <row r="67" spans="1:20" x14ac:dyDescent="0.25">
      <c r="A67" s="4">
        <v>2</v>
      </c>
      <c r="B67" s="5">
        <f>IF(B$74&gt;B61,C66,0)</f>
        <v>0</v>
      </c>
      <c r="C67" s="5">
        <f>IF(AND(B$74&gt;B61,B$74&lt;C61),B$74,IF(B$74&gt;=C61,C61,0))</f>
        <v>0</v>
      </c>
      <c r="D67" s="29">
        <f>IF(B67&lt;&gt;0,E66,0)</f>
        <v>0</v>
      </c>
      <c r="E67" s="29">
        <f>IF(AND(B$74&gt;B61,B$74&lt;C61),G61,IF(B$74&gt;=C61,D61,0))</f>
        <v>0</v>
      </c>
      <c r="F67" s="30">
        <f t="shared" ref="F67:F69" si="8">(C67-B67)*(D67+E67)/2</f>
        <v>0</v>
      </c>
      <c r="H67" s="4">
        <v>2</v>
      </c>
      <c r="I67" s="5">
        <f>IF(MAX(I$60:I$62)&gt;B61,C60,0)</f>
        <v>0</v>
      </c>
      <c r="J67" s="5">
        <f>IF(AND(MAX(I$60:I$62)&gt;B61,MAX(I$60:I$62)&lt;C61),MAX(I$60:I$62),IF(MAX(I$60:I$62)&gt;=C61,C61,0))</f>
        <v>0</v>
      </c>
      <c r="K67" s="29">
        <f>IF(I67&lt;&gt;0,L66,0)</f>
        <v>0</v>
      </c>
      <c r="L67" s="29">
        <f t="shared" ref="L67:L69" si="9">IF(AND(MAX(I$60:I$62)&gt;B61,MAX(I$60:I$62)&lt;C61),K61,IF(MAX(I$60:I$62)&gt;=C61,D61,0))</f>
        <v>0</v>
      </c>
      <c r="M67" s="30">
        <f t="shared" ref="M67:M69" si="10">(J67-I67)*(K67+L67)/2</f>
        <v>0</v>
      </c>
      <c r="O67" s="4">
        <v>2</v>
      </c>
      <c r="P67" s="5">
        <f>IF(B$81&gt;B61,Q66,0)</f>
        <v>0</v>
      </c>
      <c r="Q67" s="5">
        <f t="shared" ref="Q67:Q69" si="11">IF(AND(B$81&gt;B61,B$81&lt;C61),B$81,IF(B$81&gt;=C61,C61,0))</f>
        <v>0</v>
      </c>
      <c r="R67" s="29">
        <f>IF(P67&lt;&gt;0,S66,0)</f>
        <v>0</v>
      </c>
      <c r="S67" s="29">
        <f t="shared" ref="S67:S69" si="12">IF(AND(B$81&gt;B61,B$81&lt;C61),N61,IF(B$81&gt;=C61,D61,0))</f>
        <v>0</v>
      </c>
      <c r="T67" s="30">
        <f t="shared" ref="T67:T69" si="13">(Q67-P67)*(R67+S67)/2</f>
        <v>0</v>
      </c>
    </row>
    <row r="68" spans="1:20" x14ac:dyDescent="0.25">
      <c r="A68" s="4">
        <v>3</v>
      </c>
      <c r="B68" s="5">
        <f>IF(B$74&gt;B62,C67,0)</f>
        <v>0</v>
      </c>
      <c r="C68" s="5">
        <f>IF(AND(B$74&gt;B62,B$74&lt;C62),B$74,IF(B$74&gt;=C62,C62,0))</f>
        <v>0</v>
      </c>
      <c r="D68" s="29">
        <f t="shared" ref="D68:D69" si="14">IF(B68&lt;&gt;0,E67,0)</f>
        <v>0</v>
      </c>
      <c r="E68" s="29">
        <f t="shared" ref="E68:E69" si="15">IF(AND(B$74&gt;B62,B$74&lt;C62),G62,IF(B$74&gt;=C62,D62,0))</f>
        <v>0</v>
      </c>
      <c r="F68" s="30">
        <f t="shared" si="8"/>
        <v>0</v>
      </c>
      <c r="H68" s="4">
        <v>3</v>
      </c>
      <c r="I68" s="5">
        <f>IF(MAX(I$60:I$62)&gt;B62,C61,0)</f>
        <v>0</v>
      </c>
      <c r="J68" s="5">
        <f>IF(AND(MAX(I$60:I$62)&gt;B62,MAX(I$60:I$62)&lt;C62),MAX(I$60:I$62),IF(MAX(I$60:I$62)&gt;=C62,C62,0))</f>
        <v>0</v>
      </c>
      <c r="K68" s="29">
        <f>IF(I68&lt;&gt;0,L67,0)</f>
        <v>0</v>
      </c>
      <c r="L68" s="29">
        <f t="shared" si="9"/>
        <v>0</v>
      </c>
      <c r="M68" s="30">
        <f t="shared" si="10"/>
        <v>0</v>
      </c>
      <c r="O68" s="4">
        <v>3</v>
      </c>
      <c r="P68" s="5">
        <f t="shared" ref="P68" si="16">IF(B$81&gt;B62,Q67,0)</f>
        <v>0</v>
      </c>
      <c r="Q68" s="5">
        <f t="shared" si="11"/>
        <v>0</v>
      </c>
      <c r="R68" s="29">
        <f>IF(P68&lt;&gt;0,S67,0)</f>
        <v>0</v>
      </c>
      <c r="S68" s="29">
        <f t="shared" si="12"/>
        <v>0</v>
      </c>
      <c r="T68" s="30">
        <f t="shared" si="13"/>
        <v>0</v>
      </c>
    </row>
    <row r="69" spans="1:20" x14ac:dyDescent="0.25">
      <c r="A69" s="4">
        <v>4</v>
      </c>
      <c r="B69" s="5">
        <f>IF(B$74&gt;B63,C68,0)</f>
        <v>0</v>
      </c>
      <c r="C69" s="5">
        <f>IF(AND(B$74&gt;B63,B$74&lt;C63),B$74,IF(B$74&gt;=C63,C63,0))</f>
        <v>0</v>
      </c>
      <c r="D69" s="29">
        <f t="shared" si="14"/>
        <v>0</v>
      </c>
      <c r="E69" s="29">
        <f t="shared" si="15"/>
        <v>0</v>
      </c>
      <c r="F69" s="30">
        <f t="shared" si="8"/>
        <v>0</v>
      </c>
      <c r="H69" s="4">
        <v>4</v>
      </c>
      <c r="I69" s="5">
        <f>IF(MAX(I$60:I$62)&gt;C62,C62,0)</f>
        <v>0</v>
      </c>
      <c r="J69" s="5">
        <f>IF(AND(MAX(I$60:I$62)&gt;B63,MAX(I$60:I$62)&lt;C63),MAX(I$60:I$62),IF(MAX(I$60:I$62)&gt;=C63,C63,0))</f>
        <v>0</v>
      </c>
      <c r="K69" s="29">
        <f>IF(I69&lt;&gt;0,L68,0)</f>
        <v>0</v>
      </c>
      <c r="L69" s="29">
        <f t="shared" si="9"/>
        <v>0</v>
      </c>
      <c r="M69" s="30">
        <f t="shared" si="10"/>
        <v>0</v>
      </c>
      <c r="O69" s="4">
        <v>4</v>
      </c>
      <c r="P69" s="5">
        <f>IF(B$81&gt;C62,Q68,0)</f>
        <v>0</v>
      </c>
      <c r="Q69" s="5">
        <f t="shared" si="11"/>
        <v>0</v>
      </c>
      <c r="R69" s="29">
        <f>IF(P69&lt;&gt;0,S68,0)</f>
        <v>0</v>
      </c>
      <c r="S69" s="29">
        <f t="shared" si="12"/>
        <v>0</v>
      </c>
      <c r="T69" s="30">
        <f t="shared" si="13"/>
        <v>0</v>
      </c>
    </row>
    <row r="70" spans="1:20" ht="15.75" thickBot="1" x14ac:dyDescent="0.3">
      <c r="A70" s="24"/>
      <c r="B70" s="18"/>
      <c r="C70" s="18"/>
      <c r="D70" s="21"/>
      <c r="E70" s="21"/>
      <c r="F70" s="31">
        <f>SUM(F66:F69)</f>
        <v>0</v>
      </c>
      <c r="H70" s="24"/>
      <c r="I70" s="18"/>
      <c r="J70" s="18"/>
      <c r="K70" s="21"/>
      <c r="L70" s="21"/>
      <c r="M70" s="31">
        <f>SUM(M66:M69)</f>
        <v>500</v>
      </c>
      <c r="O70" s="24"/>
      <c r="P70" s="18"/>
      <c r="Q70" s="18"/>
      <c r="R70" s="21"/>
      <c r="S70" s="21"/>
      <c r="T70" s="31">
        <f>SUM(T66:T69)</f>
        <v>500</v>
      </c>
    </row>
    <row r="71" spans="1:20" ht="15.75" thickBot="1" x14ac:dyDescent="0.3"/>
    <row r="72" spans="1:20" ht="15.75" customHeight="1" thickBot="1" x14ac:dyDescent="0.3">
      <c r="A72" s="68" t="s">
        <v>37</v>
      </c>
      <c r="E72" s="277" t="s">
        <v>44</v>
      </c>
      <c r="F72" s="278"/>
      <c r="G72" s="278"/>
      <c r="H72" s="278"/>
      <c r="I72" s="278"/>
      <c r="J72" s="278"/>
      <c r="K72" s="278"/>
      <c r="L72" s="278"/>
      <c r="M72" s="279"/>
      <c r="O72" s="274" t="s">
        <v>42</v>
      </c>
      <c r="P72" s="275"/>
      <c r="Q72" s="275"/>
      <c r="R72" s="275"/>
      <c r="S72" s="275"/>
      <c r="T72" s="276"/>
    </row>
    <row r="73" spans="1:20" ht="15.75" thickBot="1" x14ac:dyDescent="0.3">
      <c r="A73" s="263" t="s">
        <v>10</v>
      </c>
      <c r="B73" s="264"/>
      <c r="E73" s="227" t="s">
        <v>11</v>
      </c>
      <c r="F73" s="228"/>
      <c r="G73" s="228"/>
      <c r="H73" s="228"/>
      <c r="I73" s="228"/>
      <c r="J73" s="228"/>
      <c r="K73" s="228"/>
      <c r="L73" s="228"/>
      <c r="M73" s="229"/>
      <c r="O73" s="280" t="s">
        <v>11</v>
      </c>
      <c r="P73" s="281"/>
      <c r="Q73" s="281"/>
      <c r="R73" s="281"/>
      <c r="S73" s="281"/>
      <c r="T73" s="282"/>
    </row>
    <row r="74" spans="1:20" x14ac:dyDescent="0.25">
      <c r="A74" s="4" t="s">
        <v>5</v>
      </c>
      <c r="B74" s="13">
        <v>0</v>
      </c>
      <c r="E74" s="261" t="s">
        <v>12</v>
      </c>
      <c r="F74" s="262"/>
      <c r="G74" s="262"/>
      <c r="H74" s="262"/>
      <c r="I74" s="99"/>
      <c r="J74" s="10"/>
      <c r="K74" s="10"/>
      <c r="L74" s="10"/>
      <c r="M74" s="26"/>
      <c r="O74" s="16" t="s">
        <v>12</v>
      </c>
      <c r="P74" s="29"/>
      <c r="Q74" s="5"/>
      <c r="R74" s="5"/>
      <c r="S74" s="5"/>
      <c r="T74" s="13"/>
    </row>
    <row r="75" spans="1:20" ht="15.75" thickBot="1" x14ac:dyDescent="0.3">
      <c r="A75" s="17" t="s">
        <v>13</v>
      </c>
      <c r="B75" s="19">
        <v>0</v>
      </c>
      <c r="E75" s="240" t="s">
        <v>14</v>
      </c>
      <c r="F75" s="241"/>
      <c r="G75" s="241"/>
      <c r="H75" s="241"/>
      <c r="I75" s="42">
        <f>B74*B75</f>
        <v>0</v>
      </c>
      <c r="J75" s="5"/>
      <c r="K75" s="5"/>
      <c r="L75" s="5"/>
      <c r="M75" s="13"/>
      <c r="O75" s="245" t="s">
        <v>14</v>
      </c>
      <c r="P75" s="246"/>
      <c r="Q75" s="246"/>
      <c r="R75" s="246"/>
      <c r="S75" s="246"/>
      <c r="T75" s="56">
        <f>I75</f>
        <v>0</v>
      </c>
    </row>
    <row r="76" spans="1:20" x14ac:dyDescent="0.25">
      <c r="E76" s="85"/>
      <c r="F76" s="86"/>
      <c r="G76" s="86"/>
      <c r="H76" s="86"/>
      <c r="I76" s="5"/>
      <c r="J76" s="5"/>
      <c r="K76" s="5"/>
      <c r="L76" s="5"/>
      <c r="M76" s="13"/>
      <c r="O76" s="16"/>
      <c r="P76" s="5"/>
      <c r="Q76" s="5"/>
      <c r="R76" s="5"/>
      <c r="S76" s="5"/>
      <c r="T76" s="13"/>
    </row>
    <row r="77" spans="1:20" ht="15.75" thickBot="1" x14ac:dyDescent="0.3">
      <c r="C77" s="32"/>
      <c r="D77" s="32"/>
      <c r="E77" s="85"/>
      <c r="F77" s="86"/>
      <c r="G77" s="86"/>
      <c r="H77" s="86"/>
      <c r="I77" s="5"/>
      <c r="J77" s="5"/>
      <c r="K77" s="5"/>
      <c r="L77" s="5"/>
      <c r="M77" s="13"/>
      <c r="O77" s="16"/>
      <c r="P77" s="5"/>
      <c r="Q77" s="5"/>
      <c r="R77" s="5"/>
      <c r="S77" s="5"/>
      <c r="T77" s="13"/>
    </row>
    <row r="78" spans="1:20" ht="30" x14ac:dyDescent="0.25">
      <c r="C78" s="32"/>
      <c r="E78" s="240" t="s">
        <v>15</v>
      </c>
      <c r="F78" s="241"/>
      <c r="G78" s="241"/>
      <c r="H78" s="241"/>
      <c r="I78" s="43">
        <f>M79</f>
        <v>0</v>
      </c>
      <c r="J78" s="5"/>
      <c r="K78" s="35" t="s">
        <v>16</v>
      </c>
      <c r="L78" s="36">
        <f>F70</f>
        <v>0</v>
      </c>
      <c r="M78" s="105" t="s">
        <v>17</v>
      </c>
      <c r="O78" s="245" t="s">
        <v>15</v>
      </c>
      <c r="P78" s="246"/>
      <c r="Q78" s="246"/>
      <c r="R78" s="246"/>
      <c r="S78" s="246"/>
      <c r="T78" s="88">
        <f>I78</f>
        <v>0</v>
      </c>
    </row>
    <row r="79" spans="1:20" ht="15.75" thickBot="1" x14ac:dyDescent="0.3">
      <c r="A79" s="68" t="s">
        <v>37</v>
      </c>
      <c r="E79" s="85"/>
      <c r="F79" s="86"/>
      <c r="G79" s="86"/>
      <c r="H79" s="86"/>
      <c r="I79" s="5"/>
      <c r="J79" s="5"/>
      <c r="K79" s="37" t="s">
        <v>18</v>
      </c>
      <c r="L79" s="38">
        <f>I75</f>
        <v>0</v>
      </c>
      <c r="M79" s="39">
        <f>MAX(L78-L79,0)</f>
        <v>0</v>
      </c>
      <c r="O79" s="16"/>
      <c r="P79" s="5"/>
      <c r="Q79" s="5"/>
      <c r="R79" s="5"/>
      <c r="S79" s="5"/>
      <c r="T79" s="13"/>
    </row>
    <row r="80" spans="1:20" x14ac:dyDescent="0.25">
      <c r="A80" s="263" t="s">
        <v>22</v>
      </c>
      <c r="B80" s="264"/>
      <c r="E80" s="240" t="str">
        <f>"DA Incremental Cost @ DA MW ("&amp;$B74&amp;" MW)"</f>
        <v>DA Incremental Cost @ DA MW (0 MW)</v>
      </c>
      <c r="F80" s="241"/>
      <c r="G80" s="241"/>
      <c r="H80" s="241"/>
      <c r="I80" s="44">
        <f>F70</f>
        <v>0</v>
      </c>
      <c r="J80" s="5"/>
      <c r="K80" s="29"/>
      <c r="L80" s="5"/>
      <c r="M80" s="13"/>
      <c r="O80" s="245" t="str">
        <f>"DA Incremental Cost @ DA MW ("&amp;$B74&amp;" MW)"</f>
        <v>DA Incremental Cost @ DA MW (0 MW)</v>
      </c>
      <c r="P80" s="246"/>
      <c r="Q80" s="246"/>
      <c r="R80" s="246"/>
      <c r="S80" s="246"/>
      <c r="T80" s="89">
        <f>I80</f>
        <v>0</v>
      </c>
    </row>
    <row r="81" spans="1:20" x14ac:dyDescent="0.25">
      <c r="A81" s="16" t="s">
        <v>43</v>
      </c>
      <c r="B81" s="13">
        <v>25</v>
      </c>
      <c r="E81" s="85"/>
      <c r="F81" s="86"/>
      <c r="G81" s="86"/>
      <c r="H81" s="86"/>
      <c r="I81" s="5"/>
      <c r="J81" s="5"/>
      <c r="K81" s="5"/>
      <c r="L81" s="29"/>
      <c r="M81" s="13"/>
      <c r="O81" s="16"/>
      <c r="P81" s="5"/>
      <c r="Q81" s="5"/>
      <c r="R81" s="5"/>
      <c r="S81" s="5"/>
      <c r="T81" s="13"/>
    </row>
    <row r="82" spans="1:20" ht="15.75" thickBot="1" x14ac:dyDescent="0.3">
      <c r="A82" s="16" t="s">
        <v>13</v>
      </c>
      <c r="B82" s="6">
        <v>50</v>
      </c>
      <c r="D82" s="32"/>
      <c r="E82" s="240" t="s">
        <v>19</v>
      </c>
      <c r="F82" s="241"/>
      <c r="G82" s="241"/>
      <c r="H82" s="241"/>
      <c r="I82" s="40">
        <f>I75+I78-I80</f>
        <v>0</v>
      </c>
      <c r="J82" s="5"/>
      <c r="K82" s="29"/>
      <c r="L82" s="45"/>
      <c r="M82" s="13"/>
      <c r="O82" s="245" t="s">
        <v>19</v>
      </c>
      <c r="P82" s="246"/>
      <c r="Q82" s="246"/>
      <c r="R82" s="246"/>
      <c r="S82" s="246"/>
      <c r="T82" s="31">
        <f>T75+T78-T80</f>
        <v>0</v>
      </c>
    </row>
    <row r="83" spans="1:20" ht="15.75" thickTop="1" x14ac:dyDescent="0.25">
      <c r="A83" s="16" t="s">
        <v>27</v>
      </c>
      <c r="B83" s="13">
        <v>50</v>
      </c>
      <c r="E83" s="16"/>
      <c r="F83" s="5"/>
      <c r="G83" s="5"/>
      <c r="H83" s="8"/>
      <c r="I83" s="5"/>
      <c r="J83" s="5"/>
      <c r="K83" s="5"/>
      <c r="L83" s="5"/>
      <c r="M83" s="13"/>
      <c r="O83" s="16"/>
      <c r="P83" s="5"/>
      <c r="Q83" s="5"/>
      <c r="R83" s="5"/>
      <c r="S83" s="5"/>
      <c r="T83" s="13"/>
    </row>
    <row r="84" spans="1:20" ht="15.75" thickBot="1" x14ac:dyDescent="0.3">
      <c r="A84" s="16" t="s">
        <v>29</v>
      </c>
      <c r="B84" s="13">
        <v>50</v>
      </c>
      <c r="E84" s="24"/>
      <c r="F84" s="46"/>
      <c r="G84" s="18"/>
      <c r="H84" s="46"/>
      <c r="I84" s="18"/>
      <c r="J84" s="18"/>
      <c r="K84" s="18"/>
      <c r="L84" s="18"/>
      <c r="M84" s="23"/>
      <c r="O84" s="16"/>
      <c r="P84" s="29"/>
      <c r="Q84" s="5"/>
      <c r="R84" s="5"/>
      <c r="S84" s="5"/>
      <c r="T84" s="13"/>
    </row>
    <row r="85" spans="1:20" ht="15.75" thickBot="1" x14ac:dyDescent="0.3">
      <c r="A85" s="16" t="s">
        <v>28</v>
      </c>
      <c r="B85" s="13">
        <f>IF(B74=0,B81,MAX(MIN(B84,B74),B81))</f>
        <v>25</v>
      </c>
      <c r="E85" s="58"/>
      <c r="F85" s="59"/>
      <c r="G85" s="59"/>
      <c r="H85" s="59"/>
      <c r="I85" s="102"/>
      <c r="J85" s="102"/>
      <c r="K85" s="59"/>
      <c r="L85" s="59"/>
      <c r="M85" s="60"/>
      <c r="O85" s="16"/>
      <c r="P85" s="5"/>
      <c r="Q85" s="5"/>
      <c r="R85" s="5"/>
      <c r="S85" s="5"/>
      <c r="T85" s="13"/>
    </row>
    <row r="86" spans="1:20" ht="15.75" thickBot="1" x14ac:dyDescent="0.3">
      <c r="A86" s="24" t="s">
        <v>8</v>
      </c>
      <c r="B86" s="23">
        <f>IF(AND(B84*0.9&lt;=B81,B84*1.1&gt;=B81),B81,MIN(B84,B81))</f>
        <v>25</v>
      </c>
      <c r="E86" s="227" t="s">
        <v>20</v>
      </c>
      <c r="F86" s="228"/>
      <c r="G86" s="228"/>
      <c r="H86" s="228"/>
      <c r="I86" s="228"/>
      <c r="J86" s="228"/>
      <c r="K86" s="228"/>
      <c r="L86" s="228"/>
      <c r="M86" s="229"/>
      <c r="O86" s="283" t="s">
        <v>20</v>
      </c>
      <c r="P86" s="284"/>
      <c r="Q86" s="284"/>
      <c r="R86" s="284"/>
      <c r="S86" s="284"/>
      <c r="T86" s="285"/>
    </row>
    <row r="87" spans="1:20" x14ac:dyDescent="0.25">
      <c r="A87" s="14" t="s">
        <v>55</v>
      </c>
      <c r="B87" s="26">
        <v>1000</v>
      </c>
      <c r="E87" s="85" t="s">
        <v>12</v>
      </c>
      <c r="F87" s="86"/>
      <c r="G87" s="86"/>
      <c r="H87" s="86"/>
      <c r="I87" s="5"/>
      <c r="J87" s="5"/>
      <c r="K87" s="5"/>
      <c r="L87" s="5"/>
      <c r="M87" s="13"/>
      <c r="O87" s="16" t="s">
        <v>12</v>
      </c>
      <c r="P87" s="5"/>
      <c r="Q87" s="5"/>
      <c r="R87" s="5"/>
      <c r="S87" s="5"/>
      <c r="T87" s="13"/>
    </row>
    <row r="88" spans="1:20" ht="15.75" thickBot="1" x14ac:dyDescent="0.3">
      <c r="A88" s="24" t="s">
        <v>56</v>
      </c>
      <c r="B88" s="23">
        <v>100</v>
      </c>
      <c r="E88" s="240" t="s">
        <v>21</v>
      </c>
      <c r="F88" s="241"/>
      <c r="G88" s="241"/>
      <c r="H88" s="241"/>
      <c r="I88" s="29">
        <f>(B81-B74)*B82</f>
        <v>1250</v>
      </c>
      <c r="J88" s="29"/>
      <c r="K88" s="29"/>
      <c r="L88" s="29"/>
      <c r="M88" s="13"/>
      <c r="O88" s="245" t="s">
        <v>21</v>
      </c>
      <c r="P88" s="246"/>
      <c r="Q88" s="246"/>
      <c r="R88" s="246"/>
      <c r="S88" s="246"/>
      <c r="T88" s="30">
        <f>I88</f>
        <v>1250</v>
      </c>
    </row>
    <row r="89" spans="1:20" ht="15.75" thickBot="1" x14ac:dyDescent="0.3">
      <c r="E89" s="85"/>
      <c r="F89" s="86"/>
      <c r="G89" s="86"/>
      <c r="H89" s="86"/>
      <c r="I89" s="5"/>
      <c r="J89" s="5"/>
      <c r="K89" s="5"/>
      <c r="L89" s="5"/>
      <c r="M89" s="30"/>
      <c r="O89" s="16"/>
      <c r="P89" s="5"/>
      <c r="Q89" s="5"/>
      <c r="R89" s="5"/>
      <c r="S89" s="5"/>
      <c r="T89" s="13"/>
    </row>
    <row r="90" spans="1:20" x14ac:dyDescent="0.25">
      <c r="E90" s="240" t="s">
        <v>23</v>
      </c>
      <c r="F90" s="241"/>
      <c r="G90" s="241"/>
      <c r="H90" s="241"/>
      <c r="I90" s="29">
        <f>MAX(M97*-1,0)</f>
        <v>350</v>
      </c>
      <c r="J90" s="29"/>
      <c r="K90" s="256" t="s">
        <v>30</v>
      </c>
      <c r="L90" s="257"/>
      <c r="M90" s="258"/>
      <c r="O90" s="245" t="s">
        <v>23</v>
      </c>
      <c r="P90" s="246"/>
      <c r="Q90" s="246"/>
      <c r="R90" s="246"/>
      <c r="S90" s="246"/>
      <c r="T90" s="30">
        <f>I90</f>
        <v>350</v>
      </c>
    </row>
    <row r="91" spans="1:20" x14ac:dyDescent="0.25">
      <c r="E91" s="92"/>
      <c r="F91" s="67"/>
      <c r="G91" s="67"/>
      <c r="H91" s="67"/>
      <c r="I91" s="76"/>
      <c r="J91" s="76"/>
      <c r="K91" s="259" t="s">
        <v>24</v>
      </c>
      <c r="L91" s="260"/>
      <c r="M91" s="56">
        <f>I75</f>
        <v>0</v>
      </c>
      <c r="O91" s="75"/>
      <c r="P91" s="76"/>
      <c r="Q91" s="76"/>
      <c r="R91" s="76"/>
      <c r="S91" s="76"/>
      <c r="T91" s="77"/>
    </row>
    <row r="92" spans="1:20" ht="37.5" customHeight="1" x14ac:dyDescent="0.25">
      <c r="E92" s="291" t="str">
        <f>"Incremental Cost @ RT MW Used ("&amp;$B86&amp;" MW)
plus Startup and No-Load"</f>
        <v>Incremental Cost @ RT MW Used (25 MW)
plus Startup and No-Load</v>
      </c>
      <c r="F92" s="292"/>
      <c r="G92" s="292"/>
      <c r="H92" s="292"/>
      <c r="I92" s="8">
        <f>M94+M95+M96</f>
        <v>1600</v>
      </c>
      <c r="J92" s="8"/>
      <c r="K92" s="259" t="s">
        <v>17</v>
      </c>
      <c r="L92" s="260"/>
      <c r="M92" s="56">
        <f>I78</f>
        <v>0</v>
      </c>
      <c r="O92" s="240" t="str">
        <f>"Incremental Cost @ Actual RT MW ("&amp;$B81&amp;" MW)
plus Startup and No-Load"</f>
        <v>Incremental Cost @ Actual RT MW (25 MW)
plus Startup and No-Load</v>
      </c>
      <c r="P92" s="241"/>
      <c r="Q92" s="241"/>
      <c r="R92" s="241"/>
      <c r="S92" s="241"/>
      <c r="T92" s="6">
        <f>T70+B87+B88</f>
        <v>1600</v>
      </c>
    </row>
    <row r="93" spans="1:20" x14ac:dyDescent="0.25">
      <c r="E93" s="93"/>
      <c r="F93" s="100"/>
      <c r="G93" s="100"/>
      <c r="H93" s="100"/>
      <c r="I93" s="48"/>
      <c r="J93" s="48"/>
      <c r="K93" s="289" t="s">
        <v>25</v>
      </c>
      <c r="L93" s="290"/>
      <c r="M93" s="30">
        <f>(B85-B74)*B82</f>
        <v>1250</v>
      </c>
      <c r="O93" s="47"/>
      <c r="P93" s="87"/>
      <c r="Q93" s="87"/>
      <c r="R93" s="87"/>
      <c r="S93" s="87"/>
      <c r="T93" s="90"/>
    </row>
    <row r="94" spans="1:20" ht="15.75" customHeight="1" thickBot="1" x14ac:dyDescent="0.3">
      <c r="E94" s="287" t="s">
        <v>26</v>
      </c>
      <c r="F94" s="288"/>
      <c r="G94" s="288"/>
      <c r="H94" s="288"/>
      <c r="I94" s="50">
        <f>I75+I78+I88+I90-I92</f>
        <v>0</v>
      </c>
      <c r="J94" s="104"/>
      <c r="K94" s="245" t="s">
        <v>46</v>
      </c>
      <c r="L94" s="246"/>
      <c r="M94" s="30">
        <f>M70</f>
        <v>500</v>
      </c>
      <c r="O94" s="245" t="s">
        <v>26</v>
      </c>
      <c r="P94" s="246"/>
      <c r="Q94" s="246"/>
      <c r="R94" s="246"/>
      <c r="S94" s="246"/>
      <c r="T94" s="91">
        <f>T75+T78+T88+T90-T92</f>
        <v>0</v>
      </c>
    </row>
    <row r="95" spans="1:20" ht="29.25" customHeight="1" thickTop="1" thickBot="1" x14ac:dyDescent="0.3">
      <c r="E95" s="49"/>
      <c r="F95" s="8"/>
      <c r="G95" s="8"/>
      <c r="H95" s="8"/>
      <c r="I95" s="8"/>
      <c r="J95" s="8"/>
      <c r="K95" s="245" t="s">
        <v>56</v>
      </c>
      <c r="L95" s="246"/>
      <c r="M95" s="123">
        <f>B88</f>
        <v>100</v>
      </c>
      <c r="O95" s="51"/>
      <c r="P95" s="21"/>
      <c r="Q95" s="18"/>
      <c r="R95" s="18"/>
      <c r="S95" s="18"/>
      <c r="T95" s="23"/>
    </row>
    <row r="96" spans="1:20" x14ac:dyDescent="0.25">
      <c r="D96" s="33"/>
      <c r="E96" s="49"/>
      <c r="F96" s="8"/>
      <c r="G96" s="8"/>
      <c r="H96" s="8"/>
      <c r="I96" s="8"/>
      <c r="J96" s="8"/>
      <c r="K96" s="298" t="s">
        <v>55</v>
      </c>
      <c r="L96" s="299"/>
      <c r="M96" s="30">
        <f>B87</f>
        <v>1000</v>
      </c>
    </row>
    <row r="97" spans="1:23" ht="28.5" customHeight="1" thickBot="1" x14ac:dyDescent="0.3">
      <c r="D97" s="33"/>
      <c r="E97" s="49"/>
      <c r="F97" s="8"/>
      <c r="G97" s="76"/>
      <c r="H97" s="5"/>
      <c r="I97" s="29"/>
      <c r="J97" s="5"/>
      <c r="K97" s="247" t="s">
        <v>70</v>
      </c>
      <c r="L97" s="248"/>
      <c r="M97" s="103">
        <f>M93-M94-M95-M96</f>
        <v>-350</v>
      </c>
    </row>
    <row r="98" spans="1:23" ht="13.5" customHeight="1" thickTop="1" thickBot="1" x14ac:dyDescent="0.3">
      <c r="D98" s="33"/>
      <c r="E98" s="51"/>
      <c r="F98" s="21"/>
      <c r="G98" s="52"/>
      <c r="H98" s="18"/>
      <c r="I98" s="46"/>
      <c r="J98" s="18"/>
      <c r="K98" s="24"/>
      <c r="L98" s="18"/>
      <c r="M98" s="23"/>
    </row>
    <row r="99" spans="1:23" x14ac:dyDescent="0.25">
      <c r="D99" s="33"/>
      <c r="E99" s="8"/>
      <c r="F99" s="8"/>
      <c r="G99" s="76"/>
      <c r="H99" s="5"/>
      <c r="I99" s="29"/>
      <c r="J99" s="5"/>
    </row>
    <row r="100" spans="1:23" ht="13.5" customHeight="1" x14ac:dyDescent="0.25">
      <c r="D100" s="33"/>
      <c r="E100" s="8"/>
      <c r="F100" s="8"/>
      <c r="G100" s="76"/>
      <c r="H100" s="5"/>
      <c r="I100" s="29"/>
      <c r="J100" s="5"/>
    </row>
    <row r="101" spans="1:23" x14ac:dyDescent="0.25">
      <c r="D101" s="33"/>
      <c r="E101" s="8"/>
      <c r="F101" s="8"/>
      <c r="G101" s="76"/>
      <c r="H101" s="5"/>
      <c r="I101" s="29"/>
      <c r="J101" s="5"/>
    </row>
    <row r="102" spans="1:23" x14ac:dyDescent="0.25">
      <c r="D102" s="33"/>
      <c r="E102" s="8"/>
      <c r="F102" s="8"/>
      <c r="G102" s="76"/>
      <c r="H102" s="5"/>
      <c r="I102" s="29"/>
      <c r="J102" s="5"/>
    </row>
    <row r="103" spans="1:23" x14ac:dyDescent="0.25">
      <c r="D103" s="33"/>
      <c r="E103" s="8"/>
      <c r="F103" s="8"/>
      <c r="G103" s="76"/>
      <c r="H103" s="5"/>
      <c r="I103" s="29"/>
      <c r="J103" s="5"/>
    </row>
    <row r="104" spans="1:23" x14ac:dyDescent="0.25">
      <c r="D104" s="33"/>
      <c r="E104" s="8"/>
      <c r="F104" s="8"/>
      <c r="G104" s="76"/>
      <c r="H104" s="5"/>
      <c r="I104" s="29"/>
      <c r="J104" s="5"/>
    </row>
    <row r="105" spans="1:23" x14ac:dyDescent="0.25">
      <c r="D105" s="33"/>
      <c r="E105" s="8"/>
      <c r="F105" s="8"/>
      <c r="G105" s="76"/>
      <c r="H105" s="5"/>
      <c r="I105" s="29"/>
      <c r="J105" s="5"/>
    </row>
    <row r="106" spans="1:23" ht="17.25" customHeight="1" x14ac:dyDescent="0.25">
      <c r="A106" s="108"/>
      <c r="B106" s="53"/>
      <c r="C106" s="53"/>
      <c r="D106" s="115"/>
      <c r="E106" s="54"/>
      <c r="F106" s="54"/>
      <c r="G106" s="115"/>
      <c r="H106" s="53"/>
      <c r="I106" s="55"/>
      <c r="J106" s="53"/>
      <c r="K106" s="53"/>
      <c r="L106" s="53"/>
      <c r="M106" s="53"/>
      <c r="N106" s="53"/>
      <c r="O106" s="53"/>
      <c r="P106" s="53"/>
      <c r="Q106" s="53"/>
      <c r="R106" s="53"/>
      <c r="S106" s="53"/>
      <c r="T106" s="53"/>
    </row>
    <row r="107" spans="1:23" x14ac:dyDescent="0.25">
      <c r="A107" s="295" t="s">
        <v>58</v>
      </c>
      <c r="B107" s="295"/>
      <c r="C107" s="295"/>
      <c r="D107" s="295"/>
      <c r="E107" s="295"/>
      <c r="F107" s="295"/>
      <c r="G107" s="295"/>
      <c r="H107" s="295"/>
      <c r="I107" s="295"/>
      <c r="J107" s="295"/>
      <c r="K107" s="295"/>
      <c r="L107" s="295"/>
      <c r="M107" s="295"/>
      <c r="N107" s="295"/>
      <c r="O107" s="295"/>
      <c r="P107" s="295"/>
      <c r="Q107" s="295"/>
      <c r="R107" s="295"/>
      <c r="S107" s="295"/>
      <c r="T107" s="295"/>
    </row>
    <row r="108" spans="1:23" s="83" customFormat="1" ht="15.75" thickBot="1" x14ac:dyDescent="0.3">
      <c r="A108" s="296"/>
      <c r="B108" s="296"/>
      <c r="C108" s="296"/>
      <c r="D108" s="296"/>
      <c r="E108" s="296"/>
      <c r="F108" s="296"/>
      <c r="G108" s="296"/>
      <c r="H108" s="296"/>
      <c r="I108" s="296"/>
      <c r="J108" s="296"/>
      <c r="K108" s="296"/>
      <c r="L108" s="296"/>
      <c r="M108" s="296"/>
      <c r="N108" s="296"/>
      <c r="O108" s="296"/>
      <c r="P108" s="296"/>
      <c r="Q108" s="296"/>
      <c r="R108" s="296"/>
      <c r="S108" s="296"/>
      <c r="T108" s="296"/>
      <c r="U108" s="95"/>
      <c r="V108" s="95"/>
      <c r="W108" s="95"/>
    </row>
    <row r="109" spans="1:23" ht="15.75" thickBot="1" x14ac:dyDescent="0.3">
      <c r="A109" s="250" t="s">
        <v>0</v>
      </c>
      <c r="B109" s="251"/>
      <c r="C109" s="251"/>
      <c r="D109" s="252"/>
      <c r="E109" s="235" t="s">
        <v>1</v>
      </c>
      <c r="F109" s="236"/>
      <c r="G109" s="249"/>
      <c r="H109" s="227" t="s">
        <v>2</v>
      </c>
      <c r="I109" s="228"/>
      <c r="J109" s="228"/>
      <c r="K109" s="229"/>
      <c r="L109" s="227" t="s">
        <v>32</v>
      </c>
      <c r="M109" s="228"/>
      <c r="N109" s="229"/>
    </row>
    <row r="110" spans="1:23" ht="60.75" customHeight="1" thickBot="1" x14ac:dyDescent="0.3">
      <c r="A110" s="109" t="s">
        <v>3</v>
      </c>
      <c r="B110" s="113" t="s">
        <v>33</v>
      </c>
      <c r="C110" s="113" t="s">
        <v>34</v>
      </c>
      <c r="D110" s="110" t="s">
        <v>4</v>
      </c>
      <c r="E110" s="109" t="s">
        <v>5</v>
      </c>
      <c r="F110" s="113" t="s">
        <v>6</v>
      </c>
      <c r="G110" s="114" t="s">
        <v>7</v>
      </c>
      <c r="H110" s="69" t="s">
        <v>38</v>
      </c>
      <c r="I110" s="65" t="s">
        <v>8</v>
      </c>
      <c r="J110" s="65" t="s">
        <v>6</v>
      </c>
      <c r="K110" s="66" t="s">
        <v>7</v>
      </c>
      <c r="L110" s="111" t="s">
        <v>5</v>
      </c>
      <c r="M110" s="65" t="s">
        <v>49</v>
      </c>
      <c r="N110" s="66" t="s">
        <v>47</v>
      </c>
    </row>
    <row r="111" spans="1:23" x14ac:dyDescent="0.25">
      <c r="A111" s="4">
        <v>1</v>
      </c>
      <c r="B111" s="5">
        <v>0</v>
      </c>
      <c r="C111" s="5">
        <v>50</v>
      </c>
      <c r="D111" s="6">
        <v>20</v>
      </c>
      <c r="E111" s="7">
        <f>IF(AND(B$74&gt;B111,B$74&lt;=C111),B$74,0)</f>
        <v>0</v>
      </c>
      <c r="F111" s="8">
        <f>IF(B125&gt;0,D111,0)</f>
        <v>0</v>
      </c>
      <c r="G111" s="8">
        <f>IF(E111&gt;0,IF(E111=B111,D111,IF(AND(E111&gt;B111,E111&lt;=C111),D111+(E111-B111)*((D111-D111)/(C111-B111)),0)),0)</f>
        <v>0</v>
      </c>
      <c r="H111" s="14">
        <f>IF(AND(MIN(B$132,B$134)&gt;B111,MIN(B$132,B$134)&lt;=C111),MIN(B$132,B$134),0)</f>
        <v>25</v>
      </c>
      <c r="I111" s="15">
        <f>IF(AND(B$137&gt;B111,B$137&lt;=C111),B$137,0)</f>
        <v>25</v>
      </c>
      <c r="J111" s="9">
        <f>IF(B132&gt;0,D111,0)</f>
        <v>20</v>
      </c>
      <c r="K111" s="11">
        <f>IF(H111&gt;0,IF(H111=B111,D111,IF(AND(H111&gt;B111,H111&lt;=C111),D111+(H111-B111)*((D111-D111)/(C111-B111)),0)),0)</f>
        <v>20</v>
      </c>
      <c r="L111" s="14">
        <f>IF(AND(B132&gt;B111,B132&lt;=C111),B132,0)</f>
        <v>25</v>
      </c>
      <c r="M111" s="9">
        <f>IF(B132&gt;0,D111,0)</f>
        <v>20</v>
      </c>
      <c r="N111" s="11">
        <f>IF(L111&gt;0,IF(L111=B111,D111,IF(AND(L111&gt;B111,L111&lt;=C111),D111+(L111-B111)*((D111-D111)/(C111-B111)),0)),0)</f>
        <v>20</v>
      </c>
    </row>
    <row r="112" spans="1:23" x14ac:dyDescent="0.25">
      <c r="A112" s="4">
        <v>2</v>
      </c>
      <c r="B112" s="5">
        <v>50</v>
      </c>
      <c r="C112" s="5">
        <v>75</v>
      </c>
      <c r="D112" s="6">
        <v>25</v>
      </c>
      <c r="E112" s="7">
        <f>IF(AND(B125&gt;B112,B125&lt;=C112),B125,0)</f>
        <v>0</v>
      </c>
      <c r="F112" s="8">
        <v>0</v>
      </c>
      <c r="G112" s="8">
        <f>IF(E112&gt;0,IF(AND(E112&gt;B112,E112&lt;C112),D111+(E112-B112)*((D112-D111)/(C112-B112)),0),0)</f>
        <v>0</v>
      </c>
      <c r="H112" s="16">
        <f t="shared" ref="H112:H113" si="17">IF(AND(MIN(B$132,B$134)&gt;B112,MIN(B$132,B$134)&lt;=C112),MIN(B$132,B$134),0)</f>
        <v>0</v>
      </c>
      <c r="I112" s="12">
        <f>IF(AND(B$137&gt;B112,B$137&lt;=C112),B$137,0)</f>
        <v>0</v>
      </c>
      <c r="J112" s="5">
        <v>0</v>
      </c>
      <c r="K112" s="6">
        <f>IF(H112&gt;0,IF(H112=B112,D112,IF(AND(H112&gt;B112,H112&lt;=C112),D111+(H112-B112)*((D112-D111)/(C112-B112)),0)),0)</f>
        <v>0</v>
      </c>
      <c r="L112" s="16">
        <f>IF(AND(B132&gt;B112,B132&lt;=C112),B132,0)</f>
        <v>0</v>
      </c>
      <c r="M112" s="8">
        <v>0</v>
      </c>
      <c r="N112" s="6">
        <f>IF(L112&gt;0,IF(L112=B112,D112,IF(AND(L112&gt;B112,L112&lt;=C112),D112+(L112-B112)*((D112-D112)/(C112-B112)),0)),0)</f>
        <v>0</v>
      </c>
    </row>
    <row r="113" spans="1:20" ht="15.75" thickBot="1" x14ac:dyDescent="0.3">
      <c r="A113" s="17">
        <v>3</v>
      </c>
      <c r="B113" s="18">
        <v>75</v>
      </c>
      <c r="C113" s="18">
        <v>100</v>
      </c>
      <c r="D113" s="19">
        <v>30</v>
      </c>
      <c r="E113" s="20">
        <f>IF(AND(B125&gt;B113,B125&lt;=C113),B125,0)</f>
        <v>0</v>
      </c>
      <c r="F113" s="21">
        <v>0</v>
      </c>
      <c r="G113" s="21">
        <f>IF(E113&gt;0,IF(E113=C113,D113,IF(AND(E113&gt;B113,E113&lt;C113),D112+(E113-B113)*((D113-D112)/(C113-B113)),IF(E113&gt;C113,D113,0))),0)</f>
        <v>0</v>
      </c>
      <c r="H113" s="24">
        <f t="shared" si="17"/>
        <v>0</v>
      </c>
      <c r="I113" s="22">
        <f>IF(AND(B$137&gt;B113,B$137&lt;=C113),B$137,0)</f>
        <v>0</v>
      </c>
      <c r="J113" s="18">
        <v>0</v>
      </c>
      <c r="K113" s="19">
        <f>IF(AND(I113&gt;0,H113&lt;&gt;I113),MAX(K111:K112),IF(H113&gt;0,IF(H113=B113,D113,IF(AND(H113&gt;B113,H113&lt;=C113),D112+(H113-B113)*((D113-D112)/(C113-B113)),0)),0))</f>
        <v>0</v>
      </c>
      <c r="L113" s="24">
        <f>IF(AND(B132&gt;B113,B132&lt;=C113),B132,0)</f>
        <v>0</v>
      </c>
      <c r="M113" s="21">
        <v>0</v>
      </c>
      <c r="N113" s="19">
        <f>IF(L113&gt;0,IF(L113=B113,D113,IF(AND(L113&gt;B113,L113&lt;=C113),D113+(L113-B113)*((D113-D113)/(C113-B113)),0)),0)</f>
        <v>0</v>
      </c>
    </row>
    <row r="114" spans="1:20" ht="15.75" thickBot="1" x14ac:dyDescent="0.3">
      <c r="J114" s="25"/>
    </row>
    <row r="115" spans="1:20" ht="15.75" thickBot="1" x14ac:dyDescent="0.3">
      <c r="A115" s="235" t="s">
        <v>1</v>
      </c>
      <c r="B115" s="236"/>
      <c r="C115" s="10"/>
      <c r="D115" s="10"/>
      <c r="E115" s="10"/>
      <c r="F115" s="26"/>
      <c r="H115" s="235" t="s">
        <v>9</v>
      </c>
      <c r="I115" s="236"/>
      <c r="J115" s="236"/>
      <c r="K115" s="236"/>
      <c r="L115" s="236"/>
      <c r="M115" s="249"/>
      <c r="O115" s="235" t="s">
        <v>31</v>
      </c>
      <c r="P115" s="236"/>
      <c r="Q115" s="236"/>
      <c r="R115" s="236"/>
      <c r="S115" s="236"/>
      <c r="T115" s="249"/>
    </row>
    <row r="116" spans="1:20" ht="30.75" thickBot="1" x14ac:dyDescent="0.3">
      <c r="A116" s="112" t="s">
        <v>3</v>
      </c>
      <c r="B116" s="113" t="s">
        <v>33</v>
      </c>
      <c r="C116" s="113" t="s">
        <v>34</v>
      </c>
      <c r="D116" s="113" t="s">
        <v>49</v>
      </c>
      <c r="E116" s="113" t="s">
        <v>47</v>
      </c>
      <c r="F116" s="114" t="s">
        <v>48</v>
      </c>
      <c r="H116" s="112" t="s">
        <v>3</v>
      </c>
      <c r="I116" s="113" t="s">
        <v>50</v>
      </c>
      <c r="J116" s="113" t="s">
        <v>51</v>
      </c>
      <c r="K116" s="113" t="s">
        <v>49</v>
      </c>
      <c r="L116" s="113" t="s">
        <v>47</v>
      </c>
      <c r="M116" s="114" t="s">
        <v>48</v>
      </c>
      <c r="O116" s="112" t="s">
        <v>3</v>
      </c>
      <c r="P116" s="113" t="s">
        <v>33</v>
      </c>
      <c r="Q116" s="113" t="s">
        <v>34</v>
      </c>
      <c r="R116" s="113" t="s">
        <v>49</v>
      </c>
      <c r="S116" s="113" t="s">
        <v>47</v>
      </c>
      <c r="T116" s="114" t="s">
        <v>48</v>
      </c>
    </row>
    <row r="117" spans="1:20" x14ac:dyDescent="0.25">
      <c r="A117" s="4">
        <v>1</v>
      </c>
      <c r="B117" s="5">
        <v>0</v>
      </c>
      <c r="C117" s="5">
        <f>IF(AND(B125&gt;B111,B125&lt;C111),B125,IF(B125&gt;=C111,C111,0))</f>
        <v>0</v>
      </c>
      <c r="D117" s="29">
        <f>MIN(D111,F111)</f>
        <v>0</v>
      </c>
      <c r="E117" s="29">
        <f>IF(AND(B$125&gt;B111,B$125&lt;C111),G111,IF(B$125&gt;=C111,D111,0))</f>
        <v>0</v>
      </c>
      <c r="F117" s="30">
        <f>(C117-B117)*(D117+E117)/2</f>
        <v>0</v>
      </c>
      <c r="H117" s="4">
        <v>1</v>
      </c>
      <c r="I117" s="5">
        <v>0</v>
      </c>
      <c r="J117" s="5">
        <f>IF(AND(MAX(I$111:I$113)&gt;B111,MAX(I$111:I$113)&lt;C111),MAX(I$111:I$113),IF(MAX(I$111:I$113)&gt;=C111,C111,0))</f>
        <v>25</v>
      </c>
      <c r="K117" s="29">
        <f>MIN(D111,J111)</f>
        <v>20</v>
      </c>
      <c r="L117" s="29">
        <f>IF(AND(MAX(I$111:I$113)&gt;B111,MAX(I$111:I$113)&lt;C111),K111,IF(MAX(I$111:I$113)&gt;=C111,D111,0))</f>
        <v>20</v>
      </c>
      <c r="M117" s="30">
        <f>(J117-I117)*(K117+L117)/2</f>
        <v>500</v>
      </c>
      <c r="O117" s="4">
        <v>1</v>
      </c>
      <c r="P117" s="5">
        <v>0</v>
      </c>
      <c r="Q117" s="5">
        <f>IF(AND(B$132&gt;B111,B$132&lt;C111),B$132,IF(B$132&gt;=C111,C111,0))</f>
        <v>25</v>
      </c>
      <c r="R117" s="29">
        <f>MIN(D111,M111)</f>
        <v>20</v>
      </c>
      <c r="S117" s="29">
        <f>IF(AND(B$132&gt;B111,B$132&lt;C111),N111,IF(B$132&gt;=C111,D111,0))</f>
        <v>20</v>
      </c>
      <c r="T117" s="30">
        <f>(Q117-P117)*(R117+S117)/2</f>
        <v>500</v>
      </c>
    </row>
    <row r="118" spans="1:20" x14ac:dyDescent="0.25">
      <c r="A118" s="4">
        <v>2</v>
      </c>
      <c r="B118" s="5">
        <f>IF(B$125&gt;B112,C117,0)</f>
        <v>0</v>
      </c>
      <c r="C118" s="5">
        <f>IF(AND(B$125&gt;B112,B$125&lt;C112),B$125,IF(B$125&gt;=C112,C112,0))</f>
        <v>0</v>
      </c>
      <c r="D118" s="29">
        <f>IF(B118&lt;&gt;0,E117,0)</f>
        <v>0</v>
      </c>
      <c r="E118" s="29">
        <f t="shared" ref="E118:E120" si="18">IF(AND(B$125&gt;B112,B$125&lt;C112),G112,IF(B$125&gt;=C112,D112,0))</f>
        <v>0</v>
      </c>
      <c r="F118" s="30">
        <f t="shared" ref="F118:F120" si="19">(C118-B118)*(D118+E118)/2</f>
        <v>0</v>
      </c>
      <c r="H118" s="4">
        <v>2</v>
      </c>
      <c r="I118" s="5">
        <f>IF(MAX(I$111:I$113)&gt;B112,C111,0)</f>
        <v>0</v>
      </c>
      <c r="J118" s="5">
        <f t="shared" ref="J118:J120" si="20">IF(AND(MAX(I$111:I$113)&gt;B112,MAX(I$111:I$113)&lt;C112),MAX(I$111:I$113),IF(MAX(I$111:I$113)&gt;=C112,C112,0))</f>
        <v>0</v>
      </c>
      <c r="K118" s="29">
        <f>IF(I118&lt;&gt;0,L117,0)</f>
        <v>0</v>
      </c>
      <c r="L118" s="29">
        <f t="shared" ref="L118:L120" si="21">IF(AND(MAX(I$111:I$113)&gt;B112,MAX(I$111:I$113)&lt;C112),K112,IF(MAX(I$111:I$113)&gt;=C112,D112,0))</f>
        <v>0</v>
      </c>
      <c r="M118" s="30">
        <f t="shared" ref="M118:M120" si="22">(J118-I118)*(K118+L118)/2</f>
        <v>0</v>
      </c>
      <c r="O118" s="4">
        <v>2</v>
      </c>
      <c r="P118" s="5">
        <f>IF(B$132&gt;B112,Q117,0)</f>
        <v>0</v>
      </c>
      <c r="Q118" s="5">
        <f t="shared" ref="Q118:Q120" si="23">IF(AND(B$132&gt;B112,B$132&lt;C112),B$132,IF(B$132&gt;=C112,C112,0))</f>
        <v>0</v>
      </c>
      <c r="R118" s="29">
        <f>IF(P118&lt;&gt;0,S117,0)</f>
        <v>0</v>
      </c>
      <c r="S118" s="29">
        <f t="shared" ref="S118:S119" si="24">IF(AND(B$132&gt;B112,B$132&lt;C112),N112,IF(B$132&gt;=C112,D112,0))</f>
        <v>0</v>
      </c>
      <c r="T118" s="30">
        <f t="shared" ref="T118:T120" si="25">(Q118-P118)*(R118+S118)/2</f>
        <v>0</v>
      </c>
    </row>
    <row r="119" spans="1:20" x14ac:dyDescent="0.25">
      <c r="A119" s="4">
        <v>3</v>
      </c>
      <c r="B119" s="5">
        <f>IF(B$125&gt;B113,C118,0)</f>
        <v>0</v>
      </c>
      <c r="C119" s="5">
        <f t="shared" ref="C119:C120" si="26">IF(AND(B$125&gt;B113,B$125&lt;C113),B$125,IF(B$125&gt;=C113,C113,0))</f>
        <v>0</v>
      </c>
      <c r="D119" s="29">
        <f t="shared" ref="D119:D120" si="27">IF(B119&lt;&gt;0,E118,0)</f>
        <v>0</v>
      </c>
      <c r="E119" s="29">
        <f t="shared" si="18"/>
        <v>0</v>
      </c>
      <c r="F119" s="30">
        <f t="shared" si="19"/>
        <v>0</v>
      </c>
      <c r="H119" s="4">
        <v>3</v>
      </c>
      <c r="I119" s="5">
        <f t="shared" ref="I119" si="28">IF(MAX(I$111:I$113)&gt;B113,C112,0)</f>
        <v>0</v>
      </c>
      <c r="J119" s="5">
        <f t="shared" si="20"/>
        <v>0</v>
      </c>
      <c r="K119" s="29">
        <f>IF(I119&lt;&gt;0,L118,0)</f>
        <v>0</v>
      </c>
      <c r="L119" s="29">
        <f t="shared" si="21"/>
        <v>0</v>
      </c>
      <c r="M119" s="30">
        <f t="shared" si="22"/>
        <v>0</v>
      </c>
      <c r="O119" s="4">
        <v>3</v>
      </c>
      <c r="P119" s="5">
        <f>IF(B$132&gt;B113,Q118,0)</f>
        <v>0</v>
      </c>
      <c r="Q119" s="5">
        <f t="shared" si="23"/>
        <v>0</v>
      </c>
      <c r="R119" s="29">
        <f>IF(P119&lt;&gt;0,S118,0)</f>
        <v>0</v>
      </c>
      <c r="S119" s="29">
        <f t="shared" si="24"/>
        <v>0</v>
      </c>
      <c r="T119" s="30">
        <f t="shared" si="25"/>
        <v>0</v>
      </c>
    </row>
    <row r="120" spans="1:20" x14ac:dyDescent="0.25">
      <c r="A120" s="4">
        <v>4</v>
      </c>
      <c r="B120" s="5">
        <f>IF(B$125&gt;B114,C119,0)</f>
        <v>0</v>
      </c>
      <c r="C120" s="5">
        <f t="shared" si="26"/>
        <v>0</v>
      </c>
      <c r="D120" s="29">
        <f t="shared" si="27"/>
        <v>0</v>
      </c>
      <c r="E120" s="29">
        <f t="shared" si="18"/>
        <v>0</v>
      </c>
      <c r="F120" s="30">
        <f t="shared" si="19"/>
        <v>0</v>
      </c>
      <c r="H120" s="4">
        <v>4</v>
      </c>
      <c r="I120" s="5">
        <f>IF(MAX(I$111:I$113)&gt;C113,C113,0)</f>
        <v>0</v>
      </c>
      <c r="J120" s="5">
        <f t="shared" si="20"/>
        <v>0</v>
      </c>
      <c r="K120" s="29">
        <f>IF(I120&lt;&gt;0,L119,0)</f>
        <v>0</v>
      </c>
      <c r="L120" s="29">
        <f t="shared" si="21"/>
        <v>0</v>
      </c>
      <c r="M120" s="30">
        <f t="shared" si="22"/>
        <v>0</v>
      </c>
      <c r="O120" s="4">
        <v>4</v>
      </c>
      <c r="P120" s="5">
        <f>IF(B$132&gt;C113,Q119,0)</f>
        <v>0</v>
      </c>
      <c r="Q120" s="5">
        <f t="shared" si="23"/>
        <v>0</v>
      </c>
      <c r="R120" s="29">
        <f>IF(P120&lt;&gt;0,S119,0)</f>
        <v>0</v>
      </c>
      <c r="S120" s="29">
        <f t="shared" ref="S120" si="29">IF(AND(B$81&gt;B114,B$81&lt;C114),N114,IF(B$81&gt;=C114,D114,0))</f>
        <v>0</v>
      </c>
      <c r="T120" s="30">
        <f t="shared" si="25"/>
        <v>0</v>
      </c>
    </row>
    <row r="121" spans="1:20" ht="15.75" thickBot="1" x14ac:dyDescent="0.3">
      <c r="A121" s="24"/>
      <c r="B121" s="18"/>
      <c r="C121" s="18"/>
      <c r="D121" s="21"/>
      <c r="E121" s="21"/>
      <c r="F121" s="31">
        <f>SUM(F117:F120)</f>
        <v>0</v>
      </c>
      <c r="H121" s="24"/>
      <c r="I121" s="18"/>
      <c r="J121" s="18"/>
      <c r="K121" s="21"/>
      <c r="L121" s="21"/>
      <c r="M121" s="31">
        <f>SUM(M117:M120)</f>
        <v>500</v>
      </c>
      <c r="O121" s="24"/>
      <c r="P121" s="18"/>
      <c r="Q121" s="18"/>
      <c r="R121" s="21"/>
      <c r="S121" s="21"/>
      <c r="T121" s="31">
        <f>SUM(T117:T120)</f>
        <v>500</v>
      </c>
    </row>
    <row r="122" spans="1:20" ht="15.75" thickBot="1" x14ac:dyDescent="0.3"/>
    <row r="123" spans="1:20" ht="15.75" customHeight="1" thickBot="1" x14ac:dyDescent="0.3">
      <c r="A123" s="68" t="s">
        <v>37</v>
      </c>
      <c r="E123" s="277" t="s">
        <v>44</v>
      </c>
      <c r="F123" s="278"/>
      <c r="G123" s="278"/>
      <c r="H123" s="278"/>
      <c r="I123" s="278"/>
      <c r="J123" s="278"/>
      <c r="K123" s="278"/>
      <c r="L123" s="278"/>
      <c r="M123" s="279"/>
      <c r="O123" s="274" t="s">
        <v>42</v>
      </c>
      <c r="P123" s="275"/>
      <c r="Q123" s="275"/>
      <c r="R123" s="275"/>
      <c r="S123" s="275"/>
      <c r="T123" s="276"/>
    </row>
    <row r="124" spans="1:20" ht="15.75" thickBot="1" x14ac:dyDescent="0.3">
      <c r="A124" s="263" t="s">
        <v>10</v>
      </c>
      <c r="B124" s="264"/>
      <c r="E124" s="227" t="s">
        <v>11</v>
      </c>
      <c r="F124" s="228"/>
      <c r="G124" s="228"/>
      <c r="H124" s="228"/>
      <c r="I124" s="228"/>
      <c r="J124" s="228"/>
      <c r="K124" s="228"/>
      <c r="L124" s="228"/>
      <c r="M124" s="229"/>
      <c r="O124" s="280" t="s">
        <v>11</v>
      </c>
      <c r="P124" s="281"/>
      <c r="Q124" s="281"/>
      <c r="R124" s="281"/>
      <c r="S124" s="281"/>
      <c r="T124" s="282"/>
    </row>
    <row r="125" spans="1:20" x14ac:dyDescent="0.25">
      <c r="A125" s="4" t="s">
        <v>5</v>
      </c>
      <c r="B125" s="13">
        <v>0</v>
      </c>
      <c r="E125" s="261" t="s">
        <v>12</v>
      </c>
      <c r="F125" s="262"/>
      <c r="G125" s="262"/>
      <c r="H125" s="262"/>
      <c r="I125" s="99"/>
      <c r="J125" s="10"/>
      <c r="K125" s="10"/>
      <c r="L125" s="10"/>
      <c r="M125" s="26"/>
      <c r="O125" s="16" t="s">
        <v>12</v>
      </c>
      <c r="P125" s="29"/>
      <c r="Q125" s="5"/>
      <c r="R125" s="5"/>
      <c r="S125" s="5"/>
      <c r="T125" s="13"/>
    </row>
    <row r="126" spans="1:20" ht="15.75" thickBot="1" x14ac:dyDescent="0.3">
      <c r="A126" s="17" t="s">
        <v>13</v>
      </c>
      <c r="B126" s="19">
        <v>0</v>
      </c>
      <c r="E126" s="240" t="s">
        <v>14</v>
      </c>
      <c r="F126" s="241"/>
      <c r="G126" s="241"/>
      <c r="H126" s="241"/>
      <c r="I126" s="42">
        <f>B125*B126</f>
        <v>0</v>
      </c>
      <c r="J126" s="5"/>
      <c r="K126" s="5"/>
      <c r="L126" s="5"/>
      <c r="M126" s="13"/>
      <c r="O126" s="245" t="s">
        <v>14</v>
      </c>
      <c r="P126" s="246"/>
      <c r="Q126" s="246"/>
      <c r="R126" s="246"/>
      <c r="S126" s="246"/>
      <c r="T126" s="56">
        <f>I126</f>
        <v>0</v>
      </c>
    </row>
    <row r="127" spans="1:20" x14ac:dyDescent="0.25">
      <c r="E127" s="85"/>
      <c r="F127" s="86"/>
      <c r="G127" s="86"/>
      <c r="H127" s="86"/>
      <c r="I127" s="5"/>
      <c r="J127" s="5"/>
      <c r="K127" s="5"/>
      <c r="L127" s="5"/>
      <c r="M127" s="13"/>
      <c r="O127" s="16"/>
      <c r="P127" s="5"/>
      <c r="Q127" s="5"/>
      <c r="R127" s="5"/>
      <c r="S127" s="5"/>
      <c r="T127" s="13"/>
    </row>
    <row r="128" spans="1:20" ht="15.75" thickBot="1" x14ac:dyDescent="0.3">
      <c r="C128" s="32"/>
      <c r="D128" s="32"/>
      <c r="E128" s="85"/>
      <c r="F128" s="86"/>
      <c r="G128" s="86"/>
      <c r="H128" s="86"/>
      <c r="I128" s="5"/>
      <c r="J128" s="5"/>
      <c r="K128" s="5"/>
      <c r="L128" s="5"/>
      <c r="M128" s="13"/>
      <c r="O128" s="16"/>
      <c r="P128" s="5"/>
      <c r="Q128" s="5"/>
      <c r="R128" s="5"/>
      <c r="S128" s="5"/>
      <c r="T128" s="13"/>
    </row>
    <row r="129" spans="1:20" ht="30" x14ac:dyDescent="0.25">
      <c r="C129" s="32"/>
      <c r="E129" s="240" t="s">
        <v>15</v>
      </c>
      <c r="F129" s="241"/>
      <c r="G129" s="241"/>
      <c r="H129" s="241"/>
      <c r="I129" s="43">
        <f>M130</f>
        <v>0</v>
      </c>
      <c r="J129" s="5"/>
      <c r="K129" s="35" t="s">
        <v>16</v>
      </c>
      <c r="L129" s="36">
        <f>F121</f>
        <v>0</v>
      </c>
      <c r="M129" s="105" t="s">
        <v>17</v>
      </c>
      <c r="O129" s="245" t="s">
        <v>15</v>
      </c>
      <c r="P129" s="246"/>
      <c r="Q129" s="246"/>
      <c r="R129" s="246"/>
      <c r="S129" s="246"/>
      <c r="T129" s="88">
        <f>I129</f>
        <v>0</v>
      </c>
    </row>
    <row r="130" spans="1:20" ht="15.75" thickBot="1" x14ac:dyDescent="0.3">
      <c r="A130" s="68" t="s">
        <v>37</v>
      </c>
      <c r="E130" s="85"/>
      <c r="F130" s="86"/>
      <c r="G130" s="86"/>
      <c r="H130" s="86"/>
      <c r="I130" s="5"/>
      <c r="J130" s="5"/>
      <c r="K130" s="37" t="s">
        <v>18</v>
      </c>
      <c r="L130" s="38">
        <f>I126</f>
        <v>0</v>
      </c>
      <c r="M130" s="39">
        <f>MAX(L129-L130,0)</f>
        <v>0</v>
      </c>
      <c r="O130" s="16"/>
      <c r="P130" s="5"/>
      <c r="Q130" s="5"/>
      <c r="R130" s="5"/>
      <c r="S130" s="5"/>
      <c r="T130" s="13"/>
    </row>
    <row r="131" spans="1:20" x14ac:dyDescent="0.25">
      <c r="A131" s="263" t="s">
        <v>22</v>
      </c>
      <c r="B131" s="264"/>
      <c r="E131" s="240" t="str">
        <f>"DA Incremental Cost @ DA MW ("&amp;$B125&amp;" MW)"</f>
        <v>DA Incremental Cost @ DA MW (0 MW)</v>
      </c>
      <c r="F131" s="241"/>
      <c r="G131" s="241"/>
      <c r="H131" s="241"/>
      <c r="I131" s="44">
        <f>F121</f>
        <v>0</v>
      </c>
      <c r="J131" s="5"/>
      <c r="K131" s="29"/>
      <c r="L131" s="5"/>
      <c r="M131" s="13"/>
      <c r="O131" s="245" t="str">
        <f>"DA Incremental Cost @ DA MW ("&amp;$B125&amp;" MW)"</f>
        <v>DA Incremental Cost @ DA MW (0 MW)</v>
      </c>
      <c r="P131" s="246"/>
      <c r="Q131" s="246"/>
      <c r="R131" s="246"/>
      <c r="S131" s="246"/>
      <c r="T131" s="89">
        <f>I131</f>
        <v>0</v>
      </c>
    </row>
    <row r="132" spans="1:20" x14ac:dyDescent="0.25">
      <c r="A132" s="16" t="s">
        <v>43</v>
      </c>
      <c r="B132" s="13">
        <v>25</v>
      </c>
      <c r="E132" s="85"/>
      <c r="F132" s="86"/>
      <c r="G132" s="86"/>
      <c r="H132" s="86"/>
      <c r="I132" s="5"/>
      <c r="J132" s="5"/>
      <c r="K132" s="5"/>
      <c r="L132" s="29"/>
      <c r="M132" s="13"/>
      <c r="O132" s="16"/>
      <c r="P132" s="5"/>
      <c r="Q132" s="5"/>
      <c r="R132" s="5"/>
      <c r="S132" s="5"/>
      <c r="T132" s="13"/>
    </row>
    <row r="133" spans="1:20" ht="15.75" thickBot="1" x14ac:dyDescent="0.3">
      <c r="A133" s="16" t="s">
        <v>13</v>
      </c>
      <c r="B133" s="6">
        <v>50</v>
      </c>
      <c r="D133" s="32"/>
      <c r="E133" s="240" t="s">
        <v>19</v>
      </c>
      <c r="F133" s="241"/>
      <c r="G133" s="241"/>
      <c r="H133" s="241"/>
      <c r="I133" s="40">
        <f>I126+I129-I131</f>
        <v>0</v>
      </c>
      <c r="J133" s="5"/>
      <c r="K133" s="29"/>
      <c r="L133" s="45"/>
      <c r="M133" s="13"/>
      <c r="O133" s="245" t="s">
        <v>19</v>
      </c>
      <c r="P133" s="246"/>
      <c r="Q133" s="246"/>
      <c r="R133" s="246"/>
      <c r="S133" s="246"/>
      <c r="T133" s="31">
        <f>T126+T129-T131</f>
        <v>0</v>
      </c>
    </row>
    <row r="134" spans="1:20" ht="15.75" thickTop="1" x14ac:dyDescent="0.25">
      <c r="A134" s="16" t="s">
        <v>27</v>
      </c>
      <c r="B134" s="13">
        <v>45</v>
      </c>
      <c r="E134" s="16"/>
      <c r="F134" s="5"/>
      <c r="G134" s="5"/>
      <c r="H134" s="8"/>
      <c r="I134" s="5"/>
      <c r="J134" s="5"/>
      <c r="K134" s="5"/>
      <c r="L134" s="5"/>
      <c r="M134" s="13"/>
      <c r="O134" s="16"/>
      <c r="P134" s="5"/>
      <c r="Q134" s="5"/>
      <c r="R134" s="5"/>
      <c r="S134" s="5"/>
      <c r="T134" s="13"/>
    </row>
    <row r="135" spans="1:20" ht="15.75" thickBot="1" x14ac:dyDescent="0.3">
      <c r="A135" s="16" t="s">
        <v>29</v>
      </c>
      <c r="B135" s="13">
        <v>50</v>
      </c>
      <c r="E135" s="24"/>
      <c r="F135" s="46"/>
      <c r="G135" s="18"/>
      <c r="H135" s="46"/>
      <c r="I135" s="18"/>
      <c r="J135" s="18"/>
      <c r="K135" s="18"/>
      <c r="L135" s="18"/>
      <c r="M135" s="23"/>
      <c r="O135" s="16"/>
      <c r="P135" s="29"/>
      <c r="Q135" s="5"/>
      <c r="R135" s="5"/>
      <c r="S135" s="5"/>
      <c r="T135" s="13"/>
    </row>
    <row r="136" spans="1:20" ht="15.75" thickBot="1" x14ac:dyDescent="0.3">
      <c r="A136" s="16" t="s">
        <v>28</v>
      </c>
      <c r="B136" s="13">
        <v>25</v>
      </c>
      <c r="E136" s="58"/>
      <c r="F136" s="59"/>
      <c r="G136" s="59"/>
      <c r="H136" s="59"/>
      <c r="I136" s="102"/>
      <c r="J136" s="102"/>
      <c r="K136" s="59"/>
      <c r="L136" s="59"/>
      <c r="M136" s="60"/>
      <c r="O136" s="16"/>
      <c r="P136" s="5"/>
      <c r="Q136" s="5"/>
      <c r="R136" s="5"/>
      <c r="S136" s="5"/>
      <c r="T136" s="13"/>
    </row>
    <row r="137" spans="1:20" ht="15.75" thickBot="1" x14ac:dyDescent="0.3">
      <c r="A137" s="24" t="s">
        <v>8</v>
      </c>
      <c r="B137" s="23">
        <f>IF(AND(B134*0.9&lt;=B132,B134*1.1&gt;=B132),B132,MIN(B134,B132))</f>
        <v>25</v>
      </c>
      <c r="E137" s="227" t="s">
        <v>20</v>
      </c>
      <c r="F137" s="228"/>
      <c r="G137" s="228"/>
      <c r="H137" s="228"/>
      <c r="I137" s="228"/>
      <c r="J137" s="228"/>
      <c r="K137" s="228"/>
      <c r="L137" s="228"/>
      <c r="M137" s="229"/>
      <c r="O137" s="283" t="s">
        <v>20</v>
      </c>
      <c r="P137" s="284"/>
      <c r="Q137" s="284"/>
      <c r="R137" s="284"/>
      <c r="S137" s="284"/>
      <c r="T137" s="285"/>
    </row>
    <row r="138" spans="1:20" x14ac:dyDescent="0.25">
      <c r="A138" s="14" t="s">
        <v>55</v>
      </c>
      <c r="B138" s="26">
        <v>1000</v>
      </c>
      <c r="E138" s="85" t="s">
        <v>12</v>
      </c>
      <c r="F138" s="86"/>
      <c r="G138" s="86"/>
      <c r="H138" s="86"/>
      <c r="I138" s="5"/>
      <c r="J138" s="5"/>
      <c r="K138" s="5"/>
      <c r="L138" s="5"/>
      <c r="M138" s="13"/>
      <c r="O138" s="16" t="s">
        <v>12</v>
      </c>
      <c r="P138" s="5"/>
      <c r="Q138" s="5"/>
      <c r="R138" s="5"/>
      <c r="S138" s="5"/>
      <c r="T138" s="13"/>
    </row>
    <row r="139" spans="1:20" ht="15.75" thickBot="1" x14ac:dyDescent="0.3">
      <c r="A139" s="24" t="s">
        <v>56</v>
      </c>
      <c r="B139" s="23">
        <v>100</v>
      </c>
      <c r="E139" s="240" t="s">
        <v>21</v>
      </c>
      <c r="F139" s="241"/>
      <c r="G139" s="241"/>
      <c r="H139" s="241"/>
      <c r="I139" s="29">
        <f>(B132-B125)*B133</f>
        <v>1250</v>
      </c>
      <c r="J139" s="29"/>
      <c r="K139" s="29"/>
      <c r="L139" s="29"/>
      <c r="M139" s="13"/>
      <c r="O139" s="245" t="s">
        <v>21</v>
      </c>
      <c r="P139" s="246"/>
      <c r="Q139" s="246"/>
      <c r="R139" s="246"/>
      <c r="S139" s="246"/>
      <c r="T139" s="30">
        <f>I139</f>
        <v>1250</v>
      </c>
    </row>
    <row r="140" spans="1:20" ht="15.75" thickBot="1" x14ac:dyDescent="0.3">
      <c r="E140" s="85"/>
      <c r="F140" s="86"/>
      <c r="G140" s="86"/>
      <c r="H140" s="86"/>
      <c r="I140" s="5"/>
      <c r="J140" s="5"/>
      <c r="K140" s="5"/>
      <c r="L140" s="5"/>
      <c r="M140" s="30"/>
      <c r="O140" s="16"/>
      <c r="P140" s="5"/>
      <c r="Q140" s="5"/>
      <c r="R140" s="5"/>
      <c r="S140" s="5"/>
      <c r="T140" s="13"/>
    </row>
    <row r="141" spans="1:20" x14ac:dyDescent="0.25">
      <c r="E141" s="240" t="s">
        <v>23</v>
      </c>
      <c r="F141" s="241"/>
      <c r="G141" s="241"/>
      <c r="H141" s="241"/>
      <c r="I141" s="29">
        <f>MAX(M148*-1,0)</f>
        <v>350</v>
      </c>
      <c r="J141" s="29"/>
      <c r="K141" s="256" t="s">
        <v>30</v>
      </c>
      <c r="L141" s="257"/>
      <c r="M141" s="258"/>
      <c r="O141" s="245" t="s">
        <v>23</v>
      </c>
      <c r="P141" s="246"/>
      <c r="Q141" s="246"/>
      <c r="R141" s="246"/>
      <c r="S141" s="246"/>
      <c r="T141" s="30">
        <f>I141</f>
        <v>350</v>
      </c>
    </row>
    <row r="142" spans="1:20" x14ac:dyDescent="0.25">
      <c r="E142" s="92"/>
      <c r="F142" s="67"/>
      <c r="G142" s="67"/>
      <c r="H142" s="67"/>
      <c r="I142" s="76"/>
      <c r="J142" s="76"/>
      <c r="K142" s="259" t="s">
        <v>24</v>
      </c>
      <c r="L142" s="260"/>
      <c r="M142" s="56">
        <f>I126</f>
        <v>0</v>
      </c>
      <c r="O142" s="75"/>
      <c r="P142" s="76"/>
      <c r="Q142" s="76"/>
      <c r="R142" s="76"/>
      <c r="S142" s="76"/>
      <c r="T142" s="77"/>
    </row>
    <row r="143" spans="1:20" ht="30" customHeight="1" x14ac:dyDescent="0.25">
      <c r="E143" s="291" t="str">
        <f>"Incremental Cost @ RT MW Used ("&amp;$B137&amp;" MW)
plus startup and No-Load"</f>
        <v>Incremental Cost @ RT MW Used (25 MW)
plus startup and No-Load</v>
      </c>
      <c r="F143" s="292"/>
      <c r="G143" s="292"/>
      <c r="H143" s="292"/>
      <c r="I143" s="8">
        <f>M145+M146+M147</f>
        <v>1600</v>
      </c>
      <c r="J143" s="8"/>
      <c r="K143" s="259" t="s">
        <v>17</v>
      </c>
      <c r="L143" s="260"/>
      <c r="M143" s="56">
        <f>I129</f>
        <v>0</v>
      </c>
      <c r="O143" s="240" t="str">
        <f>"Incremental Cost @ Actual RT MW ("&amp;$B132&amp;" MW)
plus Startup and No-Load"</f>
        <v>Incremental Cost @ Actual RT MW (25 MW)
plus Startup and No-Load</v>
      </c>
      <c r="P143" s="241"/>
      <c r="Q143" s="241"/>
      <c r="R143" s="241"/>
      <c r="S143" s="241"/>
      <c r="T143" s="6">
        <f>T121+B138+B139</f>
        <v>1600</v>
      </c>
    </row>
    <row r="144" spans="1:20" x14ac:dyDescent="0.25">
      <c r="E144" s="93"/>
      <c r="F144" s="100"/>
      <c r="G144" s="100"/>
      <c r="H144" s="100"/>
      <c r="I144" s="48"/>
      <c r="J144" s="48"/>
      <c r="K144" s="289" t="s">
        <v>25</v>
      </c>
      <c r="L144" s="290"/>
      <c r="M144" s="30">
        <f>(B136-B125)*B133</f>
        <v>1250</v>
      </c>
      <c r="O144" s="47"/>
      <c r="P144" s="87"/>
      <c r="Q144" s="87"/>
      <c r="R144" s="87"/>
      <c r="S144" s="87"/>
      <c r="T144" s="90"/>
    </row>
    <row r="145" spans="4:20" ht="15.75" customHeight="1" thickBot="1" x14ac:dyDescent="0.3">
      <c r="E145" s="287" t="s">
        <v>26</v>
      </c>
      <c r="F145" s="288"/>
      <c r="G145" s="288"/>
      <c r="H145" s="288"/>
      <c r="I145" s="50">
        <f>I126+I129+I139+I141-I143</f>
        <v>0</v>
      </c>
      <c r="J145" s="104"/>
      <c r="K145" s="245" t="s">
        <v>46</v>
      </c>
      <c r="L145" s="246"/>
      <c r="M145" s="30">
        <f>M121</f>
        <v>500</v>
      </c>
      <c r="O145" s="245" t="s">
        <v>26</v>
      </c>
      <c r="P145" s="246"/>
      <c r="Q145" s="246"/>
      <c r="R145" s="246"/>
      <c r="S145" s="246"/>
      <c r="T145" s="91">
        <f>T126+T129+T139+T141-T143</f>
        <v>0</v>
      </c>
    </row>
    <row r="146" spans="4:20" ht="30" customHeight="1" thickTop="1" thickBot="1" x14ac:dyDescent="0.3">
      <c r="E146" s="49"/>
      <c r="F146" s="8"/>
      <c r="G146" s="8"/>
      <c r="H146" s="8"/>
      <c r="I146" s="8"/>
      <c r="J146" s="8"/>
      <c r="K146" s="245" t="s">
        <v>56</v>
      </c>
      <c r="L146" s="246"/>
      <c r="M146" s="123">
        <f>B139</f>
        <v>100</v>
      </c>
      <c r="O146" s="51"/>
      <c r="P146" s="21"/>
      <c r="Q146" s="18"/>
      <c r="R146" s="18"/>
      <c r="S146" s="18"/>
      <c r="T146" s="23"/>
    </row>
    <row r="147" spans="4:20" x14ac:dyDescent="0.25">
      <c r="D147" s="33"/>
      <c r="E147" s="49"/>
      <c r="F147" s="8"/>
      <c r="G147" s="8"/>
      <c r="H147" s="8"/>
      <c r="I147" s="8"/>
      <c r="J147" s="8"/>
      <c r="K147" s="298" t="s">
        <v>55</v>
      </c>
      <c r="L147" s="299"/>
      <c r="M147" s="30">
        <f>B138</f>
        <v>1000</v>
      </c>
      <c r="O147" s="8"/>
      <c r="P147" s="8"/>
      <c r="Q147" s="5"/>
      <c r="R147" s="5"/>
      <c r="S147" s="5"/>
      <c r="T147" s="5"/>
    </row>
    <row r="148" spans="4:20" ht="31.5" customHeight="1" thickBot="1" x14ac:dyDescent="0.3">
      <c r="D148" s="33"/>
      <c r="E148" s="49"/>
      <c r="F148" s="8"/>
      <c r="G148" s="76"/>
      <c r="H148" s="5"/>
      <c r="I148" s="29"/>
      <c r="J148" s="5"/>
      <c r="K148" s="247" t="s">
        <v>70</v>
      </c>
      <c r="L148" s="248"/>
      <c r="M148" s="103">
        <f>M144-M145-M146-M147</f>
        <v>-350</v>
      </c>
      <c r="O148" s="8"/>
      <c r="P148" s="8"/>
      <c r="Q148" s="5"/>
      <c r="R148" s="5"/>
      <c r="S148" s="5"/>
      <c r="T148" s="5"/>
    </row>
    <row r="149" spans="4:20" ht="16.5" thickTop="1" thickBot="1" x14ac:dyDescent="0.3">
      <c r="D149" s="33"/>
      <c r="E149" s="51"/>
      <c r="F149" s="21"/>
      <c r="G149" s="52"/>
      <c r="H149" s="18"/>
      <c r="I149" s="46"/>
      <c r="J149" s="18"/>
      <c r="K149" s="24"/>
      <c r="L149" s="18"/>
      <c r="M149" s="23"/>
      <c r="O149" s="8"/>
      <c r="P149" s="8"/>
      <c r="Q149" s="5"/>
      <c r="R149" s="5"/>
      <c r="S149" s="5"/>
      <c r="T149" s="5"/>
    </row>
    <row r="150" spans="4:20" x14ac:dyDescent="0.25">
      <c r="D150" s="33"/>
      <c r="E150" s="8"/>
      <c r="F150" s="8"/>
      <c r="G150" s="76"/>
      <c r="H150" s="5"/>
      <c r="I150" s="29"/>
      <c r="J150" s="5"/>
      <c r="O150" s="8"/>
      <c r="P150" s="8"/>
      <c r="Q150" s="5"/>
      <c r="R150" s="5"/>
      <c r="S150" s="5"/>
      <c r="T150" s="5"/>
    </row>
    <row r="151" spans="4:20" x14ac:dyDescent="0.25">
      <c r="D151" s="33"/>
      <c r="E151" s="8"/>
      <c r="F151" s="8"/>
      <c r="G151" s="76"/>
      <c r="H151" s="5"/>
      <c r="I151" s="29"/>
      <c r="J151" s="5"/>
      <c r="O151" s="8"/>
      <c r="P151" s="8"/>
      <c r="Q151" s="5"/>
      <c r="R151" s="5"/>
      <c r="S151" s="5"/>
      <c r="T151" s="5"/>
    </row>
    <row r="152" spans="4:20" x14ac:dyDescent="0.25">
      <c r="D152" s="33"/>
      <c r="E152" s="8"/>
      <c r="F152" s="8"/>
      <c r="G152" s="76"/>
      <c r="H152" s="5"/>
      <c r="I152" s="29"/>
      <c r="J152" s="5"/>
      <c r="O152" s="8"/>
      <c r="P152" s="8"/>
      <c r="Q152" s="5"/>
      <c r="R152" s="5"/>
      <c r="S152" s="5"/>
      <c r="T152" s="5"/>
    </row>
    <row r="153" spans="4:20" x14ac:dyDescent="0.25">
      <c r="D153" s="33"/>
      <c r="E153" s="8"/>
      <c r="F153" s="8"/>
      <c r="G153" s="76"/>
      <c r="H153" s="5"/>
      <c r="I153" s="29"/>
      <c r="J153" s="5"/>
      <c r="O153" s="8"/>
      <c r="P153" s="8"/>
      <c r="Q153" s="5"/>
      <c r="R153" s="5"/>
      <c r="S153" s="5"/>
      <c r="T153" s="5"/>
    </row>
    <row r="154" spans="4:20" x14ac:dyDescent="0.25">
      <c r="D154" s="33"/>
      <c r="E154" s="8"/>
      <c r="F154" s="8"/>
      <c r="G154" s="76"/>
      <c r="H154" s="5"/>
      <c r="I154" s="29"/>
      <c r="J154" s="5"/>
      <c r="O154" s="8"/>
      <c r="P154" s="8"/>
      <c r="Q154" s="5"/>
      <c r="R154" s="5"/>
      <c r="S154" s="5"/>
      <c r="T154" s="5"/>
    </row>
    <row r="161" spans="1:1" x14ac:dyDescent="0.25">
      <c r="A161" s="61"/>
    </row>
    <row r="179" spans="1:27" ht="18" customHeight="1" x14ac:dyDescent="0.25">
      <c r="A179" s="286" t="s">
        <v>107</v>
      </c>
      <c r="B179" s="286"/>
      <c r="C179" s="286"/>
      <c r="D179" s="286"/>
      <c r="E179" s="286"/>
      <c r="F179" s="286"/>
      <c r="G179" s="286"/>
      <c r="H179" s="286"/>
      <c r="I179" s="286"/>
      <c r="J179" s="286"/>
      <c r="K179" s="286"/>
      <c r="L179" s="286"/>
      <c r="M179" s="286"/>
      <c r="N179" s="286"/>
      <c r="O179" s="286"/>
      <c r="P179" s="286"/>
      <c r="Q179" s="286"/>
      <c r="R179" s="286"/>
      <c r="S179" s="286"/>
      <c r="T179" s="286"/>
    </row>
    <row r="180" spans="1:27" ht="19.5" customHeight="1" thickBot="1" x14ac:dyDescent="0.3">
      <c r="A180" s="293"/>
      <c r="B180" s="293"/>
      <c r="C180" s="293"/>
      <c r="D180" s="293"/>
      <c r="E180" s="293"/>
      <c r="F180" s="293"/>
      <c r="G180" s="293"/>
      <c r="H180" s="293"/>
      <c r="I180" s="293"/>
      <c r="J180" s="293"/>
      <c r="K180" s="293"/>
      <c r="L180" s="293"/>
      <c r="M180" s="293"/>
      <c r="N180" s="293"/>
      <c r="O180" s="293"/>
      <c r="P180" s="293"/>
      <c r="Q180" s="293"/>
      <c r="R180" s="293"/>
      <c r="S180" s="293"/>
      <c r="T180" s="293"/>
    </row>
    <row r="181" spans="1:27" ht="15.75" thickBot="1" x14ac:dyDescent="0.3">
      <c r="A181" s="250" t="s">
        <v>0</v>
      </c>
      <c r="B181" s="251"/>
      <c r="C181" s="251"/>
      <c r="D181" s="252"/>
      <c r="E181" s="235" t="s">
        <v>1</v>
      </c>
      <c r="F181" s="236"/>
      <c r="G181" s="249"/>
      <c r="H181" s="227" t="s">
        <v>89</v>
      </c>
      <c r="I181" s="228"/>
      <c r="J181" s="228"/>
      <c r="K181" s="229"/>
      <c r="L181" s="227" t="s">
        <v>32</v>
      </c>
      <c r="M181" s="228"/>
      <c r="N181" s="229"/>
      <c r="O181" s="227" t="s">
        <v>71</v>
      </c>
      <c r="P181" s="228"/>
      <c r="Q181" s="229"/>
    </row>
    <row r="182" spans="1:27" ht="45.75" thickBot="1" x14ac:dyDescent="0.3">
      <c r="A182" s="179" t="s">
        <v>3</v>
      </c>
      <c r="B182" s="185" t="s">
        <v>33</v>
      </c>
      <c r="C182" s="185" t="s">
        <v>34</v>
      </c>
      <c r="D182" s="180" t="s">
        <v>4</v>
      </c>
      <c r="E182" s="179" t="s">
        <v>5</v>
      </c>
      <c r="F182" s="185" t="s">
        <v>6</v>
      </c>
      <c r="G182" s="186" t="s">
        <v>7</v>
      </c>
      <c r="H182" s="69" t="s">
        <v>38</v>
      </c>
      <c r="I182" s="65" t="s">
        <v>8</v>
      </c>
      <c r="J182" s="65" t="s">
        <v>6</v>
      </c>
      <c r="K182" s="66" t="s">
        <v>7</v>
      </c>
      <c r="L182" s="183" t="s">
        <v>5</v>
      </c>
      <c r="M182" s="65" t="s">
        <v>49</v>
      </c>
      <c r="N182" s="66" t="s">
        <v>47</v>
      </c>
      <c r="O182" s="183" t="s">
        <v>5</v>
      </c>
      <c r="P182" s="65" t="s">
        <v>49</v>
      </c>
      <c r="Q182" s="66" t="s">
        <v>47</v>
      </c>
    </row>
    <row r="183" spans="1:27" x14ac:dyDescent="0.25">
      <c r="A183" s="4">
        <v>1</v>
      </c>
      <c r="B183" s="5">
        <v>0</v>
      </c>
      <c r="C183" s="5">
        <v>50</v>
      </c>
      <c r="D183" s="6">
        <v>20</v>
      </c>
      <c r="E183" s="7">
        <f>IF(AND(B$196&gt;B183,B$196&lt;=C183),B$196,0)</f>
        <v>0</v>
      </c>
      <c r="F183" s="8">
        <f>IF(B197&gt;0,D183,0)</f>
        <v>0</v>
      </c>
      <c r="G183" s="8">
        <f>IF(E183&gt;0,IF(E183=B183,D183,IF(AND(E183&gt;B183,E183&lt;=C183),D183+(E183-B183)*((D183-D183)/(C183-B183)),0)),0)</f>
        <v>0</v>
      </c>
      <c r="H183" s="14">
        <f>IF(AND(MIN(B$203,B$134)&gt;B183,MIN(B$203,B$205)&lt;=C183),MIN(B$203,B$205),0)</f>
        <v>50</v>
      </c>
      <c r="I183" s="15">
        <f>IF(AND(B$208&gt;B183,B$208&lt;=C183),B$208,0)</f>
        <v>25</v>
      </c>
      <c r="J183" s="9">
        <f>IF(B204&gt;0,D183,0)</f>
        <v>20</v>
      </c>
      <c r="K183" s="11">
        <f>IF(H183&gt;0,IF(H183=B183,D183,IF(AND(H183&gt;B183,H183&lt;=C183),D183+(H183-B183)*((D183-D183)/(C183-B183)),0)),0)</f>
        <v>20</v>
      </c>
      <c r="L183" s="14">
        <f>IF(AND(B204&gt;B183,B204&lt;=C183),B204,0)</f>
        <v>25</v>
      </c>
      <c r="M183" s="9">
        <f>IF(B204&gt;0,D183,0)</f>
        <v>20</v>
      </c>
      <c r="N183" s="11">
        <f>IF(L183&gt;0,IF(L183=B183,D183,IF(AND(L183&gt;B183,L183&lt;=C183),D183+(L183-B183)*((D183-D183)/(C183-B183)),0)),0)</f>
        <v>20</v>
      </c>
      <c r="O183" s="14">
        <f>IF(AND(B206&gt;B183,B206&lt;=C183),B206,0)</f>
        <v>45</v>
      </c>
      <c r="P183" s="9">
        <f>IF(B204&gt;0,D183,0)</f>
        <v>20</v>
      </c>
      <c r="Q183" s="11">
        <f>IF(O183&gt;0,IF(O183=B183,D183,IF(AND(O183&gt;B183,O183&lt;=C183),D183+(O183-B183)*((D183-D183)/(C183-B183)),0)),0)</f>
        <v>20</v>
      </c>
    </row>
    <row r="184" spans="1:27" x14ac:dyDescent="0.25">
      <c r="A184" s="4">
        <v>2</v>
      </c>
      <c r="B184" s="5">
        <v>50</v>
      </c>
      <c r="C184" s="5">
        <v>75</v>
      </c>
      <c r="D184" s="6">
        <v>25</v>
      </c>
      <c r="E184" s="7">
        <f>IF(AND(B197&gt;B184,B197&lt;=C184),B197,0)</f>
        <v>0</v>
      </c>
      <c r="F184" s="8">
        <v>0</v>
      </c>
      <c r="G184" s="8">
        <f>IF(E184&gt;0,IF(AND(E184&gt;B184,E184&lt;C184),D183+(E184-B184)*((D184-D183)/(C184-B184)),0),0)</f>
        <v>0</v>
      </c>
      <c r="H184" s="16">
        <f>IF(AND(MIN(B$203,B$205)&gt;B184,MIN(B$203,B$205)&lt;=C184),MIN(B$203,B$205),0)</f>
        <v>0</v>
      </c>
      <c r="I184" s="12">
        <f>IF(AND(B$208&gt;B184,B$208&lt;=C184),B$208,0)</f>
        <v>0</v>
      </c>
      <c r="J184" s="5">
        <v>0</v>
      </c>
      <c r="K184" s="6">
        <f>IF(H184&gt;0,IF(H184=B184,D184,IF(AND(H184&gt;B184,H184&lt;=C184),D183+(H184-B184)*((D184-D183)/(C184-B184)),0)),0)</f>
        <v>0</v>
      </c>
      <c r="L184" s="16">
        <f>IF(AND(B204&gt;B184,B204&lt;=C184),B204,0)</f>
        <v>0</v>
      </c>
      <c r="M184" s="8">
        <v>0</v>
      </c>
      <c r="N184" s="6">
        <f>IF(L184&gt;0,IF(L184=B184,D184,IF(AND(L184&gt;B184,L184&lt;=C184),D183+(L184-B184)*((D184-D183)/(C184-B184)),0)),0)</f>
        <v>0</v>
      </c>
      <c r="O184" s="16">
        <f>IF(AND(B206&gt;B184,B206&lt;=C184),B206,0)</f>
        <v>0</v>
      </c>
      <c r="P184" s="8">
        <v>0</v>
      </c>
      <c r="Q184" s="6">
        <f>IF(O184&gt;0,IF(O184=B184,D184,IF(AND(O184&gt;B184,O184&lt;=C184),D183+(O184-B184)*((D184-D183)/(C184-B184)),0)),0)</f>
        <v>0</v>
      </c>
    </row>
    <row r="185" spans="1:27" ht="15.75" thickBot="1" x14ac:dyDescent="0.3">
      <c r="A185" s="17">
        <v>3</v>
      </c>
      <c r="B185" s="18">
        <v>75</v>
      </c>
      <c r="C185" s="18">
        <v>100</v>
      </c>
      <c r="D185" s="19">
        <v>30</v>
      </c>
      <c r="E185" s="20">
        <f>IF(AND(B197&gt;B185,B197&lt;=C185),B197,0)</f>
        <v>0</v>
      </c>
      <c r="F185" s="21">
        <v>0</v>
      </c>
      <c r="G185" s="21">
        <f>IF(E185&gt;0,IF(E185=C185,D185,IF(AND(E185&gt;B185,E185&lt;C185),D184+(E185-B185)*((D185-D184)/(C185-B185)),IF(E185&gt;C185,D185,0))),0)</f>
        <v>0</v>
      </c>
      <c r="H185" s="24">
        <f>IF(AND(MIN(B$203,B$205)&gt;B185,MIN(B$203,B$205)&lt;=C185),MIN(B$203,B$205),0)</f>
        <v>0</v>
      </c>
      <c r="I185" s="22">
        <f>IF(B209&gt;C185,B209,IF(AND(B$208&gt;B185,B$208&lt;=C185),B$208,0))</f>
        <v>0</v>
      </c>
      <c r="J185" s="18">
        <v>0</v>
      </c>
      <c r="K185" s="19">
        <f>IF(AND(I185&gt;C185,H185=C185),D185,IF(AND(I185&gt;0,H185&lt;&gt;I185),MAX(K183:K184),IF(H185&gt;0,IF(H185=B185,D185,IF(AND(H185&gt;B185,H185&lt;=C185),D184+(H185-B185)*((D185-D184)/(C185-B185)),0)),0)))</f>
        <v>0</v>
      </c>
      <c r="L185" s="24">
        <f>IF(AND(B204&gt;B185,B204&lt;=C185),B204,IF(B204&gt;C185,B204,0))</f>
        <v>0</v>
      </c>
      <c r="M185" s="21">
        <v>0</v>
      </c>
      <c r="N185" s="19">
        <f>IF(L185&gt;0,IF(L185=B185,D185,IF(AND(L185&gt;B185,L185&lt;=C185),D184+(L185-B185)*((D185-D184)/(C185-B185)),IF(L185&gt;C185,D185,0))),0)</f>
        <v>0</v>
      </c>
      <c r="O185" s="24">
        <f>IF(AND(B206&gt;B185,B206&lt;=C185),B206,IF(B204&gt;C185,B206,0))</f>
        <v>0</v>
      </c>
      <c r="P185" s="21">
        <v>0</v>
      </c>
      <c r="Q185" s="19">
        <f>IF(O185&gt;0,IF(O185=B185,D185,IF(AND(O185&gt;B185,O185&lt;=C185),D184+(O185-B185)*((D185-D184)/(C185-B185)),IF(O185&gt;C185,D185,0))),0)</f>
        <v>0</v>
      </c>
    </row>
    <row r="186" spans="1:27" ht="15.75" thickBot="1" x14ac:dyDescent="0.3">
      <c r="J186" s="25"/>
    </row>
    <row r="187" spans="1:27" ht="15.75" thickBot="1" x14ac:dyDescent="0.3">
      <c r="A187" s="227" t="s">
        <v>1</v>
      </c>
      <c r="B187" s="228"/>
      <c r="C187" s="228"/>
      <c r="D187" s="228"/>
      <c r="E187" s="228"/>
      <c r="F187" s="229"/>
      <c r="H187" s="235" t="s">
        <v>94</v>
      </c>
      <c r="I187" s="236"/>
      <c r="J187" s="236"/>
      <c r="K187" s="236"/>
      <c r="L187" s="236"/>
      <c r="M187" s="249"/>
      <c r="O187" s="235" t="s">
        <v>31</v>
      </c>
      <c r="P187" s="236"/>
      <c r="Q187" s="236"/>
      <c r="R187" s="236"/>
      <c r="S187" s="236"/>
      <c r="T187" s="249"/>
      <c r="V187" s="235" t="s">
        <v>86</v>
      </c>
      <c r="W187" s="236"/>
      <c r="X187" s="236"/>
      <c r="Y187" s="236"/>
      <c r="Z187" s="236"/>
      <c r="AA187" s="249"/>
    </row>
    <row r="188" spans="1:27" ht="30.75" thickBot="1" x14ac:dyDescent="0.3">
      <c r="A188" s="184" t="s">
        <v>3</v>
      </c>
      <c r="B188" s="185" t="s">
        <v>33</v>
      </c>
      <c r="C188" s="185" t="s">
        <v>34</v>
      </c>
      <c r="D188" s="185" t="s">
        <v>49</v>
      </c>
      <c r="E188" s="185" t="s">
        <v>47</v>
      </c>
      <c r="F188" s="186" t="s">
        <v>48</v>
      </c>
      <c r="H188" s="184" t="s">
        <v>3</v>
      </c>
      <c r="I188" s="185" t="s">
        <v>50</v>
      </c>
      <c r="J188" s="185" t="s">
        <v>51</v>
      </c>
      <c r="K188" s="185" t="s">
        <v>49</v>
      </c>
      <c r="L188" s="185" t="s">
        <v>47</v>
      </c>
      <c r="M188" s="186" t="s">
        <v>48</v>
      </c>
      <c r="O188" s="184" t="s">
        <v>3</v>
      </c>
      <c r="P188" s="185" t="s">
        <v>33</v>
      </c>
      <c r="Q188" s="185" t="s">
        <v>34</v>
      </c>
      <c r="R188" s="185" t="s">
        <v>49</v>
      </c>
      <c r="S188" s="185" t="s">
        <v>47</v>
      </c>
      <c r="T188" s="186" t="s">
        <v>48</v>
      </c>
      <c r="V188" s="184" t="s">
        <v>3</v>
      </c>
      <c r="W188" s="185" t="s">
        <v>33</v>
      </c>
      <c r="X188" s="185" t="s">
        <v>34</v>
      </c>
      <c r="Y188" s="185" t="s">
        <v>49</v>
      </c>
      <c r="Z188" s="185" t="s">
        <v>47</v>
      </c>
      <c r="AA188" s="186" t="s">
        <v>48</v>
      </c>
    </row>
    <row r="189" spans="1:27" x14ac:dyDescent="0.25">
      <c r="A189" s="4">
        <v>1</v>
      </c>
      <c r="B189" s="5">
        <v>0</v>
      </c>
      <c r="C189" s="5">
        <f>IF(AND(B197&gt;B183,B197&lt;C183),B197,IF(B197&gt;=C183,C183,0))</f>
        <v>0</v>
      </c>
      <c r="D189" s="29">
        <f>MIN(D183,F183)</f>
        <v>0</v>
      </c>
      <c r="E189" s="29">
        <f>IF(AND(B$196&gt;B183,B$196&lt;C183),G183,IF(B$196&gt;=C183,D183,0))</f>
        <v>0</v>
      </c>
      <c r="F189" s="30">
        <f>(C189-B189)*(D189+E189)/2</f>
        <v>0</v>
      </c>
      <c r="H189" s="4">
        <v>1</v>
      </c>
      <c r="I189" s="5">
        <v>0</v>
      </c>
      <c r="J189" s="5">
        <f>IF(AND(MAX(I$182:I$184)&gt;B183,MAX(I$182:I$184)&lt;C183),MAX(I$182:I$184),IF(MAX(I$182:I$184)&gt;=C183,C183,0))</f>
        <v>25</v>
      </c>
      <c r="K189" s="29">
        <f>MIN(D183,J183)</f>
        <v>20</v>
      </c>
      <c r="L189" s="29">
        <f>IF(AND(MAX(I$182:I$184)&gt;B183,MAX(I$182:I$184)&lt;C183),K183,IF(MAX(I$182:I$184)&gt;=C183,D183,0))</f>
        <v>20</v>
      </c>
      <c r="M189" s="30">
        <f>(J189-I189)*(K189+L189)/2</f>
        <v>500</v>
      </c>
      <c r="O189" s="4">
        <v>1</v>
      </c>
      <c r="P189" s="5">
        <v>0</v>
      </c>
      <c r="Q189" s="5">
        <f>IF(AND(B$204&gt;B183,B$204&lt;C183),B$204,IF(B$204&gt;=C183,C183,0))</f>
        <v>25</v>
      </c>
      <c r="R189" s="29">
        <f>MIN(D183,M183)</f>
        <v>20</v>
      </c>
      <c r="S189" s="29">
        <f>IF(AND(B$204&gt;B183,B$204&lt;C183),N183,IF(B$204&gt;=C183,D183,0))</f>
        <v>20</v>
      </c>
      <c r="T189" s="30">
        <f>(Q189-P189)*(R189+S189)/2</f>
        <v>500</v>
      </c>
      <c r="V189" s="4">
        <v>1</v>
      </c>
      <c r="W189" s="5">
        <v>0</v>
      </c>
      <c r="X189" s="5">
        <f>IF(AND(B$206&gt;B183,B$206&lt;C183),B$206,IF(B$206&gt;=C183,C183,0))</f>
        <v>45</v>
      </c>
      <c r="Y189" s="29">
        <f>MIN(D183,P183)</f>
        <v>20</v>
      </c>
      <c r="Z189" s="29">
        <f>IF(AND(B206&gt;B183,B206&lt;C183),Q183,IF(B206&gt;=C183,D183,0))</f>
        <v>20</v>
      </c>
      <c r="AA189" s="30">
        <f>(X189-W189)*(Y189+Z189)/2</f>
        <v>900</v>
      </c>
    </row>
    <row r="190" spans="1:27" x14ac:dyDescent="0.25">
      <c r="A190" s="4">
        <v>2</v>
      </c>
      <c r="B190" s="5">
        <f>IF(B$196&gt;B184,C189,0)</f>
        <v>0</v>
      </c>
      <c r="C190" s="5">
        <f>IF(AND(B$196&gt;B184,B$196&lt;C184),B$196,IF(B$196&gt;=C184,C184,0))</f>
        <v>0</v>
      </c>
      <c r="D190" s="29">
        <f>IF(B190&lt;&gt;0,E189,0)</f>
        <v>0</v>
      </c>
      <c r="E190" s="29">
        <f>IF(AND(B$196&gt;B184,B$196&lt;C184),G184,IF(B$196&gt;=C184,D184,0))</f>
        <v>0</v>
      </c>
      <c r="F190" s="30">
        <f t="shared" ref="F190:F192" si="30">(C190-B190)*(D190+E190)/2</f>
        <v>0</v>
      </c>
      <c r="H190" s="4">
        <v>2</v>
      </c>
      <c r="I190" s="5">
        <f>IF(MAX(I$182:I$184)&gt;B184,C183,0)</f>
        <v>0</v>
      </c>
      <c r="J190" s="5">
        <f>IF(AND(MAX(I$182:I$184)&gt;B184,MAX(I$182:I$184)&lt;C184),MAX(I$182:I$184),IF(MAX(I$182:I$184)&gt;=C184,C184,0))</f>
        <v>0</v>
      </c>
      <c r="K190" s="29">
        <f>IF(I190&lt;&gt;0,L189,0)</f>
        <v>0</v>
      </c>
      <c r="L190" s="29">
        <f>IF(AND(MAX(I$182:I$184)&gt;B184,MAX(I$182:I$184)&lt;C184),K184,IF(MAX(I$182:I$184)&gt;=C184,D184,0))</f>
        <v>0</v>
      </c>
      <c r="M190" s="30">
        <f t="shared" ref="M190:M192" si="31">(J190-I190)*(K190+L190)/2</f>
        <v>0</v>
      </c>
      <c r="O190" s="4">
        <v>2</v>
      </c>
      <c r="P190" s="5">
        <f>IF(B$203&gt;B184,Q189,0)</f>
        <v>0</v>
      </c>
      <c r="Q190" s="5">
        <f>IF(AND(B$203&gt;B184,B$203&lt;C184),B$203,IF(B$203&gt;=C184,C184,0))</f>
        <v>0</v>
      </c>
      <c r="R190" s="29">
        <f>IF(P190&lt;&gt;0,S189,0)</f>
        <v>0</v>
      </c>
      <c r="S190" s="29">
        <f>IF(AND(B$203&gt;B184,B$203&lt;C184),N184,IF(B$203&gt;=C184,D184,0))</f>
        <v>0</v>
      </c>
      <c r="T190" s="30">
        <f t="shared" ref="T190:T192" si="32">(Q190-P190)*(R190+S190)/2</f>
        <v>0</v>
      </c>
      <c r="V190" s="4">
        <v>2</v>
      </c>
      <c r="W190" s="5">
        <f>IF(B$205&gt;B184,X189,0)</f>
        <v>0</v>
      </c>
      <c r="X190" s="5">
        <f>IF(AND(B$205&gt;B184,B$205&lt;C184),B$205,IF(B$205&gt;=C184,C184,0))</f>
        <v>0</v>
      </c>
      <c r="Y190" s="29">
        <f>IF(W190&lt;&gt;0,Z189,0)</f>
        <v>0</v>
      </c>
      <c r="Z190" s="29">
        <f>IF(AND(B206&gt;B184,B206&lt;C184),Q184,IF(B206&gt;=C184,D184,0))</f>
        <v>0</v>
      </c>
      <c r="AA190" s="30">
        <f t="shared" ref="AA190:AA192" si="33">(X190-W190)*(Y190+Z190)/2</f>
        <v>0</v>
      </c>
    </row>
    <row r="191" spans="1:27" x14ac:dyDescent="0.25">
      <c r="A191" s="4">
        <v>3</v>
      </c>
      <c r="B191" s="5">
        <f>IF(B$196&gt;B185,C190,0)</f>
        <v>0</v>
      </c>
      <c r="C191" s="5">
        <f>IF(AND(B$196&gt;B185,B$196&lt;C185),B$196,IF(B$196&gt;=C185,C185,0))</f>
        <v>0</v>
      </c>
      <c r="D191" s="29">
        <f t="shared" ref="D191:D192" si="34">IF(B191&lt;&gt;0,E190,0)</f>
        <v>0</v>
      </c>
      <c r="E191" s="29">
        <f>IF(AND(B$196&gt;B185,B$196&lt;C185),G185,IF(B$196&gt;=C185,D185,0))</f>
        <v>0</v>
      </c>
      <c r="F191" s="30">
        <f t="shared" si="30"/>
        <v>0</v>
      </c>
      <c r="H191" s="4">
        <v>3</v>
      </c>
      <c r="I191" s="5">
        <f>IF(MAX(I$182:I$184)&gt;B185,C184,0)</f>
        <v>0</v>
      </c>
      <c r="J191" s="5">
        <f>IF(AND(MAX(I$182:I$184)&gt;B185,MAX(I$182:I$184)&lt;C185),MAX(I$182:I$184),IF(MAX(I$182:I$184)&gt;=C185,C185,0))</f>
        <v>0</v>
      </c>
      <c r="K191" s="29">
        <f>IF(I191&lt;&gt;0,L190,0)</f>
        <v>0</v>
      </c>
      <c r="L191" s="29">
        <f>IF(AND(MAX(I$182:I$184)&gt;B185,MAX(I$182:I$184)&lt;C185),K185,IF(MAX(I$182:I$184)&gt;=C185,D185,0))</f>
        <v>0</v>
      </c>
      <c r="M191" s="30">
        <f t="shared" si="31"/>
        <v>0</v>
      </c>
      <c r="O191" s="4">
        <v>3</v>
      </c>
      <c r="P191" s="5">
        <f>IF(B$203&gt;B185,Q190,0)</f>
        <v>0</v>
      </c>
      <c r="Q191" s="5">
        <f>IF(AND(B$203&gt;B185,B$203&lt;C185),B$203,IF(B$203&gt;=C185,C185,0))</f>
        <v>0</v>
      </c>
      <c r="R191" s="29">
        <f>IF(P191&lt;&gt;0,S190,0)</f>
        <v>0</v>
      </c>
      <c r="S191" s="29">
        <f>IF(AND(B$203&gt;B185,B$203&lt;C185),N185,IF(B$203&gt;=C185,D185,0))</f>
        <v>0</v>
      </c>
      <c r="T191" s="30">
        <f t="shared" si="32"/>
        <v>0</v>
      </c>
      <c r="V191" s="4">
        <v>3</v>
      </c>
      <c r="W191" s="5">
        <f t="shared" ref="W191" si="35">IF(B$205&gt;B185,X190,0)</f>
        <v>0</v>
      </c>
      <c r="X191" s="5">
        <f>IF(AND(B$205&gt;B185,B$205&lt;C185),B$205,IF(B$205&gt;=C185,C185,0))</f>
        <v>0</v>
      </c>
      <c r="Y191" s="29">
        <f>IF(W191&lt;&gt;0,Z190,0)</f>
        <v>0</v>
      </c>
      <c r="Z191" s="29">
        <f>IF(AND(B206&gt;B185,B206&lt;C185),Q185,IF(B206&gt;=C185,D185,0))</f>
        <v>0</v>
      </c>
      <c r="AA191" s="30">
        <f t="shared" si="33"/>
        <v>0</v>
      </c>
    </row>
    <row r="192" spans="1:27" x14ac:dyDescent="0.25">
      <c r="A192" s="4">
        <v>4</v>
      </c>
      <c r="B192" s="5">
        <f>IF(B$196&gt;C185,C191,0)</f>
        <v>0</v>
      </c>
      <c r="C192" s="5">
        <f>IF(AND(B$196&gt;B186,B$196&lt;C186),B$196,IF(B$196&gt;=C186,C186,0))</f>
        <v>0</v>
      </c>
      <c r="D192" s="29">
        <f t="shared" si="34"/>
        <v>0</v>
      </c>
      <c r="E192" s="29">
        <f>IF(AND(B$196&gt;B186,B$196&lt;C186),G186,IF(B$196&gt;=C186,D186,0))</f>
        <v>0</v>
      </c>
      <c r="F192" s="30">
        <f t="shared" si="30"/>
        <v>0</v>
      </c>
      <c r="H192" s="4">
        <v>4</v>
      </c>
      <c r="I192" s="5">
        <f>IF(MAX(I$182:I$184)&gt;C185,C185,0)</f>
        <v>0</v>
      </c>
      <c r="J192" s="5">
        <f>IF(AND(MAX(I$182:I$184)&gt;B185,MAX(I$182:I$184)&lt;C185),MAX(I$182:I$184),IF(MAX(I$182:I$184)&gt;C185,MAX(I$182:I$184),0))</f>
        <v>0</v>
      </c>
      <c r="K192" s="29">
        <f>IF(I192&lt;&gt;0,L191,0)</f>
        <v>0</v>
      </c>
      <c r="L192" s="29">
        <f>IF(AND(MAX(I$182:I$184)&gt;B185,MAX(I$182:I$184)&lt;C185),K185,IF(MAX(I$182:I$184)&gt;=C185,D185,0))</f>
        <v>0</v>
      </c>
      <c r="M192" s="30">
        <f t="shared" si="31"/>
        <v>0</v>
      </c>
      <c r="O192" s="4">
        <v>4</v>
      </c>
      <c r="P192" s="5">
        <f>IF(B$203&gt;C185,Q191,0)</f>
        <v>0</v>
      </c>
      <c r="Q192" s="5">
        <f>IF(B$203&gt;C185,B$203,IF(AND(B$203&gt;B186,B$203&lt;C186),B$203,IF(B$203&gt;=C186,C186,0)))</f>
        <v>0</v>
      </c>
      <c r="R192" s="29">
        <f>IF(P192&lt;&gt;0,S191,0)</f>
        <v>0</v>
      </c>
      <c r="S192" s="29">
        <f>IF(Q192&gt;0,IF(B$203&gt;=C186,N185,IF(AND(B$203&gt;B186,B$203&lt;C186),N185,0)),0)</f>
        <v>0</v>
      </c>
      <c r="T192" s="30">
        <f t="shared" si="32"/>
        <v>0</v>
      </c>
      <c r="V192" s="4">
        <v>4</v>
      </c>
      <c r="W192" s="5">
        <f>IF(B$205&gt;C185,X191,0)</f>
        <v>0</v>
      </c>
      <c r="X192" s="5">
        <f>IF(B$205&gt;C185,B$205,IF(AND(B$205&gt;B186,B$205&lt;C186),B$205,IF(B$205&gt;=C186,C186,0)))</f>
        <v>0</v>
      </c>
      <c r="Y192" s="29">
        <f>IF(W192&lt;&gt;0,Z191,0)</f>
        <v>0</v>
      </c>
      <c r="Z192" s="29">
        <f>IF(X192&gt;0,IF(B$205&gt;=C186,N185,IF(AND(B$205&gt;B186,B$205&lt;C186),N185,0)),0)</f>
        <v>0</v>
      </c>
      <c r="AA192" s="30">
        <f t="shared" si="33"/>
        <v>0</v>
      </c>
    </row>
    <row r="193" spans="1:27" ht="15.75" thickBot="1" x14ac:dyDescent="0.3">
      <c r="A193" s="24"/>
      <c r="B193" s="18"/>
      <c r="C193" s="18"/>
      <c r="D193" s="21"/>
      <c r="E193" s="21"/>
      <c r="F193" s="31">
        <f>SUM(F189:F192)</f>
        <v>0</v>
      </c>
      <c r="H193" s="24"/>
      <c r="I193" s="18"/>
      <c r="J193" s="18"/>
      <c r="K193" s="21"/>
      <c r="L193" s="21"/>
      <c r="M193" s="31">
        <f>SUM(M189:M192)</f>
        <v>500</v>
      </c>
      <c r="O193" s="24"/>
      <c r="P193" s="18"/>
      <c r="Q193" s="18"/>
      <c r="R193" s="21"/>
      <c r="S193" s="21"/>
      <c r="T193" s="31">
        <f>SUM(T189:T192)</f>
        <v>500</v>
      </c>
      <c r="V193" s="24"/>
      <c r="W193" s="18"/>
      <c r="X193" s="18"/>
      <c r="Y193" s="21"/>
      <c r="Z193" s="21"/>
      <c r="AA193" s="31">
        <f>SUM(AA189:AA192)</f>
        <v>900</v>
      </c>
    </row>
    <row r="194" spans="1:27" ht="15.75" thickBot="1" x14ac:dyDescent="0.3"/>
    <row r="195" spans="1:27" ht="15.75" thickBot="1" x14ac:dyDescent="0.3">
      <c r="A195" s="68" t="s">
        <v>37</v>
      </c>
      <c r="E195" s="227" t="s">
        <v>75</v>
      </c>
      <c r="F195" s="228"/>
      <c r="G195" s="228"/>
      <c r="H195" s="228"/>
      <c r="I195" s="229"/>
      <c r="J195" s="152"/>
      <c r="K195" s="152"/>
      <c r="L195" s="152"/>
      <c r="M195" s="152"/>
      <c r="N195" s="45"/>
      <c r="O195" s="153"/>
      <c r="P195" s="153"/>
      <c r="Q195" s="153"/>
      <c r="R195" s="153"/>
      <c r="S195" s="153"/>
      <c r="T195" s="153"/>
    </row>
    <row r="196" spans="1:27" ht="15.75" thickBot="1" x14ac:dyDescent="0.3">
      <c r="A196" s="263" t="s">
        <v>10</v>
      </c>
      <c r="B196" s="264"/>
      <c r="E196" s="227" t="s">
        <v>78</v>
      </c>
      <c r="F196" s="228"/>
      <c r="G196" s="228"/>
      <c r="H196" s="228"/>
      <c r="I196" s="187" t="s">
        <v>74</v>
      </c>
      <c r="J196" s="146"/>
      <c r="K196" s="146"/>
      <c r="L196" s="146"/>
      <c r="M196" s="146"/>
      <c r="N196" s="45"/>
      <c r="O196" s="154"/>
      <c r="P196" s="154"/>
      <c r="Q196" s="154"/>
      <c r="R196" s="154"/>
      <c r="S196" s="154"/>
      <c r="T196" s="154"/>
    </row>
    <row r="197" spans="1:27" x14ac:dyDescent="0.25">
      <c r="A197" s="4" t="s">
        <v>5</v>
      </c>
      <c r="B197" s="13">
        <v>0</v>
      </c>
      <c r="E197" s="245" t="s">
        <v>76</v>
      </c>
      <c r="F197" s="246"/>
      <c r="G197" s="246"/>
      <c r="H197" s="246"/>
      <c r="I197" s="123">
        <f>B197*B198</f>
        <v>0</v>
      </c>
      <c r="J197" s="45"/>
      <c r="K197" s="45"/>
      <c r="L197" s="45"/>
      <c r="M197" s="45"/>
      <c r="N197" s="45"/>
      <c r="O197" s="45"/>
      <c r="P197" s="140"/>
      <c r="Q197" s="45"/>
      <c r="R197" s="45"/>
      <c r="S197" s="45"/>
      <c r="T197" s="45"/>
    </row>
    <row r="198" spans="1:27" ht="15.75" thickBot="1" x14ac:dyDescent="0.3">
      <c r="A198" s="17" t="s">
        <v>13</v>
      </c>
      <c r="B198" s="19">
        <v>0</v>
      </c>
      <c r="E198" s="181"/>
      <c r="F198" s="142"/>
      <c r="G198" s="142"/>
      <c r="H198" s="142"/>
      <c r="I198" s="123"/>
      <c r="J198" s="45"/>
      <c r="K198" s="45"/>
      <c r="L198" s="45"/>
      <c r="M198" s="45"/>
      <c r="N198" s="45"/>
      <c r="O198" s="143"/>
      <c r="P198" s="143"/>
      <c r="Q198" s="143"/>
      <c r="R198" s="143"/>
      <c r="S198" s="143"/>
      <c r="T198" s="140"/>
    </row>
    <row r="199" spans="1:27" x14ac:dyDescent="0.25">
      <c r="A199" s="14" t="s">
        <v>55</v>
      </c>
      <c r="B199" s="26">
        <v>0</v>
      </c>
      <c r="E199" s="240" t="str">
        <f>"DA Incremental Cost @ "&amp;B197&amp;" MW"</f>
        <v>DA Incremental Cost @ 0 MW</v>
      </c>
      <c r="F199" s="241"/>
      <c r="G199" s="241"/>
      <c r="H199" s="241"/>
      <c r="I199" s="123">
        <f>F193</f>
        <v>0</v>
      </c>
      <c r="J199" s="45"/>
      <c r="K199" s="45"/>
      <c r="L199" s="45"/>
      <c r="M199" s="45"/>
      <c r="N199" s="45"/>
      <c r="O199" s="45"/>
      <c r="P199" s="45"/>
      <c r="Q199" s="45"/>
      <c r="R199" s="45"/>
      <c r="S199" s="45"/>
      <c r="T199" s="45"/>
    </row>
    <row r="200" spans="1:27" ht="15.75" thickBot="1" x14ac:dyDescent="0.3">
      <c r="A200" s="24" t="s">
        <v>56</v>
      </c>
      <c r="B200" s="23">
        <v>0</v>
      </c>
      <c r="C200" s="32"/>
      <c r="D200" s="32"/>
      <c r="E200" s="240" t="s">
        <v>77</v>
      </c>
      <c r="F200" s="241"/>
      <c r="G200" s="241"/>
      <c r="H200" s="241"/>
      <c r="I200" s="147">
        <f>B200</f>
        <v>0</v>
      </c>
      <c r="J200" s="45"/>
      <c r="K200" s="45"/>
      <c r="L200" s="45"/>
      <c r="M200" s="45"/>
      <c r="N200" s="45"/>
      <c r="O200" s="45"/>
      <c r="P200" s="45"/>
      <c r="Q200" s="45"/>
      <c r="R200" s="45"/>
      <c r="S200" s="45"/>
      <c r="T200" s="45"/>
    </row>
    <row r="201" spans="1:27" x14ac:dyDescent="0.25">
      <c r="C201" s="32"/>
      <c r="E201" s="240" t="s">
        <v>72</v>
      </c>
      <c r="F201" s="241"/>
      <c r="G201" s="241"/>
      <c r="H201" s="241"/>
      <c r="I201" s="123">
        <f>B199</f>
        <v>0</v>
      </c>
      <c r="J201" s="45"/>
      <c r="K201" s="45"/>
      <c r="L201" s="140"/>
      <c r="M201" s="155"/>
      <c r="N201" s="45"/>
      <c r="O201" s="143"/>
      <c r="P201" s="143"/>
      <c r="Q201" s="143"/>
      <c r="R201" s="143"/>
      <c r="S201" s="143"/>
      <c r="T201" s="140"/>
    </row>
    <row r="202" spans="1:27" ht="15.75" thickBot="1" x14ac:dyDescent="0.3">
      <c r="A202" s="68" t="s">
        <v>37</v>
      </c>
      <c r="E202" s="85"/>
      <c r="F202" s="144"/>
      <c r="G202" s="144"/>
      <c r="H202" s="144"/>
      <c r="I202" s="141"/>
      <c r="J202" s="45"/>
      <c r="K202" s="45"/>
      <c r="L202" s="140"/>
      <c r="M202" s="140"/>
      <c r="N202" s="45"/>
      <c r="O202" s="45"/>
      <c r="P202" s="45"/>
      <c r="Q202" s="45"/>
      <c r="R202" s="45"/>
      <c r="S202" s="45"/>
      <c r="T202" s="45"/>
    </row>
    <row r="203" spans="1:27" x14ac:dyDescent="0.25">
      <c r="A203" s="263" t="s">
        <v>22</v>
      </c>
      <c r="B203" s="264"/>
      <c r="E203" s="240" t="s">
        <v>73</v>
      </c>
      <c r="F203" s="241"/>
      <c r="G203" s="241"/>
      <c r="H203" s="241"/>
      <c r="I203" s="158">
        <f>I197-I199-I200-I201</f>
        <v>0</v>
      </c>
      <c r="J203" s="45"/>
      <c r="K203" s="140"/>
      <c r="L203" s="45"/>
      <c r="M203" s="45"/>
      <c r="N203" s="45"/>
      <c r="O203" s="143"/>
      <c r="P203" s="143"/>
      <c r="Q203" s="143"/>
      <c r="R203" s="143"/>
      <c r="S203" s="143"/>
      <c r="T203" s="140"/>
    </row>
    <row r="204" spans="1:27" x14ac:dyDescent="0.25">
      <c r="A204" s="16" t="s">
        <v>43</v>
      </c>
      <c r="B204" s="13">
        <v>25</v>
      </c>
      <c r="E204" s="181"/>
      <c r="F204" s="182"/>
      <c r="G204" s="182"/>
      <c r="H204" s="182"/>
      <c r="I204" s="123"/>
      <c r="J204" s="45"/>
      <c r="K204" s="45"/>
      <c r="L204" s="140"/>
      <c r="M204" s="45"/>
      <c r="N204" s="45"/>
      <c r="O204" s="45"/>
      <c r="P204" s="45"/>
      <c r="Q204" s="45"/>
      <c r="R204" s="45"/>
      <c r="S204" s="45"/>
      <c r="T204" s="45"/>
    </row>
    <row r="205" spans="1:27" ht="15.75" thickBot="1" x14ac:dyDescent="0.3">
      <c r="A205" s="16" t="s">
        <v>13</v>
      </c>
      <c r="B205" s="6">
        <v>50</v>
      </c>
      <c r="D205" s="32"/>
      <c r="E205" s="240" t="s">
        <v>83</v>
      </c>
      <c r="F205" s="241"/>
      <c r="G205" s="241"/>
      <c r="H205" s="241"/>
      <c r="I205" s="151">
        <f>MAX(I203*-1,0)</f>
        <v>0</v>
      </c>
      <c r="J205" s="45"/>
      <c r="K205" s="140"/>
      <c r="L205" s="45"/>
      <c r="M205" s="45"/>
      <c r="N205" s="45"/>
      <c r="O205" s="143"/>
      <c r="P205" s="143"/>
      <c r="Q205" s="143"/>
      <c r="R205" s="143"/>
      <c r="S205" s="143"/>
      <c r="T205" s="140"/>
    </row>
    <row r="206" spans="1:27" ht="16.5" thickTop="1" thickBot="1" x14ac:dyDescent="0.3">
      <c r="A206" s="16" t="s">
        <v>27</v>
      </c>
      <c r="B206" s="13">
        <v>45</v>
      </c>
      <c r="E206" s="156"/>
      <c r="F206" s="157"/>
      <c r="G206" s="157"/>
      <c r="H206" s="157"/>
      <c r="I206" s="145"/>
      <c r="J206" s="45"/>
      <c r="K206" s="45"/>
      <c r="L206" s="45"/>
      <c r="M206" s="45"/>
      <c r="N206" s="45"/>
      <c r="O206" s="45"/>
      <c r="P206" s="45"/>
      <c r="Q206" s="45"/>
      <c r="R206" s="45"/>
      <c r="S206" s="45"/>
      <c r="T206" s="45"/>
    </row>
    <row r="207" spans="1:27" x14ac:dyDescent="0.25">
      <c r="A207" s="16" t="s">
        <v>29</v>
      </c>
      <c r="B207" s="13">
        <v>45</v>
      </c>
      <c r="E207" s="182"/>
      <c r="F207" s="142"/>
      <c r="G207" s="142"/>
      <c r="H207" s="142"/>
      <c r="I207" s="140"/>
      <c r="J207" s="45"/>
      <c r="K207" s="45"/>
      <c r="L207" s="45"/>
      <c r="M207" s="45"/>
      <c r="N207" s="45"/>
      <c r="O207" s="45"/>
      <c r="P207" s="140"/>
      <c r="Q207" s="45"/>
      <c r="R207" s="45"/>
      <c r="S207" s="45"/>
      <c r="T207" s="45"/>
    </row>
    <row r="208" spans="1:27" ht="15.75" thickBot="1" x14ac:dyDescent="0.3">
      <c r="A208" s="16" t="s">
        <v>28</v>
      </c>
      <c r="B208" s="13">
        <f>IF(AND(B205&lt;0,B204&gt;B197,B197&gt;0),B197,IF(AND(B197=0,B205&lt;0),MIN(B206,B204),IF(B197=0,B204,MAX(MIN(B206,B197),B204))))</f>
        <v>25</v>
      </c>
      <c r="E208" s="243" t="s">
        <v>98</v>
      </c>
      <c r="F208" s="243"/>
      <c r="G208" s="243"/>
      <c r="H208" s="243"/>
      <c r="I208" s="243"/>
      <c r="J208" s="188"/>
      <c r="K208" s="244" t="s">
        <v>97</v>
      </c>
      <c r="L208" s="244"/>
      <c r="M208" s="244"/>
      <c r="N208" s="244"/>
      <c r="O208" s="244"/>
      <c r="P208" s="188"/>
      <c r="Q208" s="244" t="s">
        <v>99</v>
      </c>
      <c r="R208" s="244"/>
      <c r="S208" s="244"/>
      <c r="T208" s="244"/>
      <c r="U208" s="244"/>
    </row>
    <row r="209" spans="1:21" ht="15.75" thickBot="1" x14ac:dyDescent="0.3">
      <c r="A209" s="24" t="s">
        <v>8</v>
      </c>
      <c r="B209" s="23">
        <f>IF(AND(B206*0.9&lt;=B204,B206*1.1&gt;=B204),B204,MIN(B206,B204))</f>
        <v>25</v>
      </c>
      <c r="E209" s="227" t="s">
        <v>90</v>
      </c>
      <c r="F209" s="228"/>
      <c r="G209" s="228"/>
      <c r="H209" s="228"/>
      <c r="I209" s="229"/>
      <c r="J209" s="146"/>
      <c r="K209" s="227" t="s">
        <v>85</v>
      </c>
      <c r="L209" s="228"/>
      <c r="M209" s="228"/>
      <c r="N209" s="228"/>
      <c r="O209" s="229"/>
      <c r="P209" s="154"/>
      <c r="Q209" s="227" t="s">
        <v>88</v>
      </c>
      <c r="R209" s="228"/>
      <c r="S209" s="228"/>
      <c r="T209" s="228"/>
      <c r="U209" s="229"/>
    </row>
    <row r="210" spans="1:21" ht="15.75" thickBot="1" x14ac:dyDescent="0.3">
      <c r="A210" s="14" t="s">
        <v>55</v>
      </c>
      <c r="B210" s="26">
        <v>1000</v>
      </c>
      <c r="E210" s="227" t="s">
        <v>78</v>
      </c>
      <c r="F210" s="228"/>
      <c r="G210" s="228"/>
      <c r="H210" s="228"/>
      <c r="I210" s="187" t="s">
        <v>74</v>
      </c>
      <c r="J210" s="45"/>
      <c r="K210" s="227" t="s">
        <v>78</v>
      </c>
      <c r="L210" s="228"/>
      <c r="M210" s="228"/>
      <c r="N210" s="228"/>
      <c r="O210" s="187" t="s">
        <v>74</v>
      </c>
      <c r="P210" s="45"/>
      <c r="Q210" s="227" t="s">
        <v>78</v>
      </c>
      <c r="R210" s="228"/>
      <c r="S210" s="228"/>
      <c r="T210" s="228"/>
      <c r="U210" s="187" t="s">
        <v>74</v>
      </c>
    </row>
    <row r="211" spans="1:21" ht="15.75" thickBot="1" x14ac:dyDescent="0.3">
      <c r="A211" s="24" t="s">
        <v>56</v>
      </c>
      <c r="B211" s="23">
        <v>100</v>
      </c>
      <c r="E211" s="245" t="s">
        <v>76</v>
      </c>
      <c r="F211" s="246"/>
      <c r="G211" s="246"/>
      <c r="H211" s="246"/>
      <c r="I211" s="160">
        <f>I197</f>
        <v>0</v>
      </c>
      <c r="J211" s="140"/>
      <c r="K211" s="245" t="s">
        <v>76</v>
      </c>
      <c r="L211" s="246"/>
      <c r="M211" s="246"/>
      <c r="N211" s="246"/>
      <c r="O211" s="160">
        <f>I197</f>
        <v>0</v>
      </c>
      <c r="P211" s="143"/>
      <c r="Q211" s="245" t="s">
        <v>76</v>
      </c>
      <c r="R211" s="246"/>
      <c r="S211" s="246"/>
      <c r="T211" s="246"/>
      <c r="U211" s="160">
        <f>I197</f>
        <v>0</v>
      </c>
    </row>
    <row r="212" spans="1:21" x14ac:dyDescent="0.25">
      <c r="E212" s="75"/>
      <c r="F212" s="76"/>
      <c r="G212" s="76"/>
      <c r="H212" s="76"/>
      <c r="I212" s="161"/>
      <c r="J212" s="45"/>
      <c r="K212" s="75"/>
      <c r="L212" s="76"/>
      <c r="M212" s="76"/>
      <c r="N212" s="76"/>
      <c r="O212" s="161"/>
      <c r="P212" s="45"/>
      <c r="Q212" s="75"/>
      <c r="R212" s="76"/>
      <c r="S212" s="76"/>
      <c r="T212" s="76"/>
      <c r="U212" s="161"/>
    </row>
    <row r="213" spans="1:21" x14ac:dyDescent="0.25">
      <c r="E213" s="240" t="s">
        <v>83</v>
      </c>
      <c r="F213" s="241"/>
      <c r="G213" s="241"/>
      <c r="H213" s="241"/>
      <c r="I213" s="160">
        <f>I205</f>
        <v>0</v>
      </c>
      <c r="J213" s="140"/>
      <c r="K213" s="240" t="s">
        <v>83</v>
      </c>
      <c r="L213" s="241"/>
      <c r="M213" s="241"/>
      <c r="N213" s="241"/>
      <c r="O213" s="160">
        <f>I205</f>
        <v>0</v>
      </c>
      <c r="P213" s="143"/>
      <c r="Q213" s="240" t="s">
        <v>83</v>
      </c>
      <c r="R213" s="241"/>
      <c r="S213" s="241"/>
      <c r="T213" s="241"/>
      <c r="U213" s="160">
        <f>I205</f>
        <v>0</v>
      </c>
    </row>
    <row r="214" spans="1:21" x14ac:dyDescent="0.25">
      <c r="B214" s="166"/>
      <c r="E214" s="75"/>
      <c r="F214" s="76"/>
      <c r="G214" s="76"/>
      <c r="H214" s="76"/>
      <c r="I214" s="159"/>
      <c r="J214" s="146"/>
      <c r="K214" s="75"/>
      <c r="L214" s="76"/>
      <c r="M214" s="76"/>
      <c r="N214" s="76"/>
      <c r="O214" s="159"/>
      <c r="P214" s="146"/>
      <c r="Q214" s="75"/>
      <c r="R214" s="76"/>
      <c r="S214" s="76"/>
      <c r="T214" s="76"/>
      <c r="U214" s="159"/>
    </row>
    <row r="215" spans="1:21" x14ac:dyDescent="0.25">
      <c r="B215" s="166"/>
      <c r="E215" s="240" t="s">
        <v>79</v>
      </c>
      <c r="F215" s="241"/>
      <c r="G215" s="241"/>
      <c r="H215" s="241"/>
      <c r="I215" s="123">
        <f>(B208-B197)*B205</f>
        <v>1250</v>
      </c>
      <c r="J215" s="104"/>
      <c r="K215" s="240" t="s">
        <v>87</v>
      </c>
      <c r="L215" s="241"/>
      <c r="M215" s="241"/>
      <c r="N215" s="241"/>
      <c r="O215" s="123">
        <f>(B206-B197)*B205</f>
        <v>2250</v>
      </c>
      <c r="P215" s="143"/>
      <c r="Q215" s="240" t="s">
        <v>87</v>
      </c>
      <c r="R215" s="241"/>
      <c r="S215" s="241"/>
      <c r="T215" s="241"/>
      <c r="U215" s="123">
        <f>(B204-B197)*B205</f>
        <v>1250</v>
      </c>
    </row>
    <row r="216" spans="1:21" x14ac:dyDescent="0.25">
      <c r="E216" s="181"/>
      <c r="F216" s="142"/>
      <c r="G216" s="142"/>
      <c r="H216" s="142"/>
      <c r="I216" s="123"/>
      <c r="J216" s="149"/>
      <c r="K216" s="181"/>
      <c r="L216" s="142"/>
      <c r="M216" s="142"/>
      <c r="N216" s="142"/>
      <c r="O216" s="123"/>
      <c r="P216" s="150"/>
      <c r="Q216" s="181"/>
      <c r="R216" s="142"/>
      <c r="S216" s="142"/>
      <c r="T216" s="142"/>
      <c r="U216" s="123"/>
    </row>
    <row r="217" spans="1:21" x14ac:dyDescent="0.25">
      <c r="E217" s="240" t="str">
        <f>"RT Incremental Cost @ "&amp;B209&amp;" MW"</f>
        <v>RT Incremental Cost @ 25 MW</v>
      </c>
      <c r="F217" s="241"/>
      <c r="G217" s="241"/>
      <c r="H217" s="241"/>
      <c r="I217" s="123">
        <f>M193</f>
        <v>500</v>
      </c>
      <c r="J217" s="104"/>
      <c r="K217" s="240" t="str">
        <f>"RT Incremental Cost @ "&amp;B206&amp;" MW"</f>
        <v>RT Incremental Cost @ 45 MW</v>
      </c>
      <c r="L217" s="241"/>
      <c r="M217" s="241"/>
      <c r="N217" s="241"/>
      <c r="O217" s="123">
        <f>AA193</f>
        <v>900</v>
      </c>
      <c r="P217" s="143"/>
      <c r="Q217" s="240" t="str">
        <f>"RT Incremental Cost @ "&amp;B204&amp;" MW"</f>
        <v>RT Incremental Cost @ 25 MW</v>
      </c>
      <c r="R217" s="241"/>
      <c r="S217" s="241"/>
      <c r="T217" s="241"/>
      <c r="U217" s="123">
        <f>T193</f>
        <v>500</v>
      </c>
    </row>
    <row r="218" spans="1:21" x14ac:dyDescent="0.25">
      <c r="E218" s="240" t="s">
        <v>80</v>
      </c>
      <c r="F218" s="241"/>
      <c r="G218" s="241"/>
      <c r="H218" s="241"/>
      <c r="I218" s="147">
        <f>B211</f>
        <v>100</v>
      </c>
      <c r="J218" s="104"/>
      <c r="K218" s="240" t="s">
        <v>80</v>
      </c>
      <c r="L218" s="241"/>
      <c r="M218" s="241"/>
      <c r="N218" s="241"/>
      <c r="O218" s="147">
        <f>B211</f>
        <v>100</v>
      </c>
      <c r="P218" s="45"/>
      <c r="Q218" s="240" t="s">
        <v>80</v>
      </c>
      <c r="R218" s="241"/>
      <c r="S218" s="241"/>
      <c r="T218" s="241"/>
      <c r="U218" s="147">
        <f>B211</f>
        <v>100</v>
      </c>
    </row>
    <row r="219" spans="1:21" x14ac:dyDescent="0.25">
      <c r="D219" s="33"/>
      <c r="E219" s="240" t="s">
        <v>81</v>
      </c>
      <c r="F219" s="241"/>
      <c r="G219" s="241"/>
      <c r="H219" s="241"/>
      <c r="I219" s="123">
        <f>B210</f>
        <v>1000</v>
      </c>
      <c r="J219" s="104"/>
      <c r="K219" s="240" t="s">
        <v>81</v>
      </c>
      <c r="L219" s="241"/>
      <c r="M219" s="241"/>
      <c r="N219" s="241"/>
      <c r="O219" s="123">
        <f>B210</f>
        <v>1000</v>
      </c>
      <c r="P219" s="45"/>
      <c r="Q219" s="240" t="s">
        <v>81</v>
      </c>
      <c r="R219" s="241"/>
      <c r="S219" s="241"/>
      <c r="T219" s="241"/>
      <c r="U219" s="123">
        <f>B210</f>
        <v>1000</v>
      </c>
    </row>
    <row r="220" spans="1:21" x14ac:dyDescent="0.25">
      <c r="E220" s="85"/>
      <c r="F220" s="144"/>
      <c r="G220" s="144"/>
      <c r="H220" s="144"/>
      <c r="I220" s="141"/>
      <c r="K220" s="85"/>
      <c r="L220" s="144"/>
      <c r="M220" s="144"/>
      <c r="N220" s="144"/>
      <c r="O220" s="141"/>
      <c r="Q220" s="85"/>
      <c r="R220" s="144"/>
      <c r="S220" s="144"/>
      <c r="T220" s="144"/>
      <c r="U220" s="141"/>
    </row>
    <row r="221" spans="1:21" x14ac:dyDescent="0.25">
      <c r="E221" s="240" t="s">
        <v>82</v>
      </c>
      <c r="F221" s="241"/>
      <c r="G221" s="241"/>
      <c r="H221" s="241"/>
      <c r="I221" s="158">
        <f>I211+I215-I217-I218-I219</f>
        <v>-350</v>
      </c>
      <c r="K221" s="240" t="s">
        <v>82</v>
      </c>
      <c r="L221" s="241"/>
      <c r="M221" s="241"/>
      <c r="N221" s="241"/>
      <c r="O221" s="158">
        <f>O211+O215-O217-O218-O219</f>
        <v>250</v>
      </c>
      <c r="Q221" s="240" t="s">
        <v>82</v>
      </c>
      <c r="R221" s="241"/>
      <c r="S221" s="241"/>
      <c r="T221" s="241"/>
      <c r="U221" s="158">
        <f>U211+U215-U217-U218-U219</f>
        <v>-350</v>
      </c>
    </row>
    <row r="222" spans="1:21" x14ac:dyDescent="0.25">
      <c r="E222" s="93"/>
      <c r="F222" s="148"/>
      <c r="G222" s="148"/>
      <c r="H222" s="148"/>
      <c r="I222" s="162"/>
      <c r="K222" s="93"/>
      <c r="L222" s="148"/>
      <c r="M222" s="148"/>
      <c r="N222" s="148"/>
      <c r="O222" s="162"/>
      <c r="Q222" s="93"/>
      <c r="R222" s="148"/>
      <c r="S222" s="148"/>
      <c r="T222" s="148"/>
      <c r="U222" s="162"/>
    </row>
    <row r="223" spans="1:21" ht="15.75" thickBot="1" x14ac:dyDescent="0.3">
      <c r="E223" s="240" t="s">
        <v>84</v>
      </c>
      <c r="F223" s="241"/>
      <c r="G223" s="241"/>
      <c r="H223" s="241"/>
      <c r="I223" s="163">
        <f>MAX(MAX(I221*-1,0)-I213,0)</f>
        <v>350</v>
      </c>
      <c r="K223" s="240" t="s">
        <v>84</v>
      </c>
      <c r="L223" s="241"/>
      <c r="M223" s="241"/>
      <c r="N223" s="241"/>
      <c r="O223" s="163">
        <f>MAX(MAX(O221*-1,0)-O213,0)</f>
        <v>0</v>
      </c>
      <c r="Q223" s="240" t="s">
        <v>84</v>
      </c>
      <c r="R223" s="241"/>
      <c r="S223" s="241"/>
      <c r="T223" s="241"/>
      <c r="U223" s="163">
        <f>MAX(MAX(U221*-1,0)-U213,0)</f>
        <v>350</v>
      </c>
    </row>
    <row r="224" spans="1:21" ht="16.5" thickTop="1" thickBot="1" x14ac:dyDescent="0.3">
      <c r="E224" s="51"/>
      <c r="F224" s="164"/>
      <c r="G224" s="164"/>
      <c r="H224" s="164"/>
      <c r="I224" s="165"/>
      <c r="K224" s="51"/>
      <c r="L224" s="164"/>
      <c r="M224" s="164"/>
      <c r="N224" s="164"/>
      <c r="O224" s="165"/>
      <c r="Q224" s="51"/>
      <c r="R224" s="164"/>
      <c r="S224" s="164"/>
      <c r="T224" s="164"/>
      <c r="U224" s="165"/>
    </row>
    <row r="225" spans="5:21" x14ac:dyDescent="0.25">
      <c r="E225" s="237"/>
      <c r="F225" s="237"/>
      <c r="G225" s="237"/>
      <c r="H225" s="237"/>
      <c r="I225" s="237"/>
      <c r="K225" s="238"/>
      <c r="L225" s="238"/>
      <c r="M225" s="238"/>
      <c r="N225" s="238"/>
      <c r="O225" s="238"/>
      <c r="Q225" s="238"/>
      <c r="R225" s="238"/>
      <c r="S225" s="238"/>
      <c r="T225" s="238"/>
      <c r="U225" s="238"/>
    </row>
    <row r="226" spans="5:21" x14ac:dyDescent="0.25">
      <c r="E226" s="239"/>
      <c r="F226" s="239"/>
      <c r="G226" s="239"/>
      <c r="H226" s="239"/>
      <c r="I226" s="239"/>
      <c r="K226" s="239"/>
      <c r="L226" s="239"/>
      <c r="M226" s="239"/>
      <c r="N226" s="239"/>
      <c r="O226" s="239"/>
      <c r="Q226" s="239"/>
      <c r="R226" s="239"/>
      <c r="S226" s="239"/>
      <c r="T226" s="239"/>
      <c r="U226" s="239"/>
    </row>
    <row r="228" spans="5:21" x14ac:dyDescent="0.25">
      <c r="K228" s="209" t="s">
        <v>105</v>
      </c>
    </row>
    <row r="229" spans="5:21" x14ac:dyDescent="0.25">
      <c r="J229" s="41" t="s">
        <v>96</v>
      </c>
      <c r="K229" s="242" t="s">
        <v>93</v>
      </c>
      <c r="L229" s="242"/>
      <c r="M229" s="242"/>
      <c r="N229" s="32">
        <f>MIN(O223,U223)</f>
        <v>0</v>
      </c>
    </row>
    <row r="230" spans="5:21" x14ac:dyDescent="0.25">
      <c r="K230" s="297" t="s">
        <v>106</v>
      </c>
      <c r="L230" s="297"/>
      <c r="M230" s="297"/>
      <c r="N230" s="297"/>
      <c r="O230" s="297"/>
      <c r="P230" s="297"/>
      <c r="Q230" s="297"/>
      <c r="R230" s="297"/>
      <c r="S230" s="176"/>
    </row>
    <row r="231" spans="5:21" x14ac:dyDescent="0.25">
      <c r="K231" s="297"/>
      <c r="L231" s="297"/>
      <c r="M231" s="297"/>
      <c r="N231" s="297"/>
      <c r="O231" s="297"/>
      <c r="P231" s="297"/>
      <c r="Q231" s="297"/>
      <c r="R231" s="297"/>
    </row>
  </sheetData>
  <mergeCells count="187">
    <mergeCell ref="E226:I226"/>
    <mergeCell ref="K226:O226"/>
    <mergeCell ref="Q226:U226"/>
    <mergeCell ref="K229:M229"/>
    <mergeCell ref="E221:H221"/>
    <mergeCell ref="K221:N221"/>
    <mergeCell ref="Q221:T221"/>
    <mergeCell ref="E223:H223"/>
    <mergeCell ref="K223:N223"/>
    <mergeCell ref="Q223:T223"/>
    <mergeCell ref="E225:I225"/>
    <mergeCell ref="K225:O225"/>
    <mergeCell ref="Q225:U225"/>
    <mergeCell ref="E217:H217"/>
    <mergeCell ref="K217:N217"/>
    <mergeCell ref="Q217:T217"/>
    <mergeCell ref="E218:H218"/>
    <mergeCell ref="K218:N218"/>
    <mergeCell ref="Q218:T218"/>
    <mergeCell ref="E219:H219"/>
    <mergeCell ref="K219:N219"/>
    <mergeCell ref="Q219:T219"/>
    <mergeCell ref="E211:H211"/>
    <mergeCell ref="K211:N211"/>
    <mergeCell ref="Q211:T211"/>
    <mergeCell ref="E213:H213"/>
    <mergeCell ref="K213:N213"/>
    <mergeCell ref="Q213:T213"/>
    <mergeCell ref="E215:H215"/>
    <mergeCell ref="K215:N215"/>
    <mergeCell ref="Q215:T215"/>
    <mergeCell ref="E205:H205"/>
    <mergeCell ref="E208:I208"/>
    <mergeCell ref="K208:O208"/>
    <mergeCell ref="Q208:U208"/>
    <mergeCell ref="E209:I209"/>
    <mergeCell ref="K209:O209"/>
    <mergeCell ref="Q209:U209"/>
    <mergeCell ref="E210:H210"/>
    <mergeCell ref="K210:N210"/>
    <mergeCell ref="Q210:T210"/>
    <mergeCell ref="V187:AA187"/>
    <mergeCell ref="E195:I195"/>
    <mergeCell ref="A196:B196"/>
    <mergeCell ref="E196:H196"/>
    <mergeCell ref="E197:H197"/>
    <mergeCell ref="E199:H199"/>
    <mergeCell ref="E200:H200"/>
    <mergeCell ref="E201:H201"/>
    <mergeCell ref="A203:B203"/>
    <mergeCell ref="E203:H203"/>
    <mergeCell ref="A179:T180"/>
    <mergeCell ref="A181:D181"/>
    <mergeCell ref="E181:G181"/>
    <mergeCell ref="H181:K181"/>
    <mergeCell ref="L181:N181"/>
    <mergeCell ref="O181:Q181"/>
    <mergeCell ref="A187:F187"/>
    <mergeCell ref="H187:M187"/>
    <mergeCell ref="O187:T187"/>
    <mergeCell ref="K144:L144"/>
    <mergeCell ref="E145:H145"/>
    <mergeCell ref="K145:L145"/>
    <mergeCell ref="O145:S145"/>
    <mergeCell ref="K146:L146"/>
    <mergeCell ref="K46:L46"/>
    <mergeCell ref="E141:H141"/>
    <mergeCell ref="K141:M141"/>
    <mergeCell ref="O141:S141"/>
    <mergeCell ref="K142:L142"/>
    <mergeCell ref="E143:H143"/>
    <mergeCell ref="K143:L143"/>
    <mergeCell ref="O143:S143"/>
    <mergeCell ref="E133:H133"/>
    <mergeCell ref="O133:S133"/>
    <mergeCell ref="E137:M137"/>
    <mergeCell ref="O137:T137"/>
    <mergeCell ref="E139:H139"/>
    <mergeCell ref="O139:S139"/>
    <mergeCell ref="E125:H125"/>
    <mergeCell ref="E126:H126"/>
    <mergeCell ref="O126:S126"/>
    <mergeCell ref="E129:H129"/>
    <mergeCell ref="O129:S129"/>
    <mergeCell ref="A131:B131"/>
    <mergeCell ref="E131:H131"/>
    <mergeCell ref="O131:S131"/>
    <mergeCell ref="O115:T115"/>
    <mergeCell ref="E123:M123"/>
    <mergeCell ref="O123:T123"/>
    <mergeCell ref="A124:B124"/>
    <mergeCell ref="E124:M124"/>
    <mergeCell ref="O124:T124"/>
    <mergeCell ref="A109:D109"/>
    <mergeCell ref="E109:G109"/>
    <mergeCell ref="H109:K109"/>
    <mergeCell ref="L109:N109"/>
    <mergeCell ref="A115:B115"/>
    <mergeCell ref="H115:M115"/>
    <mergeCell ref="K93:L93"/>
    <mergeCell ref="E94:H94"/>
    <mergeCell ref="K94:L94"/>
    <mergeCell ref="O94:S94"/>
    <mergeCell ref="K95:L95"/>
    <mergeCell ref="A107:T108"/>
    <mergeCell ref="E90:H90"/>
    <mergeCell ref="K90:M90"/>
    <mergeCell ref="O90:S90"/>
    <mergeCell ref="K91:L91"/>
    <mergeCell ref="E92:H92"/>
    <mergeCell ref="K92:L92"/>
    <mergeCell ref="O92:S92"/>
    <mergeCell ref="E82:H82"/>
    <mergeCell ref="O82:S82"/>
    <mergeCell ref="E86:M86"/>
    <mergeCell ref="O86:T86"/>
    <mergeCell ref="E88:H88"/>
    <mergeCell ref="O88:S88"/>
    <mergeCell ref="E74:H74"/>
    <mergeCell ref="E75:H75"/>
    <mergeCell ref="O75:S75"/>
    <mergeCell ref="E78:H78"/>
    <mergeCell ref="O78:S78"/>
    <mergeCell ref="A80:B80"/>
    <mergeCell ref="E80:H80"/>
    <mergeCell ref="O80:S80"/>
    <mergeCell ref="O64:T64"/>
    <mergeCell ref="E72:M72"/>
    <mergeCell ref="O72:T72"/>
    <mergeCell ref="A73:B73"/>
    <mergeCell ref="E73:M73"/>
    <mergeCell ref="O73:T73"/>
    <mergeCell ref="A58:D58"/>
    <mergeCell ref="E58:G58"/>
    <mergeCell ref="H58:K58"/>
    <mergeCell ref="L58:N58"/>
    <mergeCell ref="A64:F64"/>
    <mergeCell ref="H64:M64"/>
    <mergeCell ref="K42:L42"/>
    <mergeCell ref="E43:H43"/>
    <mergeCell ref="K43:L43"/>
    <mergeCell ref="O43:S43"/>
    <mergeCell ref="K44:L44"/>
    <mergeCell ref="A56:T57"/>
    <mergeCell ref="K45:L45"/>
    <mergeCell ref="E39:H39"/>
    <mergeCell ref="K39:M39"/>
    <mergeCell ref="O39:S39"/>
    <mergeCell ref="K40:L40"/>
    <mergeCell ref="E41:H41"/>
    <mergeCell ref="K41:L41"/>
    <mergeCell ref="O41:S41"/>
    <mergeCell ref="O31:S31"/>
    <mergeCell ref="E35:M35"/>
    <mergeCell ref="O35:T35"/>
    <mergeCell ref="E37:H37"/>
    <mergeCell ref="O37:S37"/>
    <mergeCell ref="E27:H27"/>
    <mergeCell ref="O27:S27"/>
    <mergeCell ref="A28:D28"/>
    <mergeCell ref="A29:B29"/>
    <mergeCell ref="E29:H29"/>
    <mergeCell ref="O29:S29"/>
    <mergeCell ref="K230:R231"/>
    <mergeCell ref="A1:T2"/>
    <mergeCell ref="A5:T6"/>
    <mergeCell ref="A7:D7"/>
    <mergeCell ref="E7:G7"/>
    <mergeCell ref="H7:K7"/>
    <mergeCell ref="L7:N7"/>
    <mergeCell ref="K147:L147"/>
    <mergeCell ref="K148:L148"/>
    <mergeCell ref="K96:L96"/>
    <mergeCell ref="K97:L97"/>
    <mergeCell ref="A22:B22"/>
    <mergeCell ref="E22:M22"/>
    <mergeCell ref="O22:T22"/>
    <mergeCell ref="E23:H23"/>
    <mergeCell ref="E24:H24"/>
    <mergeCell ref="O24:S24"/>
    <mergeCell ref="A13:F13"/>
    <mergeCell ref="H13:M13"/>
    <mergeCell ref="O13:T13"/>
    <mergeCell ref="A21:D21"/>
    <mergeCell ref="E21:M21"/>
    <mergeCell ref="O21:T21"/>
    <mergeCell ref="E31:H31"/>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Multi-Interval Segment Example</vt:lpstr>
      <vt:lpstr>RT Only Over Gen Example</vt:lpstr>
      <vt:lpstr>RT Only Over Gen Ex Neg LMP</vt:lpstr>
      <vt:lpstr>RT &amp; DA Over Gen Example</vt:lpstr>
      <vt:lpstr>RT &amp; DA Over Gen Ex Neg LMP </vt:lpstr>
      <vt:lpstr>RT Only Under Gen Example</vt:lpstr>
      <vt:lpstr>RT &amp; DA Under Gen Example</vt:lpstr>
      <vt:lpstr>RT Only UnderGen Start&amp;NoLoad</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Weathers, Brian</dc:creator>
  <cp:lastModifiedBy>Weathers, Brian</cp:lastModifiedBy>
  <dcterms:created xsi:type="dcterms:W3CDTF">2023-12-21T19:17:20Z</dcterms:created>
  <dcterms:modified xsi:type="dcterms:W3CDTF">2024-03-06T16:21:46Z</dcterms:modified>
</cp:coreProperties>
</file>